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11.xml" ContentType="application/vnd.openxmlformats-officedocument.drawing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drawings/drawing12.xml" ContentType="application/vnd.openxmlformats-officedocument.drawing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drawings/drawing1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drawings/drawing17.xml" ContentType="application/vnd.openxmlformats-officedocument.drawing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queryTables/queryTable20.xml" ContentType="application/vnd.openxmlformats-officedocument.spreadsheetml.queryTable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queryTables/queryTable21.xml" ContentType="application/vnd.openxmlformats-officedocument.spreadsheetml.queryTab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queryTables/queryTable22.xml" ContentType="application/vnd.openxmlformats-officedocument.spreadsheetml.queryTable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queryTables/queryTable23.xml" ContentType="application/vnd.openxmlformats-officedocument.spreadsheetml.queryTab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drawings/drawing2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drawings/drawing27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G:\Flow\Operations\Seattle\Quality\Contract Cutting\Operation Documents\Program Changes\"/>
    </mc:Choice>
  </mc:AlternateContent>
  <xr:revisionPtr revIDLastSave="0" documentId="13_ncr:1_{58F37672-4D3E-4860-9B1F-FB241D083557}" xr6:coauthVersionLast="43" xr6:coauthVersionMax="43" xr10:uidLastSave="{00000000-0000-0000-0000-000000000000}"/>
  <bookViews>
    <workbookView xWindow="57480" yWindow="-120" windowWidth="29040" windowHeight="16440" firstSheet="19" activeTab="19" xr2:uid="{00000000-000D-0000-FFFF-FFFF00000000}"/>
  </bookViews>
  <sheets>
    <sheet name="Settings" sheetId="83" state="hidden" r:id="rId1"/>
    <sheet name="OffsetPoints" sheetId="84" state="hidden" r:id="rId2"/>
    <sheet name="Current Values" sheetId="50" state="hidden" r:id="rId3"/>
    <sheet name="Administrative" sheetId="80" state="hidden" r:id="rId4"/>
    <sheet name="Tolerances" sheetId="13" state="hidden" r:id="rId5"/>
    <sheet name="YieldRates" sheetId="17" state="hidden" r:id="rId6"/>
    <sheet name="Counters" sheetId="65" state="hidden" r:id="rId7"/>
    <sheet name="OffsetHistory" sheetId="60" state="hidden" r:id="rId8"/>
    <sheet name="AA-4" sheetId="53" state="hidden" r:id="rId9"/>
    <sheet name="AMP1-2" sheetId="54" state="hidden" r:id="rId10"/>
    <sheet name="AMP1-4" sheetId="56" state="hidden" r:id="rId11"/>
    <sheet name="AMP1-8" sheetId="42" state="hidden" r:id="rId12"/>
    <sheet name="AMP2-2" sheetId="85" state="hidden" r:id="rId13"/>
    <sheet name="AMP2-6" sheetId="43" state="hidden" r:id="rId14"/>
    <sheet name="AMP2-8" sheetId="44" state="hidden" r:id="rId15"/>
    <sheet name="AMP3-2" sheetId="67" state="hidden" r:id="rId16"/>
    <sheet name="AMP3-4" sheetId="66" state="hidden" r:id="rId17"/>
    <sheet name="AMP4-2" sheetId="62" state="hidden" r:id="rId18"/>
    <sheet name="AMP4-4" sheetId="63" state="hidden" r:id="rId19"/>
    <sheet name="Front Page" sheetId="68" r:id="rId20"/>
    <sheet name="Manual Offset" sheetId="81" state="hidden" r:id="rId21"/>
    <sheet name="Flow Offsets" sheetId="52" r:id="rId22"/>
    <sheet name="AMP1-6" sheetId="41" state="hidden" r:id="rId23"/>
    <sheet name="AMP5-2" sheetId="58" state="hidden" r:id="rId24"/>
    <sheet name="Offset Solver" sheetId="48" state="hidden" r:id="rId25"/>
    <sheet name="AMP5-4" sheetId="47" state="hidden" r:id="rId26"/>
    <sheet name="AMP6-2" sheetId="59" state="hidden" r:id="rId27"/>
    <sheet name="AMP6-4" sheetId="45" state="hidden" r:id="rId28"/>
    <sheet name="AMP6-6" sheetId="86" state="hidden" r:id="rId29"/>
    <sheet name="AMP6-8" sheetId="87" state="hidden" r:id="rId30"/>
    <sheet name="AMP7-6" sheetId="61" state="hidden" r:id="rId31"/>
    <sheet name="AMP7-8" sheetId="46" state="hidden" r:id="rId32"/>
    <sheet name="Front Page Backup" sheetId="69" state="hidden" r:id="rId33"/>
    <sheet name="Setup" sheetId="70" state="hidden" r:id="rId34"/>
    <sheet name="Offset Plotting" sheetId="71" state="hidden" r:id="rId35"/>
    <sheet name="Nominal ORD" sheetId="72" state="hidden" r:id="rId36"/>
    <sheet name="Nominal Data" sheetId="73" state="hidden" r:id="rId37"/>
    <sheet name="Imported Offset File" sheetId="74" state="hidden" r:id="rId38"/>
    <sheet name="Offset Data" sheetId="75" state="hidden" r:id="rId39"/>
    <sheet name="New Offset File" sheetId="76" state="hidden" r:id="rId40"/>
    <sheet name="New Data" sheetId="77" state="hidden" r:id="rId41"/>
    <sheet name="New ORD" sheetId="78" state="hidden" r:id="rId42"/>
    <sheet name="Sign Conventions" sheetId="79" state="hidden" r:id="rId43"/>
  </sheets>
  <functionGroups builtInGroupCount="19"/>
  <definedNames>
    <definedName name="ExternalData_1" localSheetId="8" hidden="1">'AA-4'!$A$8:$AI$9</definedName>
    <definedName name="ExternalData_1" localSheetId="9" hidden="1">'AMP1-2'!$A$8:$AI$107</definedName>
    <definedName name="ExternalData_1" localSheetId="10" hidden="1">'AMP1-4'!$A$8:$AI$9</definedName>
    <definedName name="ExternalData_1" localSheetId="22" hidden="1">'AMP1-6'!$A$8:$AI$106</definedName>
    <definedName name="ExternalData_1" localSheetId="11" hidden="1">'AMP1-8'!$A$8:$AI$90</definedName>
    <definedName name="ExternalData_1" localSheetId="12" hidden="1">'AMP2-2'!$A$8:$AI$52</definedName>
    <definedName name="ExternalData_1" localSheetId="13" hidden="1">'AMP2-6'!$A$8:$AI$36</definedName>
    <definedName name="ExternalData_1" localSheetId="14" hidden="1">'AMP2-8'!$A$8:$AI$9</definedName>
    <definedName name="ExternalData_1" localSheetId="15" hidden="1">'AMP3-2'!$A$8:$AI$153</definedName>
    <definedName name="ExternalData_1" localSheetId="16" hidden="1">'AMP3-4'!$A$8:$AI$150</definedName>
    <definedName name="ExternalData_1" localSheetId="17" hidden="1">'AMP4-2'!$A$8:$AI$188</definedName>
    <definedName name="ExternalData_1" localSheetId="18" hidden="1">'AMP4-4'!$A$8:$AI$176</definedName>
    <definedName name="ExternalData_1" localSheetId="23" hidden="1">'AMP5-2'!$A$8:$AI$137</definedName>
    <definedName name="ExternalData_1" localSheetId="25" hidden="1">'AMP5-4'!$A$8:$AI$132</definedName>
    <definedName name="ExternalData_1" localSheetId="26" hidden="1">'AMP6-2'!$A$8:$AI$60</definedName>
    <definedName name="ExternalData_1" localSheetId="27" hidden="1">'AMP6-4'!$A$8:$AI$60</definedName>
    <definedName name="ExternalData_1" localSheetId="28" hidden="1">'AMP6-6'!$A$8:$AI$9</definedName>
    <definedName name="ExternalData_1" localSheetId="29" hidden="1">'AMP6-8'!$A$8:$AM$20</definedName>
    <definedName name="ExternalData_1" localSheetId="30" hidden="1">'AMP7-6'!$A$8:$AI$138</definedName>
    <definedName name="ExternalData_1" localSheetId="31" hidden="1">'AMP7-8'!$A$8:$AI$136</definedName>
    <definedName name="ExternalData_1" localSheetId="4" hidden="1">Tolerances!$A$8:$H$38</definedName>
    <definedName name="ExternalData_4" localSheetId="7" hidden="1">OffsetHistory!$A$1:$I$244</definedName>
    <definedName name="ExternalData_5" localSheetId="6" hidden="1">Counters!$A$1:$D$9</definedName>
    <definedName name="_xlnm.Print_Area" localSheetId="10">'AMP1-4'!$A$3</definedName>
    <definedName name="_xlnm.Print_Area" localSheetId="21">'Flow Offsets'!$B$2:$AH$52</definedName>
    <definedName name="_xlnm.Print_Area" localSheetId="20">'Manual Offset'!$B$2:$AH$53</definedName>
    <definedName name="_xlnm.Print_Area" localSheetId="24">'Offset Solver'!$A$28:$AU$117</definedName>
    <definedName name="_xlnm.Print_Area" localSheetId="5">YieldRates!$A$1</definedName>
    <definedName name="solver_adj" localSheetId="21" hidden="1">'Flow Offsets'!#REF!</definedName>
    <definedName name="solver_adj" localSheetId="19" hidden="1">'Front Page'!#REF!</definedName>
    <definedName name="solver_adj" localSheetId="20" hidden="1">'Manual Offset'!#REF!</definedName>
    <definedName name="solver_adj" localSheetId="24" hidden="1">'Offset Solver'!$AY$78:$BL$78</definedName>
    <definedName name="solver_cvg" localSheetId="21" hidden="1">0.1</definedName>
    <definedName name="solver_cvg" localSheetId="20" hidden="1">0.1</definedName>
    <definedName name="solver_cvg" localSheetId="24" hidden="1">0.1</definedName>
    <definedName name="solver_drv" localSheetId="21" hidden="1">2</definedName>
    <definedName name="solver_drv" localSheetId="20" hidden="1">2</definedName>
    <definedName name="solver_drv" localSheetId="24" hidden="1">2</definedName>
    <definedName name="solver_eng" localSheetId="11" hidden="1">1</definedName>
    <definedName name="solver_eng" localSheetId="15" hidden="1">1</definedName>
    <definedName name="solver_eng" localSheetId="16" hidden="1">1</definedName>
    <definedName name="solver_eng" localSheetId="18" hidden="1">1</definedName>
    <definedName name="solver_eng" localSheetId="21" hidden="1">1</definedName>
    <definedName name="solver_eng" localSheetId="19" hidden="1">1</definedName>
    <definedName name="solver_eng" localSheetId="20" hidden="1">1</definedName>
    <definedName name="solver_eng" localSheetId="24" hidden="1">1</definedName>
    <definedName name="solver_est" localSheetId="21" hidden="1">1</definedName>
    <definedName name="solver_est" localSheetId="20" hidden="1">1</definedName>
    <definedName name="solver_est" localSheetId="24" hidden="1">1</definedName>
    <definedName name="solver_itr" localSheetId="21" hidden="1">2147483647</definedName>
    <definedName name="solver_itr" localSheetId="20" hidden="1">2147483647</definedName>
    <definedName name="solver_itr" localSheetId="24" hidden="1">2147483647</definedName>
    <definedName name="solver_lhs0" localSheetId="21" hidden="1">'Flow Offsets'!#REF!</definedName>
    <definedName name="solver_lhs0" localSheetId="20" hidden="1">'Manual Offset'!#REF!</definedName>
    <definedName name="solver_lhs0" localSheetId="24" hidden="1">'Offset Solver'!$CA$99:$CA$101</definedName>
    <definedName name="solver_lhs1" localSheetId="21" hidden="1">'Flow Offsets'!#REF!</definedName>
    <definedName name="solver_lhs1" localSheetId="19" hidden="1">'Front Page'!#REF!</definedName>
    <definedName name="solver_lhs1" localSheetId="20" hidden="1">'Manual Offset'!#REF!</definedName>
    <definedName name="solver_lhs1" localSheetId="24" hidden="1">'Offset Solver'!$AY$78:$BL$78</definedName>
    <definedName name="solver_lhs10" localSheetId="21" hidden="1">'Flow Offsets'!#REF!</definedName>
    <definedName name="solver_lhs10" localSheetId="20" hidden="1">'Manual Offset'!#REF!</definedName>
    <definedName name="solver_lhs10" localSheetId="24" hidden="1">'Offset Solver'!$CE$90:$CE$95</definedName>
    <definedName name="solver_lhs11" localSheetId="21" hidden="1">'Flow Offsets'!#REF!</definedName>
    <definedName name="solver_lhs11" localSheetId="20" hidden="1">'Manual Offset'!#REF!</definedName>
    <definedName name="solver_lhs11" localSheetId="24" hidden="1">'Offset Solver'!$AY$78:$BL$78</definedName>
    <definedName name="solver_lhs12" localSheetId="21" hidden="1">'Flow Offsets'!#REF!</definedName>
    <definedName name="solver_lhs12" localSheetId="20" hidden="1">'Manual Offset'!#REF!</definedName>
    <definedName name="solver_lhs12" localSheetId="24" hidden="1">'Offset Solver'!$AY$78:$BL$78</definedName>
    <definedName name="solver_lhs13" localSheetId="21" hidden="1">'Flow Offsets'!#REF!</definedName>
    <definedName name="solver_lhs13" localSheetId="20" hidden="1">'Manual Offset'!#REF!</definedName>
    <definedName name="solver_lhs13" localSheetId="24" hidden="1">'Offset Solver'!$AY$78:$BL$78</definedName>
    <definedName name="solver_lhs14" localSheetId="21" hidden="1">'Flow Offsets'!#REF!</definedName>
    <definedName name="solver_lhs14" localSheetId="20" hidden="1">'Manual Offset'!#REF!</definedName>
    <definedName name="solver_lhs14" localSheetId="24" hidden="1">'Offset Solver'!#REF!</definedName>
    <definedName name="solver_lhs15" localSheetId="21" hidden="1">'Flow Offsets'!#REF!</definedName>
    <definedName name="solver_lhs15" localSheetId="20" hidden="1">'Manual Offset'!#REF!</definedName>
    <definedName name="solver_lhs15" localSheetId="24" hidden="1">'Offset Solver'!#REF!</definedName>
    <definedName name="solver_lhs16" localSheetId="21" hidden="1">'Flow Offsets'!#REF!</definedName>
    <definedName name="solver_lhs16" localSheetId="20" hidden="1">'Manual Offset'!#REF!</definedName>
    <definedName name="solver_lhs16" localSheetId="24" hidden="1">'Offset Solver'!#REF!</definedName>
    <definedName name="solver_lhs2" localSheetId="21" hidden="1">'Flow Offsets'!#REF!</definedName>
    <definedName name="solver_lhs2" localSheetId="19" hidden="1">'Front Page'!#REF!</definedName>
    <definedName name="solver_lhs2" localSheetId="20" hidden="1">'Manual Offset'!#REF!</definedName>
    <definedName name="solver_lhs2" localSheetId="24" hidden="1">'Offset Solver'!$BW$82:$BW$97</definedName>
    <definedName name="solver_lhs3" localSheetId="21" hidden="1">'Flow Offsets'!#REF!</definedName>
    <definedName name="solver_lhs3" localSheetId="19" hidden="1">'Front Page'!#REF!</definedName>
    <definedName name="solver_lhs3" localSheetId="20" hidden="1">'Manual Offset'!#REF!</definedName>
    <definedName name="solver_lhs3" localSheetId="24" hidden="1">'Offset Solver'!$CE$82:$CE$87</definedName>
    <definedName name="solver_lhs4" localSheetId="21" hidden="1">'Flow Offsets'!#REF!</definedName>
    <definedName name="solver_lhs4" localSheetId="19" hidden="1">'Front Page'!#REF!</definedName>
    <definedName name="solver_lhs4" localSheetId="20" hidden="1">'Manual Offset'!#REF!</definedName>
    <definedName name="solver_lhs4" localSheetId="24" hidden="1">'Offset Solver'!$CE$90:$CE$95</definedName>
    <definedName name="solver_lhs5" localSheetId="21" hidden="1">'Flow Offsets'!#REF!</definedName>
    <definedName name="solver_lhs5" localSheetId="19" hidden="1">'Front Page'!#REF!</definedName>
    <definedName name="solver_lhs5" localSheetId="20" hidden="1">'Manual Offset'!#REF!</definedName>
    <definedName name="solver_lhs5" localSheetId="24" hidden="1">'Offset Solver'!$CA$98:$CA$104</definedName>
    <definedName name="solver_lhs6" localSheetId="21" hidden="1">'Flow Offsets'!#REF!</definedName>
    <definedName name="solver_lhs6" localSheetId="19" hidden="1">'Front Page'!#REF!</definedName>
    <definedName name="solver_lhs6" localSheetId="20" hidden="1">'Manual Offset'!#REF!</definedName>
    <definedName name="solver_lhs6" localSheetId="24" hidden="1">'Offset Solver'!$AY$78:$BL$78</definedName>
    <definedName name="solver_lhs7" localSheetId="21" hidden="1">'Flow Offsets'!#REF!</definedName>
    <definedName name="solver_lhs7" localSheetId="19" hidden="1">'Front Page'!#REF!</definedName>
    <definedName name="solver_lhs7" localSheetId="20" hidden="1">'Manual Offset'!#REF!</definedName>
    <definedName name="solver_lhs7" localSheetId="24" hidden="1">'Offset Solver'!$AY$78:$BL$78</definedName>
    <definedName name="solver_lhs8" localSheetId="21" hidden="1">'Flow Offsets'!#REF!</definedName>
    <definedName name="solver_lhs8" localSheetId="20" hidden="1">'Manual Offset'!#REF!</definedName>
    <definedName name="solver_lhs8" localSheetId="24" hidden="1">'Offset Solver'!$CE$82:$CE$87</definedName>
    <definedName name="solver_lhs9" localSheetId="21" hidden="1">'Flow Offsets'!#REF!</definedName>
    <definedName name="solver_lhs9" localSheetId="20" hidden="1">'Manual Offset'!#REF!</definedName>
    <definedName name="solver_lhs9" localSheetId="24" hidden="1">'Offset Solver'!$CE$90:$CE$95</definedName>
    <definedName name="solver_lin" localSheetId="24" hidden="1">2</definedName>
    <definedName name="solver_mip" localSheetId="21" hidden="1">2147483647</definedName>
    <definedName name="solver_mip" localSheetId="20" hidden="1">2147483647</definedName>
    <definedName name="solver_mip" localSheetId="24" hidden="1">2147483647</definedName>
    <definedName name="solver_mni" localSheetId="21" hidden="1">30</definedName>
    <definedName name="solver_mni" localSheetId="20" hidden="1">30</definedName>
    <definedName name="solver_mni" localSheetId="24" hidden="1">30</definedName>
    <definedName name="solver_mrt" localSheetId="21" hidden="1">0.075</definedName>
    <definedName name="solver_mrt" localSheetId="20" hidden="1">0.075</definedName>
    <definedName name="solver_mrt" localSheetId="24" hidden="1">0.075</definedName>
    <definedName name="solver_msl" localSheetId="21" hidden="1">2</definedName>
    <definedName name="solver_msl" localSheetId="20" hidden="1">2</definedName>
    <definedName name="solver_msl" localSheetId="24" hidden="1">2</definedName>
    <definedName name="solver_neg" localSheetId="11" hidden="1">1</definedName>
    <definedName name="solver_neg" localSheetId="15" hidden="1">1</definedName>
    <definedName name="solver_neg" localSheetId="16" hidden="1">1</definedName>
    <definedName name="solver_neg" localSheetId="18" hidden="1">1</definedName>
    <definedName name="solver_neg" localSheetId="21" hidden="1">2</definedName>
    <definedName name="solver_neg" localSheetId="19" hidden="1">1</definedName>
    <definedName name="solver_neg" localSheetId="20" hidden="1">2</definedName>
    <definedName name="solver_neg" localSheetId="24" hidden="1">1</definedName>
    <definedName name="solver_nod" localSheetId="21" hidden="1">2147483647</definedName>
    <definedName name="solver_nod" localSheetId="20" hidden="1">2147483647</definedName>
    <definedName name="solver_nod" localSheetId="24" hidden="1">2147483647</definedName>
    <definedName name="solver_num" localSheetId="11" hidden="1">0</definedName>
    <definedName name="solver_num" localSheetId="15" hidden="1">0</definedName>
    <definedName name="solver_num" localSheetId="16" hidden="1">0</definedName>
    <definedName name="solver_num" localSheetId="18" hidden="1">0</definedName>
    <definedName name="solver_num" localSheetId="21" hidden="1">7</definedName>
    <definedName name="solver_num" localSheetId="19" hidden="1">7</definedName>
    <definedName name="solver_num" localSheetId="20" hidden="1">7</definedName>
    <definedName name="solver_num" localSheetId="24" hidden="1">7</definedName>
    <definedName name="solver_nwt" localSheetId="21" hidden="1">1</definedName>
    <definedName name="solver_nwt" localSheetId="20" hidden="1">1</definedName>
    <definedName name="solver_nwt" localSheetId="24" hidden="1">1</definedName>
    <definedName name="solver_opt" localSheetId="15" hidden="1">'AMP3-2'!$B$153</definedName>
    <definedName name="solver_opt" localSheetId="16" hidden="1">'AMP3-4'!#REF!</definedName>
    <definedName name="solver_opt" localSheetId="18" hidden="1">'AMP4-4'!#REF!</definedName>
    <definedName name="solver_opt" localSheetId="21" hidden="1">'Flow Offsets'!#REF!</definedName>
    <definedName name="solver_opt" localSheetId="19" hidden="1">'Front Page'!#REF!</definedName>
    <definedName name="solver_opt" localSheetId="20" hidden="1">'Manual Offset'!#REF!</definedName>
    <definedName name="solver_opt" localSheetId="24" hidden="1">'Offset Solver'!$BT$78</definedName>
    <definedName name="solver_pre" localSheetId="21" hidden="1">0.000001</definedName>
    <definedName name="solver_pre" localSheetId="20" hidden="1">0.000001</definedName>
    <definedName name="solver_pre" localSheetId="24" hidden="1">0.005</definedName>
    <definedName name="solver_rbv" localSheetId="21" hidden="1">2</definedName>
    <definedName name="solver_rbv" localSheetId="20" hidden="1">2</definedName>
    <definedName name="solver_rbv" localSheetId="24" hidden="1">2</definedName>
    <definedName name="solver_rel0" localSheetId="21" hidden="1">2</definedName>
    <definedName name="solver_rel0" localSheetId="20" hidden="1">2</definedName>
    <definedName name="solver_rel0" localSheetId="24" hidden="1">2</definedName>
    <definedName name="solver_rel1" localSheetId="21" hidden="1">4</definedName>
    <definedName name="solver_rel1" localSheetId="19" hidden="1">1</definedName>
    <definedName name="solver_rel1" localSheetId="20" hidden="1">4</definedName>
    <definedName name="solver_rel1" localSheetId="24" hidden="1">4</definedName>
    <definedName name="solver_rel10" localSheetId="21" hidden="1">3</definedName>
    <definedName name="solver_rel10" localSheetId="20" hidden="1">3</definedName>
    <definedName name="solver_rel10" localSheetId="24" hidden="1">1</definedName>
    <definedName name="solver_rel11" localSheetId="21" hidden="1">3</definedName>
    <definedName name="solver_rel11" localSheetId="20" hidden="1">3</definedName>
    <definedName name="solver_rel11" localSheetId="24" hidden="1">1</definedName>
    <definedName name="solver_rel12" localSheetId="21" hidden="1">3</definedName>
    <definedName name="solver_rel12" localSheetId="20" hidden="1">3</definedName>
    <definedName name="solver_rel12" localSheetId="24" hidden="1">1</definedName>
    <definedName name="solver_rel13" localSheetId="21" hidden="1">3</definedName>
    <definedName name="solver_rel13" localSheetId="20" hidden="1">3</definedName>
    <definedName name="solver_rel13" localSheetId="24" hidden="1">1</definedName>
    <definedName name="solver_rel14" localSheetId="21" hidden="1">3</definedName>
    <definedName name="solver_rel14" localSheetId="20" hidden="1">3</definedName>
    <definedName name="solver_rel14" localSheetId="24" hidden="1">3</definedName>
    <definedName name="solver_rel15" localSheetId="21" hidden="1">4</definedName>
    <definedName name="solver_rel15" localSheetId="20" hidden="1">4</definedName>
    <definedName name="solver_rel15" localSheetId="24" hidden="1">4</definedName>
    <definedName name="solver_rel16" localSheetId="21" hidden="1">3</definedName>
    <definedName name="solver_rel16" localSheetId="20" hidden="1">3</definedName>
    <definedName name="solver_rel16" localSheetId="24" hidden="1">3</definedName>
    <definedName name="solver_rel2" localSheetId="21" hidden="1">1</definedName>
    <definedName name="solver_rel2" localSheetId="19" hidden="1">3</definedName>
    <definedName name="solver_rel2" localSheetId="20" hidden="1">1</definedName>
    <definedName name="solver_rel2" localSheetId="24" hidden="1">3</definedName>
    <definedName name="solver_rel3" localSheetId="21" hidden="1">3</definedName>
    <definedName name="solver_rel3" localSheetId="19" hidden="1">4</definedName>
    <definedName name="solver_rel3" localSheetId="20" hidden="1">3</definedName>
    <definedName name="solver_rel3" localSheetId="24" hidden="1">1</definedName>
    <definedName name="solver_rel4" localSheetId="21" hidden="1">2</definedName>
    <definedName name="solver_rel4" localSheetId="19" hidden="1">2</definedName>
    <definedName name="solver_rel4" localSheetId="20" hidden="1">2</definedName>
    <definedName name="solver_rel4" localSheetId="24" hidden="1">1</definedName>
    <definedName name="solver_rel5" localSheetId="21" hidden="1">3</definedName>
    <definedName name="solver_rel5" localSheetId="19" hidden="1">3</definedName>
    <definedName name="solver_rel5" localSheetId="20" hidden="1">3</definedName>
    <definedName name="solver_rel5" localSheetId="24" hidden="1">2</definedName>
    <definedName name="solver_rel6" localSheetId="21" hidden="1">1</definedName>
    <definedName name="solver_rel6" localSheetId="19" hidden="1">1</definedName>
    <definedName name="solver_rel6" localSheetId="20" hidden="1">1</definedName>
    <definedName name="solver_rel6" localSheetId="24" hidden="1">1</definedName>
    <definedName name="solver_rel7" localSheetId="21" hidden="1">1</definedName>
    <definedName name="solver_rel7" localSheetId="19" hidden="1">1</definedName>
    <definedName name="solver_rel7" localSheetId="20" hidden="1">1</definedName>
    <definedName name="solver_rel7" localSheetId="24" hidden="1">3</definedName>
    <definedName name="solver_rel8" localSheetId="21" hidden="1">1</definedName>
    <definedName name="solver_rel8" localSheetId="20" hidden="1">1</definedName>
    <definedName name="solver_rel8" localSheetId="24" hidden="1">1</definedName>
    <definedName name="solver_rel9" localSheetId="21" hidden="1">1</definedName>
    <definedName name="solver_rel9" localSheetId="20" hidden="1">1</definedName>
    <definedName name="solver_rel9" localSheetId="24" hidden="1">1</definedName>
    <definedName name="solver_rhs0" localSheetId="21" hidden="1">'Flow Offsets'!#REF!</definedName>
    <definedName name="solver_rhs0" localSheetId="20" hidden="1">'Manual Offset'!#REF!</definedName>
    <definedName name="solver_rhs0" localSheetId="24" hidden="1">'Offset Solver'!$CC$99:$CC$101</definedName>
    <definedName name="solver_rhs1" localSheetId="21" hidden="1">integer</definedName>
    <definedName name="solver_rhs1" localSheetId="19" hidden="1">'Front Page'!#REF!</definedName>
    <definedName name="solver_rhs1" localSheetId="20" hidden="1">integer</definedName>
    <definedName name="solver_rhs1" localSheetId="24" hidden="1">integer</definedName>
    <definedName name="solver_rhs10" localSheetId="21" hidden="1">'Flow Offsets'!#REF!</definedName>
    <definedName name="solver_rhs10" localSheetId="20" hidden="1">'Manual Offset'!#REF!</definedName>
    <definedName name="solver_rhs10" localSheetId="24" hidden="1">'Offset Solver'!$CG$90:$CG$95</definedName>
    <definedName name="solver_rhs11" localSheetId="21" hidden="1">'Flow Offsets'!#REF!</definedName>
    <definedName name="solver_rhs11" localSheetId="20" hidden="1">'Manual Offset'!#REF!</definedName>
    <definedName name="solver_rhs11" localSheetId="24" hidden="1">'Offset Solver'!$AY$106:$BL$106</definedName>
    <definedName name="solver_rhs12" localSheetId="21" hidden="1">'Flow Offsets'!#REF!</definedName>
    <definedName name="solver_rhs12" localSheetId="20" hidden="1">'Manual Offset'!#REF!</definedName>
    <definedName name="solver_rhs12" localSheetId="24" hidden="1">'Offset Solver'!$AY$106:$BL$106</definedName>
    <definedName name="solver_rhs13" localSheetId="21" hidden="1">'Flow Offsets'!#REF!</definedName>
    <definedName name="solver_rhs13" localSheetId="20" hidden="1">'Manual Offset'!#REF!</definedName>
    <definedName name="solver_rhs13" localSheetId="24" hidden="1">'Offset Solver'!$AY$106:$BL$106</definedName>
    <definedName name="solver_rhs14" localSheetId="21" hidden="1">'Flow Offsets'!#REF!</definedName>
    <definedName name="solver_rhs14" localSheetId="20" hidden="1">'Manual Offset'!#REF!</definedName>
    <definedName name="solver_rhs14" localSheetId="24" hidden="1">'Offset Solver'!#REF!</definedName>
    <definedName name="solver_rhs15" localSheetId="21" hidden="1">integer</definedName>
    <definedName name="solver_rhs15" localSheetId="20" hidden="1">integer</definedName>
    <definedName name="solver_rhs15" localSheetId="24" hidden="1">integer</definedName>
    <definedName name="solver_rhs16" localSheetId="21" hidden="1">0</definedName>
    <definedName name="solver_rhs16" localSheetId="20" hidden="1">0</definedName>
    <definedName name="solver_rhs16" localSheetId="24" hidden="1">0</definedName>
    <definedName name="solver_rhs2" localSheetId="21" hidden="1">'Flow Offsets'!#REF!</definedName>
    <definedName name="solver_rhs2" localSheetId="19" hidden="1">'Front Page'!#REF!</definedName>
    <definedName name="solver_rhs2" localSheetId="20" hidden="1">'Manual Offset'!#REF!</definedName>
    <definedName name="solver_rhs2" localSheetId="24" hidden="1">'Offset Solver'!$BY$82:$BY$97</definedName>
    <definedName name="solver_rhs3" localSheetId="21" hidden="1">'Flow Offsets'!#REF!</definedName>
    <definedName name="solver_rhs3" localSheetId="19" hidden="1">integer</definedName>
    <definedName name="solver_rhs3" localSheetId="20" hidden="1">'Manual Offset'!#REF!</definedName>
    <definedName name="solver_rhs3" localSheetId="24" hidden="1">'Offset Solver'!$CG$82:$CG$87</definedName>
    <definedName name="solver_rhs4" localSheetId="21" hidden="1">'Flow Offsets'!#REF!</definedName>
    <definedName name="solver_rhs4" localSheetId="19" hidden="1">'Front Page'!#REF!</definedName>
    <definedName name="solver_rhs4" localSheetId="20" hidden="1">'Manual Offset'!#REF!</definedName>
    <definedName name="solver_rhs4" localSheetId="24" hidden="1">'Offset Solver'!$CG$90:$CG$95</definedName>
    <definedName name="solver_rhs5" localSheetId="21" hidden="1">'Flow Offsets'!#REF!</definedName>
    <definedName name="solver_rhs5" localSheetId="19" hidden="1">'Front Page'!#REF!</definedName>
    <definedName name="solver_rhs5" localSheetId="20" hidden="1">'Manual Offset'!#REF!</definedName>
    <definedName name="solver_rhs5" localSheetId="24" hidden="1">'Offset Solver'!$CC$98:$CC$104</definedName>
    <definedName name="solver_rhs6" localSheetId="21" hidden="1">'Flow Offsets'!#REF!</definedName>
    <definedName name="solver_rhs6" localSheetId="19" hidden="1">'Front Page'!#REF!</definedName>
    <definedName name="solver_rhs6" localSheetId="20" hidden="1">'Manual Offset'!#REF!</definedName>
    <definedName name="solver_rhs6" localSheetId="24" hidden="1">'Offset Solver'!$AY$106:$BL$106</definedName>
    <definedName name="solver_rhs7" localSheetId="21" hidden="1">'Flow Offsets'!#REF!</definedName>
    <definedName name="solver_rhs7" localSheetId="19" hidden="1">'Front Page'!#REF!</definedName>
    <definedName name="solver_rhs7" localSheetId="20" hidden="1">'Manual Offset'!#REF!</definedName>
    <definedName name="solver_rhs7" localSheetId="24" hidden="1">'Offset Solver'!$AY$105:$BL$105</definedName>
    <definedName name="solver_rhs8" localSheetId="21" hidden="1">'Flow Offsets'!#REF!</definedName>
    <definedName name="solver_rhs8" localSheetId="20" hidden="1">'Manual Offset'!#REF!</definedName>
    <definedName name="solver_rhs8" localSheetId="24" hidden="1">'Offset Solver'!$CG$82:$CG$87</definedName>
    <definedName name="solver_rhs9" localSheetId="21" hidden="1">'Flow Offsets'!#REF!</definedName>
    <definedName name="solver_rhs9" localSheetId="20" hidden="1">'Manual Offset'!#REF!</definedName>
    <definedName name="solver_rhs9" localSheetId="24" hidden="1">'Offset Solver'!$CG$90:$CG$95</definedName>
    <definedName name="solver_rlx" localSheetId="21" hidden="1">2</definedName>
    <definedName name="solver_rlx" localSheetId="20" hidden="1">2</definedName>
    <definedName name="solver_rlx" localSheetId="24" hidden="1">2</definedName>
    <definedName name="solver_rsd" localSheetId="21" hidden="1">0</definedName>
    <definedName name="solver_rsd" localSheetId="20" hidden="1">0</definedName>
    <definedName name="solver_rsd" localSheetId="24" hidden="1">0</definedName>
    <definedName name="solver_scl" localSheetId="21" hidden="1">1</definedName>
    <definedName name="solver_scl" localSheetId="20" hidden="1">1</definedName>
    <definedName name="solver_scl" localSheetId="24" hidden="1">1</definedName>
    <definedName name="solver_sho" localSheetId="21" hidden="1">2</definedName>
    <definedName name="solver_sho" localSheetId="20" hidden="1">2</definedName>
    <definedName name="solver_sho" localSheetId="24" hidden="1">2</definedName>
    <definedName name="solver_ssz" localSheetId="21" hidden="1">1000</definedName>
    <definedName name="solver_ssz" localSheetId="20" hidden="1">1000</definedName>
    <definedName name="solver_ssz" localSheetId="24" hidden="1">0</definedName>
    <definedName name="solver_tim" localSheetId="21" hidden="1">2147483647</definedName>
    <definedName name="solver_tim" localSheetId="20" hidden="1">2147483647</definedName>
    <definedName name="solver_tim" localSheetId="24" hidden="1">2147483647</definedName>
    <definedName name="solver_tol" localSheetId="21" hidden="1">0</definedName>
    <definedName name="solver_tol" localSheetId="20" hidden="1">0</definedName>
    <definedName name="solver_tol" localSheetId="24" hidden="1">0</definedName>
    <definedName name="solver_typ" localSheetId="11" hidden="1">1</definedName>
    <definedName name="solver_typ" localSheetId="15" hidden="1">1</definedName>
    <definedName name="solver_typ" localSheetId="16" hidden="1">1</definedName>
    <definedName name="solver_typ" localSheetId="18" hidden="1">1</definedName>
    <definedName name="solver_typ" localSheetId="21" hidden="1">2</definedName>
    <definedName name="solver_typ" localSheetId="19" hidden="1">2</definedName>
    <definedName name="solver_typ" localSheetId="20" hidden="1">2</definedName>
    <definedName name="solver_typ" localSheetId="24" hidden="1">2</definedName>
    <definedName name="solver_val" localSheetId="11" hidden="1">0</definedName>
    <definedName name="solver_val" localSheetId="15" hidden="1">0</definedName>
    <definedName name="solver_val" localSheetId="16" hidden="1">0</definedName>
    <definedName name="solver_val" localSheetId="18" hidden="1">0</definedName>
    <definedName name="solver_val" localSheetId="21" hidden="1">0</definedName>
    <definedName name="solver_val" localSheetId="19" hidden="1">0</definedName>
    <definedName name="solver_val" localSheetId="20" hidden="1">0</definedName>
    <definedName name="solver_val" localSheetId="24" hidden="1">0</definedName>
    <definedName name="solver_ver" localSheetId="11" hidden="1">3</definedName>
    <definedName name="solver_ver" localSheetId="15" hidden="1">3</definedName>
    <definedName name="solver_ver" localSheetId="16" hidden="1">3</definedName>
    <definedName name="solver_ver" localSheetId="18" hidden="1">3</definedName>
    <definedName name="solver_ver" localSheetId="21" hidden="1">3</definedName>
    <definedName name="solver_ver" localSheetId="19" hidden="1">3</definedName>
    <definedName name="solver_ver" localSheetId="20" hidden="1">3</definedName>
    <definedName name="solver_ver" localSheetId="2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58" l="1" a="1"/>
  <c r="E9" i="58" s="1"/>
  <c r="E10" i="58" a="1"/>
  <c r="E10" i="58" s="1"/>
  <c r="E11" i="58" a="1"/>
  <c r="E11" i="58" s="1"/>
  <c r="E12" i="58" a="1"/>
  <c r="E12" i="58" s="1"/>
  <c r="E13" i="58" a="1"/>
  <c r="E13" i="58" s="1"/>
  <c r="E14" i="58" a="1"/>
  <c r="E14" i="58" s="1"/>
  <c r="E15" i="58" a="1"/>
  <c r="E15" i="58" s="1"/>
  <c r="E16" i="58" a="1"/>
  <c r="E16" i="58" s="1"/>
  <c r="E17" i="58" a="1"/>
  <c r="E17" i="58" s="1"/>
  <c r="E18" i="58" a="1"/>
  <c r="E18" i="58" s="1"/>
  <c r="E19" i="58" a="1"/>
  <c r="E19" i="58" s="1"/>
  <c r="E20" i="58" a="1"/>
  <c r="E20" i="58" s="1"/>
  <c r="E21" i="58" a="1"/>
  <c r="E21" i="58" s="1"/>
  <c r="E22" i="58" a="1"/>
  <c r="E22" i="58" s="1"/>
  <c r="E23" i="58" a="1"/>
  <c r="E23" i="58" s="1"/>
  <c r="E24" i="58" a="1"/>
  <c r="E24" i="58" s="1"/>
  <c r="E25" i="58" a="1"/>
  <c r="E25" i="58" s="1"/>
  <c r="E26" i="58" a="1"/>
  <c r="E26" i="58" s="1"/>
  <c r="E27" i="58" a="1"/>
  <c r="E27" i="58" s="1"/>
  <c r="E28" i="58" a="1"/>
  <c r="E28" i="58" s="1"/>
  <c r="E29" i="58" a="1"/>
  <c r="E29" i="58" s="1"/>
  <c r="E30" i="58" a="1"/>
  <c r="E30" i="58" s="1"/>
  <c r="E31" i="58" a="1"/>
  <c r="E31" i="58" s="1"/>
  <c r="E32" i="58" a="1"/>
  <c r="E32" i="58" s="1"/>
  <c r="E33" i="58" a="1"/>
  <c r="E33" i="58" s="1"/>
  <c r="E34" i="58" a="1"/>
  <c r="E34" i="58" s="1"/>
  <c r="E35" i="58" a="1"/>
  <c r="E35" i="58" s="1"/>
  <c r="E36" i="58" a="1"/>
  <c r="E36" i="58" s="1"/>
  <c r="E37" i="58" a="1"/>
  <c r="E37" i="58" s="1"/>
  <c r="E38" i="58" a="1"/>
  <c r="E38" i="58" s="1"/>
  <c r="E39" i="58" a="1"/>
  <c r="E39" i="58" s="1"/>
  <c r="E40" i="58" a="1"/>
  <c r="E40" i="58" s="1"/>
  <c r="E41" i="58" a="1"/>
  <c r="E41" i="58" s="1"/>
  <c r="E42" i="58" a="1"/>
  <c r="E42" i="58" s="1"/>
  <c r="E43" i="58" a="1"/>
  <c r="E43" i="58" s="1"/>
  <c r="E44" i="58" a="1"/>
  <c r="E44" i="58" s="1"/>
  <c r="E45" i="58" a="1"/>
  <c r="E45" i="58" s="1"/>
  <c r="E46" i="58" a="1"/>
  <c r="E46" i="58" s="1"/>
  <c r="E47" i="58" a="1"/>
  <c r="E47" i="58" s="1"/>
  <c r="E48" i="58" a="1"/>
  <c r="E48" i="58" s="1"/>
  <c r="E49" i="58" a="1"/>
  <c r="E49" i="58" s="1"/>
  <c r="E50" i="58" a="1"/>
  <c r="E50" i="58" s="1"/>
  <c r="E51" i="58" a="1"/>
  <c r="E51" i="58" s="1"/>
  <c r="E52" i="58" a="1"/>
  <c r="E52" i="58" s="1"/>
  <c r="E53" i="58" a="1"/>
  <c r="E53" i="58" s="1"/>
  <c r="E54" i="58" a="1"/>
  <c r="E54" i="58" s="1"/>
  <c r="E55" i="58" a="1"/>
  <c r="E55" i="58" s="1"/>
  <c r="E56" i="58" a="1"/>
  <c r="E56" i="58" s="1"/>
  <c r="E57" i="58" a="1"/>
  <c r="E57" i="58" s="1"/>
  <c r="E58" i="58" a="1"/>
  <c r="E58" i="58" s="1"/>
  <c r="E59" i="58" a="1"/>
  <c r="E59" i="58" s="1"/>
  <c r="E60" i="58" a="1"/>
  <c r="E60" i="58" s="1"/>
  <c r="E61" i="58" a="1"/>
  <c r="E61" i="58" s="1"/>
  <c r="E62" i="58" a="1"/>
  <c r="E62" i="58" s="1"/>
  <c r="E63" i="58" a="1"/>
  <c r="E63" i="58" s="1"/>
  <c r="E64" i="58" a="1"/>
  <c r="E64" i="58" s="1"/>
  <c r="E65" i="58" a="1"/>
  <c r="E65" i="58" s="1"/>
  <c r="E66" i="58" a="1"/>
  <c r="E66" i="58" s="1"/>
  <c r="E67" i="58" a="1"/>
  <c r="E67" i="58" s="1"/>
  <c r="E68" i="58" a="1"/>
  <c r="E68" i="58" s="1"/>
  <c r="E69" i="58" a="1"/>
  <c r="E69" i="58" s="1"/>
  <c r="E70" i="58" a="1"/>
  <c r="E70" i="58" s="1"/>
  <c r="E71" i="58" a="1"/>
  <c r="E71" i="58" s="1"/>
  <c r="E72" i="58" a="1"/>
  <c r="E72" i="58" s="1"/>
  <c r="E73" i="58" a="1"/>
  <c r="E73" i="58" s="1"/>
  <c r="E74" i="58" a="1"/>
  <c r="E74" i="58" s="1"/>
  <c r="E75" i="58" a="1"/>
  <c r="E75" i="58" s="1"/>
  <c r="E76" i="58" a="1"/>
  <c r="E76" i="58" s="1"/>
  <c r="E77" i="58" a="1"/>
  <c r="E77" i="58" s="1"/>
  <c r="E78" i="58" a="1"/>
  <c r="E78" i="58" s="1"/>
  <c r="E79" i="58" a="1"/>
  <c r="E79" i="58" s="1"/>
  <c r="E80" i="58" a="1"/>
  <c r="E80" i="58" s="1"/>
  <c r="E81" i="58" a="1"/>
  <c r="E81" i="58" s="1"/>
  <c r="E82" i="58" a="1"/>
  <c r="E82" i="58" s="1"/>
  <c r="E83" i="58" a="1"/>
  <c r="E83" i="58" s="1"/>
  <c r="E84" i="58" a="1"/>
  <c r="E84" i="58" s="1"/>
  <c r="E85" i="58" a="1"/>
  <c r="E85" i="58" s="1"/>
  <c r="E86" i="58" a="1"/>
  <c r="E86" i="58" s="1"/>
  <c r="E87" i="58" a="1"/>
  <c r="E87" i="58" s="1"/>
  <c r="E88" i="58" a="1"/>
  <c r="E88" i="58" s="1"/>
  <c r="E89" i="58" a="1"/>
  <c r="E89" i="58" s="1"/>
  <c r="E90" i="58" a="1"/>
  <c r="E90" i="58" s="1"/>
  <c r="E91" i="58" a="1"/>
  <c r="E91" i="58" s="1"/>
  <c r="E92" i="58" a="1"/>
  <c r="E92" i="58" s="1"/>
  <c r="E93" i="58" a="1"/>
  <c r="E93" i="58" s="1"/>
  <c r="E94" i="58" a="1"/>
  <c r="E94" i="58" s="1"/>
  <c r="E95" i="58" a="1"/>
  <c r="E95" i="58" s="1"/>
  <c r="E96" i="58" a="1"/>
  <c r="E96" i="58" s="1"/>
  <c r="E97" i="58" a="1"/>
  <c r="E97" i="58" s="1"/>
  <c r="E98" i="58" a="1"/>
  <c r="E98" i="58" s="1"/>
  <c r="E99" i="58" a="1"/>
  <c r="E99" i="58" s="1"/>
  <c r="E100" i="58" a="1"/>
  <c r="E100" i="58" s="1"/>
  <c r="E101" i="58" a="1"/>
  <c r="E101" i="58" s="1"/>
  <c r="E102" i="58" a="1"/>
  <c r="E102" i="58" s="1"/>
  <c r="E103" i="58" a="1"/>
  <c r="E103" i="58" s="1"/>
  <c r="E104" i="58" a="1"/>
  <c r="E104" i="58" s="1"/>
  <c r="E105" i="58" a="1"/>
  <c r="E105" i="58" s="1"/>
  <c r="E106" i="58" a="1"/>
  <c r="E106" i="58" s="1"/>
  <c r="E107" i="58" a="1"/>
  <c r="E107" i="58" s="1"/>
  <c r="E108" i="58" a="1"/>
  <c r="E108" i="58" s="1"/>
  <c r="E109" i="58" a="1"/>
  <c r="E109" i="58" s="1"/>
  <c r="E110" i="58" a="1"/>
  <c r="E110" i="58" s="1"/>
  <c r="E111" i="58" a="1"/>
  <c r="E111" i="58" s="1"/>
  <c r="E112" i="58" a="1"/>
  <c r="E112" i="58" s="1"/>
  <c r="E113" i="58" a="1"/>
  <c r="E113" i="58" s="1"/>
  <c r="E114" i="58" a="1"/>
  <c r="E114" i="58" s="1"/>
  <c r="E115" i="58" a="1"/>
  <c r="E115" i="58" s="1"/>
  <c r="E116" i="58" a="1"/>
  <c r="E116" i="58" s="1"/>
  <c r="E117" i="58" a="1"/>
  <c r="E117" i="58" s="1"/>
  <c r="E118" i="58" a="1"/>
  <c r="E118" i="58" s="1"/>
  <c r="E119" i="58" a="1"/>
  <c r="E119" i="58" s="1"/>
  <c r="E120" i="58" a="1"/>
  <c r="E120" i="58" s="1"/>
  <c r="E121" i="58" a="1"/>
  <c r="E121" i="58" s="1"/>
  <c r="E122" i="58" a="1"/>
  <c r="E122" i="58" s="1"/>
  <c r="E123" i="58" a="1"/>
  <c r="E123" i="58" s="1"/>
  <c r="E124" i="58" a="1"/>
  <c r="E124" i="58" s="1"/>
  <c r="E125" i="58" a="1"/>
  <c r="E125" i="58" s="1"/>
  <c r="E126" i="58" a="1"/>
  <c r="E126" i="58" s="1"/>
  <c r="E127" i="58" a="1"/>
  <c r="E127" i="58" s="1"/>
  <c r="E128" i="58" a="1"/>
  <c r="E128" i="58" s="1"/>
  <c r="E129" i="58" a="1"/>
  <c r="E129" i="58" s="1"/>
  <c r="E130" i="58" a="1"/>
  <c r="E130" i="58" s="1"/>
  <c r="E131" i="58" a="1"/>
  <c r="E131" i="58" s="1"/>
  <c r="E132" i="58" a="1"/>
  <c r="E132" i="58" s="1"/>
  <c r="E133" i="58" a="1"/>
  <c r="E133" i="58" s="1"/>
  <c r="E134" i="58" a="1"/>
  <c r="E134" i="58" s="1"/>
  <c r="E135" i="58" a="1"/>
  <c r="E135" i="58" s="1"/>
  <c r="E136" i="58" a="1"/>
  <c r="E136" i="58" s="1"/>
  <c r="E137" i="58" a="1"/>
  <c r="E137" i="58" s="1"/>
  <c r="E9" i="43" a="1"/>
  <c r="E9" i="43" s="1"/>
  <c r="E10" i="43" a="1"/>
  <c r="E10" i="43" s="1"/>
  <c r="E11" i="43" a="1"/>
  <c r="E11" i="43" s="1"/>
  <c r="E12" i="43" a="1"/>
  <c r="E12" i="43" s="1"/>
  <c r="E13" i="43" a="1"/>
  <c r="E13" i="43" s="1"/>
  <c r="E14" i="43" a="1"/>
  <c r="E14" i="43" s="1"/>
  <c r="E15" i="43" a="1"/>
  <c r="E15" i="43" s="1"/>
  <c r="E16" i="43" a="1"/>
  <c r="E16" i="43" s="1"/>
  <c r="E17" i="43" a="1"/>
  <c r="E17" i="43" s="1"/>
  <c r="E18" i="43" a="1"/>
  <c r="E18" i="43" s="1"/>
  <c r="E19" i="43" a="1"/>
  <c r="E19" i="43" s="1"/>
  <c r="E20" i="43" a="1"/>
  <c r="E20" i="43" s="1"/>
  <c r="E21" i="43" a="1"/>
  <c r="E21" i="43" s="1"/>
  <c r="E22" i="43" a="1"/>
  <c r="E22" i="43" s="1"/>
  <c r="E23" i="43" a="1"/>
  <c r="E23" i="43" s="1"/>
  <c r="E24" i="43" a="1"/>
  <c r="E24" i="43" s="1"/>
  <c r="E25" i="43" a="1"/>
  <c r="E25" i="43" s="1"/>
  <c r="E26" i="43" a="1"/>
  <c r="E26" i="43" s="1"/>
  <c r="E27" i="43" a="1"/>
  <c r="E27" i="43" s="1"/>
  <c r="E28" i="43" a="1"/>
  <c r="E28" i="43" s="1"/>
  <c r="E29" i="43" a="1"/>
  <c r="E29" i="43" s="1"/>
  <c r="E30" i="43" a="1"/>
  <c r="E30" i="43" s="1"/>
  <c r="E31" i="43" a="1"/>
  <c r="E31" i="43" s="1"/>
  <c r="E32" i="43" a="1"/>
  <c r="E32" i="43" s="1"/>
  <c r="E33" i="43" a="1"/>
  <c r="E33" i="43" s="1"/>
  <c r="E34" i="43" a="1"/>
  <c r="E34" i="43" s="1"/>
  <c r="E35" i="43" a="1"/>
  <c r="E35" i="43" s="1"/>
  <c r="E36" i="43" a="1"/>
  <c r="E36" i="43" s="1"/>
  <c r="E9" i="85" a="1"/>
  <c r="E9" i="85" s="1"/>
  <c r="E10" i="85" a="1"/>
  <c r="E10" i="85" s="1"/>
  <c r="E11" i="85" a="1"/>
  <c r="E11" i="85" s="1"/>
  <c r="E12" i="85" a="1"/>
  <c r="E12" i="85" s="1"/>
  <c r="E13" i="85" a="1"/>
  <c r="E13" i="85" s="1"/>
  <c r="E14" i="85" a="1"/>
  <c r="E14" i="85" s="1"/>
  <c r="E15" i="85" a="1"/>
  <c r="E15" i="85" s="1"/>
  <c r="E16" i="85" a="1"/>
  <c r="E16" i="85" s="1"/>
  <c r="E17" i="85" a="1"/>
  <c r="E17" i="85" s="1"/>
  <c r="E18" i="85" a="1"/>
  <c r="E18" i="85" s="1"/>
  <c r="E19" i="85" a="1"/>
  <c r="E19" i="85" s="1"/>
  <c r="E20" i="85" a="1"/>
  <c r="E20" i="85" s="1"/>
  <c r="E21" i="85" a="1"/>
  <c r="E21" i="85" s="1"/>
  <c r="E22" i="85" a="1"/>
  <c r="E22" i="85" s="1"/>
  <c r="E23" i="85" a="1"/>
  <c r="E23" i="85" s="1"/>
  <c r="E24" i="85" a="1"/>
  <c r="E24" i="85" s="1"/>
  <c r="E25" i="85" a="1"/>
  <c r="E25" i="85" s="1"/>
  <c r="E26" i="85" a="1"/>
  <c r="E26" i="85" s="1"/>
  <c r="E27" i="85" a="1"/>
  <c r="E27" i="85" s="1"/>
  <c r="E28" i="85" a="1"/>
  <c r="E28" i="85" s="1"/>
  <c r="E29" i="85" a="1"/>
  <c r="E29" i="85" s="1"/>
  <c r="E30" i="85" a="1"/>
  <c r="E30" i="85" s="1"/>
  <c r="E31" i="85" a="1"/>
  <c r="E31" i="85" s="1"/>
  <c r="E32" i="85" a="1"/>
  <c r="E32" i="85" s="1"/>
  <c r="E33" i="85" a="1"/>
  <c r="E33" i="85" s="1"/>
  <c r="E34" i="85" a="1"/>
  <c r="E34" i="85" s="1"/>
  <c r="E35" i="85" a="1"/>
  <c r="E35" i="85" s="1"/>
  <c r="E36" i="85" a="1"/>
  <c r="E36" i="85" s="1"/>
  <c r="E37" i="85" a="1"/>
  <c r="E37" i="85" s="1"/>
  <c r="E38" i="85" a="1"/>
  <c r="E38" i="85" s="1"/>
  <c r="E39" i="85" a="1"/>
  <c r="E39" i="85" s="1"/>
  <c r="E40" i="85" a="1"/>
  <c r="E40" i="85" s="1"/>
  <c r="E41" i="85" a="1"/>
  <c r="E41" i="85" s="1"/>
  <c r="E42" i="85" a="1"/>
  <c r="E42" i="85" s="1"/>
  <c r="E43" i="85" a="1"/>
  <c r="E43" i="85" s="1"/>
  <c r="E44" i="85" a="1"/>
  <c r="E44" i="85" s="1"/>
  <c r="E45" i="85" a="1"/>
  <c r="E45" i="85" s="1"/>
  <c r="E46" i="85" a="1"/>
  <c r="E46" i="85" s="1"/>
  <c r="E47" i="85" a="1"/>
  <c r="E47" i="85" s="1"/>
  <c r="E48" i="85" a="1"/>
  <c r="E48" i="85" s="1"/>
  <c r="E49" i="85" a="1"/>
  <c r="E49" i="85" s="1"/>
  <c r="E50" i="85" a="1"/>
  <c r="E50" i="85" s="1"/>
  <c r="E51" i="85" a="1"/>
  <c r="E51" i="85" s="1"/>
  <c r="E52" i="85" a="1"/>
  <c r="E52" i="85" s="1"/>
  <c r="O24" i="68" l="1"/>
  <c r="M24" i="68"/>
  <c r="N24" i="68" s="1"/>
  <c r="D37" i="48" l="1"/>
  <c r="AI5" i="87" l="1"/>
  <c r="AH5" i="87"/>
  <c r="AG5" i="87"/>
  <c r="AF5" i="87"/>
  <c r="AE5" i="87"/>
  <c r="AD5" i="87"/>
  <c r="AC5" i="87"/>
  <c r="AB5" i="87"/>
  <c r="AA5" i="87"/>
  <c r="Z5" i="87"/>
  <c r="Y5" i="87"/>
  <c r="X5" i="87"/>
  <c r="W5" i="87"/>
  <c r="V5" i="87"/>
  <c r="U5" i="87"/>
  <c r="T5" i="87"/>
  <c r="S5" i="87"/>
  <c r="R5" i="87"/>
  <c r="Q5" i="87"/>
  <c r="P5" i="87"/>
  <c r="O5" i="87"/>
  <c r="N5" i="87"/>
  <c r="M5" i="87"/>
  <c r="L5" i="87"/>
  <c r="K5" i="87"/>
  <c r="J5" i="87"/>
  <c r="I5" i="87"/>
  <c r="H5" i="87"/>
  <c r="G5" i="87"/>
  <c r="F5" i="87"/>
  <c r="AI4" i="87"/>
  <c r="AH4" i="87"/>
  <c r="AG4" i="87"/>
  <c r="AF4" i="87"/>
  <c r="AE4" i="87"/>
  <c r="AD4" i="87"/>
  <c r="AC4" i="87"/>
  <c r="AB4" i="87"/>
  <c r="AA4" i="87"/>
  <c r="Z4" i="87"/>
  <c r="Y4" i="87"/>
  <c r="X4" i="87"/>
  <c r="W4" i="87"/>
  <c r="V4" i="87"/>
  <c r="U4" i="87"/>
  <c r="T4" i="87"/>
  <c r="S4" i="87"/>
  <c r="R4" i="87"/>
  <c r="Q4" i="87"/>
  <c r="P4" i="87"/>
  <c r="O4" i="87"/>
  <c r="N4" i="87"/>
  <c r="M4" i="87"/>
  <c r="L4" i="87"/>
  <c r="K4" i="87"/>
  <c r="J4" i="87"/>
  <c r="I4" i="87"/>
  <c r="H4" i="87"/>
  <c r="G4" i="87"/>
  <c r="F4" i="87"/>
  <c r="AI3" i="87"/>
  <c r="AH3" i="87"/>
  <c r="AG3" i="87"/>
  <c r="AF3" i="87"/>
  <c r="AE3" i="87"/>
  <c r="AD3" i="87"/>
  <c r="AC3" i="87"/>
  <c r="AB3" i="87"/>
  <c r="AA3" i="87"/>
  <c r="Z3" i="87"/>
  <c r="Y3" i="87"/>
  <c r="X3" i="87"/>
  <c r="W3" i="87"/>
  <c r="V3" i="87"/>
  <c r="U3" i="87"/>
  <c r="T3" i="87"/>
  <c r="S3" i="87"/>
  <c r="R3" i="87"/>
  <c r="Q3" i="87"/>
  <c r="P3" i="87"/>
  <c r="O3" i="87"/>
  <c r="N3" i="87"/>
  <c r="M3" i="87"/>
  <c r="L3" i="87"/>
  <c r="K3" i="87"/>
  <c r="J3" i="87"/>
  <c r="I3" i="87"/>
  <c r="H3" i="87"/>
  <c r="G3" i="87"/>
  <c r="F3" i="87"/>
  <c r="C2" i="87"/>
  <c r="A2" i="87"/>
  <c r="C1" i="87"/>
  <c r="AI5" i="86"/>
  <c r="AH5" i="86"/>
  <c r="AG5" i="86"/>
  <c r="AF5" i="86"/>
  <c r="AE5" i="86"/>
  <c r="AD5" i="86"/>
  <c r="AC5" i="86"/>
  <c r="AB5" i="86"/>
  <c r="AA5" i="86"/>
  <c r="Z5" i="86"/>
  <c r="Y5" i="86"/>
  <c r="X5" i="86"/>
  <c r="W5" i="86"/>
  <c r="V5" i="86"/>
  <c r="U5" i="86"/>
  <c r="T5" i="86"/>
  <c r="S5" i="86"/>
  <c r="R5" i="86"/>
  <c r="Q5" i="86"/>
  <c r="P5" i="86"/>
  <c r="O5" i="86"/>
  <c r="N5" i="86"/>
  <c r="M5" i="86"/>
  <c r="L5" i="86"/>
  <c r="K5" i="86"/>
  <c r="J5" i="86"/>
  <c r="I5" i="86"/>
  <c r="H5" i="86"/>
  <c r="G5" i="86"/>
  <c r="F5" i="86"/>
  <c r="AI4" i="86"/>
  <c r="AH4" i="86"/>
  <c r="AG4" i="86"/>
  <c r="AF4" i="86"/>
  <c r="AE4" i="86"/>
  <c r="AD4" i="86"/>
  <c r="AC4" i="86"/>
  <c r="AB4" i="86"/>
  <c r="AA4" i="86"/>
  <c r="Z4" i="86"/>
  <c r="Y4" i="86"/>
  <c r="X4" i="86"/>
  <c r="W4" i="86"/>
  <c r="V4" i="86"/>
  <c r="U4" i="86"/>
  <c r="T4" i="86"/>
  <c r="S4" i="86"/>
  <c r="R4" i="86"/>
  <c r="Q4" i="86"/>
  <c r="P4" i="86"/>
  <c r="O4" i="86"/>
  <c r="N4" i="86"/>
  <c r="M4" i="86"/>
  <c r="L4" i="86"/>
  <c r="K4" i="86"/>
  <c r="J4" i="86"/>
  <c r="I4" i="86"/>
  <c r="H4" i="86"/>
  <c r="G4" i="86"/>
  <c r="F4" i="86"/>
  <c r="AI3" i="86"/>
  <c r="AH3" i="86"/>
  <c r="AG3" i="86"/>
  <c r="AF3" i="86"/>
  <c r="AE3" i="86"/>
  <c r="AD3" i="86"/>
  <c r="AC3" i="86"/>
  <c r="AB3" i="86"/>
  <c r="AA3" i="86"/>
  <c r="Z3" i="86"/>
  <c r="Y3" i="86"/>
  <c r="X3" i="86"/>
  <c r="W3" i="86"/>
  <c r="V3" i="86"/>
  <c r="U3" i="86"/>
  <c r="T3" i="86"/>
  <c r="S3" i="86"/>
  <c r="R3" i="86"/>
  <c r="Q3" i="86"/>
  <c r="P3" i="86"/>
  <c r="O3" i="86"/>
  <c r="N3" i="86"/>
  <c r="M3" i="86"/>
  <c r="L3" i="86"/>
  <c r="K3" i="86"/>
  <c r="J3" i="86"/>
  <c r="I3" i="86"/>
  <c r="H3" i="86"/>
  <c r="G3" i="86"/>
  <c r="F3" i="86"/>
  <c r="C2" i="86"/>
  <c r="A2" i="86"/>
  <c r="C1" i="86"/>
  <c r="F67" i="50"/>
  <c r="F68" i="50"/>
  <c r="E9" i="87" l="1" a="1"/>
  <c r="E9" i="87" s="1"/>
  <c r="E13" i="87" a="1"/>
  <c r="E13" i="87" s="1"/>
  <c r="E17" i="87" a="1"/>
  <c r="E17" i="87" s="1"/>
  <c r="E19" i="87" a="1"/>
  <c r="E19" i="87" s="1"/>
  <c r="E12" i="87" a="1"/>
  <c r="E12" i="87" s="1"/>
  <c r="E16" i="87" a="1"/>
  <c r="E16" i="87" s="1"/>
  <c r="K24" i="68" s="1"/>
  <c r="E20" i="87" a="1"/>
  <c r="E20" i="87" s="1"/>
  <c r="E10" i="87" a="1"/>
  <c r="E10" i="87" s="1"/>
  <c r="E14" i="87" a="1"/>
  <c r="E14" i="87" s="1"/>
  <c r="E18" i="87" a="1"/>
  <c r="E18" i="87" s="1"/>
  <c r="E11" i="87" a="1"/>
  <c r="E11" i="87" s="1"/>
  <c r="E15" i="87" a="1"/>
  <c r="E15" i="87" s="1"/>
  <c r="O9" i="68"/>
  <c r="M9" i="68"/>
  <c r="F56" i="50"/>
  <c r="AI5" i="85"/>
  <c r="AH5" i="85"/>
  <c r="AG5" i="85"/>
  <c r="AF5" i="85"/>
  <c r="AE5" i="85"/>
  <c r="AD5" i="85"/>
  <c r="AC5" i="85"/>
  <c r="AB5" i="85"/>
  <c r="AA5" i="85"/>
  <c r="Z5" i="85"/>
  <c r="Y5" i="85"/>
  <c r="X5" i="85"/>
  <c r="W5" i="85"/>
  <c r="V5" i="85"/>
  <c r="U5" i="85"/>
  <c r="T5" i="85"/>
  <c r="S5" i="85"/>
  <c r="R5" i="85"/>
  <c r="Q5" i="85"/>
  <c r="P5" i="85"/>
  <c r="O5" i="85"/>
  <c r="N5" i="85"/>
  <c r="M5" i="85"/>
  <c r="L5" i="85"/>
  <c r="K5" i="85"/>
  <c r="J5" i="85"/>
  <c r="I5" i="85"/>
  <c r="H5" i="85"/>
  <c r="G5" i="85"/>
  <c r="F5" i="85"/>
  <c r="AI4" i="85"/>
  <c r="AH4" i="85"/>
  <c r="AG4" i="85"/>
  <c r="AF4" i="85"/>
  <c r="AE4" i="85"/>
  <c r="AD4" i="85"/>
  <c r="AC4" i="85"/>
  <c r="AB4" i="85"/>
  <c r="AA4" i="85"/>
  <c r="Z4" i="85"/>
  <c r="Y4" i="85"/>
  <c r="X4" i="85"/>
  <c r="W4" i="85"/>
  <c r="V4" i="85"/>
  <c r="U4" i="85"/>
  <c r="T4" i="85"/>
  <c r="S4" i="85"/>
  <c r="R4" i="85"/>
  <c r="Q4" i="85"/>
  <c r="P4" i="85"/>
  <c r="O4" i="85"/>
  <c r="N4" i="85"/>
  <c r="M4" i="85"/>
  <c r="L4" i="85"/>
  <c r="K4" i="85"/>
  <c r="J4" i="85"/>
  <c r="I4" i="85"/>
  <c r="H4" i="85"/>
  <c r="G4" i="85"/>
  <c r="F4" i="85"/>
  <c r="AI3" i="85"/>
  <c r="AH3" i="85"/>
  <c r="AG3" i="85"/>
  <c r="AF3" i="85"/>
  <c r="AE3" i="85"/>
  <c r="AD3" i="85"/>
  <c r="AC3" i="85"/>
  <c r="AB3" i="85"/>
  <c r="AA3" i="85"/>
  <c r="Z3" i="85"/>
  <c r="Y3" i="85"/>
  <c r="X3" i="85"/>
  <c r="W3" i="85"/>
  <c r="V3" i="85"/>
  <c r="U3" i="85"/>
  <c r="T3" i="85"/>
  <c r="S3" i="85"/>
  <c r="R3" i="85"/>
  <c r="Q3" i="85"/>
  <c r="P3" i="85"/>
  <c r="O3" i="85"/>
  <c r="N3" i="85"/>
  <c r="M3" i="85"/>
  <c r="L3" i="85"/>
  <c r="K3" i="85"/>
  <c r="J3" i="85"/>
  <c r="I3" i="85"/>
  <c r="H3" i="85"/>
  <c r="G3" i="85"/>
  <c r="F3" i="85"/>
  <c r="C2" i="85"/>
  <c r="A2" i="85"/>
  <c r="C1" i="85"/>
  <c r="O20" i="68" l="1"/>
  <c r="M20" i="68"/>
  <c r="N20" i="68" s="1"/>
  <c r="F64" i="50"/>
  <c r="O16" i="68" l="1"/>
  <c r="M16" i="68"/>
  <c r="N16" i="68" s="1"/>
  <c r="F61" i="50"/>
  <c r="AB19" i="52" l="1"/>
  <c r="F71" i="50" l="1"/>
  <c r="AF14" i="81" l="1"/>
  <c r="M23" i="80"/>
  <c r="M22" i="80"/>
  <c r="L23" i="80"/>
  <c r="L22" i="80"/>
  <c r="M21" i="80"/>
  <c r="M20" i="80"/>
  <c r="L21" i="80"/>
  <c r="L20" i="80"/>
  <c r="C22" i="68" l="1"/>
  <c r="D41" i="48"/>
  <c r="E29" i="48"/>
  <c r="M19" i="80" l="1"/>
  <c r="L19" i="80"/>
  <c r="M18" i="80"/>
  <c r="L18" i="80"/>
  <c r="M17" i="80"/>
  <c r="L17" i="80"/>
  <c r="M16" i="80"/>
  <c r="L16" i="80"/>
  <c r="M15" i="80"/>
  <c r="L15" i="80"/>
  <c r="M14" i="80"/>
  <c r="L14" i="80"/>
  <c r="M13" i="80"/>
  <c r="L13" i="80"/>
  <c r="M12" i="80"/>
  <c r="L12" i="80"/>
  <c r="M11" i="80"/>
  <c r="L11" i="80"/>
  <c r="M10" i="80"/>
  <c r="L10" i="80"/>
  <c r="M9" i="80"/>
  <c r="L9" i="80"/>
  <c r="M8" i="80"/>
  <c r="L8" i="80"/>
  <c r="M7" i="80"/>
  <c r="L7" i="80"/>
  <c r="M6" i="80"/>
  <c r="L6" i="80"/>
  <c r="M5" i="80"/>
  <c r="L5" i="80"/>
  <c r="O27" i="68" l="1"/>
  <c r="O26" i="68"/>
  <c r="O23" i="68"/>
  <c r="O22" i="68"/>
  <c r="O19" i="68"/>
  <c r="O17" i="68"/>
  <c r="O14" i="68"/>
  <c r="O13" i="68"/>
  <c r="O11" i="68"/>
  <c r="O10" i="68"/>
  <c r="O7" i="68"/>
  <c r="O6" i="68"/>
  <c r="O5" i="68"/>
  <c r="AA47" i="81" l="1"/>
  <c r="Z47" i="81"/>
  <c r="I22" i="81"/>
  <c r="I21" i="81"/>
  <c r="J28" i="81"/>
  <c r="K28" i="81"/>
  <c r="K7" i="81"/>
  <c r="J7" i="81"/>
  <c r="I5" i="81"/>
  <c r="I4" i="81"/>
  <c r="Y46" i="81"/>
  <c r="I46" i="81"/>
  <c r="Y45" i="81"/>
  <c r="I45" i="81"/>
  <c r="M45" i="81"/>
  <c r="L45" i="81"/>
  <c r="AF36" i="81"/>
  <c r="AF35" i="81"/>
  <c r="Z29" i="81"/>
  <c r="Y29" i="81"/>
  <c r="S27" i="81"/>
  <c r="R27" i="81"/>
  <c r="AB20" i="81"/>
  <c r="AB17" i="81"/>
  <c r="AF15" i="81"/>
  <c r="Q14" i="81"/>
  <c r="X12" i="81"/>
  <c r="W12" i="81"/>
  <c r="Q13" i="81"/>
  <c r="AF12" i="81"/>
  <c r="AF11" i="81"/>
  <c r="AF5" i="81"/>
  <c r="AF4" i="81"/>
  <c r="C30" i="68" l="1"/>
  <c r="C13" i="68" l="1"/>
  <c r="Z13" i="52" l="1"/>
  <c r="Z14" i="52"/>
  <c r="AD14" i="52"/>
  <c r="AF14" i="52" s="1"/>
  <c r="AQ20" i="48"/>
  <c r="F23" i="80" s="1"/>
  <c r="AP20" i="48"/>
  <c r="E23" i="80" s="1"/>
  <c r="AQ18" i="48"/>
  <c r="F21" i="80" s="1"/>
  <c r="AP18" i="48"/>
  <c r="E21" i="80" s="1"/>
  <c r="AQ19" i="48"/>
  <c r="F22" i="80" s="1"/>
  <c r="AQ17" i="48"/>
  <c r="F20" i="80" s="1"/>
  <c r="AP19" i="48"/>
  <c r="E22" i="80" s="1"/>
  <c r="AP17" i="48"/>
  <c r="E20" i="80" s="1"/>
  <c r="AD13" i="52"/>
  <c r="AF13" i="52" s="1"/>
  <c r="M27" i="68" l="1"/>
  <c r="N27" i="68" s="1"/>
  <c r="Q26" i="68"/>
  <c r="P26" i="68"/>
  <c r="M26" i="68"/>
  <c r="N26" i="68" s="1"/>
  <c r="M23" i="68"/>
  <c r="N23" i="68" s="1"/>
  <c r="Q22" i="68"/>
  <c r="P22" i="68"/>
  <c r="M22" i="68"/>
  <c r="N22" i="68" s="1"/>
  <c r="Q19" i="68"/>
  <c r="P19" i="68"/>
  <c r="M19" i="68"/>
  <c r="N19" i="68" s="1"/>
  <c r="M17" i="68"/>
  <c r="N17" i="68" s="1"/>
  <c r="Q16" i="68"/>
  <c r="P16" i="68"/>
  <c r="M14" i="68"/>
  <c r="N14" i="68" s="1"/>
  <c r="Q13" i="68"/>
  <c r="P13" i="68"/>
  <c r="M13" i="68"/>
  <c r="N13" i="68" s="1"/>
  <c r="M11" i="68"/>
  <c r="N11" i="68" s="1"/>
  <c r="M10" i="68"/>
  <c r="Q9" i="68"/>
  <c r="P9" i="68"/>
  <c r="M7" i="68"/>
  <c r="N7" i="68" s="1"/>
  <c r="M6" i="68"/>
  <c r="N6" i="68" s="1"/>
  <c r="Q5" i="68"/>
  <c r="P5" i="68"/>
  <c r="M5" i="68"/>
  <c r="N5" i="68" s="1"/>
  <c r="O26" i="48"/>
  <c r="O25" i="48"/>
  <c r="O23" i="48"/>
  <c r="O22" i="48"/>
  <c r="O20" i="48"/>
  <c r="O19" i="48"/>
  <c r="O16" i="48"/>
  <c r="O14" i="48"/>
  <c r="O11" i="48"/>
  <c r="O10" i="48"/>
  <c r="O9" i="48"/>
  <c r="O7" i="48"/>
  <c r="O6" i="48"/>
  <c r="O5" i="48"/>
  <c r="O3" i="48"/>
  <c r="O13" i="48"/>
  <c r="N10" i="68" l="1"/>
  <c r="N9" i="68"/>
  <c r="F76" i="50"/>
  <c r="F53" i="50"/>
  <c r="F54" i="50"/>
  <c r="F55" i="50"/>
  <c r="F57" i="50"/>
  <c r="F58" i="50"/>
  <c r="F59" i="50"/>
  <c r="F60" i="50"/>
  <c r="F62" i="50"/>
  <c r="F63" i="50"/>
  <c r="F65" i="50"/>
  <c r="F66" i="50"/>
  <c r="F69" i="50"/>
  <c r="F70" i="50"/>
  <c r="O4" i="79"/>
  <c r="AG4" i="79"/>
  <c r="O5" i="79"/>
  <c r="AG5" i="79"/>
  <c r="O6" i="79"/>
  <c r="AG6" i="79"/>
  <c r="AG12" i="79"/>
  <c r="AG13" i="79"/>
  <c r="AG14" i="79"/>
  <c r="B19" i="79"/>
  <c r="B20" i="79"/>
  <c r="B21" i="79"/>
  <c r="AG25" i="79"/>
  <c r="AG26" i="79"/>
  <c r="AG27" i="79"/>
  <c r="B31" i="79"/>
  <c r="B32" i="79"/>
  <c r="B33" i="79"/>
  <c r="B39" i="79"/>
  <c r="S39" i="79"/>
  <c r="B40" i="79"/>
  <c r="S40" i="79"/>
  <c r="B41" i="79"/>
  <c r="S41" i="79"/>
  <c r="B59" i="79"/>
  <c r="B60" i="79"/>
  <c r="I60" i="79"/>
  <c r="B61" i="79"/>
  <c r="I61" i="79"/>
  <c r="I62" i="79"/>
  <c r="P67" i="79"/>
  <c r="AA67" i="79"/>
  <c r="AD67" i="79"/>
  <c r="P68" i="79"/>
  <c r="AA68" i="79"/>
  <c r="AD68" i="79"/>
  <c r="P69" i="79"/>
  <c r="AA69" i="79"/>
  <c r="AD69" i="79"/>
  <c r="B71" i="79"/>
  <c r="M71" i="79"/>
  <c r="B72" i="79"/>
  <c r="M72" i="79"/>
  <c r="B73" i="79"/>
  <c r="M73" i="79"/>
  <c r="T78" i="79"/>
  <c r="T79" i="79"/>
  <c r="T80" i="79"/>
  <c r="C17" i="68" l="1"/>
  <c r="E28" i="48"/>
  <c r="BN88" i="48"/>
  <c r="BN89" i="48"/>
  <c r="BN96" i="48"/>
  <c r="BN97" i="48"/>
  <c r="AB19" i="81" l="1"/>
  <c r="AB18" i="81"/>
  <c r="I28" i="48"/>
  <c r="E30" i="48"/>
  <c r="S26" i="48"/>
  <c r="S25" i="48"/>
  <c r="D37" i="50" l="1"/>
  <c r="D36" i="50"/>
  <c r="D13" i="50"/>
  <c r="A1" i="87"/>
  <c r="D12" i="50"/>
  <c r="A1" i="86"/>
  <c r="A1" i="85"/>
  <c r="D18" i="50"/>
  <c r="D39" i="50"/>
  <c r="D25" i="50"/>
  <c r="D14" i="50"/>
  <c r="D15" i="50"/>
  <c r="D27" i="50"/>
  <c r="D17" i="50"/>
  <c r="D23" i="68"/>
  <c r="D40" i="50"/>
  <c r="D19" i="50"/>
  <c r="D5" i="50"/>
  <c r="D30" i="50"/>
  <c r="D28" i="50"/>
  <c r="D9" i="50"/>
  <c r="D32" i="50"/>
  <c r="D4" i="50"/>
  <c r="D31" i="50"/>
  <c r="D41" i="50"/>
  <c r="D20" i="50"/>
  <c r="D26" i="50"/>
  <c r="D24" i="50"/>
  <c r="D10" i="50"/>
  <c r="D16" i="50"/>
  <c r="D38" i="50"/>
  <c r="D11" i="50"/>
  <c r="D29" i="50"/>
  <c r="D23" i="50"/>
  <c r="D22" i="50"/>
  <c r="D21" i="50"/>
  <c r="D8" i="50"/>
  <c r="D33" i="50"/>
  <c r="S14" i="48"/>
  <c r="S13" i="48"/>
  <c r="AL1" i="87" l="1"/>
  <c r="AK2" i="87"/>
  <c r="AM2" i="87"/>
  <c r="AK1" i="87"/>
  <c r="AJ1" i="87"/>
  <c r="AL2" i="87"/>
  <c r="AJ2" i="87"/>
  <c r="AM1" i="87"/>
  <c r="R1" i="86"/>
  <c r="R6" i="86" s="1"/>
  <c r="AG2" i="86"/>
  <c r="AG7" i="86" s="1"/>
  <c r="K1" i="86"/>
  <c r="K6" i="86" s="1"/>
  <c r="M1" i="86"/>
  <c r="M6" i="86" s="1"/>
  <c r="N1" i="86"/>
  <c r="N6" i="86" s="1"/>
  <c r="O1" i="86"/>
  <c r="O6" i="86" s="1"/>
  <c r="T1" i="86"/>
  <c r="T6" i="86" s="1"/>
  <c r="H2" i="86"/>
  <c r="H7" i="86" s="1"/>
  <c r="I2" i="86"/>
  <c r="I7" i="86" s="1"/>
  <c r="M2" i="86"/>
  <c r="M7" i="86" s="1"/>
  <c r="G2" i="86"/>
  <c r="G7" i="86" s="1"/>
  <c r="AH2" i="86"/>
  <c r="AH7" i="86" s="1"/>
  <c r="W2" i="86"/>
  <c r="W7" i="86" s="1"/>
  <c r="F1" i="86"/>
  <c r="F6" i="86" s="1"/>
  <c r="AG1" i="86"/>
  <c r="AG6" i="86" s="1"/>
  <c r="J2" i="86"/>
  <c r="J7" i="86" s="1"/>
  <c r="S1" i="86"/>
  <c r="S6" i="86" s="1"/>
  <c r="U1" i="86"/>
  <c r="U6" i="86" s="1"/>
  <c r="V1" i="86"/>
  <c r="V6" i="86" s="1"/>
  <c r="W1" i="86"/>
  <c r="W6" i="86" s="1"/>
  <c r="AB1" i="86"/>
  <c r="AB6" i="86" s="1"/>
  <c r="P2" i="86"/>
  <c r="P7" i="86" s="1"/>
  <c r="Q2" i="86"/>
  <c r="Q7" i="86" s="1"/>
  <c r="AI1" i="86"/>
  <c r="AI6" i="86" s="1"/>
  <c r="AB2" i="86"/>
  <c r="AB7" i="86" s="1"/>
  <c r="S2" i="86"/>
  <c r="S7" i="86" s="1"/>
  <c r="P1" i="86"/>
  <c r="P6" i="86" s="1"/>
  <c r="AI2" i="86"/>
  <c r="AI7" i="86" s="1"/>
  <c r="AF1" i="86"/>
  <c r="AF6" i="86" s="1"/>
  <c r="R2" i="86"/>
  <c r="R7" i="86" s="1"/>
  <c r="AA1" i="86"/>
  <c r="AA6" i="86" s="1"/>
  <c r="AC1" i="86"/>
  <c r="AC6" i="86" s="1"/>
  <c r="AD1" i="86"/>
  <c r="AD6" i="86" s="1"/>
  <c r="AE1" i="86"/>
  <c r="AE6" i="86" s="1"/>
  <c r="L2" i="86"/>
  <c r="L7" i="86" s="1"/>
  <c r="X2" i="86"/>
  <c r="X7" i="86" s="1"/>
  <c r="Y2" i="86"/>
  <c r="Y7" i="86" s="1"/>
  <c r="F2" i="86"/>
  <c r="F7" i="86" s="1"/>
  <c r="V2" i="86"/>
  <c r="V7" i="86" s="1"/>
  <c r="G1" i="86"/>
  <c r="G6" i="86" s="1"/>
  <c r="J1" i="86"/>
  <c r="J6" i="86" s="1"/>
  <c r="AF2" i="86"/>
  <c r="AF7" i="86" s="1"/>
  <c r="Q1" i="86"/>
  <c r="Q6" i="86" s="1"/>
  <c r="Z2" i="86"/>
  <c r="Z7" i="86" s="1"/>
  <c r="K2" i="86"/>
  <c r="K7" i="86" s="1"/>
  <c r="U2" i="86"/>
  <c r="U7" i="86" s="1"/>
  <c r="N2" i="86"/>
  <c r="N7" i="86" s="1"/>
  <c r="O2" i="86"/>
  <c r="O7" i="86" s="1"/>
  <c r="H1" i="86"/>
  <c r="H6" i="86" s="1"/>
  <c r="I1" i="86"/>
  <c r="I6" i="86" s="1"/>
  <c r="AC2" i="86"/>
  <c r="AC7" i="86" s="1"/>
  <c r="AH1" i="86"/>
  <c r="AH6" i="86" s="1"/>
  <c r="Z1" i="86"/>
  <c r="Z6" i="86" s="1"/>
  <c r="AA2" i="86"/>
  <c r="AA7" i="86" s="1"/>
  <c r="T2" i="86"/>
  <c r="T7" i="86" s="1"/>
  <c r="AD2" i="86"/>
  <c r="AD7" i="86" s="1"/>
  <c r="AE2" i="86"/>
  <c r="AE7" i="86" s="1"/>
  <c r="X1" i="86"/>
  <c r="X6" i="86" s="1"/>
  <c r="Y1" i="86"/>
  <c r="Y6" i="86" s="1"/>
  <c r="L1" i="86"/>
  <c r="L6" i="86" s="1"/>
  <c r="Q2" i="87"/>
  <c r="M1" i="87"/>
  <c r="Y2" i="87"/>
  <c r="U2" i="87"/>
  <c r="Q1" i="87"/>
  <c r="AH1" i="87"/>
  <c r="AF2" i="87"/>
  <c r="AG1" i="87"/>
  <c r="S2" i="87"/>
  <c r="AB2" i="87"/>
  <c r="AD2" i="87"/>
  <c r="AE2" i="87"/>
  <c r="G2" i="87"/>
  <c r="AC2" i="87"/>
  <c r="Y1" i="87"/>
  <c r="R2" i="87"/>
  <c r="AA2" i="87"/>
  <c r="F1" i="87"/>
  <c r="G1" i="87"/>
  <c r="H1" i="87"/>
  <c r="F2" i="87"/>
  <c r="AG2" i="87"/>
  <c r="J2" i="87"/>
  <c r="AI2" i="87"/>
  <c r="N1" i="87"/>
  <c r="O1" i="87"/>
  <c r="P1" i="87"/>
  <c r="AA1" i="87"/>
  <c r="Z2" i="87"/>
  <c r="Z1" i="87"/>
  <c r="K1" i="87"/>
  <c r="L1" i="87"/>
  <c r="V1" i="87"/>
  <c r="W1" i="87"/>
  <c r="X1" i="87"/>
  <c r="AH2" i="87"/>
  <c r="M2" i="87"/>
  <c r="S1" i="87"/>
  <c r="T1" i="87"/>
  <c r="AD1" i="87"/>
  <c r="AE1" i="87"/>
  <c r="AF1" i="87"/>
  <c r="R1" i="87"/>
  <c r="I1" i="87"/>
  <c r="AB1" i="87"/>
  <c r="H2" i="87"/>
  <c r="U1" i="87"/>
  <c r="AC1" i="87"/>
  <c r="AI1" i="87"/>
  <c r="L2" i="87"/>
  <c r="N2" i="87"/>
  <c r="O2" i="87"/>
  <c r="P2" i="87"/>
  <c r="I2" i="87"/>
  <c r="J1" i="87"/>
  <c r="K2" i="87"/>
  <c r="T2" i="87"/>
  <c r="V2" i="87"/>
  <c r="W2" i="87"/>
  <c r="X2" i="87"/>
  <c r="K2" i="85"/>
  <c r="AI2" i="85"/>
  <c r="I2" i="85"/>
  <c r="AH2" i="85"/>
  <c r="AD1" i="85"/>
  <c r="G1" i="85"/>
  <c r="M1" i="85"/>
  <c r="AF2" i="85"/>
  <c r="H1" i="85"/>
  <c r="N2" i="85"/>
  <c r="P1" i="85"/>
  <c r="O2" i="85"/>
  <c r="Y2" i="85"/>
  <c r="AC1" i="85"/>
  <c r="AA1" i="85"/>
  <c r="J1" i="85"/>
  <c r="U1" i="85"/>
  <c r="F2" i="85"/>
  <c r="O1" i="85"/>
  <c r="L1" i="85"/>
  <c r="T2" i="85"/>
  <c r="AF1" i="85"/>
  <c r="Q2" i="85"/>
  <c r="Z2" i="85"/>
  <c r="AI1" i="85"/>
  <c r="R1" i="85"/>
  <c r="M2" i="85"/>
  <c r="W1" i="85"/>
  <c r="AB1" i="85"/>
  <c r="X2" i="85"/>
  <c r="AG2" i="85"/>
  <c r="Z1" i="85"/>
  <c r="U2" i="85"/>
  <c r="V2" i="85"/>
  <c r="AE1" i="85"/>
  <c r="X1" i="85"/>
  <c r="Q1" i="85"/>
  <c r="T1" i="85"/>
  <c r="AC2" i="85"/>
  <c r="G2" i="85"/>
  <c r="P2" i="85"/>
  <c r="AE2" i="85"/>
  <c r="S2" i="85"/>
  <c r="AH1" i="85"/>
  <c r="AD2" i="85"/>
  <c r="AG1" i="85"/>
  <c r="S1" i="85"/>
  <c r="K1" i="85"/>
  <c r="L2" i="85"/>
  <c r="J2" i="85"/>
  <c r="F1" i="85"/>
  <c r="H2" i="85"/>
  <c r="Y1" i="85"/>
  <c r="AA2" i="85"/>
  <c r="I1" i="85"/>
  <c r="R2" i="85"/>
  <c r="N1" i="85"/>
  <c r="AB2" i="85"/>
  <c r="W2" i="85"/>
  <c r="V1" i="85"/>
  <c r="C2" i="67"/>
  <c r="A2" i="67"/>
  <c r="C1" i="67"/>
  <c r="C2" i="66"/>
  <c r="A2" i="66"/>
  <c r="C1" i="66"/>
  <c r="S23" i="48"/>
  <c r="Z22" i="48"/>
  <c r="V22" i="48"/>
  <c r="S22" i="48"/>
  <c r="X7" i="87" l="1"/>
  <c r="W37" i="50"/>
  <c r="K7" i="87"/>
  <c r="J37" i="50"/>
  <c r="O7" i="87"/>
  <c r="N37" i="50"/>
  <c r="AC6" i="87"/>
  <c r="AB36" i="50"/>
  <c r="I6" i="87"/>
  <c r="H36" i="50"/>
  <c r="AD6" i="87"/>
  <c r="AC36" i="50"/>
  <c r="AH7" i="87"/>
  <c r="AG37" i="50"/>
  <c r="L6" i="87"/>
  <c r="K36" i="50"/>
  <c r="AA6" i="87"/>
  <c r="Z36" i="50"/>
  <c r="AI7" i="87"/>
  <c r="AH37" i="50"/>
  <c r="H6" i="87"/>
  <c r="G36" i="50"/>
  <c r="R7" i="87"/>
  <c r="Q37" i="50"/>
  <c r="AE7" i="87"/>
  <c r="AD37" i="50"/>
  <c r="AG6" i="87"/>
  <c r="AF36" i="50"/>
  <c r="U7" i="87"/>
  <c r="T37" i="50"/>
  <c r="W7" i="87"/>
  <c r="V37" i="50"/>
  <c r="J6" i="87"/>
  <c r="I36" i="50"/>
  <c r="N7" i="87"/>
  <c r="M37" i="50"/>
  <c r="U6" i="87"/>
  <c r="T36" i="50"/>
  <c r="R6" i="87"/>
  <c r="Q36" i="50"/>
  <c r="T6" i="87"/>
  <c r="S36" i="50"/>
  <c r="X6" i="87"/>
  <c r="W36" i="50"/>
  <c r="K6" i="87"/>
  <c r="J36" i="50"/>
  <c r="P6" i="87"/>
  <c r="O36" i="50"/>
  <c r="J7" i="87"/>
  <c r="I37" i="50"/>
  <c r="G6" i="87"/>
  <c r="F36" i="50"/>
  <c r="Y6" i="87"/>
  <c r="X36" i="50"/>
  <c r="AD7" i="87"/>
  <c r="AC37" i="50"/>
  <c r="AF7" i="87"/>
  <c r="AE37" i="50"/>
  <c r="Y7" i="87"/>
  <c r="X37" i="50"/>
  <c r="V7" i="87"/>
  <c r="U37" i="50"/>
  <c r="I7" i="87"/>
  <c r="H37" i="50"/>
  <c r="L7" i="87"/>
  <c r="K37" i="50"/>
  <c r="H7" i="87"/>
  <c r="G37" i="50"/>
  <c r="AF6" i="87"/>
  <c r="AE36" i="50"/>
  <c r="S6" i="87"/>
  <c r="R36" i="50"/>
  <c r="W6" i="87"/>
  <c r="V36" i="50"/>
  <c r="Z6" i="87"/>
  <c r="Y36" i="50"/>
  <c r="O6" i="87"/>
  <c r="N36" i="50"/>
  <c r="AG7" i="87"/>
  <c r="AF37" i="50"/>
  <c r="F6" i="87"/>
  <c r="E36" i="50"/>
  <c r="AC7" i="87"/>
  <c r="AB37" i="50"/>
  <c r="AB7" i="87"/>
  <c r="AA37" i="50"/>
  <c r="AH6" i="87"/>
  <c r="AG36" i="50"/>
  <c r="M6" i="87"/>
  <c r="L36" i="50"/>
  <c r="T7" i="87"/>
  <c r="S37" i="50"/>
  <c r="P7" i="87"/>
  <c r="O37" i="50"/>
  <c r="AI6" i="87"/>
  <c r="AH36" i="50"/>
  <c r="AB6" i="87"/>
  <c r="AA36" i="50"/>
  <c r="AE6" i="87"/>
  <c r="AD36" i="50"/>
  <c r="M7" i="87"/>
  <c r="L37" i="50"/>
  <c r="V6" i="87"/>
  <c r="U36" i="50"/>
  <c r="Z7" i="87"/>
  <c r="Y37" i="50"/>
  <c r="N6" i="87"/>
  <c r="M36" i="50"/>
  <c r="F7" i="87"/>
  <c r="E37" i="50"/>
  <c r="AA7" i="87"/>
  <c r="Z37" i="50"/>
  <c r="G7" i="87"/>
  <c r="F37" i="50"/>
  <c r="S7" i="87"/>
  <c r="R37" i="50"/>
  <c r="Q6" i="87"/>
  <c r="P36" i="50"/>
  <c r="Q7" i="87"/>
  <c r="P37" i="50"/>
  <c r="Q7" i="85"/>
  <c r="P13" i="50"/>
  <c r="R7" i="85"/>
  <c r="Q13" i="50"/>
  <c r="K6" i="85"/>
  <c r="J12" i="50"/>
  <c r="G7" i="85"/>
  <c r="F13" i="50"/>
  <c r="Y12" i="50"/>
  <c r="Z6" i="85"/>
  <c r="Z7" i="85"/>
  <c r="Y13" i="50"/>
  <c r="J6" i="85"/>
  <c r="I12" i="50"/>
  <c r="AF7" i="85"/>
  <c r="AE13" i="50"/>
  <c r="AC7" i="85"/>
  <c r="AB13" i="50"/>
  <c r="AA6" i="85"/>
  <c r="Z12" i="50"/>
  <c r="M6" i="85"/>
  <c r="L12" i="50"/>
  <c r="AA7" i="85"/>
  <c r="Z13" i="50"/>
  <c r="AG6" i="85"/>
  <c r="AF12" i="50"/>
  <c r="T6" i="85"/>
  <c r="S12" i="50"/>
  <c r="X7" i="85"/>
  <c r="W13" i="50"/>
  <c r="AF6" i="85"/>
  <c r="AE12" i="50"/>
  <c r="AC6" i="85"/>
  <c r="AB12" i="50"/>
  <c r="G6" i="85"/>
  <c r="F12" i="50"/>
  <c r="S6" i="85"/>
  <c r="R12" i="50"/>
  <c r="AB6" i="85"/>
  <c r="AA12" i="50"/>
  <c r="T7" i="85"/>
  <c r="S13" i="50"/>
  <c r="Y7" i="85"/>
  <c r="X13" i="50"/>
  <c r="AD6" i="85"/>
  <c r="AC12" i="50"/>
  <c r="I6" i="85"/>
  <c r="H12" i="50"/>
  <c r="AD7" i="85"/>
  <c r="AC13" i="50"/>
  <c r="V6" i="85"/>
  <c r="U12" i="50"/>
  <c r="H7" i="85"/>
  <c r="G13" i="50"/>
  <c r="AH6" i="85"/>
  <c r="AG12" i="50"/>
  <c r="W12" i="50"/>
  <c r="X6" i="85"/>
  <c r="W6" i="85"/>
  <c r="V12" i="50"/>
  <c r="L6" i="85"/>
  <c r="K12" i="50"/>
  <c r="O7" i="85"/>
  <c r="N13" i="50"/>
  <c r="AH7" i="85"/>
  <c r="AG13" i="50"/>
  <c r="AG7" i="85"/>
  <c r="AF13" i="50"/>
  <c r="W7" i="85"/>
  <c r="V13" i="50"/>
  <c r="F6" i="85"/>
  <c r="E12" i="50"/>
  <c r="S7" i="85"/>
  <c r="R13" i="50"/>
  <c r="AE6" i="85"/>
  <c r="AD12" i="50"/>
  <c r="M7" i="85"/>
  <c r="L13" i="50"/>
  <c r="O6" i="85"/>
  <c r="N12" i="50"/>
  <c r="P6" i="85"/>
  <c r="O12" i="50"/>
  <c r="I7" i="85"/>
  <c r="H13" i="50"/>
  <c r="Y6" i="85"/>
  <c r="X12" i="50"/>
  <c r="AB7" i="85"/>
  <c r="AA13" i="50"/>
  <c r="J7" i="85"/>
  <c r="I13" i="50"/>
  <c r="AE7" i="85"/>
  <c r="AD13" i="50"/>
  <c r="V7" i="85"/>
  <c r="U13" i="50"/>
  <c r="R6" i="85"/>
  <c r="Q12" i="50"/>
  <c r="F7" i="85"/>
  <c r="E13" i="50"/>
  <c r="N7" i="85"/>
  <c r="M13" i="50"/>
  <c r="AI7" i="85"/>
  <c r="AH13" i="50"/>
  <c r="Q6" i="85"/>
  <c r="P12" i="50"/>
  <c r="N6" i="85"/>
  <c r="M12" i="50"/>
  <c r="L7" i="85"/>
  <c r="K13" i="50"/>
  <c r="P7" i="85"/>
  <c r="O13" i="50"/>
  <c r="U7" i="85"/>
  <c r="T13" i="50"/>
  <c r="AI6" i="85"/>
  <c r="AH12" i="50"/>
  <c r="U6" i="85"/>
  <c r="T12" i="50"/>
  <c r="H6" i="85"/>
  <c r="G12" i="50"/>
  <c r="K7" i="85"/>
  <c r="J13" i="50"/>
  <c r="S3" i="48"/>
  <c r="S7" i="48"/>
  <c r="S6" i="48"/>
  <c r="S5" i="48"/>
  <c r="S11" i="48"/>
  <c r="S10" i="48"/>
  <c r="S20" i="48"/>
  <c r="S19" i="48"/>
  <c r="S16" i="48"/>
  <c r="S17" i="48"/>
  <c r="L24" i="68" l="1"/>
  <c r="K9" i="68"/>
  <c r="L9" i="68"/>
  <c r="B42" i="50"/>
  <c r="D42" i="50" l="1"/>
  <c r="J30" i="48" s="1"/>
  <c r="BQ95" i="48"/>
  <c r="BQ94" i="48"/>
  <c r="BQ92" i="48"/>
  <c r="BQ91" i="48"/>
  <c r="BQ87" i="48"/>
  <c r="BQ86" i="48"/>
  <c r="BQ84" i="48"/>
  <c r="BQ83" i="48"/>
  <c r="BQ36" i="48"/>
  <c r="BQ37" i="48"/>
  <c r="BQ38" i="48"/>
  <c r="BQ39" i="48"/>
  <c r="BQ40" i="48"/>
  <c r="BQ41" i="48"/>
  <c r="BQ42" i="48"/>
  <c r="BQ43" i="48"/>
  <c r="BQ44" i="48"/>
  <c r="BQ45" i="48"/>
  <c r="BQ46" i="48"/>
  <c r="BQ47" i="48"/>
  <c r="BQ48" i="48"/>
  <c r="BQ49" i="48"/>
  <c r="BQ50" i="48"/>
  <c r="BQ35" i="48"/>
  <c r="D43" i="50" l="1"/>
  <c r="J31" i="48" s="1"/>
  <c r="D24" i="68" s="1"/>
  <c r="C25" i="68" s="1"/>
  <c r="Z19" i="48"/>
  <c r="Z16" i="48"/>
  <c r="Z25" i="48"/>
  <c r="Z3" i="48"/>
  <c r="Z13" i="48"/>
  <c r="Z9" i="48"/>
  <c r="Z5" i="48"/>
  <c r="V3" i="48"/>
  <c r="V19" i="48"/>
  <c r="V16" i="48"/>
  <c r="V25" i="48"/>
  <c r="V13" i="48"/>
  <c r="V9" i="48"/>
  <c r="V5" i="48"/>
  <c r="C2" i="63" l="1"/>
  <c r="A2" i="63"/>
  <c r="C1" i="63"/>
  <c r="C2" i="62"/>
  <c r="A2" i="62"/>
  <c r="C1" i="62"/>
  <c r="A1" i="67" l="1"/>
  <c r="A1" i="66"/>
  <c r="C2" i="61"/>
  <c r="A2" i="61"/>
  <c r="C1" i="61"/>
  <c r="AD2" i="66" l="1"/>
  <c r="AC21" i="50" s="1"/>
  <c r="X1" i="66"/>
  <c r="W20" i="50" s="1"/>
  <c r="H1" i="66"/>
  <c r="G20" i="50" s="1"/>
  <c r="F2" i="66"/>
  <c r="E21" i="50" s="1"/>
  <c r="T1" i="66"/>
  <c r="S20" i="50" s="1"/>
  <c r="AB1" i="66"/>
  <c r="AA20" i="50" s="1"/>
  <c r="Z1" i="66"/>
  <c r="Y20" i="50" s="1"/>
  <c r="O2" i="66"/>
  <c r="N21" i="50" s="1"/>
  <c r="M2" i="66"/>
  <c r="L21" i="50" s="1"/>
  <c r="AI1" i="66"/>
  <c r="AH20" i="50" s="1"/>
  <c r="AG1" i="66"/>
  <c r="AF20" i="50" s="1"/>
  <c r="R2" i="66"/>
  <c r="Q21" i="50" s="1"/>
  <c r="Q1" i="66"/>
  <c r="P20" i="50" s="1"/>
  <c r="J1" i="66"/>
  <c r="I20" i="50" s="1"/>
  <c r="J2" i="66"/>
  <c r="I21" i="50" s="1"/>
  <c r="X2" i="66"/>
  <c r="W21" i="50" s="1"/>
  <c r="G2" i="66"/>
  <c r="F21" i="50" s="1"/>
  <c r="AC1" i="66"/>
  <c r="AB20" i="50" s="1"/>
  <c r="AA1" i="66"/>
  <c r="Z20" i="50" s="1"/>
  <c r="Y1" i="66"/>
  <c r="X20" i="50" s="1"/>
  <c r="AH2" i="66"/>
  <c r="AG21" i="50" s="1"/>
  <c r="F1" i="66"/>
  <c r="E20" i="50" s="1"/>
  <c r="P2" i="66"/>
  <c r="O21" i="50" s="1"/>
  <c r="W2" i="66"/>
  <c r="V21" i="50" s="1"/>
  <c r="Z2" i="66"/>
  <c r="Y21" i="50" s="1"/>
  <c r="P1" i="66"/>
  <c r="O20" i="50" s="1"/>
  <c r="AE1" i="66"/>
  <c r="AD20" i="50" s="1"/>
  <c r="U1" i="66"/>
  <c r="T20" i="50" s="1"/>
  <c r="S1" i="66"/>
  <c r="R20" i="50" s="1"/>
  <c r="I2" i="66"/>
  <c r="H21" i="50" s="1"/>
  <c r="V2" i="66"/>
  <c r="U21" i="50" s="1"/>
  <c r="N1" i="66"/>
  <c r="M20" i="50" s="1"/>
  <c r="AF1" i="66"/>
  <c r="AE20" i="50" s="1"/>
  <c r="W1" i="66"/>
  <c r="V20" i="50" s="1"/>
  <c r="M1" i="66"/>
  <c r="L20" i="50" s="1"/>
  <c r="K1" i="66"/>
  <c r="J20" i="50" s="1"/>
  <c r="I1" i="66"/>
  <c r="H20" i="50" s="1"/>
  <c r="V1" i="66"/>
  <c r="U20" i="50" s="1"/>
  <c r="T2" i="66"/>
  <c r="S21" i="50" s="1"/>
  <c r="AD1" i="66"/>
  <c r="AC20" i="50" s="1"/>
  <c r="N2" i="66"/>
  <c r="M21" i="50" s="1"/>
  <c r="O1" i="66"/>
  <c r="N20" i="50" s="1"/>
  <c r="AI2" i="66"/>
  <c r="AH21" i="50" s="1"/>
  <c r="AG2" i="66"/>
  <c r="AF21" i="50" s="1"/>
  <c r="R1" i="66"/>
  <c r="Q20" i="50" s="1"/>
  <c r="AA2" i="66"/>
  <c r="Z21" i="50" s="1"/>
  <c r="AH1" i="66"/>
  <c r="AG20" i="50" s="1"/>
  <c r="L1" i="66"/>
  <c r="K20" i="50" s="1"/>
  <c r="AF2" i="66"/>
  <c r="AE21" i="50" s="1"/>
  <c r="L2" i="66"/>
  <c r="K21" i="50" s="1"/>
  <c r="H2" i="66"/>
  <c r="G21" i="50" s="1"/>
  <c r="G1" i="66"/>
  <c r="F20" i="50" s="1"/>
  <c r="Y2" i="66"/>
  <c r="X21" i="50" s="1"/>
  <c r="K2" i="66"/>
  <c r="J21" i="50" s="1"/>
  <c r="AB2" i="66"/>
  <c r="AA21" i="50" s="1"/>
  <c r="AE2" i="66"/>
  <c r="AD21" i="50" s="1"/>
  <c r="AC2" i="66"/>
  <c r="AB21" i="50" s="1"/>
  <c r="S2" i="66"/>
  <c r="R21" i="50" s="1"/>
  <c r="Q2" i="66"/>
  <c r="P21" i="50" s="1"/>
  <c r="U2" i="66"/>
  <c r="T21" i="50" s="1"/>
  <c r="AC2" i="67"/>
  <c r="AB19" i="50" s="1"/>
  <c r="AD2" i="67"/>
  <c r="AC19" i="50" s="1"/>
  <c r="N1" i="67"/>
  <c r="M18" i="50" s="1"/>
  <c r="V2" i="67"/>
  <c r="U19" i="50" s="1"/>
  <c r="F1" i="67"/>
  <c r="E18" i="50" s="1"/>
  <c r="N2" i="67"/>
  <c r="M19" i="50" s="1"/>
  <c r="V1" i="67"/>
  <c r="U18" i="50" s="1"/>
  <c r="F2" i="67"/>
  <c r="E19" i="50" s="1"/>
  <c r="AD1" i="67"/>
  <c r="AC18" i="50" s="1"/>
  <c r="G1" i="67"/>
  <c r="F18" i="50" s="1"/>
  <c r="X1" i="67"/>
  <c r="W18" i="50" s="1"/>
  <c r="I1" i="67"/>
  <c r="H18" i="50" s="1"/>
  <c r="J1" i="67"/>
  <c r="I18" i="50" s="1"/>
  <c r="K1" i="67"/>
  <c r="J18" i="50" s="1"/>
  <c r="L1" i="67"/>
  <c r="K18" i="50" s="1"/>
  <c r="AC1" i="67"/>
  <c r="AB18" i="50" s="1"/>
  <c r="AF2" i="67"/>
  <c r="AE19" i="50" s="1"/>
  <c r="O1" i="67"/>
  <c r="N18" i="50" s="1"/>
  <c r="X2" i="67"/>
  <c r="W19" i="50" s="1"/>
  <c r="Q1" i="67"/>
  <c r="P18" i="50" s="1"/>
  <c r="R1" i="67"/>
  <c r="Q18" i="50" s="1"/>
  <c r="S1" i="67"/>
  <c r="R18" i="50" s="1"/>
  <c r="T1" i="67"/>
  <c r="S18" i="50" s="1"/>
  <c r="M2" i="67"/>
  <c r="L19" i="50" s="1"/>
  <c r="AI2" i="67"/>
  <c r="AH19" i="50" s="1"/>
  <c r="W1" i="67"/>
  <c r="V18" i="50" s="1"/>
  <c r="H1" i="67"/>
  <c r="G18" i="50" s="1"/>
  <c r="Y1" i="67"/>
  <c r="X18" i="50" s="1"/>
  <c r="Z1" i="67"/>
  <c r="Y18" i="50" s="1"/>
  <c r="AA1" i="67"/>
  <c r="Z18" i="50" s="1"/>
  <c r="AB1" i="67"/>
  <c r="AA18" i="50" s="1"/>
  <c r="U2" i="67"/>
  <c r="T19" i="50" s="1"/>
  <c r="AE2" i="67"/>
  <c r="AD19" i="50" s="1"/>
  <c r="AE1" i="67"/>
  <c r="AD18" i="50" s="1"/>
  <c r="P1" i="67"/>
  <c r="O18" i="50" s="1"/>
  <c r="AG1" i="67"/>
  <c r="AF18" i="50" s="1"/>
  <c r="AH1" i="67"/>
  <c r="AG18" i="50" s="1"/>
  <c r="AI1" i="67"/>
  <c r="AH18" i="50" s="1"/>
  <c r="L2" i="67"/>
  <c r="K19" i="50" s="1"/>
  <c r="G2" i="67"/>
  <c r="F19" i="50" s="1"/>
  <c r="AF1" i="67"/>
  <c r="AE18" i="50" s="1"/>
  <c r="I2" i="67"/>
  <c r="H19" i="50" s="1"/>
  <c r="J2" i="67"/>
  <c r="I19" i="50" s="1"/>
  <c r="K2" i="67"/>
  <c r="J19" i="50" s="1"/>
  <c r="T2" i="67"/>
  <c r="S19" i="50" s="1"/>
  <c r="AG2" i="67"/>
  <c r="AF19" i="50" s="1"/>
  <c r="O2" i="67"/>
  <c r="N19" i="50" s="1"/>
  <c r="H2" i="67"/>
  <c r="G19" i="50" s="1"/>
  <c r="Q2" i="67"/>
  <c r="P19" i="50" s="1"/>
  <c r="R2" i="67"/>
  <c r="Q19" i="50" s="1"/>
  <c r="S2" i="67"/>
  <c r="R19" i="50" s="1"/>
  <c r="AB2" i="67"/>
  <c r="AA19" i="50" s="1"/>
  <c r="AH2" i="67"/>
  <c r="AG19" i="50" s="1"/>
  <c r="W2" i="67"/>
  <c r="V19" i="50" s="1"/>
  <c r="P2" i="67"/>
  <c r="O19" i="50" s="1"/>
  <c r="Y2" i="67"/>
  <c r="X19" i="50" s="1"/>
  <c r="Z2" i="67"/>
  <c r="Y19" i="50" s="1"/>
  <c r="AA2" i="67"/>
  <c r="Z19" i="50" s="1"/>
  <c r="M1" i="67"/>
  <c r="L18" i="50" s="1"/>
  <c r="U1" i="67"/>
  <c r="T18" i="50" s="1"/>
  <c r="E62" i="48"/>
  <c r="E61" i="48"/>
  <c r="E54" i="48" a="1"/>
  <c r="E54" i="48" s="1"/>
  <c r="E53" i="48"/>
  <c r="B61" i="48"/>
  <c r="B60" i="48"/>
  <c r="B55" i="48" a="1"/>
  <c r="B55" i="48" s="1"/>
  <c r="B53" i="48"/>
  <c r="A1" i="63" l="1"/>
  <c r="A1" i="62"/>
  <c r="A1" i="61"/>
  <c r="AR29" i="48"/>
  <c r="AC2" i="62" l="1"/>
  <c r="AB23" i="50" s="1"/>
  <c r="AC1" i="62"/>
  <c r="AB22" i="50" s="1"/>
  <c r="J2" i="62"/>
  <c r="I23" i="50" s="1"/>
  <c r="R2" i="62"/>
  <c r="Q23" i="50" s="1"/>
  <c r="H1" i="62"/>
  <c r="G22" i="50" s="1"/>
  <c r="AE2" i="62"/>
  <c r="AD23" i="50" s="1"/>
  <c r="J1" i="62"/>
  <c r="I22" i="50" s="1"/>
  <c r="AF1" i="62"/>
  <c r="AE22" i="50" s="1"/>
  <c r="T2" i="62"/>
  <c r="S23" i="50" s="1"/>
  <c r="M2" i="62"/>
  <c r="L23" i="50" s="1"/>
  <c r="K2" i="62"/>
  <c r="J23" i="50" s="1"/>
  <c r="S2" i="62"/>
  <c r="R23" i="50" s="1"/>
  <c r="AG2" i="62"/>
  <c r="AF23" i="50" s="1"/>
  <c r="P1" i="62"/>
  <c r="O22" i="50" s="1"/>
  <c r="K1" i="62"/>
  <c r="J22" i="50" s="1"/>
  <c r="Y1" i="62"/>
  <c r="X22" i="50" s="1"/>
  <c r="AE1" i="62"/>
  <c r="AD22" i="50" s="1"/>
  <c r="R1" i="62"/>
  <c r="Q22" i="50" s="1"/>
  <c r="H2" i="62"/>
  <c r="G23" i="50" s="1"/>
  <c r="U2" i="62"/>
  <c r="T23" i="50" s="1"/>
  <c r="Z2" i="62"/>
  <c r="Y23" i="50" s="1"/>
  <c r="AB1" i="62"/>
  <c r="AA22" i="50" s="1"/>
  <c r="T1" i="62"/>
  <c r="S22" i="50" s="1"/>
  <c r="AB2" i="62"/>
  <c r="AA23" i="50" s="1"/>
  <c r="N1" i="62"/>
  <c r="M22" i="50" s="1"/>
  <c r="F1" i="62"/>
  <c r="E22" i="50" s="1"/>
  <c r="V1" i="62"/>
  <c r="U22" i="50" s="1"/>
  <c r="AI2" i="62"/>
  <c r="AH23" i="50" s="1"/>
  <c r="AA2" i="62"/>
  <c r="Z23" i="50" s="1"/>
  <c r="M1" i="62"/>
  <c r="L22" i="50" s="1"/>
  <c r="S1" i="62"/>
  <c r="R22" i="50" s="1"/>
  <c r="U1" i="62"/>
  <c r="T22" i="50" s="1"/>
  <c r="P2" i="62"/>
  <c r="O23" i="50" s="1"/>
  <c r="G2" i="62"/>
  <c r="F23" i="50" s="1"/>
  <c r="O2" i="62"/>
  <c r="N23" i="50" s="1"/>
  <c r="Z1" i="62"/>
  <c r="Y22" i="50" s="1"/>
  <c r="I1" i="62"/>
  <c r="H22" i="50" s="1"/>
  <c r="G1" i="62"/>
  <c r="F22" i="50" s="1"/>
  <c r="W1" i="62"/>
  <c r="V22" i="50" s="1"/>
  <c r="I2" i="62"/>
  <c r="H23" i="50" s="1"/>
  <c r="AD1" i="62"/>
  <c r="AC22" i="50" s="1"/>
  <c r="N2" i="62"/>
  <c r="M23" i="50" s="1"/>
  <c r="F2" i="62"/>
  <c r="E23" i="50" s="1"/>
  <c r="AH2" i="62"/>
  <c r="AG23" i="50" s="1"/>
  <c r="L1" i="62"/>
  <c r="K22" i="50" s="1"/>
  <c r="AA1" i="62"/>
  <c r="Z22" i="50" s="1"/>
  <c r="AH1" i="62"/>
  <c r="AG22" i="50" s="1"/>
  <c r="X2" i="62"/>
  <c r="W23" i="50" s="1"/>
  <c r="AF2" i="62"/>
  <c r="AE23" i="50" s="1"/>
  <c r="W2" i="62"/>
  <c r="V23" i="50" s="1"/>
  <c r="AG1" i="62"/>
  <c r="AF22" i="50" s="1"/>
  <c r="X1" i="62"/>
  <c r="W22" i="50" s="1"/>
  <c r="O1" i="62"/>
  <c r="N22" i="50" s="1"/>
  <c r="AI1" i="62"/>
  <c r="AH22" i="50" s="1"/>
  <c r="Q2" i="62"/>
  <c r="P23" i="50" s="1"/>
  <c r="Y2" i="62"/>
  <c r="X23" i="50" s="1"/>
  <c r="AD2" i="62"/>
  <c r="AC23" i="50" s="1"/>
  <c r="V2" i="62"/>
  <c r="U23" i="50" s="1"/>
  <c r="Q1" i="62"/>
  <c r="P22" i="50" s="1"/>
  <c r="L2" i="62"/>
  <c r="K23" i="50" s="1"/>
  <c r="X1" i="61"/>
  <c r="W38" i="50" s="1"/>
  <c r="U1" i="61"/>
  <c r="T38" i="50" s="1"/>
  <c r="H2" i="61"/>
  <c r="G39" i="50" s="1"/>
  <c r="AA1" i="61"/>
  <c r="Z38" i="50" s="1"/>
  <c r="W1" i="61"/>
  <c r="V38" i="50" s="1"/>
  <c r="J2" i="61"/>
  <c r="I39" i="50" s="1"/>
  <c r="T2" i="61"/>
  <c r="S39" i="50" s="1"/>
  <c r="AD1" i="61"/>
  <c r="AC38" i="50" s="1"/>
  <c r="AI1" i="61"/>
  <c r="AH38" i="50" s="1"/>
  <c r="F2" i="61"/>
  <c r="E39" i="50" s="1"/>
  <c r="Y2" i="61"/>
  <c r="X39" i="50" s="1"/>
  <c r="AG2" i="61"/>
  <c r="AF39" i="50" s="1"/>
  <c r="X2" i="61"/>
  <c r="W39" i="50" s="1"/>
  <c r="AE1" i="61"/>
  <c r="AD38" i="50" s="1"/>
  <c r="R2" i="61"/>
  <c r="Q39" i="50" s="1"/>
  <c r="AB2" i="61"/>
  <c r="AA39" i="50" s="1"/>
  <c r="AF2" i="61"/>
  <c r="AE39" i="50" s="1"/>
  <c r="V2" i="61"/>
  <c r="U39" i="50" s="1"/>
  <c r="Z1" i="61"/>
  <c r="Y38" i="50" s="1"/>
  <c r="AG1" i="61"/>
  <c r="AF38" i="50" s="1"/>
  <c r="Y1" i="61"/>
  <c r="X38" i="50" s="1"/>
  <c r="O1" i="61"/>
  <c r="N38" i="50" s="1"/>
  <c r="G1" i="61"/>
  <c r="F38" i="50" s="1"/>
  <c r="P2" i="61"/>
  <c r="O39" i="50" s="1"/>
  <c r="Z2" i="61"/>
  <c r="Y39" i="50" s="1"/>
  <c r="M2" i="61"/>
  <c r="L39" i="50" s="1"/>
  <c r="N2" i="61"/>
  <c r="M39" i="50" s="1"/>
  <c r="W2" i="61"/>
  <c r="V39" i="50" s="1"/>
  <c r="AH2" i="61"/>
  <c r="AG39" i="50" s="1"/>
  <c r="M1" i="61"/>
  <c r="L38" i="50" s="1"/>
  <c r="N1" i="61"/>
  <c r="M38" i="50" s="1"/>
  <c r="O2" i="61"/>
  <c r="N39" i="50" s="1"/>
  <c r="S2" i="61"/>
  <c r="R39" i="50" s="1"/>
  <c r="S1" i="61"/>
  <c r="R38" i="50" s="1"/>
  <c r="U2" i="61"/>
  <c r="T39" i="50" s="1"/>
  <c r="H1" i="61"/>
  <c r="G38" i="50" s="1"/>
  <c r="G2" i="61"/>
  <c r="F39" i="50" s="1"/>
  <c r="Q1" i="61"/>
  <c r="P38" i="50" s="1"/>
  <c r="AF1" i="61"/>
  <c r="AE38" i="50" s="1"/>
  <c r="J1" i="61"/>
  <c r="I38" i="50" s="1"/>
  <c r="L1" i="61"/>
  <c r="K38" i="50" s="1"/>
  <c r="AC2" i="61"/>
  <c r="AB39" i="50" s="1"/>
  <c r="F1" i="61"/>
  <c r="E38" i="50" s="1"/>
  <c r="V1" i="61"/>
  <c r="U38" i="50" s="1"/>
  <c r="Q2" i="61"/>
  <c r="P39" i="50" s="1"/>
  <c r="AD2" i="61"/>
  <c r="AC39" i="50" s="1"/>
  <c r="I2" i="61"/>
  <c r="H39" i="50" s="1"/>
  <c r="K2" i="61"/>
  <c r="J39" i="50" s="1"/>
  <c r="R1" i="61"/>
  <c r="Q38" i="50" s="1"/>
  <c r="T1" i="61"/>
  <c r="S38" i="50" s="1"/>
  <c r="K1" i="61"/>
  <c r="J38" i="50" s="1"/>
  <c r="P1" i="61"/>
  <c r="O38" i="50" s="1"/>
  <c r="AA2" i="61"/>
  <c r="Z39" i="50" s="1"/>
  <c r="AB1" i="61"/>
  <c r="AA38" i="50" s="1"/>
  <c r="AE2" i="61"/>
  <c r="AD39" i="50" s="1"/>
  <c r="AC1" i="61"/>
  <c r="AB38" i="50" s="1"/>
  <c r="AI2" i="61"/>
  <c r="AH39" i="50" s="1"/>
  <c r="I1" i="61"/>
  <c r="H38" i="50" s="1"/>
  <c r="AH1" i="61"/>
  <c r="AG38" i="50" s="1"/>
  <c r="L2" i="61"/>
  <c r="K39" i="50" s="1"/>
  <c r="S1" i="63"/>
  <c r="R24" i="50" s="1"/>
  <c r="Z2" i="63"/>
  <c r="Y25" i="50" s="1"/>
  <c r="L1" i="63"/>
  <c r="K24" i="50" s="1"/>
  <c r="G1" i="63"/>
  <c r="F24" i="50" s="1"/>
  <c r="Q1" i="63"/>
  <c r="P24" i="50" s="1"/>
  <c r="T2" i="63"/>
  <c r="S25" i="50" s="1"/>
  <c r="G2" i="63"/>
  <c r="F25" i="50" s="1"/>
  <c r="K2" i="63"/>
  <c r="J25" i="50" s="1"/>
  <c r="AH1" i="63"/>
  <c r="AG24" i="50" s="1"/>
  <c r="AC2" i="63"/>
  <c r="AB25" i="50" s="1"/>
  <c r="H1" i="63"/>
  <c r="G24" i="50" s="1"/>
  <c r="W2" i="63"/>
  <c r="V25" i="50" s="1"/>
  <c r="AD1" i="63"/>
  <c r="AC24" i="50" s="1"/>
  <c r="H2" i="63"/>
  <c r="G25" i="50" s="1"/>
  <c r="AH2" i="63"/>
  <c r="AG25" i="50" s="1"/>
  <c r="K1" i="63"/>
  <c r="J24" i="50" s="1"/>
  <c r="AD2" i="63"/>
  <c r="AC25" i="50" s="1"/>
  <c r="I1" i="63"/>
  <c r="H24" i="50" s="1"/>
  <c r="L2" i="63"/>
  <c r="K25" i="50" s="1"/>
  <c r="AE1" i="63"/>
  <c r="AD24" i="50" s="1"/>
  <c r="I2" i="63"/>
  <c r="H25" i="50" s="1"/>
  <c r="R1" i="63"/>
  <c r="Q24" i="50" s="1"/>
  <c r="AA1" i="63"/>
  <c r="Z24" i="50" s="1"/>
  <c r="AE2" i="63"/>
  <c r="AD25" i="50" s="1"/>
  <c r="U2" i="63"/>
  <c r="T25" i="50" s="1"/>
  <c r="V1" i="63"/>
  <c r="U24" i="50" s="1"/>
  <c r="AF1" i="63"/>
  <c r="AE24" i="50" s="1"/>
  <c r="M2" i="63"/>
  <c r="L25" i="50" s="1"/>
  <c r="AG2" i="63"/>
  <c r="AF25" i="50" s="1"/>
  <c r="AA2" i="63"/>
  <c r="Z25" i="50" s="1"/>
  <c r="S2" i="63"/>
  <c r="R25" i="50" s="1"/>
  <c r="AF2" i="63"/>
  <c r="AE25" i="50" s="1"/>
  <c r="AB1" i="63"/>
  <c r="AA24" i="50" s="1"/>
  <c r="W1" i="63"/>
  <c r="V24" i="50" s="1"/>
  <c r="AG1" i="63"/>
  <c r="AF24" i="50" s="1"/>
  <c r="N2" i="63"/>
  <c r="M25" i="50" s="1"/>
  <c r="J2" i="63"/>
  <c r="I25" i="50" s="1"/>
  <c r="AI1" i="63"/>
  <c r="AH24" i="50" s="1"/>
  <c r="AC1" i="63"/>
  <c r="AB24" i="50" s="1"/>
  <c r="X2" i="63"/>
  <c r="W25" i="50" s="1"/>
  <c r="N1" i="63"/>
  <c r="M24" i="50" s="1"/>
  <c r="X1" i="63"/>
  <c r="W24" i="50" s="1"/>
  <c r="Y2" i="63"/>
  <c r="X25" i="50" s="1"/>
  <c r="O2" i="63"/>
  <c r="N25" i="50" s="1"/>
  <c r="U1" i="63"/>
  <c r="T24" i="50" s="1"/>
  <c r="M1" i="63"/>
  <c r="L24" i="50" s="1"/>
  <c r="J1" i="63"/>
  <c r="I24" i="50" s="1"/>
  <c r="T1" i="63"/>
  <c r="S24" i="50" s="1"/>
  <c r="O1" i="63"/>
  <c r="N24" i="50" s="1"/>
  <c r="Y1" i="63"/>
  <c r="X24" i="50" s="1"/>
  <c r="AB2" i="63"/>
  <c r="AA25" i="50" s="1"/>
  <c r="P2" i="63"/>
  <c r="O25" i="50" s="1"/>
  <c r="AI2" i="63"/>
  <c r="AH25" i="50" s="1"/>
  <c r="R2" i="63"/>
  <c r="Q25" i="50" s="1"/>
  <c r="Z1" i="63"/>
  <c r="Y24" i="50" s="1"/>
  <c r="F1" i="63"/>
  <c r="E24" i="50" s="1"/>
  <c r="P1" i="63"/>
  <c r="O24" i="50" s="1"/>
  <c r="V2" i="63"/>
  <c r="U25" i="50" s="1"/>
  <c r="F2" i="63"/>
  <c r="E25" i="50" s="1"/>
  <c r="Q2" i="63"/>
  <c r="P25" i="50" s="1"/>
  <c r="CE51" i="48"/>
  <c r="BW51" i="48"/>
  <c r="BL106" i="48"/>
  <c r="BK106" i="48"/>
  <c r="BJ106" i="48"/>
  <c r="BI106" i="48"/>
  <c r="BH106" i="48"/>
  <c r="BG106" i="48"/>
  <c r="BF106" i="48"/>
  <c r="BE106" i="48"/>
  <c r="BD106" i="48"/>
  <c r="BC106" i="48"/>
  <c r="BB106" i="48"/>
  <c r="BA106" i="48"/>
  <c r="AZ106" i="48"/>
  <c r="AY106" i="48"/>
  <c r="E55" i="48" s="1" a="1"/>
  <c r="E55" i="48" s="1"/>
  <c r="BL105" i="48"/>
  <c r="BK105" i="48"/>
  <c r="BJ105" i="48"/>
  <c r="BI105" i="48"/>
  <c r="BH105" i="48"/>
  <c r="BG105" i="48"/>
  <c r="BF105" i="48"/>
  <c r="BE105" i="48"/>
  <c r="BD105" i="48"/>
  <c r="BC105" i="48"/>
  <c r="BB105" i="48"/>
  <c r="BA105" i="48"/>
  <c r="AZ105" i="48"/>
  <c r="AY105" i="48"/>
  <c r="E60" i="48" s="1" a="1"/>
  <c r="E60" i="48" s="1"/>
  <c r="BN72" i="48"/>
  <c r="BM72" i="48"/>
  <c r="BL72" i="48"/>
  <c r="BK72" i="48"/>
  <c r="BJ72" i="48"/>
  <c r="BI72" i="48"/>
  <c r="BH72" i="48"/>
  <c r="BG72" i="48"/>
  <c r="BF72" i="48"/>
  <c r="BE72" i="48"/>
  <c r="BD72" i="48"/>
  <c r="BC72" i="48"/>
  <c r="BB72" i="48"/>
  <c r="BA72" i="48"/>
  <c r="AZ72" i="48"/>
  <c r="AY72" i="48"/>
  <c r="B56" i="48" s="1" a="1"/>
  <c r="B56" i="48" s="1"/>
  <c r="BN73" i="48"/>
  <c r="BM73" i="48"/>
  <c r="BL73" i="48"/>
  <c r="BK73" i="48"/>
  <c r="BJ73" i="48"/>
  <c r="BI73" i="48"/>
  <c r="BH73" i="48"/>
  <c r="BG73" i="48"/>
  <c r="BF73" i="48"/>
  <c r="BE73" i="48"/>
  <c r="BD73" i="48"/>
  <c r="BC73" i="48"/>
  <c r="BB73" i="48"/>
  <c r="BA73" i="48"/>
  <c r="AZ73" i="48"/>
  <c r="AY73" i="48"/>
  <c r="B54" i="48" s="1" a="1"/>
  <c r="B54" i="48" s="1"/>
  <c r="AO99" i="48"/>
  <c r="AO86" i="48"/>
  <c r="W78" i="48"/>
  <c r="AA113" i="48"/>
  <c r="J105" i="48"/>
  <c r="J93" i="48"/>
  <c r="AF59" i="48" l="1"/>
  <c r="AB48" i="48"/>
  <c r="AR48" i="48"/>
  <c r="AO48" i="48"/>
  <c r="BN71" i="48"/>
  <c r="CC71" i="48" s="1"/>
  <c r="BM70" i="48"/>
  <c r="CC70" i="48" s="1"/>
  <c r="BL69" i="48"/>
  <c r="CC69" i="48" s="1"/>
  <c r="BK68" i="48"/>
  <c r="CC68" i="48" s="1"/>
  <c r="BJ67" i="48"/>
  <c r="CC67" i="48" s="1"/>
  <c r="BI66" i="48"/>
  <c r="CC66" i="48" s="1"/>
  <c r="BH65" i="48"/>
  <c r="CC65" i="48" s="1"/>
  <c r="BG64" i="48"/>
  <c r="CC64" i="48" s="1"/>
  <c r="BF63" i="48"/>
  <c r="CC63" i="48" s="1"/>
  <c r="BE62" i="48"/>
  <c r="CC62" i="48" s="1"/>
  <c r="BD61" i="48"/>
  <c r="CC61" i="48" s="1"/>
  <c r="BC60" i="48"/>
  <c r="CC60" i="48" s="1"/>
  <c r="BB59" i="48"/>
  <c r="CC59" i="48" s="1"/>
  <c r="BA58" i="48"/>
  <c r="CC58" i="48" s="1"/>
  <c r="AZ57" i="48"/>
  <c r="CC57" i="48" s="1"/>
  <c r="AY56" i="48"/>
  <c r="CC56" i="48" s="1"/>
  <c r="W52" i="48"/>
  <c r="S41" i="48"/>
  <c r="K52" i="48"/>
  <c r="K40" i="48"/>
  <c r="BL79" i="48"/>
  <c r="AQ7" i="48" s="1"/>
  <c r="F10" i="80" s="1"/>
  <c r="BK79" i="48"/>
  <c r="AQ8" i="48" s="1"/>
  <c r="F11" i="80" s="1"/>
  <c r="BJ79" i="48"/>
  <c r="AQ3" i="48" s="1"/>
  <c r="F6" i="80" s="1"/>
  <c r="BI79" i="48"/>
  <c r="AQ2" i="48" s="1"/>
  <c r="F5" i="80" s="1"/>
  <c r="BH79" i="48"/>
  <c r="AQ16" i="48" s="1"/>
  <c r="F19" i="80" s="1"/>
  <c r="BG79" i="48"/>
  <c r="AQ14" i="48" s="1"/>
  <c r="F17" i="80" s="1"/>
  <c r="BF79" i="48"/>
  <c r="AQ12" i="48" s="1"/>
  <c r="F15" i="80" s="1"/>
  <c r="BE79" i="48"/>
  <c r="AP7" i="48" s="1"/>
  <c r="E10" i="80" s="1"/>
  <c r="BD79" i="48"/>
  <c r="AP8" i="48" s="1"/>
  <c r="E11" i="80" s="1"/>
  <c r="BC79" i="48"/>
  <c r="AP3" i="48" s="1"/>
  <c r="E6" i="80" s="1"/>
  <c r="BB79" i="48"/>
  <c r="AP2" i="48" s="1"/>
  <c r="E5" i="80" s="1"/>
  <c r="BA79" i="48"/>
  <c r="AP16" i="48" s="1"/>
  <c r="E19" i="80" s="1"/>
  <c r="AZ79" i="48"/>
  <c r="AP14" i="48" s="1"/>
  <c r="E17" i="80" s="1"/>
  <c r="AY79" i="48"/>
  <c r="AP12" i="48" s="1"/>
  <c r="E15" i="80" s="1"/>
  <c r="BN32" i="48"/>
  <c r="AQ15" i="48" s="1"/>
  <c r="F18" i="80" s="1"/>
  <c r="BM32" i="48"/>
  <c r="AQ13" i="48" s="1"/>
  <c r="F16" i="80" s="1"/>
  <c r="BL32" i="48"/>
  <c r="BK32" i="48"/>
  <c r="BJ32" i="48"/>
  <c r="BI32" i="48"/>
  <c r="AQ5" i="48" s="1"/>
  <c r="F8" i="80" s="1"/>
  <c r="BH32" i="48"/>
  <c r="AQ6" i="48" s="1"/>
  <c r="F9" i="80" s="1"/>
  <c r="BG32" i="48"/>
  <c r="AQ11" i="48" s="1"/>
  <c r="F14" i="80" s="1"/>
  <c r="BF32" i="48"/>
  <c r="AP15" i="48" s="1"/>
  <c r="E18" i="80" s="1"/>
  <c r="BE32" i="48"/>
  <c r="AP13" i="48" s="1"/>
  <c r="E16" i="80" s="1"/>
  <c r="BD32" i="48"/>
  <c r="BC32" i="48"/>
  <c r="BB32" i="48"/>
  <c r="BA32" i="48"/>
  <c r="AP5" i="48" s="1"/>
  <c r="E8" i="80" s="1"/>
  <c r="AZ32" i="48"/>
  <c r="AP6" i="48" s="1"/>
  <c r="E9" i="80" s="1"/>
  <c r="AY32" i="48"/>
  <c r="AP11" i="48" s="1"/>
  <c r="E14" i="80" s="1"/>
  <c r="C2" i="59"/>
  <c r="A2" i="59"/>
  <c r="C1" i="59"/>
  <c r="A1" i="59"/>
  <c r="AB18" i="52"/>
  <c r="AB17" i="52"/>
  <c r="AR31" i="48"/>
  <c r="G44" i="52" l="1"/>
  <c r="AP4" i="48"/>
  <c r="E7" i="80" s="1"/>
  <c r="G45" i="52"/>
  <c r="AQ4" i="48"/>
  <c r="F7" i="80" s="1"/>
  <c r="AE34" i="52"/>
  <c r="AP10" i="48"/>
  <c r="E13" i="80" s="1"/>
  <c r="AE35" i="52"/>
  <c r="AQ10" i="48"/>
  <c r="F13" i="80" s="1"/>
  <c r="AE10" i="52"/>
  <c r="AP9" i="48"/>
  <c r="E12" i="80" s="1"/>
  <c r="AE11" i="52"/>
  <c r="AQ9" i="48"/>
  <c r="F12" i="80" s="1"/>
  <c r="BT77" i="48"/>
  <c r="H39" i="48" s="1"/>
  <c r="AA64" i="48"/>
  <c r="W44" i="52"/>
  <c r="AA65" i="48"/>
  <c r="W45" i="52"/>
  <c r="N35" i="48"/>
  <c r="G4" i="52"/>
  <c r="W39" i="48"/>
  <c r="P13" i="52"/>
  <c r="O47" i="48"/>
  <c r="G21" i="52"/>
  <c r="AJ35" i="48"/>
  <c r="AE4" i="52"/>
  <c r="W38" i="48"/>
  <c r="P12" i="52"/>
  <c r="O46" i="48"/>
  <c r="G20" i="52"/>
  <c r="N34" i="48"/>
  <c r="G3" i="52"/>
  <c r="AJ34" i="48"/>
  <c r="AE3" i="52"/>
  <c r="BO68" i="48"/>
  <c r="CA68" i="48" s="1"/>
  <c r="O62" i="48"/>
  <c r="BO39" i="48"/>
  <c r="BO47" i="48"/>
  <c r="BO55" i="48"/>
  <c r="CA55" i="48" s="1"/>
  <c r="BO61" i="48"/>
  <c r="CA61" i="48" s="1"/>
  <c r="O63" i="48"/>
  <c r="BO40" i="48"/>
  <c r="BO48" i="48"/>
  <c r="BO58" i="48"/>
  <c r="CA58" i="48" s="1"/>
  <c r="BO62" i="48"/>
  <c r="CA62" i="48" s="1"/>
  <c r="BO70" i="48"/>
  <c r="CA70" i="48" s="1"/>
  <c r="BO41" i="48"/>
  <c r="BO49" i="48"/>
  <c r="BT31" i="48"/>
  <c r="H38" i="48" s="1"/>
  <c r="BO42" i="48"/>
  <c r="BO50" i="48"/>
  <c r="AJ40" i="48"/>
  <c r="AJ54" i="48"/>
  <c r="BO35" i="48"/>
  <c r="BO43" i="48"/>
  <c r="BO51" i="48"/>
  <c r="AJ41" i="48"/>
  <c r="AJ55" i="48"/>
  <c r="BO36" i="48"/>
  <c r="BO44" i="48"/>
  <c r="BO52" i="48"/>
  <c r="CA52" i="48" s="1"/>
  <c r="BO66" i="48"/>
  <c r="CA66" i="48" s="1"/>
  <c r="BO37" i="48"/>
  <c r="BO45" i="48"/>
  <c r="BO53" i="48"/>
  <c r="CA53" i="48" s="1"/>
  <c r="BO38" i="48"/>
  <c r="BO46" i="48"/>
  <c r="BO54" i="48"/>
  <c r="CA54" i="48" s="1"/>
  <c r="BO56" i="48"/>
  <c r="CA56" i="48" s="1"/>
  <c r="BO57" i="48"/>
  <c r="CA57" i="48" s="1"/>
  <c r="BO64" i="48"/>
  <c r="CA64" i="48" s="1"/>
  <c r="BO65" i="48"/>
  <c r="CA65" i="48" s="1"/>
  <c r="BO59" i="48"/>
  <c r="CA59" i="48" s="1"/>
  <c r="BO67" i="48"/>
  <c r="CA67" i="48" s="1"/>
  <c r="BO60" i="48"/>
  <c r="CA60" i="48" s="1"/>
  <c r="BO69" i="48"/>
  <c r="CA69" i="48" s="1"/>
  <c r="BO63" i="48"/>
  <c r="CA63" i="48" s="1"/>
  <c r="BO71" i="48"/>
  <c r="CA71" i="48" s="1"/>
  <c r="V2" i="59"/>
  <c r="U31" i="50" s="1"/>
  <c r="S1" i="59"/>
  <c r="R30" i="50" s="1"/>
  <c r="V1" i="59"/>
  <c r="U30" i="50" s="1"/>
  <c r="F2" i="59"/>
  <c r="E31" i="50" s="1"/>
  <c r="J2" i="59"/>
  <c r="I31" i="50" s="1"/>
  <c r="Z1" i="59"/>
  <c r="Y30" i="50" s="1"/>
  <c r="AA1" i="59"/>
  <c r="Z30" i="50" s="1"/>
  <c r="O2" i="59"/>
  <c r="N31" i="50" s="1"/>
  <c r="G1" i="59"/>
  <c r="F30" i="50" s="1"/>
  <c r="AD1" i="59"/>
  <c r="AC30" i="50" s="1"/>
  <c r="Z2" i="59"/>
  <c r="Y31" i="50" s="1"/>
  <c r="K1" i="59"/>
  <c r="J30" i="50" s="1"/>
  <c r="AH1" i="59"/>
  <c r="AG30" i="50" s="1"/>
  <c r="AA2" i="59"/>
  <c r="Z31" i="50" s="1"/>
  <c r="L1" i="59"/>
  <c r="J1" i="59"/>
  <c r="I30" i="50" s="1"/>
  <c r="AD2" i="59"/>
  <c r="AC31" i="50" s="1"/>
  <c r="K2" i="59"/>
  <c r="J31" i="50" s="1"/>
  <c r="N1" i="59"/>
  <c r="M30" i="50" s="1"/>
  <c r="AH2" i="59"/>
  <c r="AG31" i="50" s="1"/>
  <c r="R1" i="59"/>
  <c r="Q30" i="50" s="1"/>
  <c r="AE1" i="59"/>
  <c r="AD30" i="50" s="1"/>
  <c r="N2" i="59"/>
  <c r="M31" i="50" s="1"/>
  <c r="AE2" i="59"/>
  <c r="AD31" i="50" s="1"/>
  <c r="F1" i="59"/>
  <c r="E30" i="50" s="1"/>
  <c r="T1" i="59"/>
  <c r="S30" i="50" s="1"/>
  <c r="AI1" i="59"/>
  <c r="AH30" i="50" s="1"/>
  <c r="R2" i="59"/>
  <c r="Q31" i="50" s="1"/>
  <c r="AI2" i="59"/>
  <c r="AH31" i="50" s="1"/>
  <c r="S2" i="59"/>
  <c r="R31" i="50" s="1"/>
  <c r="W1" i="59"/>
  <c r="V30" i="50" s="1"/>
  <c r="AG2" i="59"/>
  <c r="AF31" i="50" s="1"/>
  <c r="Y2" i="59"/>
  <c r="X31" i="50" s="1"/>
  <c r="Q2" i="59"/>
  <c r="P31" i="50" s="1"/>
  <c r="I2" i="59"/>
  <c r="H31" i="50" s="1"/>
  <c r="AG1" i="59"/>
  <c r="AF30" i="50" s="1"/>
  <c r="Y1" i="59"/>
  <c r="X30" i="50" s="1"/>
  <c r="Q1" i="59"/>
  <c r="P30" i="50" s="1"/>
  <c r="I1" i="59"/>
  <c r="H30" i="50" s="1"/>
  <c r="AF2" i="59"/>
  <c r="AE31" i="50" s="1"/>
  <c r="X2" i="59"/>
  <c r="W31" i="50" s="1"/>
  <c r="P2" i="59"/>
  <c r="O31" i="50" s="1"/>
  <c r="H2" i="59"/>
  <c r="G31" i="50" s="1"/>
  <c r="AF1" i="59"/>
  <c r="AE30" i="50" s="1"/>
  <c r="X1" i="59"/>
  <c r="W30" i="50" s="1"/>
  <c r="P1" i="59"/>
  <c r="O30" i="50" s="1"/>
  <c r="H1" i="59"/>
  <c r="G30" i="50" s="1"/>
  <c r="AC2" i="59"/>
  <c r="AB31" i="50" s="1"/>
  <c r="U2" i="59"/>
  <c r="T31" i="50" s="1"/>
  <c r="M2" i="59"/>
  <c r="L31" i="50" s="1"/>
  <c r="AC1" i="59"/>
  <c r="AB30" i="50" s="1"/>
  <c r="U1" i="59"/>
  <c r="T30" i="50" s="1"/>
  <c r="M1" i="59"/>
  <c r="L30" i="50" s="1"/>
  <c r="AB2" i="59"/>
  <c r="AA31" i="50" s="1"/>
  <c r="L2" i="59"/>
  <c r="K31" i="50" s="1"/>
  <c r="T2" i="59"/>
  <c r="S31" i="50" s="1"/>
  <c r="O1" i="59"/>
  <c r="N30" i="50" s="1"/>
  <c r="AB1" i="59"/>
  <c r="AA30" i="50" s="1"/>
  <c r="G2" i="59"/>
  <c r="F31" i="50" s="1"/>
  <c r="W2" i="59"/>
  <c r="V31" i="50" s="1"/>
  <c r="K30" i="50" l="1"/>
  <c r="B58" i="48" a="1"/>
  <c r="B58" i="48" s="1"/>
  <c r="C2" i="58"/>
  <c r="A2" i="58"/>
  <c r="C1" i="58"/>
  <c r="A1" i="58"/>
  <c r="AE2" i="58" l="1"/>
  <c r="AD27" i="50" s="1"/>
  <c r="I1" i="58"/>
  <c r="H26" i="50" s="1"/>
  <c r="V1" i="58"/>
  <c r="U26" i="50" s="1"/>
  <c r="AH1" i="58"/>
  <c r="AG26" i="50" s="1"/>
  <c r="N2" i="58"/>
  <c r="M27" i="50" s="1"/>
  <c r="Z2" i="58"/>
  <c r="Y27" i="50" s="1"/>
  <c r="AC2" i="58"/>
  <c r="AB27" i="50" s="1"/>
  <c r="M1" i="58"/>
  <c r="L26" i="50" s="1"/>
  <c r="Y1" i="58"/>
  <c r="X26" i="50" s="1"/>
  <c r="Q2" i="58"/>
  <c r="P27" i="50" s="1"/>
  <c r="AD2" i="58"/>
  <c r="AC27" i="50" s="1"/>
  <c r="X1" i="58"/>
  <c r="W26" i="50" s="1"/>
  <c r="N1" i="58"/>
  <c r="M26" i="50" s="1"/>
  <c r="Z1" i="58"/>
  <c r="Y26" i="50" s="1"/>
  <c r="F2" i="58"/>
  <c r="E27" i="50" s="1"/>
  <c r="R2" i="58"/>
  <c r="Q27" i="50" s="1"/>
  <c r="AF2" i="58"/>
  <c r="AE27" i="50" s="1"/>
  <c r="P1" i="58"/>
  <c r="O26" i="50" s="1"/>
  <c r="AC1" i="58"/>
  <c r="AB26" i="50" s="1"/>
  <c r="H2" i="58"/>
  <c r="G27" i="50" s="1"/>
  <c r="U2" i="58"/>
  <c r="T27" i="50" s="1"/>
  <c r="AG2" i="58"/>
  <c r="AF27" i="50" s="1"/>
  <c r="P2" i="58"/>
  <c r="O27" i="50" s="1"/>
  <c r="Q1" i="58"/>
  <c r="P26" i="50" s="1"/>
  <c r="AD1" i="58"/>
  <c r="AC26" i="50" s="1"/>
  <c r="I2" i="58"/>
  <c r="H27" i="50" s="1"/>
  <c r="V2" i="58"/>
  <c r="U27" i="50" s="1"/>
  <c r="AH2" i="58"/>
  <c r="AG27" i="50" s="1"/>
  <c r="J1" i="58"/>
  <c r="I26" i="50" s="1"/>
  <c r="F1" i="58"/>
  <c r="E26" i="50" s="1"/>
  <c r="R1" i="58"/>
  <c r="Q26" i="50" s="1"/>
  <c r="AF1" i="58"/>
  <c r="AE26" i="50" s="1"/>
  <c r="J2" i="58"/>
  <c r="I27" i="50" s="1"/>
  <c r="X2" i="58"/>
  <c r="W27" i="50" s="1"/>
  <c r="H1" i="58"/>
  <c r="G26" i="50" s="1"/>
  <c r="U1" i="58"/>
  <c r="T26" i="50" s="1"/>
  <c r="AG1" i="58"/>
  <c r="AF26" i="50" s="1"/>
  <c r="M2" i="58"/>
  <c r="L27" i="50" s="1"/>
  <c r="Y2" i="58"/>
  <c r="X27" i="50" s="1"/>
  <c r="K1" i="58"/>
  <c r="J26" i="50" s="1"/>
  <c r="S1" i="58"/>
  <c r="R26" i="50" s="1"/>
  <c r="AA1" i="58"/>
  <c r="Z26" i="50" s="1"/>
  <c r="AI1" i="58"/>
  <c r="AH26" i="50" s="1"/>
  <c r="K2" i="58"/>
  <c r="J27" i="50" s="1"/>
  <c r="S2" i="58"/>
  <c r="R27" i="50" s="1"/>
  <c r="AA2" i="58"/>
  <c r="Z27" i="50" s="1"/>
  <c r="AI2" i="58"/>
  <c r="AH27" i="50" s="1"/>
  <c r="L1" i="58"/>
  <c r="K26" i="50" s="1"/>
  <c r="T1" i="58"/>
  <c r="S26" i="50" s="1"/>
  <c r="AB1" i="58"/>
  <c r="AA26" i="50" s="1"/>
  <c r="L2" i="58"/>
  <c r="K27" i="50" s="1"/>
  <c r="T2" i="58"/>
  <c r="S27" i="50" s="1"/>
  <c r="AB2" i="58"/>
  <c r="AA27" i="50" s="1"/>
  <c r="G1" i="58"/>
  <c r="F26" i="50" s="1"/>
  <c r="O1" i="58"/>
  <c r="N26" i="50" s="1"/>
  <c r="W1" i="58"/>
  <c r="V26" i="50" s="1"/>
  <c r="AE1" i="58"/>
  <c r="AD26" i="50" s="1"/>
  <c r="G2" i="58"/>
  <c r="F27" i="50" s="1"/>
  <c r="O2" i="58"/>
  <c r="N27" i="50" s="1"/>
  <c r="W2" i="58"/>
  <c r="V27" i="50" s="1"/>
  <c r="C2" i="56"/>
  <c r="A2" i="56"/>
  <c r="C1" i="56"/>
  <c r="A1" i="56"/>
  <c r="D2" i="13"/>
  <c r="E2" i="13"/>
  <c r="F2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AA2" i="13"/>
  <c r="AB2" i="13"/>
  <c r="AC2" i="13"/>
  <c r="AD2" i="13"/>
  <c r="AE2" i="13"/>
  <c r="D3" i="13"/>
  <c r="E3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C2" i="13"/>
  <c r="C3" i="13"/>
  <c r="C4" i="13"/>
  <c r="B3" i="13"/>
  <c r="B4" i="13"/>
  <c r="B2" i="13"/>
  <c r="V5" i="66" l="1"/>
  <c r="V5" i="67"/>
  <c r="J4" i="67"/>
  <c r="J4" i="66"/>
  <c r="F4" i="66"/>
  <c r="F4" i="67"/>
  <c r="AE5" i="66"/>
  <c r="AE5" i="67"/>
  <c r="W5" i="66"/>
  <c r="W5" i="67"/>
  <c r="O5" i="66"/>
  <c r="O5" i="67"/>
  <c r="AI4" i="66"/>
  <c r="AI4" i="67"/>
  <c r="AA4" i="66"/>
  <c r="AA4" i="67"/>
  <c r="S4" i="66"/>
  <c r="S4" i="67"/>
  <c r="K4" i="66"/>
  <c r="K4" i="67"/>
  <c r="AE3" i="67"/>
  <c r="AE3" i="66"/>
  <c r="W3" i="67"/>
  <c r="W3" i="66"/>
  <c r="O3" i="67"/>
  <c r="O3" i="66"/>
  <c r="R4" i="67"/>
  <c r="R4" i="66"/>
  <c r="AC5" i="66"/>
  <c r="AC5" i="67"/>
  <c r="U5" i="66"/>
  <c r="U5" i="67"/>
  <c r="M5" i="66"/>
  <c r="M5" i="67"/>
  <c r="AG4" i="67"/>
  <c r="AG4" i="66"/>
  <c r="Y4" i="67"/>
  <c r="Y4" i="66"/>
  <c r="Q4" i="67"/>
  <c r="Q4" i="66"/>
  <c r="I4" i="67"/>
  <c r="I4" i="66"/>
  <c r="AC3" i="67"/>
  <c r="AC3" i="66"/>
  <c r="U3" i="67"/>
  <c r="U3" i="66"/>
  <c r="M3" i="67"/>
  <c r="M3" i="66"/>
  <c r="N5" i="66"/>
  <c r="N5" i="67"/>
  <c r="N3" i="67"/>
  <c r="N3" i="66"/>
  <c r="G4" i="67"/>
  <c r="G4" i="66"/>
  <c r="G3" i="67"/>
  <c r="G3" i="66"/>
  <c r="AB5" i="67"/>
  <c r="AB5" i="66"/>
  <c r="T5" i="66"/>
  <c r="T5" i="67"/>
  <c r="L5" i="66"/>
  <c r="L5" i="67"/>
  <c r="AF4" i="67"/>
  <c r="AF4" i="66"/>
  <c r="X4" i="67"/>
  <c r="X4" i="66"/>
  <c r="P4" i="67"/>
  <c r="P4" i="66"/>
  <c r="H4" i="67"/>
  <c r="H4" i="66"/>
  <c r="AB3" i="66"/>
  <c r="AB3" i="67"/>
  <c r="T3" i="66"/>
  <c r="T3" i="67"/>
  <c r="L3" i="66"/>
  <c r="L3" i="67"/>
  <c r="G5" i="66"/>
  <c r="G5" i="67"/>
  <c r="Z4" i="66"/>
  <c r="Z4" i="67"/>
  <c r="AI5" i="67"/>
  <c r="AI5" i="66"/>
  <c r="AA5" i="67"/>
  <c r="AA5" i="66"/>
  <c r="S5" i="67"/>
  <c r="S5" i="66"/>
  <c r="K5" i="67"/>
  <c r="K5" i="66"/>
  <c r="AE4" i="66"/>
  <c r="AE4" i="67"/>
  <c r="W4" i="67"/>
  <c r="W4" i="66"/>
  <c r="O4" i="67"/>
  <c r="O4" i="66"/>
  <c r="AI3" i="66"/>
  <c r="AI3" i="67"/>
  <c r="AA3" i="66"/>
  <c r="AA3" i="67"/>
  <c r="S3" i="66"/>
  <c r="S3" i="67"/>
  <c r="K3" i="66"/>
  <c r="K3" i="67"/>
  <c r="AD5" i="66"/>
  <c r="AD5" i="67"/>
  <c r="V3" i="67"/>
  <c r="V3" i="66"/>
  <c r="AH5" i="67"/>
  <c r="AH5" i="66"/>
  <c r="Z5" i="67"/>
  <c r="Z5" i="66"/>
  <c r="R5" i="67"/>
  <c r="R5" i="66"/>
  <c r="J5" i="67"/>
  <c r="J5" i="66"/>
  <c r="AD4" i="66"/>
  <c r="AD4" i="67"/>
  <c r="V4" i="66"/>
  <c r="V4" i="67"/>
  <c r="N4" i="66"/>
  <c r="N4" i="67"/>
  <c r="AH3" i="66"/>
  <c r="AH3" i="67"/>
  <c r="Z3" i="66"/>
  <c r="Z3" i="67"/>
  <c r="R3" i="66"/>
  <c r="R3" i="67"/>
  <c r="J3" i="66"/>
  <c r="J3" i="67"/>
  <c r="AD3" i="67"/>
  <c r="AD3" i="66"/>
  <c r="F3" i="67"/>
  <c r="F3" i="66"/>
  <c r="AG5" i="67"/>
  <c r="AG5" i="66"/>
  <c r="Y5" i="67"/>
  <c r="Y5" i="66"/>
  <c r="Q5" i="66"/>
  <c r="Q5" i="67"/>
  <c r="I5" i="67"/>
  <c r="I5" i="66"/>
  <c r="AC4" i="66"/>
  <c r="AC4" i="67"/>
  <c r="U4" i="66"/>
  <c r="U4" i="67"/>
  <c r="M4" i="66"/>
  <c r="M4" i="67"/>
  <c r="AG3" i="66"/>
  <c r="AG3" i="67"/>
  <c r="Y3" i="66"/>
  <c r="Y3" i="67"/>
  <c r="Q3" i="66"/>
  <c r="Q3" i="67"/>
  <c r="I3" i="66"/>
  <c r="I3" i="67"/>
  <c r="AH4" i="67"/>
  <c r="AH4" i="66"/>
  <c r="F5" i="66"/>
  <c r="F5" i="67"/>
  <c r="AF5" i="66"/>
  <c r="AF5" i="67"/>
  <c r="X5" i="66"/>
  <c r="X5" i="67"/>
  <c r="P5" i="66"/>
  <c r="P5" i="67"/>
  <c r="H5" i="66"/>
  <c r="H5" i="67"/>
  <c r="AB4" i="66"/>
  <c r="AB4" i="67"/>
  <c r="T4" i="66"/>
  <c r="T4" i="67"/>
  <c r="L4" i="66"/>
  <c r="L4" i="67"/>
  <c r="AF3" i="67"/>
  <c r="AF3" i="66"/>
  <c r="X3" i="67"/>
  <c r="X3" i="66"/>
  <c r="P3" i="67"/>
  <c r="P3" i="66"/>
  <c r="H3" i="67"/>
  <c r="H3" i="66"/>
  <c r="Y5" i="61"/>
  <c r="Y5" i="63"/>
  <c r="Y5" i="62"/>
  <c r="F4" i="61"/>
  <c r="F4" i="62"/>
  <c r="F4" i="63"/>
  <c r="W5" i="61"/>
  <c r="W5" i="62"/>
  <c r="W5" i="63"/>
  <c r="O5" i="61"/>
  <c r="O5" i="62"/>
  <c r="O5" i="63"/>
  <c r="AI4" i="61"/>
  <c r="AI4" i="62"/>
  <c r="AI4" i="63"/>
  <c r="AA4" i="61"/>
  <c r="AA4" i="62"/>
  <c r="AA4" i="63"/>
  <c r="S4" i="61"/>
  <c r="S4" i="62"/>
  <c r="S4" i="63"/>
  <c r="K4" i="61"/>
  <c r="K4" i="62"/>
  <c r="K4" i="63"/>
  <c r="AE3" i="61"/>
  <c r="AE6" i="61" s="1"/>
  <c r="AE3" i="63"/>
  <c r="AE3" i="62"/>
  <c r="W3" i="61"/>
  <c r="W6" i="61" s="1"/>
  <c r="W3" i="63"/>
  <c r="W3" i="62"/>
  <c r="O3" i="61"/>
  <c r="O6" i="61" s="1"/>
  <c r="O3" i="63"/>
  <c r="O3" i="62"/>
  <c r="S5" i="61"/>
  <c r="S5" i="63"/>
  <c r="S5" i="62"/>
  <c r="AF5" i="61"/>
  <c r="AF5" i="62"/>
  <c r="AF5" i="63"/>
  <c r="G5" i="61"/>
  <c r="G5" i="62"/>
  <c r="G5" i="63"/>
  <c r="V5" i="61"/>
  <c r="V5" i="63"/>
  <c r="V5" i="62"/>
  <c r="N5" i="61"/>
  <c r="N5" i="63"/>
  <c r="N5" i="62"/>
  <c r="AH4" i="61"/>
  <c r="AH4" i="62"/>
  <c r="AH4" i="63"/>
  <c r="Z4" i="61"/>
  <c r="Z4" i="62"/>
  <c r="Z4" i="63"/>
  <c r="R4" i="61"/>
  <c r="R4" i="62"/>
  <c r="R4" i="63"/>
  <c r="J4" i="61"/>
  <c r="J4" i="62"/>
  <c r="J4" i="63"/>
  <c r="AD3" i="61"/>
  <c r="AD6" i="61" s="1"/>
  <c r="AD3" i="63"/>
  <c r="AD3" i="62"/>
  <c r="V3" i="61"/>
  <c r="V7" i="61" s="1"/>
  <c r="V3" i="63"/>
  <c r="V3" i="62"/>
  <c r="N3" i="61"/>
  <c r="N7" i="61" s="1"/>
  <c r="N3" i="63"/>
  <c r="N3" i="62"/>
  <c r="R5" i="61"/>
  <c r="R5" i="63"/>
  <c r="R5" i="62"/>
  <c r="AE5" i="61"/>
  <c r="AE5" i="62"/>
  <c r="AE5" i="63"/>
  <c r="G4" i="61"/>
  <c r="G4" i="63"/>
  <c r="G4" i="62"/>
  <c r="AC5" i="61"/>
  <c r="AC5" i="62"/>
  <c r="AC5" i="63"/>
  <c r="U5" i="61"/>
  <c r="U5" i="62"/>
  <c r="U5" i="63"/>
  <c r="M5" i="61"/>
  <c r="M5" i="62"/>
  <c r="M5" i="63"/>
  <c r="AG4" i="61"/>
  <c r="AG4" i="63"/>
  <c r="AG4" i="62"/>
  <c r="Y4" i="61"/>
  <c r="Y4" i="63"/>
  <c r="Y4" i="62"/>
  <c r="Q4" i="61"/>
  <c r="Q4" i="63"/>
  <c r="Q4" i="62"/>
  <c r="I4" i="61"/>
  <c r="I4" i="63"/>
  <c r="I4" i="62"/>
  <c r="AC3" i="61"/>
  <c r="AC7" i="61" s="1"/>
  <c r="AC3" i="63"/>
  <c r="AC3" i="62"/>
  <c r="U3" i="61"/>
  <c r="U6" i="61" s="1"/>
  <c r="U3" i="63"/>
  <c r="U3" i="62"/>
  <c r="M3" i="61"/>
  <c r="M6" i="61" s="1"/>
  <c r="M3" i="63"/>
  <c r="M3" i="62"/>
  <c r="Z5" i="61"/>
  <c r="Z5" i="63"/>
  <c r="Z5" i="62"/>
  <c r="F5" i="61"/>
  <c r="F5" i="63"/>
  <c r="F5" i="62"/>
  <c r="AD5" i="61"/>
  <c r="AD5" i="62"/>
  <c r="AD5" i="63"/>
  <c r="G3" i="61"/>
  <c r="G6" i="61" s="1"/>
  <c r="G3" i="63"/>
  <c r="G3" i="62"/>
  <c r="AB5" i="61"/>
  <c r="AB5" i="62"/>
  <c r="AB5" i="63"/>
  <c r="T5" i="61"/>
  <c r="T5" i="62"/>
  <c r="T5" i="63"/>
  <c r="L5" i="61"/>
  <c r="L5" i="62"/>
  <c r="L5" i="63"/>
  <c r="AF4" i="61"/>
  <c r="AF4" i="63"/>
  <c r="AF4" i="62"/>
  <c r="X4" i="61"/>
  <c r="X4" i="63"/>
  <c r="X4" i="62"/>
  <c r="P4" i="61"/>
  <c r="P4" i="63"/>
  <c r="P4" i="62"/>
  <c r="H4" i="61"/>
  <c r="H4" i="63"/>
  <c r="H4" i="62"/>
  <c r="AB3" i="61"/>
  <c r="AB7" i="61" s="1"/>
  <c r="AB3" i="62"/>
  <c r="AB3" i="63"/>
  <c r="T3" i="61"/>
  <c r="T6" i="61" s="1"/>
  <c r="T3" i="62"/>
  <c r="T3" i="63"/>
  <c r="L3" i="61"/>
  <c r="L7" i="61" s="1"/>
  <c r="L3" i="62"/>
  <c r="L3" i="63"/>
  <c r="AI5" i="61"/>
  <c r="AI5" i="63"/>
  <c r="AI5" i="62"/>
  <c r="K5" i="61"/>
  <c r="K5" i="63"/>
  <c r="K5" i="62"/>
  <c r="AE4" i="61"/>
  <c r="AE4" i="63"/>
  <c r="AE4" i="62"/>
  <c r="W4" i="61"/>
  <c r="W4" i="63"/>
  <c r="W4" i="62"/>
  <c r="O4" i="61"/>
  <c r="O4" i="63"/>
  <c r="O4" i="62"/>
  <c r="AI3" i="61"/>
  <c r="AI7" i="61" s="1"/>
  <c r="AI3" i="62"/>
  <c r="AI3" i="63"/>
  <c r="AA3" i="61"/>
  <c r="AA7" i="61" s="1"/>
  <c r="AA3" i="62"/>
  <c r="AA3" i="63"/>
  <c r="S3" i="61"/>
  <c r="S6" i="61" s="1"/>
  <c r="S3" i="62"/>
  <c r="S3" i="63"/>
  <c r="K3" i="61"/>
  <c r="K6" i="61" s="1"/>
  <c r="K3" i="62"/>
  <c r="K3" i="63"/>
  <c r="AH5" i="61"/>
  <c r="AH5" i="63"/>
  <c r="AH5" i="62"/>
  <c r="J5" i="61"/>
  <c r="J5" i="63"/>
  <c r="J5" i="62"/>
  <c r="AD4" i="61"/>
  <c r="AD4" i="62"/>
  <c r="AD4" i="63"/>
  <c r="V4" i="61"/>
  <c r="V4" i="62"/>
  <c r="V4" i="63"/>
  <c r="N4" i="61"/>
  <c r="N4" i="62"/>
  <c r="N4" i="63"/>
  <c r="AH3" i="61"/>
  <c r="AH7" i="61" s="1"/>
  <c r="AH3" i="63"/>
  <c r="AH3" i="62"/>
  <c r="Z3" i="61"/>
  <c r="Z6" i="61" s="1"/>
  <c r="Z3" i="63"/>
  <c r="Z3" i="62"/>
  <c r="R3" i="61"/>
  <c r="R6" i="61" s="1"/>
  <c r="R3" i="62"/>
  <c r="R3" i="63"/>
  <c r="J3" i="61"/>
  <c r="J6" i="61" s="1"/>
  <c r="J3" i="63"/>
  <c r="J3" i="62"/>
  <c r="AA5" i="61"/>
  <c r="AA5" i="63"/>
  <c r="AA5" i="62"/>
  <c r="F3" i="61"/>
  <c r="F6" i="61" s="1"/>
  <c r="F3" i="63"/>
  <c r="F3" i="62"/>
  <c r="Q5" i="61"/>
  <c r="Q5" i="63"/>
  <c r="Q5" i="62"/>
  <c r="I5" i="61"/>
  <c r="I5" i="63"/>
  <c r="I5" i="62"/>
  <c r="AC4" i="61"/>
  <c r="AC4" i="62"/>
  <c r="AC4" i="63"/>
  <c r="U4" i="61"/>
  <c r="U4" i="62"/>
  <c r="U4" i="63"/>
  <c r="M4" i="61"/>
  <c r="M4" i="62"/>
  <c r="M4" i="63"/>
  <c r="AG3" i="61"/>
  <c r="AG6" i="61" s="1"/>
  <c r="AG3" i="62"/>
  <c r="AG3" i="63"/>
  <c r="Y3" i="61"/>
  <c r="Y6" i="61" s="1"/>
  <c r="Y3" i="62"/>
  <c r="Y3" i="63"/>
  <c r="Q3" i="61"/>
  <c r="Q7" i="61" s="1"/>
  <c r="Q3" i="62"/>
  <c r="Q3" i="63"/>
  <c r="I3" i="61"/>
  <c r="I6" i="61" s="1"/>
  <c r="I3" i="62"/>
  <c r="I3" i="63"/>
  <c r="AG5" i="61"/>
  <c r="AG5" i="63"/>
  <c r="AG5" i="62"/>
  <c r="X5" i="61"/>
  <c r="X5" i="62"/>
  <c r="X5" i="63"/>
  <c r="P5" i="61"/>
  <c r="P5" i="62"/>
  <c r="P5" i="63"/>
  <c r="H5" i="61"/>
  <c r="H5" i="62"/>
  <c r="H5" i="63"/>
  <c r="AB4" i="61"/>
  <c r="AB4" i="63"/>
  <c r="AB4" i="62"/>
  <c r="T4" i="61"/>
  <c r="T4" i="62"/>
  <c r="T4" i="63"/>
  <c r="L4" i="61"/>
  <c r="L4" i="63"/>
  <c r="L4" i="62"/>
  <c r="AF3" i="61"/>
  <c r="AF7" i="61" s="1"/>
  <c r="AF3" i="62"/>
  <c r="AF3" i="63"/>
  <c r="X3" i="61"/>
  <c r="X7" i="61" s="1"/>
  <c r="X3" i="62"/>
  <c r="X3" i="63"/>
  <c r="P3" i="61"/>
  <c r="P7" i="61" s="1"/>
  <c r="P3" i="62"/>
  <c r="P3" i="63"/>
  <c r="H3" i="61"/>
  <c r="H6" i="61" s="1"/>
  <c r="H3" i="62"/>
  <c r="H3" i="63"/>
  <c r="M5" i="58"/>
  <c r="M5" i="59"/>
  <c r="M3" i="58"/>
  <c r="M7" i="58" s="1"/>
  <c r="M3" i="59"/>
  <c r="G3" i="58"/>
  <c r="G6" i="58" s="1"/>
  <c r="G3" i="59"/>
  <c r="AB5" i="58"/>
  <c r="AB5" i="59"/>
  <c r="T5" i="58"/>
  <c r="T5" i="59"/>
  <c r="L5" i="58"/>
  <c r="L5" i="59"/>
  <c r="AF4" i="58"/>
  <c r="AF4" i="59"/>
  <c r="X4" i="58"/>
  <c r="X4" i="59"/>
  <c r="P4" i="58"/>
  <c r="P4" i="59"/>
  <c r="H4" i="58"/>
  <c r="H4" i="59"/>
  <c r="AB3" i="58"/>
  <c r="AB6" i="58" s="1"/>
  <c r="AB3" i="59"/>
  <c r="T3" i="58"/>
  <c r="T7" i="58" s="1"/>
  <c r="T3" i="59"/>
  <c r="L3" i="58"/>
  <c r="L6" i="58" s="1"/>
  <c r="L3" i="59"/>
  <c r="G4" i="58"/>
  <c r="G4" i="59"/>
  <c r="U3" i="58"/>
  <c r="U7" i="58" s="1"/>
  <c r="U3" i="59"/>
  <c r="AI5" i="58"/>
  <c r="AI5" i="59"/>
  <c r="AA5" i="58"/>
  <c r="AA5" i="59"/>
  <c r="S5" i="58"/>
  <c r="S5" i="59"/>
  <c r="K5" i="58"/>
  <c r="K5" i="59"/>
  <c r="AE4" i="58"/>
  <c r="AE4" i="59"/>
  <c r="W4" i="58"/>
  <c r="W4" i="59"/>
  <c r="O4" i="58"/>
  <c r="O4" i="59"/>
  <c r="AI3" i="58"/>
  <c r="AI7" i="58" s="1"/>
  <c r="AI3" i="59"/>
  <c r="AA3" i="58"/>
  <c r="AA7" i="58" s="1"/>
  <c r="AA3" i="59"/>
  <c r="S3" i="58"/>
  <c r="S6" i="58" s="1"/>
  <c r="S3" i="59"/>
  <c r="K3" i="58"/>
  <c r="K6" i="58" s="1"/>
  <c r="K3" i="59"/>
  <c r="U5" i="58"/>
  <c r="U5" i="59"/>
  <c r="I4" i="58"/>
  <c r="I4" i="59"/>
  <c r="AH5" i="58"/>
  <c r="AH5" i="59"/>
  <c r="Z5" i="58"/>
  <c r="Z5" i="59"/>
  <c r="R5" i="58"/>
  <c r="R5" i="59"/>
  <c r="J5" i="58"/>
  <c r="J5" i="59"/>
  <c r="AD4" i="58"/>
  <c r="AD4" i="59"/>
  <c r="V4" i="58"/>
  <c r="V4" i="59"/>
  <c r="N4" i="58"/>
  <c r="N4" i="59"/>
  <c r="AH3" i="58"/>
  <c r="AH6" i="58" s="1"/>
  <c r="AH3" i="59"/>
  <c r="Z3" i="58"/>
  <c r="Z6" i="58" s="1"/>
  <c r="Z3" i="59"/>
  <c r="R3" i="58"/>
  <c r="R6" i="58" s="1"/>
  <c r="R3" i="59"/>
  <c r="J3" i="58"/>
  <c r="J6" i="58" s="1"/>
  <c r="J3" i="59"/>
  <c r="AG4" i="58"/>
  <c r="AG4" i="59"/>
  <c r="AG5" i="58"/>
  <c r="AG5" i="59"/>
  <c r="Y5" i="58"/>
  <c r="Y5" i="59"/>
  <c r="Q5" i="58"/>
  <c r="Q5" i="59"/>
  <c r="I5" i="58"/>
  <c r="I5" i="59"/>
  <c r="AC4" i="58"/>
  <c r="AC4" i="59"/>
  <c r="U4" i="58"/>
  <c r="U4" i="59"/>
  <c r="M4" i="58"/>
  <c r="M4" i="59"/>
  <c r="AG3" i="58"/>
  <c r="AG7" i="58" s="1"/>
  <c r="AG3" i="59"/>
  <c r="Y3" i="58"/>
  <c r="Y6" i="58" s="1"/>
  <c r="Y3" i="59"/>
  <c r="Q3" i="58"/>
  <c r="Q6" i="58" s="1"/>
  <c r="Q3" i="59"/>
  <c r="I3" i="58"/>
  <c r="I7" i="58" s="1"/>
  <c r="I3" i="59"/>
  <c r="AC3" i="58"/>
  <c r="AC7" i="58" s="1"/>
  <c r="AC3" i="59"/>
  <c r="F5" i="58"/>
  <c r="F5" i="59"/>
  <c r="AF5" i="58"/>
  <c r="AF5" i="59"/>
  <c r="X5" i="58"/>
  <c r="X5" i="59"/>
  <c r="P5" i="58"/>
  <c r="P5" i="59"/>
  <c r="H5" i="58"/>
  <c r="H5" i="59"/>
  <c r="AB4" i="58"/>
  <c r="AB4" i="59"/>
  <c r="T4" i="58"/>
  <c r="T4" i="59"/>
  <c r="L4" i="58"/>
  <c r="L4" i="59"/>
  <c r="AF3" i="58"/>
  <c r="AF7" i="58" s="1"/>
  <c r="AF3" i="59"/>
  <c r="X3" i="58"/>
  <c r="X6" i="58" s="1"/>
  <c r="X3" i="59"/>
  <c r="P3" i="58"/>
  <c r="P6" i="58" s="1"/>
  <c r="P3" i="59"/>
  <c r="H3" i="58"/>
  <c r="H6" i="58" s="1"/>
  <c r="H3" i="59"/>
  <c r="Y4" i="58"/>
  <c r="Y4" i="59"/>
  <c r="F3" i="58"/>
  <c r="F7" i="58" s="1"/>
  <c r="F3" i="59"/>
  <c r="F4" i="58"/>
  <c r="F4" i="59"/>
  <c r="AE5" i="58"/>
  <c r="AE5" i="59"/>
  <c r="W5" i="58"/>
  <c r="W5" i="59"/>
  <c r="O5" i="58"/>
  <c r="O5" i="59"/>
  <c r="AI4" i="58"/>
  <c r="AI4" i="59"/>
  <c r="AA4" i="58"/>
  <c r="AA4" i="59"/>
  <c r="S4" i="58"/>
  <c r="S4" i="59"/>
  <c r="K4" i="58"/>
  <c r="K4" i="59"/>
  <c r="AE3" i="58"/>
  <c r="AE6" i="58" s="1"/>
  <c r="AE3" i="59"/>
  <c r="W3" i="58"/>
  <c r="W7" i="58" s="1"/>
  <c r="W3" i="59"/>
  <c r="O3" i="58"/>
  <c r="O7" i="58" s="1"/>
  <c r="O3" i="59"/>
  <c r="AC5" i="58"/>
  <c r="AC5" i="59"/>
  <c r="Q4" i="58"/>
  <c r="Q4" i="59"/>
  <c r="G5" i="58"/>
  <c r="G5" i="59"/>
  <c r="AD5" i="58"/>
  <c r="AD5" i="59"/>
  <c r="V5" i="58"/>
  <c r="V5" i="59"/>
  <c r="N5" i="58"/>
  <c r="N5" i="59"/>
  <c r="AH4" i="58"/>
  <c r="AH4" i="59"/>
  <c r="Z4" i="58"/>
  <c r="Z4" i="59"/>
  <c r="R4" i="58"/>
  <c r="R4" i="59"/>
  <c r="J4" i="58"/>
  <c r="J4" i="59"/>
  <c r="AD3" i="58"/>
  <c r="AD7" i="58" s="1"/>
  <c r="AD3" i="59"/>
  <c r="V3" i="58"/>
  <c r="V6" i="58" s="1"/>
  <c r="V3" i="59"/>
  <c r="N3" i="58"/>
  <c r="N7" i="58" s="1"/>
  <c r="N3" i="59"/>
  <c r="AG2" i="56"/>
  <c r="AF7" i="50" s="1"/>
  <c r="Q3" i="56"/>
  <c r="AG3" i="56"/>
  <c r="AE4" i="56"/>
  <c r="Y5" i="56"/>
  <c r="R3" i="56"/>
  <c r="AH3" i="56"/>
  <c r="AI4" i="56"/>
  <c r="Z5" i="56"/>
  <c r="U3" i="56"/>
  <c r="G4" i="56"/>
  <c r="I5" i="56"/>
  <c r="AC5" i="56"/>
  <c r="F3" i="56"/>
  <c r="V3" i="56"/>
  <c r="K4" i="56"/>
  <c r="J5" i="56"/>
  <c r="AG5" i="56"/>
  <c r="I3" i="56"/>
  <c r="Y3" i="56"/>
  <c r="O4" i="56"/>
  <c r="M5" i="56"/>
  <c r="AH5" i="56"/>
  <c r="J3" i="56"/>
  <c r="Z3" i="56"/>
  <c r="S4" i="56"/>
  <c r="Q5" i="56"/>
  <c r="M3" i="56"/>
  <c r="AC3" i="56"/>
  <c r="W4" i="56"/>
  <c r="R5" i="56"/>
  <c r="N3" i="56"/>
  <c r="AD3" i="56"/>
  <c r="AA4" i="56"/>
  <c r="U5" i="56"/>
  <c r="L4" i="56"/>
  <c r="AB4" i="56"/>
  <c r="L3" i="56"/>
  <c r="T3" i="56"/>
  <c r="AB3" i="56"/>
  <c r="F4" i="56"/>
  <c r="N4" i="56"/>
  <c r="V4" i="56"/>
  <c r="AD4" i="56"/>
  <c r="H5" i="56"/>
  <c r="P5" i="56"/>
  <c r="X5" i="56"/>
  <c r="AF5" i="56"/>
  <c r="P4" i="56"/>
  <c r="AF4" i="56"/>
  <c r="G3" i="56"/>
  <c r="O3" i="56"/>
  <c r="W3" i="56"/>
  <c r="AE3" i="56"/>
  <c r="I4" i="56"/>
  <c r="Q4" i="56"/>
  <c r="Y4" i="56"/>
  <c r="AG4" i="56"/>
  <c r="K5" i="56"/>
  <c r="S5" i="56"/>
  <c r="AA5" i="56"/>
  <c r="AI5" i="56"/>
  <c r="H4" i="56"/>
  <c r="X4" i="56"/>
  <c r="H3" i="56"/>
  <c r="P3" i="56"/>
  <c r="X3" i="56"/>
  <c r="AF3" i="56"/>
  <c r="J4" i="56"/>
  <c r="R4" i="56"/>
  <c r="Z4" i="56"/>
  <c r="AH4" i="56"/>
  <c r="L5" i="56"/>
  <c r="T5" i="56"/>
  <c r="AB5" i="56"/>
  <c r="F5" i="56"/>
  <c r="N5" i="56"/>
  <c r="V5" i="56"/>
  <c r="AD5" i="56"/>
  <c r="T4" i="56"/>
  <c r="K3" i="56"/>
  <c r="S3" i="56"/>
  <c r="AA3" i="56"/>
  <c r="AI3" i="56"/>
  <c r="M4" i="56"/>
  <c r="U4" i="56"/>
  <c r="AC4" i="56"/>
  <c r="G5" i="56"/>
  <c r="O5" i="56"/>
  <c r="W5" i="56"/>
  <c r="AE5" i="56"/>
  <c r="Z1" i="56"/>
  <c r="AA1" i="56"/>
  <c r="AI1" i="56"/>
  <c r="S2" i="56"/>
  <c r="J1" i="56"/>
  <c r="K1" i="56"/>
  <c r="R2" i="56"/>
  <c r="AH1" i="56"/>
  <c r="Z2" i="56"/>
  <c r="AA2" i="56"/>
  <c r="AH2" i="56"/>
  <c r="AI2" i="56"/>
  <c r="R1" i="56"/>
  <c r="J2" i="56"/>
  <c r="S1" i="56"/>
  <c r="K2" i="56"/>
  <c r="AB1" i="56"/>
  <c r="AB2" i="56"/>
  <c r="M1" i="56"/>
  <c r="U1" i="56"/>
  <c r="AC1" i="56"/>
  <c r="M2" i="56"/>
  <c r="U2" i="56"/>
  <c r="AC2" i="56"/>
  <c r="F1" i="56"/>
  <c r="N1" i="56"/>
  <c r="V1" i="56"/>
  <c r="AD1" i="56"/>
  <c r="F2" i="56"/>
  <c r="N2" i="56"/>
  <c r="V2" i="56"/>
  <c r="AD2" i="56"/>
  <c r="G1" i="56"/>
  <c r="O1" i="56"/>
  <c r="W1" i="56"/>
  <c r="AE1" i="56"/>
  <c r="G2" i="56"/>
  <c r="O2" i="56"/>
  <c r="W2" i="56"/>
  <c r="AE2" i="56"/>
  <c r="T1" i="56"/>
  <c r="L2" i="56"/>
  <c r="H1" i="56"/>
  <c r="X1" i="56"/>
  <c r="AF1" i="56"/>
  <c r="H2" i="56"/>
  <c r="P2" i="56"/>
  <c r="X2" i="56"/>
  <c r="AF2" i="56"/>
  <c r="L1" i="56"/>
  <c r="T2" i="56"/>
  <c r="P1" i="56"/>
  <c r="I1" i="56"/>
  <c r="Q1" i="56"/>
  <c r="Y1" i="56"/>
  <c r="AG1" i="56"/>
  <c r="I2" i="56"/>
  <c r="Q2" i="56"/>
  <c r="Y2" i="56"/>
  <c r="C2" i="54"/>
  <c r="A2" i="54"/>
  <c r="C1" i="54"/>
  <c r="A1" i="54"/>
  <c r="E9" i="61" l="1" a="1"/>
  <c r="E9" i="61" s="1"/>
  <c r="E11" i="61" a="1"/>
  <c r="E11" i="61" s="1"/>
  <c r="E13" i="61" a="1"/>
  <c r="E13" i="61" s="1"/>
  <c r="E15" i="61" a="1"/>
  <c r="E15" i="61" s="1"/>
  <c r="E17" i="61" a="1"/>
  <c r="E17" i="61" s="1"/>
  <c r="E19" i="61" a="1"/>
  <c r="E19" i="61" s="1"/>
  <c r="E21" i="61" a="1"/>
  <c r="E21" i="61" s="1"/>
  <c r="E23" i="61" a="1"/>
  <c r="E23" i="61" s="1"/>
  <c r="E25" i="61" a="1"/>
  <c r="E25" i="61" s="1"/>
  <c r="E27" i="61" a="1"/>
  <c r="E27" i="61" s="1"/>
  <c r="E29" i="61" a="1"/>
  <c r="E29" i="61" s="1"/>
  <c r="E31" i="61" a="1"/>
  <c r="E31" i="61" s="1"/>
  <c r="E33" i="61" a="1"/>
  <c r="E33" i="61" s="1"/>
  <c r="E35" i="61" a="1"/>
  <c r="E35" i="61" s="1"/>
  <c r="E37" i="61" a="1"/>
  <c r="E37" i="61" s="1"/>
  <c r="E39" i="61" a="1"/>
  <c r="E39" i="61" s="1"/>
  <c r="E41" i="61" a="1"/>
  <c r="E41" i="61" s="1"/>
  <c r="E43" i="61" a="1"/>
  <c r="E43" i="61" s="1"/>
  <c r="E45" i="61" a="1"/>
  <c r="E45" i="61" s="1"/>
  <c r="E47" i="61" a="1"/>
  <c r="E47" i="61" s="1"/>
  <c r="E49" i="61" a="1"/>
  <c r="E49" i="61" s="1"/>
  <c r="E51" i="61" a="1"/>
  <c r="E51" i="61" s="1"/>
  <c r="E10" i="61" a="1"/>
  <c r="E10" i="61" s="1"/>
  <c r="E12" i="61" a="1"/>
  <c r="E12" i="61" s="1"/>
  <c r="E14" i="61" a="1"/>
  <c r="E14" i="61" s="1"/>
  <c r="E16" i="61" a="1"/>
  <c r="E16" i="61" s="1"/>
  <c r="E18" i="61" a="1"/>
  <c r="E18" i="61" s="1"/>
  <c r="E20" i="61" a="1"/>
  <c r="E20" i="61" s="1"/>
  <c r="E22" i="61" a="1"/>
  <c r="E22" i="61" s="1"/>
  <c r="E24" i="61" a="1"/>
  <c r="E24" i="61" s="1"/>
  <c r="E26" i="61" a="1"/>
  <c r="E26" i="61" s="1"/>
  <c r="E28" i="61" a="1"/>
  <c r="E28" i="61" s="1"/>
  <c r="E30" i="61" a="1"/>
  <c r="E30" i="61" s="1"/>
  <c r="E32" i="61" a="1"/>
  <c r="E32" i="61" s="1"/>
  <c r="E34" i="61" a="1"/>
  <c r="E34" i="61" s="1"/>
  <c r="E36" i="61" a="1"/>
  <c r="E36" i="61" s="1"/>
  <c r="E38" i="61" a="1"/>
  <c r="E38" i="61" s="1"/>
  <c r="E40" i="61" a="1"/>
  <c r="E40" i="61" s="1"/>
  <c r="E42" i="61" a="1"/>
  <c r="E42" i="61" s="1"/>
  <c r="E44" i="61" a="1"/>
  <c r="E44" i="61" s="1"/>
  <c r="E46" i="61" a="1"/>
  <c r="E46" i="61" s="1"/>
  <c r="E48" i="61" a="1"/>
  <c r="E48" i="61" s="1"/>
  <c r="E50" i="61" a="1"/>
  <c r="E50" i="61" s="1"/>
  <c r="E53" i="61" a="1"/>
  <c r="E53" i="61" s="1"/>
  <c r="E56" i="61" a="1"/>
  <c r="E56" i="61" s="1"/>
  <c r="E61" i="61" a="1"/>
  <c r="E61" i="61" s="1"/>
  <c r="E64" i="61" a="1"/>
  <c r="E64" i="61" s="1"/>
  <c r="E69" i="61" a="1"/>
  <c r="E69" i="61" s="1"/>
  <c r="E72" i="61" a="1"/>
  <c r="E72" i="61" s="1"/>
  <c r="E77" i="61" a="1"/>
  <c r="E77" i="61" s="1"/>
  <c r="E80" i="61" a="1"/>
  <c r="E80" i="61" s="1"/>
  <c r="E85" i="61" a="1"/>
  <c r="E85" i="61" s="1"/>
  <c r="E88" i="61" a="1"/>
  <c r="E88" i="61" s="1"/>
  <c r="E93" i="61" a="1"/>
  <c r="E93" i="61" s="1"/>
  <c r="E96" i="61" a="1"/>
  <c r="E96" i="61" s="1"/>
  <c r="E101" i="61" a="1"/>
  <c r="E101" i="61" s="1"/>
  <c r="E104" i="61" a="1"/>
  <c r="E104" i="61" s="1"/>
  <c r="E109" i="61" a="1"/>
  <c r="E109" i="61" s="1"/>
  <c r="E112" i="61" a="1"/>
  <c r="E112" i="61" s="1"/>
  <c r="E117" i="61" a="1"/>
  <c r="E117" i="61" s="1"/>
  <c r="E120" i="61" a="1"/>
  <c r="E120" i="61" s="1"/>
  <c r="E125" i="61" a="1"/>
  <c r="E125" i="61" s="1"/>
  <c r="E128" i="61" a="1"/>
  <c r="E128" i="61" s="1"/>
  <c r="E133" i="61" a="1"/>
  <c r="E133" i="61" s="1"/>
  <c r="E136" i="61" a="1"/>
  <c r="E136" i="61" s="1"/>
  <c r="E58" i="61" a="1"/>
  <c r="E58" i="61" s="1"/>
  <c r="E71" i="61" a="1"/>
  <c r="E71" i="61" s="1"/>
  <c r="E79" i="61" a="1"/>
  <c r="E79" i="61" s="1"/>
  <c r="E90" i="61" a="1"/>
  <c r="E90" i="61" s="1"/>
  <c r="E106" i="61" a="1"/>
  <c r="E106" i="61" s="1"/>
  <c r="E119" i="61" a="1"/>
  <c r="E119" i="61" s="1"/>
  <c r="E130" i="61" a="1"/>
  <c r="E130" i="61" s="1"/>
  <c r="E54" i="61" a="1"/>
  <c r="E54" i="61" s="1"/>
  <c r="E59" i="61" a="1"/>
  <c r="E59" i="61" s="1"/>
  <c r="E62" i="61" a="1"/>
  <c r="E62" i="61" s="1"/>
  <c r="E67" i="61" a="1"/>
  <c r="E67" i="61" s="1"/>
  <c r="E70" i="61" a="1"/>
  <c r="E70" i="61" s="1"/>
  <c r="E75" i="61" a="1"/>
  <c r="E75" i="61" s="1"/>
  <c r="E78" i="61" a="1"/>
  <c r="E78" i="61" s="1"/>
  <c r="E83" i="61" a="1"/>
  <c r="E83" i="61" s="1"/>
  <c r="E86" i="61" a="1"/>
  <c r="E86" i="61" s="1"/>
  <c r="E91" i="61" a="1"/>
  <c r="E91" i="61" s="1"/>
  <c r="E94" i="61" a="1"/>
  <c r="E94" i="61" s="1"/>
  <c r="E99" i="61" a="1"/>
  <c r="E99" i="61" s="1"/>
  <c r="E102" i="61" a="1"/>
  <c r="E102" i="61" s="1"/>
  <c r="E107" i="61" a="1"/>
  <c r="E107" i="61" s="1"/>
  <c r="E110" i="61" a="1"/>
  <c r="E110" i="61" s="1"/>
  <c r="E115" i="61" a="1"/>
  <c r="E115" i="61" s="1"/>
  <c r="E118" i="61" a="1"/>
  <c r="E118" i="61" s="1"/>
  <c r="E123" i="61" a="1"/>
  <c r="E123" i="61" s="1"/>
  <c r="E126" i="61" a="1"/>
  <c r="E126" i="61" s="1"/>
  <c r="E131" i="61" a="1"/>
  <c r="E131" i="61" s="1"/>
  <c r="E134" i="61" a="1"/>
  <c r="E134" i="61" s="1"/>
  <c r="E63" i="61" a="1"/>
  <c r="E63" i="61" s="1"/>
  <c r="E74" i="61" a="1"/>
  <c r="E74" i="61" s="1"/>
  <c r="E87" i="61" a="1"/>
  <c r="E87" i="61" s="1"/>
  <c r="E98" i="61" a="1"/>
  <c r="E98" i="61" s="1"/>
  <c r="E111" i="61" a="1"/>
  <c r="E111" i="61" s="1"/>
  <c r="E122" i="61" a="1"/>
  <c r="E122" i="61" s="1"/>
  <c r="E135" i="61" a="1"/>
  <c r="E135" i="61" s="1"/>
  <c r="E52" i="61" a="1"/>
  <c r="E52" i="61" s="1"/>
  <c r="E57" i="61" a="1"/>
  <c r="E57" i="61" s="1"/>
  <c r="E60" i="61" a="1"/>
  <c r="E60" i="61" s="1"/>
  <c r="E65" i="61" a="1"/>
  <c r="E65" i="61" s="1"/>
  <c r="E68" i="61" a="1"/>
  <c r="E68" i="61" s="1"/>
  <c r="E73" i="61" a="1"/>
  <c r="E73" i="61" s="1"/>
  <c r="E76" i="61" a="1"/>
  <c r="E76" i="61" s="1"/>
  <c r="E81" i="61" a="1"/>
  <c r="E81" i="61" s="1"/>
  <c r="E84" i="61" a="1"/>
  <c r="E84" i="61" s="1"/>
  <c r="E89" i="61" a="1"/>
  <c r="E89" i="61" s="1"/>
  <c r="E92" i="61" a="1"/>
  <c r="E92" i="61" s="1"/>
  <c r="E97" i="61" a="1"/>
  <c r="E97" i="61" s="1"/>
  <c r="E100" i="61" a="1"/>
  <c r="E100" i="61" s="1"/>
  <c r="E105" i="61" a="1"/>
  <c r="E105" i="61" s="1"/>
  <c r="E108" i="61" a="1"/>
  <c r="E108" i="61" s="1"/>
  <c r="E113" i="61" a="1"/>
  <c r="E113" i="61" s="1"/>
  <c r="E116" i="61" a="1"/>
  <c r="E116" i="61" s="1"/>
  <c r="E121" i="61" a="1"/>
  <c r="E121" i="61" s="1"/>
  <c r="E124" i="61" a="1"/>
  <c r="E124" i="61" s="1"/>
  <c r="E129" i="61" a="1"/>
  <c r="E129" i="61" s="1"/>
  <c r="E132" i="61" a="1"/>
  <c r="E132" i="61" s="1"/>
  <c r="E137" i="61" a="1"/>
  <c r="E137" i="61" s="1"/>
  <c r="E55" i="61" a="1"/>
  <c r="E55" i="61" s="1"/>
  <c r="E66" i="61" a="1"/>
  <c r="E66" i="61" s="1"/>
  <c r="E82" i="61" a="1"/>
  <c r="E82" i="61" s="1"/>
  <c r="E95" i="61" a="1"/>
  <c r="E95" i="61" s="1"/>
  <c r="E103" i="61" a="1"/>
  <c r="E103" i="61" s="1"/>
  <c r="E114" i="61" a="1"/>
  <c r="E114" i="61" s="1"/>
  <c r="E127" i="61" a="1"/>
  <c r="E127" i="61" s="1"/>
  <c r="E138" i="61" a="1"/>
  <c r="E138" i="61" s="1"/>
  <c r="E9" i="59" a="1"/>
  <c r="E9" i="59" s="1"/>
  <c r="E15" i="59" a="1"/>
  <c r="E15" i="59" s="1"/>
  <c r="E19" i="59" a="1"/>
  <c r="E19" i="59" s="1"/>
  <c r="E23" i="59" a="1"/>
  <c r="E23" i="59" s="1"/>
  <c r="E27" i="59" a="1"/>
  <c r="E27" i="59" s="1"/>
  <c r="E31" i="59" a="1"/>
  <c r="E31" i="59" s="1"/>
  <c r="E35" i="59" a="1"/>
  <c r="E35" i="59" s="1"/>
  <c r="E39" i="59" a="1"/>
  <c r="E39" i="59" s="1"/>
  <c r="E43" i="59" a="1"/>
  <c r="E43" i="59" s="1"/>
  <c r="E47" i="59" a="1"/>
  <c r="E47" i="59" s="1"/>
  <c r="E51" i="59" a="1"/>
  <c r="E51" i="59" s="1"/>
  <c r="E55" i="59" a="1"/>
  <c r="E55" i="59" s="1"/>
  <c r="E59" i="59" a="1"/>
  <c r="E59" i="59" s="1"/>
  <c r="E12" i="59" a="1"/>
  <c r="E12" i="59" s="1"/>
  <c r="E14" i="59" a="1"/>
  <c r="E14" i="59" s="1"/>
  <c r="E18" i="59" a="1"/>
  <c r="E18" i="59" s="1"/>
  <c r="E22" i="59" a="1"/>
  <c r="E22" i="59" s="1"/>
  <c r="E26" i="59" a="1"/>
  <c r="E26" i="59" s="1"/>
  <c r="E30" i="59" a="1"/>
  <c r="E30" i="59" s="1"/>
  <c r="E34" i="59" a="1"/>
  <c r="E34" i="59" s="1"/>
  <c r="E38" i="59" a="1"/>
  <c r="E38" i="59" s="1"/>
  <c r="E42" i="59" a="1"/>
  <c r="E42" i="59" s="1"/>
  <c r="E46" i="59" a="1"/>
  <c r="E46" i="59" s="1"/>
  <c r="E50" i="59" a="1"/>
  <c r="E50" i="59" s="1"/>
  <c r="E54" i="59" a="1"/>
  <c r="E54" i="59" s="1"/>
  <c r="E58" i="59" a="1"/>
  <c r="E58" i="59" s="1"/>
  <c r="E10" i="59" a="1"/>
  <c r="E10" i="59" s="1"/>
  <c r="E16" i="59" a="1"/>
  <c r="E16" i="59" s="1"/>
  <c r="E20" i="59" a="1"/>
  <c r="E20" i="59" s="1"/>
  <c r="E24" i="59" a="1"/>
  <c r="E24" i="59" s="1"/>
  <c r="E28" i="59" a="1"/>
  <c r="E28" i="59" s="1"/>
  <c r="E32" i="59" a="1"/>
  <c r="E32" i="59" s="1"/>
  <c r="E36" i="59" a="1"/>
  <c r="E36" i="59" s="1"/>
  <c r="E40" i="59" a="1"/>
  <c r="E40" i="59" s="1"/>
  <c r="E44" i="59" a="1"/>
  <c r="E44" i="59" s="1"/>
  <c r="E48" i="59" a="1"/>
  <c r="E48" i="59" s="1"/>
  <c r="E52" i="59" a="1"/>
  <c r="E52" i="59" s="1"/>
  <c r="E56" i="59" a="1"/>
  <c r="E56" i="59" s="1"/>
  <c r="E60" i="59" a="1"/>
  <c r="E60" i="59" s="1"/>
  <c r="E11" i="59" a="1"/>
  <c r="E11" i="59" s="1"/>
  <c r="E13" i="59" a="1"/>
  <c r="E13" i="59" s="1"/>
  <c r="E17" i="59" a="1"/>
  <c r="E17" i="59" s="1"/>
  <c r="E21" i="59" a="1"/>
  <c r="E21" i="59" s="1"/>
  <c r="E25" i="59" a="1"/>
  <c r="E25" i="59" s="1"/>
  <c r="E29" i="59" a="1"/>
  <c r="E29" i="59" s="1"/>
  <c r="E33" i="59" a="1"/>
  <c r="E33" i="59" s="1"/>
  <c r="E37" i="59" a="1"/>
  <c r="E37" i="59" s="1"/>
  <c r="E41" i="59" a="1"/>
  <c r="E41" i="59" s="1"/>
  <c r="E45" i="59" a="1"/>
  <c r="E45" i="59" s="1"/>
  <c r="E49" i="59" a="1"/>
  <c r="E49" i="59" s="1"/>
  <c r="E53" i="59" a="1"/>
  <c r="E53" i="59" s="1"/>
  <c r="E57" i="59" a="1"/>
  <c r="E57" i="59" s="1"/>
  <c r="E9" i="63" a="1"/>
  <c r="E9" i="63" s="1"/>
  <c r="E12" i="63" a="1"/>
  <c r="E12" i="63" s="1"/>
  <c r="E10" i="63" a="1"/>
  <c r="E10" i="63" s="1"/>
  <c r="E11" i="63" a="1"/>
  <c r="E11" i="63" s="1"/>
  <c r="E13" i="63" a="1"/>
  <c r="E13" i="63" s="1"/>
  <c r="E17" i="63" a="1"/>
  <c r="E17" i="63" s="1"/>
  <c r="E21" i="63" a="1"/>
  <c r="E21" i="63" s="1"/>
  <c r="E25" i="63" a="1"/>
  <c r="E25" i="63" s="1"/>
  <c r="E29" i="63" a="1"/>
  <c r="E29" i="63" s="1"/>
  <c r="E33" i="63" a="1"/>
  <c r="E33" i="63" s="1"/>
  <c r="E37" i="63" a="1"/>
  <c r="E37" i="63" s="1"/>
  <c r="E41" i="63" a="1"/>
  <c r="E41" i="63" s="1"/>
  <c r="E45" i="63" a="1"/>
  <c r="E45" i="63" s="1"/>
  <c r="E49" i="63" a="1"/>
  <c r="E49" i="63" s="1"/>
  <c r="E53" i="63" a="1"/>
  <c r="E53" i="63" s="1"/>
  <c r="E57" i="63" a="1"/>
  <c r="E57" i="63" s="1"/>
  <c r="E61" i="63" a="1"/>
  <c r="E61" i="63" s="1"/>
  <c r="E65" i="63" a="1"/>
  <c r="E65" i="63" s="1"/>
  <c r="E69" i="63" a="1"/>
  <c r="E69" i="63" s="1"/>
  <c r="E73" i="63" a="1"/>
  <c r="E73" i="63" s="1"/>
  <c r="E77" i="63" a="1"/>
  <c r="E77" i="63" s="1"/>
  <c r="E81" i="63" a="1"/>
  <c r="E81" i="63" s="1"/>
  <c r="E85" i="63" a="1"/>
  <c r="E85" i="63" s="1"/>
  <c r="E89" i="63" a="1"/>
  <c r="E89" i="63" s="1"/>
  <c r="E93" i="63" a="1"/>
  <c r="E93" i="63" s="1"/>
  <c r="E97" i="63" a="1"/>
  <c r="E97" i="63" s="1"/>
  <c r="E101" i="63" a="1"/>
  <c r="E101" i="63" s="1"/>
  <c r="E105" i="63" a="1"/>
  <c r="E105" i="63" s="1"/>
  <c r="E109" i="63" a="1"/>
  <c r="E109" i="63" s="1"/>
  <c r="E113" i="63" a="1"/>
  <c r="E113" i="63" s="1"/>
  <c r="E117" i="63" a="1"/>
  <c r="E117" i="63" s="1"/>
  <c r="E121" i="63" a="1"/>
  <c r="E121" i="63" s="1"/>
  <c r="E125" i="63" a="1"/>
  <c r="E125" i="63" s="1"/>
  <c r="E129" i="63" a="1"/>
  <c r="E129" i="63" s="1"/>
  <c r="E133" i="63" a="1"/>
  <c r="E133" i="63" s="1"/>
  <c r="E137" i="63" a="1"/>
  <c r="E137" i="63" s="1"/>
  <c r="E141" i="63" a="1"/>
  <c r="E141" i="63" s="1"/>
  <c r="E145" i="63" a="1"/>
  <c r="E145" i="63" s="1"/>
  <c r="E149" i="63" a="1"/>
  <c r="E149" i="63" s="1"/>
  <c r="E153" i="63" a="1"/>
  <c r="E153" i="63" s="1"/>
  <c r="E157" i="63" a="1"/>
  <c r="E157" i="63" s="1"/>
  <c r="E161" i="63" a="1"/>
  <c r="E161" i="63" s="1"/>
  <c r="E165" i="63" a="1"/>
  <c r="E165" i="63" s="1"/>
  <c r="E169" i="63" a="1"/>
  <c r="E169" i="63" s="1"/>
  <c r="E173" i="63" a="1"/>
  <c r="E173" i="63" s="1"/>
  <c r="E14" i="63" a="1"/>
  <c r="E14" i="63" s="1"/>
  <c r="E18" i="63" a="1"/>
  <c r="E18" i="63" s="1"/>
  <c r="E22" i="63" a="1"/>
  <c r="E22" i="63" s="1"/>
  <c r="E26" i="63" a="1"/>
  <c r="E26" i="63" s="1"/>
  <c r="E30" i="63" a="1"/>
  <c r="E30" i="63" s="1"/>
  <c r="E34" i="63" a="1"/>
  <c r="E34" i="63" s="1"/>
  <c r="E38" i="63" a="1"/>
  <c r="E38" i="63" s="1"/>
  <c r="E42" i="63" a="1"/>
  <c r="E42" i="63" s="1"/>
  <c r="E46" i="63" a="1"/>
  <c r="E46" i="63" s="1"/>
  <c r="E50" i="63" a="1"/>
  <c r="E50" i="63" s="1"/>
  <c r="E54" i="63" a="1"/>
  <c r="E54" i="63" s="1"/>
  <c r="E58" i="63" a="1"/>
  <c r="E58" i="63" s="1"/>
  <c r="E62" i="63" a="1"/>
  <c r="E62" i="63" s="1"/>
  <c r="E66" i="63" a="1"/>
  <c r="E66" i="63" s="1"/>
  <c r="E70" i="63" a="1"/>
  <c r="E70" i="63" s="1"/>
  <c r="E74" i="63" a="1"/>
  <c r="E74" i="63" s="1"/>
  <c r="E78" i="63" a="1"/>
  <c r="E78" i="63" s="1"/>
  <c r="E82" i="63" a="1"/>
  <c r="E82" i="63" s="1"/>
  <c r="E86" i="63" a="1"/>
  <c r="E86" i="63" s="1"/>
  <c r="E90" i="63" a="1"/>
  <c r="E90" i="63" s="1"/>
  <c r="E94" i="63" a="1"/>
  <c r="E94" i="63" s="1"/>
  <c r="E98" i="63" a="1"/>
  <c r="E98" i="63" s="1"/>
  <c r="E102" i="63" a="1"/>
  <c r="E102" i="63" s="1"/>
  <c r="E106" i="63" a="1"/>
  <c r="E106" i="63" s="1"/>
  <c r="E110" i="63" a="1"/>
  <c r="E110" i="63" s="1"/>
  <c r="E114" i="63" a="1"/>
  <c r="E114" i="63" s="1"/>
  <c r="E118" i="63" a="1"/>
  <c r="E118" i="63" s="1"/>
  <c r="E122" i="63" a="1"/>
  <c r="E122" i="63" s="1"/>
  <c r="E126" i="63" a="1"/>
  <c r="E126" i="63" s="1"/>
  <c r="E130" i="63" a="1"/>
  <c r="E130" i="63" s="1"/>
  <c r="E134" i="63" a="1"/>
  <c r="E134" i="63" s="1"/>
  <c r="E138" i="63" a="1"/>
  <c r="E138" i="63" s="1"/>
  <c r="E142" i="63" a="1"/>
  <c r="E142" i="63" s="1"/>
  <c r="E146" i="63" a="1"/>
  <c r="E146" i="63" s="1"/>
  <c r="E150" i="63" a="1"/>
  <c r="E150" i="63" s="1"/>
  <c r="E154" i="63" a="1"/>
  <c r="E154" i="63" s="1"/>
  <c r="E158" i="63" a="1"/>
  <c r="E158" i="63" s="1"/>
  <c r="E162" i="63" a="1"/>
  <c r="E162" i="63" s="1"/>
  <c r="E166" i="63" a="1"/>
  <c r="E166" i="63" s="1"/>
  <c r="E170" i="63" a="1"/>
  <c r="E170" i="63" s="1"/>
  <c r="E174" i="63" a="1"/>
  <c r="E174" i="63" s="1"/>
  <c r="E15" i="63" a="1"/>
  <c r="E15" i="63" s="1"/>
  <c r="E19" i="63" a="1"/>
  <c r="E19" i="63" s="1"/>
  <c r="E23" i="63" a="1"/>
  <c r="E23" i="63" s="1"/>
  <c r="E27" i="63" a="1"/>
  <c r="E27" i="63" s="1"/>
  <c r="E31" i="63" a="1"/>
  <c r="E31" i="63" s="1"/>
  <c r="E35" i="63" a="1"/>
  <c r="E35" i="63" s="1"/>
  <c r="E39" i="63" a="1"/>
  <c r="E39" i="63" s="1"/>
  <c r="E43" i="63" a="1"/>
  <c r="E43" i="63" s="1"/>
  <c r="E47" i="63" a="1"/>
  <c r="E47" i="63" s="1"/>
  <c r="E51" i="63" a="1"/>
  <c r="E51" i="63" s="1"/>
  <c r="E55" i="63" a="1"/>
  <c r="E55" i="63" s="1"/>
  <c r="E59" i="63" a="1"/>
  <c r="E59" i="63" s="1"/>
  <c r="E63" i="63" a="1"/>
  <c r="E63" i="63" s="1"/>
  <c r="E67" i="63" a="1"/>
  <c r="E67" i="63" s="1"/>
  <c r="E71" i="63" a="1"/>
  <c r="E71" i="63" s="1"/>
  <c r="E75" i="63" a="1"/>
  <c r="E75" i="63" s="1"/>
  <c r="E79" i="63" a="1"/>
  <c r="E79" i="63" s="1"/>
  <c r="E83" i="63" a="1"/>
  <c r="E83" i="63" s="1"/>
  <c r="E87" i="63" a="1"/>
  <c r="E87" i="63" s="1"/>
  <c r="E91" i="63" a="1"/>
  <c r="E91" i="63" s="1"/>
  <c r="E95" i="63" a="1"/>
  <c r="E95" i="63" s="1"/>
  <c r="E99" i="63" a="1"/>
  <c r="E99" i="63" s="1"/>
  <c r="E103" i="63" a="1"/>
  <c r="E103" i="63" s="1"/>
  <c r="E107" i="63" a="1"/>
  <c r="E107" i="63" s="1"/>
  <c r="E111" i="63" a="1"/>
  <c r="E111" i="63" s="1"/>
  <c r="E115" i="63" a="1"/>
  <c r="E115" i="63" s="1"/>
  <c r="E119" i="63" a="1"/>
  <c r="E119" i="63" s="1"/>
  <c r="E123" i="63" a="1"/>
  <c r="E123" i="63" s="1"/>
  <c r="E127" i="63" a="1"/>
  <c r="E127" i="63" s="1"/>
  <c r="E131" i="63" a="1"/>
  <c r="E131" i="63" s="1"/>
  <c r="E135" i="63" a="1"/>
  <c r="E135" i="63" s="1"/>
  <c r="E139" i="63" a="1"/>
  <c r="E139" i="63" s="1"/>
  <c r="E143" i="63" a="1"/>
  <c r="E143" i="63" s="1"/>
  <c r="E147" i="63" a="1"/>
  <c r="E147" i="63" s="1"/>
  <c r="E151" i="63" a="1"/>
  <c r="E151" i="63" s="1"/>
  <c r="E155" i="63" a="1"/>
  <c r="E155" i="63" s="1"/>
  <c r="E159" i="63" a="1"/>
  <c r="E159" i="63" s="1"/>
  <c r="E163" i="63" a="1"/>
  <c r="E163" i="63" s="1"/>
  <c r="E167" i="63" a="1"/>
  <c r="E167" i="63" s="1"/>
  <c r="E171" i="63" a="1"/>
  <c r="E171" i="63" s="1"/>
  <c r="E175" i="63" a="1"/>
  <c r="E175" i="63" s="1"/>
  <c r="E16" i="63" a="1"/>
  <c r="E16" i="63" s="1"/>
  <c r="E20" i="63" a="1"/>
  <c r="E20" i="63" s="1"/>
  <c r="E24" i="63" a="1"/>
  <c r="E24" i="63" s="1"/>
  <c r="E28" i="63" a="1"/>
  <c r="E28" i="63" s="1"/>
  <c r="E32" i="63" a="1"/>
  <c r="E32" i="63" s="1"/>
  <c r="E36" i="63" a="1"/>
  <c r="E36" i="63" s="1"/>
  <c r="E40" i="63" a="1"/>
  <c r="E40" i="63" s="1"/>
  <c r="E44" i="63" a="1"/>
  <c r="E44" i="63" s="1"/>
  <c r="E48" i="63" a="1"/>
  <c r="E48" i="63" s="1"/>
  <c r="E52" i="63" a="1"/>
  <c r="E52" i="63" s="1"/>
  <c r="E56" i="63" a="1"/>
  <c r="E56" i="63" s="1"/>
  <c r="E60" i="63" a="1"/>
  <c r="E60" i="63" s="1"/>
  <c r="E64" i="63" a="1"/>
  <c r="E64" i="63" s="1"/>
  <c r="E68" i="63" a="1"/>
  <c r="E68" i="63" s="1"/>
  <c r="E72" i="63" a="1"/>
  <c r="E72" i="63" s="1"/>
  <c r="E76" i="63" a="1"/>
  <c r="E76" i="63" s="1"/>
  <c r="E80" i="63" a="1"/>
  <c r="E80" i="63" s="1"/>
  <c r="E84" i="63" a="1"/>
  <c r="E84" i="63" s="1"/>
  <c r="E88" i="63" a="1"/>
  <c r="E88" i="63" s="1"/>
  <c r="E92" i="63" a="1"/>
  <c r="E92" i="63" s="1"/>
  <c r="E96" i="63" a="1"/>
  <c r="E96" i="63" s="1"/>
  <c r="E100" i="63" a="1"/>
  <c r="E100" i="63" s="1"/>
  <c r="E104" i="63" a="1"/>
  <c r="E104" i="63" s="1"/>
  <c r="E108" i="63" a="1"/>
  <c r="E108" i="63" s="1"/>
  <c r="E112" i="63" a="1"/>
  <c r="E112" i="63" s="1"/>
  <c r="E116" i="63" a="1"/>
  <c r="E116" i="63" s="1"/>
  <c r="E120" i="63" a="1"/>
  <c r="E120" i="63" s="1"/>
  <c r="E124" i="63" a="1"/>
  <c r="E124" i="63" s="1"/>
  <c r="E128" i="63" a="1"/>
  <c r="E128" i="63" s="1"/>
  <c r="E132" i="63" a="1"/>
  <c r="E132" i="63" s="1"/>
  <c r="E136" i="63" a="1"/>
  <c r="E136" i="63" s="1"/>
  <c r="E140" i="63" a="1"/>
  <c r="E140" i="63" s="1"/>
  <c r="E144" i="63" a="1"/>
  <c r="E144" i="63" s="1"/>
  <c r="E148" i="63" a="1"/>
  <c r="E148" i="63" s="1"/>
  <c r="E152" i="63" a="1"/>
  <c r="E152" i="63" s="1"/>
  <c r="E156" i="63" a="1"/>
  <c r="E156" i="63" s="1"/>
  <c r="E160" i="63" a="1"/>
  <c r="E160" i="63" s="1"/>
  <c r="E164" i="63" a="1"/>
  <c r="E164" i="63" s="1"/>
  <c r="E168" i="63" a="1"/>
  <c r="E168" i="63" s="1"/>
  <c r="E172" i="63" a="1"/>
  <c r="E172" i="63" s="1"/>
  <c r="E176" i="63" a="1"/>
  <c r="E176" i="63" s="1"/>
  <c r="E9" i="62" a="1"/>
  <c r="E9" i="62" s="1"/>
  <c r="E10" i="62" a="1"/>
  <c r="E10" i="62" s="1"/>
  <c r="E11" i="62" a="1"/>
  <c r="E11" i="62" s="1"/>
  <c r="E15" i="62" a="1"/>
  <c r="E15" i="62" s="1"/>
  <c r="E19" i="62" a="1"/>
  <c r="E19" i="62" s="1"/>
  <c r="E23" i="62" a="1"/>
  <c r="E23" i="62" s="1"/>
  <c r="E27" i="62" a="1"/>
  <c r="E27" i="62" s="1"/>
  <c r="E31" i="62" a="1"/>
  <c r="E31" i="62" s="1"/>
  <c r="E35" i="62" a="1"/>
  <c r="E35" i="62" s="1"/>
  <c r="E39" i="62" a="1"/>
  <c r="E39" i="62" s="1"/>
  <c r="E43" i="62" a="1"/>
  <c r="E43" i="62" s="1"/>
  <c r="E47" i="62" a="1"/>
  <c r="E47" i="62" s="1"/>
  <c r="E51" i="62" a="1"/>
  <c r="E51" i="62" s="1"/>
  <c r="E55" i="62" a="1"/>
  <c r="E55" i="62" s="1"/>
  <c r="E59" i="62" a="1"/>
  <c r="E59" i="62" s="1"/>
  <c r="E63" i="62" a="1"/>
  <c r="E63" i="62" s="1"/>
  <c r="E67" i="62" a="1"/>
  <c r="E67" i="62" s="1"/>
  <c r="E71" i="62" a="1"/>
  <c r="E71" i="62" s="1"/>
  <c r="E75" i="62" a="1"/>
  <c r="E75" i="62" s="1"/>
  <c r="E79" i="62" a="1"/>
  <c r="E79" i="62" s="1"/>
  <c r="E83" i="62" a="1"/>
  <c r="E83" i="62" s="1"/>
  <c r="E87" i="62" a="1"/>
  <c r="E87" i="62" s="1"/>
  <c r="E91" i="62" a="1"/>
  <c r="E91" i="62" s="1"/>
  <c r="E95" i="62" a="1"/>
  <c r="E95" i="62" s="1"/>
  <c r="E99" i="62" a="1"/>
  <c r="E99" i="62" s="1"/>
  <c r="E103" i="62" a="1"/>
  <c r="E103" i="62" s="1"/>
  <c r="E107" i="62" a="1"/>
  <c r="E107" i="62" s="1"/>
  <c r="E111" i="62" a="1"/>
  <c r="E111" i="62" s="1"/>
  <c r="E115" i="62" a="1"/>
  <c r="E115" i="62" s="1"/>
  <c r="E119" i="62" a="1"/>
  <c r="E119" i="62" s="1"/>
  <c r="E123" i="62" a="1"/>
  <c r="E123" i="62" s="1"/>
  <c r="E127" i="62" a="1"/>
  <c r="E127" i="62" s="1"/>
  <c r="E131" i="62" a="1"/>
  <c r="E131" i="62" s="1"/>
  <c r="E135" i="62" a="1"/>
  <c r="E135" i="62" s="1"/>
  <c r="E139" i="62" a="1"/>
  <c r="E139" i="62" s="1"/>
  <c r="E143" i="62" a="1"/>
  <c r="E143" i="62" s="1"/>
  <c r="E147" i="62" a="1"/>
  <c r="E147" i="62" s="1"/>
  <c r="E151" i="62" a="1"/>
  <c r="E151" i="62" s="1"/>
  <c r="E155" i="62" a="1"/>
  <c r="E155" i="62" s="1"/>
  <c r="E159" i="62" a="1"/>
  <c r="E159" i="62" s="1"/>
  <c r="E163" i="62" a="1"/>
  <c r="E163" i="62" s="1"/>
  <c r="E167" i="62" a="1"/>
  <c r="E167" i="62" s="1"/>
  <c r="E171" i="62" a="1"/>
  <c r="E171" i="62" s="1"/>
  <c r="E177" i="62" a="1"/>
  <c r="E177" i="62" s="1"/>
  <c r="E188" i="62" a="1"/>
  <c r="E188" i="62" s="1"/>
  <c r="E12" i="62" a="1"/>
  <c r="E12" i="62" s="1"/>
  <c r="E16" i="62" a="1"/>
  <c r="E16" i="62" s="1"/>
  <c r="E20" i="62" a="1"/>
  <c r="E20" i="62" s="1"/>
  <c r="E24" i="62" a="1"/>
  <c r="E24" i="62" s="1"/>
  <c r="E28" i="62" a="1"/>
  <c r="E28" i="62" s="1"/>
  <c r="E32" i="62" a="1"/>
  <c r="E32" i="62" s="1"/>
  <c r="E36" i="62" a="1"/>
  <c r="E36" i="62" s="1"/>
  <c r="E40" i="62" a="1"/>
  <c r="E40" i="62" s="1"/>
  <c r="E44" i="62" a="1"/>
  <c r="E44" i="62" s="1"/>
  <c r="E48" i="62" a="1"/>
  <c r="E48" i="62" s="1"/>
  <c r="E52" i="62" a="1"/>
  <c r="E52" i="62" s="1"/>
  <c r="E56" i="62" a="1"/>
  <c r="E56" i="62" s="1"/>
  <c r="E60" i="62" a="1"/>
  <c r="E60" i="62" s="1"/>
  <c r="E64" i="62" a="1"/>
  <c r="E64" i="62" s="1"/>
  <c r="E68" i="62" a="1"/>
  <c r="E68" i="62" s="1"/>
  <c r="E72" i="62" a="1"/>
  <c r="E72" i="62" s="1"/>
  <c r="E76" i="62" a="1"/>
  <c r="E76" i="62" s="1"/>
  <c r="E80" i="62" a="1"/>
  <c r="E80" i="62" s="1"/>
  <c r="E84" i="62" a="1"/>
  <c r="E84" i="62" s="1"/>
  <c r="E88" i="62" a="1"/>
  <c r="E88" i="62" s="1"/>
  <c r="E92" i="62" a="1"/>
  <c r="E92" i="62" s="1"/>
  <c r="E96" i="62" a="1"/>
  <c r="E96" i="62" s="1"/>
  <c r="E100" i="62" a="1"/>
  <c r="E100" i="62" s="1"/>
  <c r="E104" i="62" a="1"/>
  <c r="E104" i="62" s="1"/>
  <c r="E108" i="62" a="1"/>
  <c r="E108" i="62" s="1"/>
  <c r="E112" i="62" a="1"/>
  <c r="E112" i="62" s="1"/>
  <c r="E116" i="62" a="1"/>
  <c r="E116" i="62" s="1"/>
  <c r="E120" i="62" a="1"/>
  <c r="E120" i="62" s="1"/>
  <c r="E124" i="62" a="1"/>
  <c r="E124" i="62" s="1"/>
  <c r="E128" i="62" a="1"/>
  <c r="E128" i="62" s="1"/>
  <c r="E132" i="62" a="1"/>
  <c r="E132" i="62" s="1"/>
  <c r="E136" i="62" a="1"/>
  <c r="E136" i="62" s="1"/>
  <c r="E140" i="62" a="1"/>
  <c r="E140" i="62" s="1"/>
  <c r="E144" i="62" a="1"/>
  <c r="E144" i="62" s="1"/>
  <c r="E148" i="62" a="1"/>
  <c r="E148" i="62" s="1"/>
  <c r="E152" i="62" a="1"/>
  <c r="E152" i="62" s="1"/>
  <c r="E156" i="62" a="1"/>
  <c r="E156" i="62" s="1"/>
  <c r="E160" i="62" a="1"/>
  <c r="E160" i="62" s="1"/>
  <c r="E164" i="62" a="1"/>
  <c r="E164" i="62" s="1"/>
  <c r="E168" i="62" a="1"/>
  <c r="E168" i="62" s="1"/>
  <c r="E172" i="62" a="1"/>
  <c r="E172" i="62" s="1"/>
  <c r="E175" i="62" a="1"/>
  <c r="E175" i="62" s="1"/>
  <c r="E178" i="62" a="1"/>
  <c r="E178" i="62" s="1"/>
  <c r="E180" i="62" a="1"/>
  <c r="E180" i="62" s="1"/>
  <c r="E182" i="62" a="1"/>
  <c r="E182" i="62" s="1"/>
  <c r="E184" i="62" a="1"/>
  <c r="E184" i="62" s="1"/>
  <c r="E186" i="62" a="1"/>
  <c r="E186" i="62" s="1"/>
  <c r="E13" i="62" a="1"/>
  <c r="E13" i="62" s="1"/>
  <c r="E17" i="62" a="1"/>
  <c r="E17" i="62" s="1"/>
  <c r="E21" i="62" a="1"/>
  <c r="E21" i="62" s="1"/>
  <c r="E25" i="62" a="1"/>
  <c r="E25" i="62" s="1"/>
  <c r="E29" i="62" a="1"/>
  <c r="E29" i="62" s="1"/>
  <c r="E33" i="62" a="1"/>
  <c r="E33" i="62" s="1"/>
  <c r="E37" i="62" a="1"/>
  <c r="E37" i="62" s="1"/>
  <c r="E41" i="62" a="1"/>
  <c r="E41" i="62" s="1"/>
  <c r="E45" i="62" a="1"/>
  <c r="E45" i="62" s="1"/>
  <c r="E49" i="62" a="1"/>
  <c r="E49" i="62" s="1"/>
  <c r="E53" i="62" a="1"/>
  <c r="E53" i="62" s="1"/>
  <c r="E57" i="62" a="1"/>
  <c r="E57" i="62" s="1"/>
  <c r="E61" i="62" a="1"/>
  <c r="E61" i="62" s="1"/>
  <c r="E65" i="62" a="1"/>
  <c r="E65" i="62" s="1"/>
  <c r="E69" i="62" a="1"/>
  <c r="E69" i="62" s="1"/>
  <c r="E73" i="62" a="1"/>
  <c r="E73" i="62" s="1"/>
  <c r="E77" i="62" a="1"/>
  <c r="E77" i="62" s="1"/>
  <c r="E81" i="62" a="1"/>
  <c r="E81" i="62" s="1"/>
  <c r="E85" i="62" a="1"/>
  <c r="E85" i="62" s="1"/>
  <c r="E89" i="62" a="1"/>
  <c r="E89" i="62" s="1"/>
  <c r="E93" i="62" a="1"/>
  <c r="E93" i="62" s="1"/>
  <c r="E97" i="62" a="1"/>
  <c r="E97" i="62" s="1"/>
  <c r="E101" i="62" a="1"/>
  <c r="E101" i="62" s="1"/>
  <c r="E105" i="62" a="1"/>
  <c r="E105" i="62" s="1"/>
  <c r="E109" i="62" a="1"/>
  <c r="E109" i="62" s="1"/>
  <c r="E113" i="62" a="1"/>
  <c r="E113" i="62" s="1"/>
  <c r="E117" i="62" a="1"/>
  <c r="E117" i="62" s="1"/>
  <c r="E121" i="62" a="1"/>
  <c r="E121" i="62" s="1"/>
  <c r="E125" i="62" a="1"/>
  <c r="E125" i="62" s="1"/>
  <c r="E129" i="62" a="1"/>
  <c r="E129" i="62" s="1"/>
  <c r="E133" i="62" a="1"/>
  <c r="E133" i="62" s="1"/>
  <c r="E137" i="62" a="1"/>
  <c r="E137" i="62" s="1"/>
  <c r="E141" i="62" a="1"/>
  <c r="E141" i="62" s="1"/>
  <c r="E145" i="62" a="1"/>
  <c r="E145" i="62" s="1"/>
  <c r="E149" i="62" a="1"/>
  <c r="E149" i="62" s="1"/>
  <c r="E153" i="62" a="1"/>
  <c r="E153" i="62" s="1"/>
  <c r="E157" i="62" a="1"/>
  <c r="E157" i="62" s="1"/>
  <c r="E161" i="62" a="1"/>
  <c r="E161" i="62" s="1"/>
  <c r="E165" i="62" a="1"/>
  <c r="E165" i="62" s="1"/>
  <c r="E169" i="62" a="1"/>
  <c r="E169" i="62" s="1"/>
  <c r="E173" i="62" a="1"/>
  <c r="E173" i="62" s="1"/>
  <c r="E176" i="62" a="1"/>
  <c r="E176" i="62" s="1"/>
  <c r="E14" i="62" a="1"/>
  <c r="E14" i="62" s="1"/>
  <c r="E18" i="62" a="1"/>
  <c r="E18" i="62" s="1"/>
  <c r="E22" i="62" a="1"/>
  <c r="E22" i="62" s="1"/>
  <c r="E26" i="62" a="1"/>
  <c r="E26" i="62" s="1"/>
  <c r="E30" i="62" a="1"/>
  <c r="E30" i="62" s="1"/>
  <c r="E34" i="62" a="1"/>
  <c r="E34" i="62" s="1"/>
  <c r="E38" i="62" a="1"/>
  <c r="E38" i="62" s="1"/>
  <c r="E42" i="62" a="1"/>
  <c r="E42" i="62" s="1"/>
  <c r="E46" i="62" a="1"/>
  <c r="E46" i="62" s="1"/>
  <c r="E50" i="62" a="1"/>
  <c r="E50" i="62" s="1"/>
  <c r="E54" i="62" a="1"/>
  <c r="E54" i="62" s="1"/>
  <c r="E58" i="62" a="1"/>
  <c r="E58" i="62" s="1"/>
  <c r="E62" i="62" a="1"/>
  <c r="E62" i="62" s="1"/>
  <c r="E66" i="62" a="1"/>
  <c r="E66" i="62" s="1"/>
  <c r="E70" i="62" a="1"/>
  <c r="E70" i="62" s="1"/>
  <c r="E74" i="62" a="1"/>
  <c r="E74" i="62" s="1"/>
  <c r="E78" i="62" a="1"/>
  <c r="E78" i="62" s="1"/>
  <c r="E82" i="62" a="1"/>
  <c r="E82" i="62" s="1"/>
  <c r="E86" i="62" a="1"/>
  <c r="E86" i="62" s="1"/>
  <c r="E90" i="62" a="1"/>
  <c r="E90" i="62" s="1"/>
  <c r="E94" i="62" a="1"/>
  <c r="E94" i="62" s="1"/>
  <c r="E98" i="62" a="1"/>
  <c r="E98" i="62" s="1"/>
  <c r="E102" i="62" a="1"/>
  <c r="E102" i="62" s="1"/>
  <c r="E106" i="62" a="1"/>
  <c r="E106" i="62" s="1"/>
  <c r="E110" i="62" a="1"/>
  <c r="E110" i="62" s="1"/>
  <c r="E114" i="62" a="1"/>
  <c r="E114" i="62" s="1"/>
  <c r="E118" i="62" a="1"/>
  <c r="E118" i="62" s="1"/>
  <c r="E122" i="62" a="1"/>
  <c r="E122" i="62" s="1"/>
  <c r="E126" i="62" a="1"/>
  <c r="E126" i="62" s="1"/>
  <c r="E130" i="62" a="1"/>
  <c r="E130" i="62" s="1"/>
  <c r="E134" i="62" a="1"/>
  <c r="E134" i="62" s="1"/>
  <c r="E138" i="62" a="1"/>
  <c r="E138" i="62" s="1"/>
  <c r="E142" i="62" a="1"/>
  <c r="E142" i="62" s="1"/>
  <c r="E146" i="62" a="1"/>
  <c r="E146" i="62" s="1"/>
  <c r="E150" i="62" a="1"/>
  <c r="E150" i="62" s="1"/>
  <c r="E154" i="62" a="1"/>
  <c r="E154" i="62" s="1"/>
  <c r="E158" i="62" a="1"/>
  <c r="E158" i="62" s="1"/>
  <c r="E162" i="62" a="1"/>
  <c r="E162" i="62" s="1"/>
  <c r="E166" i="62" a="1"/>
  <c r="E166" i="62" s="1"/>
  <c r="E170" i="62" a="1"/>
  <c r="E170" i="62" s="1"/>
  <c r="E174" i="62" a="1"/>
  <c r="E174" i="62" s="1"/>
  <c r="E179" i="62" a="1"/>
  <c r="E179" i="62" s="1"/>
  <c r="E181" i="62" a="1"/>
  <c r="E181" i="62" s="1"/>
  <c r="E183" i="62" a="1"/>
  <c r="E183" i="62" s="1"/>
  <c r="E185" i="62" a="1"/>
  <c r="E185" i="62" s="1"/>
  <c r="E187" i="62" a="1"/>
  <c r="E187" i="62" s="1"/>
  <c r="E9" i="66" a="1"/>
  <c r="E9" i="66" s="1"/>
  <c r="E11" i="66" a="1"/>
  <c r="E11" i="66" s="1"/>
  <c r="E13" i="66" a="1"/>
  <c r="E13" i="66" s="1"/>
  <c r="E15" i="66" a="1"/>
  <c r="E15" i="66" s="1"/>
  <c r="E17" i="66" a="1"/>
  <c r="E17" i="66" s="1"/>
  <c r="E19" i="66" a="1"/>
  <c r="E19" i="66" s="1"/>
  <c r="E21" i="66" a="1"/>
  <c r="E21" i="66" s="1"/>
  <c r="E23" i="66" a="1"/>
  <c r="E23" i="66" s="1"/>
  <c r="E25" i="66" a="1"/>
  <c r="E25" i="66" s="1"/>
  <c r="E27" i="66" a="1"/>
  <c r="E27" i="66" s="1"/>
  <c r="E29" i="66" a="1"/>
  <c r="E29" i="66" s="1"/>
  <c r="E31" i="66" a="1"/>
  <c r="E31" i="66" s="1"/>
  <c r="E33" i="66" a="1"/>
  <c r="E33" i="66" s="1"/>
  <c r="E35" i="66" a="1"/>
  <c r="E35" i="66" s="1"/>
  <c r="E37" i="66" a="1"/>
  <c r="E37" i="66" s="1"/>
  <c r="E39" i="66" a="1"/>
  <c r="E39" i="66" s="1"/>
  <c r="E41" i="66" a="1"/>
  <c r="E41" i="66" s="1"/>
  <c r="E43" i="66" a="1"/>
  <c r="E43" i="66" s="1"/>
  <c r="E45" i="66" a="1"/>
  <c r="E45" i="66" s="1"/>
  <c r="E47" i="66" a="1"/>
  <c r="E47" i="66" s="1"/>
  <c r="E49" i="66" a="1"/>
  <c r="E49" i="66" s="1"/>
  <c r="E51" i="66" a="1"/>
  <c r="E51" i="66" s="1"/>
  <c r="E53" i="66" a="1"/>
  <c r="E53" i="66" s="1"/>
  <c r="E55" i="66" a="1"/>
  <c r="E55" i="66" s="1"/>
  <c r="E57" i="66" a="1"/>
  <c r="E57" i="66" s="1"/>
  <c r="E59" i="66" a="1"/>
  <c r="E59" i="66" s="1"/>
  <c r="E26" i="66" a="1"/>
  <c r="E26" i="66" s="1"/>
  <c r="E34" i="66" a="1"/>
  <c r="E34" i="66" s="1"/>
  <c r="E40" i="66" a="1"/>
  <c r="E40" i="66" s="1"/>
  <c r="E44" i="66" a="1"/>
  <c r="E44" i="66" s="1"/>
  <c r="E46" i="66" a="1"/>
  <c r="E46" i="66" s="1"/>
  <c r="E50" i="66" a="1"/>
  <c r="E50" i="66" s="1"/>
  <c r="E54" i="66" a="1"/>
  <c r="E54" i="66" s="1"/>
  <c r="E58" i="66" a="1"/>
  <c r="E58" i="66" s="1"/>
  <c r="E62" i="66" a="1"/>
  <c r="E62" i="66" s="1"/>
  <c r="E66" i="66" a="1"/>
  <c r="E66" i="66" s="1"/>
  <c r="E70" i="66" a="1"/>
  <c r="E70" i="66" s="1"/>
  <c r="E74" i="66" a="1"/>
  <c r="E74" i="66" s="1"/>
  <c r="E78" i="66" a="1"/>
  <c r="E78" i="66" s="1"/>
  <c r="E82" i="66" a="1"/>
  <c r="E82" i="66" s="1"/>
  <c r="E10" i="66" a="1"/>
  <c r="E10" i="66" s="1"/>
  <c r="E12" i="66" a="1"/>
  <c r="E12" i="66" s="1"/>
  <c r="E14" i="66" a="1"/>
  <c r="E14" i="66" s="1"/>
  <c r="E16" i="66" a="1"/>
  <c r="E16" i="66" s="1"/>
  <c r="E18" i="66" a="1"/>
  <c r="E18" i="66" s="1"/>
  <c r="E20" i="66" a="1"/>
  <c r="E20" i="66" s="1"/>
  <c r="E22" i="66" a="1"/>
  <c r="E22" i="66" s="1"/>
  <c r="E24" i="66" a="1"/>
  <c r="E24" i="66" s="1"/>
  <c r="E28" i="66" a="1"/>
  <c r="E28" i="66" s="1"/>
  <c r="E30" i="66" a="1"/>
  <c r="E30" i="66" s="1"/>
  <c r="E32" i="66" a="1"/>
  <c r="E32" i="66" s="1"/>
  <c r="E36" i="66" a="1"/>
  <c r="E36" i="66" s="1"/>
  <c r="E38" i="66" a="1"/>
  <c r="E38" i="66" s="1"/>
  <c r="E42" i="66" a="1"/>
  <c r="E42" i="66" s="1"/>
  <c r="E48" i="66" a="1"/>
  <c r="E48" i="66" s="1"/>
  <c r="E52" i="66" a="1"/>
  <c r="E52" i="66" s="1"/>
  <c r="E56" i="66" a="1"/>
  <c r="E56" i="66" s="1"/>
  <c r="E60" i="66" a="1"/>
  <c r="E60" i="66" s="1"/>
  <c r="E64" i="66" a="1"/>
  <c r="E64" i="66" s="1"/>
  <c r="E68" i="66" a="1"/>
  <c r="E68" i="66" s="1"/>
  <c r="E72" i="66" a="1"/>
  <c r="E72" i="66" s="1"/>
  <c r="E76" i="66" a="1"/>
  <c r="E76" i="66" s="1"/>
  <c r="E80" i="66" a="1"/>
  <c r="E80" i="66" s="1"/>
  <c r="E84" i="66" a="1"/>
  <c r="E84" i="66" s="1"/>
  <c r="E86" i="66" a="1"/>
  <c r="E86" i="66" s="1"/>
  <c r="E63" i="66" a="1"/>
  <c r="E63" i="66" s="1"/>
  <c r="E67" i="66" a="1"/>
  <c r="E67" i="66" s="1"/>
  <c r="E71" i="66" a="1"/>
  <c r="E71" i="66" s="1"/>
  <c r="E75" i="66" a="1"/>
  <c r="E75" i="66" s="1"/>
  <c r="E79" i="66" a="1"/>
  <c r="E79" i="66" s="1"/>
  <c r="E83" i="66" a="1"/>
  <c r="E83" i="66" s="1"/>
  <c r="E87" i="66" a="1"/>
  <c r="E87" i="66" s="1"/>
  <c r="E90" i="66" a="1"/>
  <c r="E90" i="66" s="1"/>
  <c r="E95" i="66" a="1"/>
  <c r="E95" i="66" s="1"/>
  <c r="E98" i="66" a="1"/>
  <c r="E98" i="66" s="1"/>
  <c r="E103" i="66" a="1"/>
  <c r="E103" i="66" s="1"/>
  <c r="E106" i="66" a="1"/>
  <c r="E106" i="66" s="1"/>
  <c r="E111" i="66" a="1"/>
  <c r="E111" i="66" s="1"/>
  <c r="E114" i="66" a="1"/>
  <c r="E114" i="66" s="1"/>
  <c r="E119" i="66" a="1"/>
  <c r="E119" i="66" s="1"/>
  <c r="E122" i="66" a="1"/>
  <c r="E122" i="66" s="1"/>
  <c r="E127" i="66" a="1"/>
  <c r="E127" i="66" s="1"/>
  <c r="E130" i="66" a="1"/>
  <c r="E130" i="66" s="1"/>
  <c r="E135" i="66" a="1"/>
  <c r="E135" i="66" s="1"/>
  <c r="E138" i="66" a="1"/>
  <c r="E138" i="66" s="1"/>
  <c r="E143" i="66" a="1"/>
  <c r="E143" i="66" s="1"/>
  <c r="E146" i="66" a="1"/>
  <c r="E146" i="66" s="1"/>
  <c r="E121" i="66" a="1"/>
  <c r="E121" i="66" s="1"/>
  <c r="E132" i="66" a="1"/>
  <c r="E132" i="66" s="1"/>
  <c r="E148" i="66" a="1"/>
  <c r="E148" i="66" s="1"/>
  <c r="E88" i="66" a="1"/>
  <c r="E88" i="66" s="1"/>
  <c r="E93" i="66" a="1"/>
  <c r="E93" i="66" s="1"/>
  <c r="E96" i="66" a="1"/>
  <c r="E96" i="66" s="1"/>
  <c r="E101" i="66" a="1"/>
  <c r="E101" i="66" s="1"/>
  <c r="E104" i="66" a="1"/>
  <c r="E104" i="66" s="1"/>
  <c r="E109" i="66" a="1"/>
  <c r="E109" i="66" s="1"/>
  <c r="E112" i="66" a="1"/>
  <c r="E112" i="66" s="1"/>
  <c r="E117" i="66" a="1"/>
  <c r="E117" i="66" s="1"/>
  <c r="E120" i="66" a="1"/>
  <c r="E120" i="66" s="1"/>
  <c r="E125" i="66" a="1"/>
  <c r="E125" i="66" s="1"/>
  <c r="E128" i="66" a="1"/>
  <c r="E128" i="66" s="1"/>
  <c r="E133" i="66" a="1"/>
  <c r="E133" i="66" s="1"/>
  <c r="E136" i="66" a="1"/>
  <c r="E136" i="66" s="1"/>
  <c r="E141" i="66" a="1"/>
  <c r="E141" i="66" s="1"/>
  <c r="E144" i="66" a="1"/>
  <c r="E144" i="66" s="1"/>
  <c r="E149" i="66" a="1"/>
  <c r="E149" i="66" s="1"/>
  <c r="E134" i="66" a="1"/>
  <c r="E134" i="66" s="1"/>
  <c r="E139" i="66" a="1"/>
  <c r="E139" i="66" s="1"/>
  <c r="E147" i="66" a="1"/>
  <c r="E147" i="66" s="1"/>
  <c r="E92" i="66" a="1"/>
  <c r="E92" i="66" s="1"/>
  <c r="E100" i="66" a="1"/>
  <c r="E100" i="66" s="1"/>
  <c r="E108" i="66" a="1"/>
  <c r="E108" i="66" s="1"/>
  <c r="E116" i="66" a="1"/>
  <c r="E116" i="66" s="1"/>
  <c r="E129" i="66" a="1"/>
  <c r="E129" i="66" s="1"/>
  <c r="E140" i="66" a="1"/>
  <c r="E140" i="66" s="1"/>
  <c r="E61" i="66" a="1"/>
  <c r="E61" i="66" s="1"/>
  <c r="E65" i="66" a="1"/>
  <c r="E65" i="66" s="1"/>
  <c r="E69" i="66" a="1"/>
  <c r="E69" i="66" s="1"/>
  <c r="E73" i="66" a="1"/>
  <c r="E73" i="66" s="1"/>
  <c r="E77" i="66" a="1"/>
  <c r="E77" i="66" s="1"/>
  <c r="E81" i="66" a="1"/>
  <c r="E81" i="66" s="1"/>
  <c r="E85" i="66" a="1"/>
  <c r="E85" i="66" s="1"/>
  <c r="E91" i="66" a="1"/>
  <c r="E91" i="66" s="1"/>
  <c r="E94" i="66" a="1"/>
  <c r="E94" i="66" s="1"/>
  <c r="E99" i="66" a="1"/>
  <c r="E99" i="66" s="1"/>
  <c r="E102" i="66" a="1"/>
  <c r="E102" i="66" s="1"/>
  <c r="E107" i="66" a="1"/>
  <c r="E107" i="66" s="1"/>
  <c r="E110" i="66" a="1"/>
  <c r="E110" i="66" s="1"/>
  <c r="E115" i="66" a="1"/>
  <c r="E115" i="66" s="1"/>
  <c r="E118" i="66" a="1"/>
  <c r="E118" i="66" s="1"/>
  <c r="E123" i="66" a="1"/>
  <c r="E123" i="66" s="1"/>
  <c r="E126" i="66" a="1"/>
  <c r="E126" i="66" s="1"/>
  <c r="E131" i="66" a="1"/>
  <c r="E131" i="66" s="1"/>
  <c r="E142" i="66" a="1"/>
  <c r="E142" i="66" s="1"/>
  <c r="E150" i="66" a="1"/>
  <c r="E150" i="66" s="1"/>
  <c r="E89" i="66" a="1"/>
  <c r="E89" i="66" s="1"/>
  <c r="E97" i="66" a="1"/>
  <c r="E97" i="66" s="1"/>
  <c r="E105" i="66" a="1"/>
  <c r="E105" i="66" s="1"/>
  <c r="E113" i="66" a="1"/>
  <c r="E113" i="66" s="1"/>
  <c r="E124" i="66" a="1"/>
  <c r="E124" i="66" s="1"/>
  <c r="E137" i="66" a="1"/>
  <c r="E137" i="66" s="1"/>
  <c r="E145" i="66" a="1"/>
  <c r="E145" i="66" s="1"/>
  <c r="E9" i="67" a="1"/>
  <c r="E9" i="67" s="1"/>
  <c r="E15" i="67" a="1"/>
  <c r="E15" i="67" s="1"/>
  <c r="E19" i="67" a="1"/>
  <c r="E19" i="67" s="1"/>
  <c r="E23" i="67" a="1"/>
  <c r="E23" i="67" s="1"/>
  <c r="E27" i="67" a="1"/>
  <c r="E27" i="67" s="1"/>
  <c r="E31" i="67" a="1"/>
  <c r="E31" i="67" s="1"/>
  <c r="E35" i="67" a="1"/>
  <c r="E35" i="67" s="1"/>
  <c r="E39" i="67" a="1"/>
  <c r="E39" i="67" s="1"/>
  <c r="E43" i="67" a="1"/>
  <c r="E43" i="67" s="1"/>
  <c r="E47" i="67" a="1"/>
  <c r="E47" i="67" s="1"/>
  <c r="E51" i="67" a="1"/>
  <c r="E51" i="67" s="1"/>
  <c r="E55" i="67" a="1"/>
  <c r="E55" i="67" s="1"/>
  <c r="E12" i="67" a="1"/>
  <c r="E12" i="67" s="1"/>
  <c r="E14" i="67" a="1"/>
  <c r="E14" i="67" s="1"/>
  <c r="E18" i="67" a="1"/>
  <c r="E18" i="67" s="1"/>
  <c r="E22" i="67" a="1"/>
  <c r="E22" i="67" s="1"/>
  <c r="E26" i="67" a="1"/>
  <c r="E26" i="67" s="1"/>
  <c r="E30" i="67" a="1"/>
  <c r="E30" i="67" s="1"/>
  <c r="E34" i="67" a="1"/>
  <c r="E34" i="67" s="1"/>
  <c r="E38" i="67" a="1"/>
  <c r="E38" i="67" s="1"/>
  <c r="E42" i="67" a="1"/>
  <c r="E42" i="67" s="1"/>
  <c r="E46" i="67" a="1"/>
  <c r="E46" i="67" s="1"/>
  <c r="E52" i="67" a="1"/>
  <c r="E52" i="67" s="1"/>
  <c r="E54" i="67" a="1"/>
  <c r="E54" i="67" s="1"/>
  <c r="E10" i="67" a="1"/>
  <c r="E10" i="67" s="1"/>
  <c r="E16" i="67" a="1"/>
  <c r="E16" i="67" s="1"/>
  <c r="E20" i="67" a="1"/>
  <c r="E20" i="67" s="1"/>
  <c r="E24" i="67" a="1"/>
  <c r="E24" i="67" s="1"/>
  <c r="E28" i="67" a="1"/>
  <c r="E28" i="67" s="1"/>
  <c r="E32" i="67" a="1"/>
  <c r="E32" i="67" s="1"/>
  <c r="E36" i="67" a="1"/>
  <c r="E36" i="67" s="1"/>
  <c r="E40" i="67" a="1"/>
  <c r="E40" i="67" s="1"/>
  <c r="E44" i="67" a="1"/>
  <c r="E44" i="67" s="1"/>
  <c r="E48" i="67" a="1"/>
  <c r="E48" i="67" s="1"/>
  <c r="E50" i="67" a="1"/>
  <c r="E50" i="67" s="1"/>
  <c r="E56" i="67" a="1"/>
  <c r="E56" i="67" s="1"/>
  <c r="E11" i="67" a="1"/>
  <c r="E11" i="67" s="1"/>
  <c r="E13" i="67" a="1"/>
  <c r="E13" i="67" s="1"/>
  <c r="E17" i="67" a="1"/>
  <c r="E17" i="67" s="1"/>
  <c r="E21" i="67" a="1"/>
  <c r="E21" i="67" s="1"/>
  <c r="E25" i="67" a="1"/>
  <c r="E25" i="67" s="1"/>
  <c r="E29" i="67" a="1"/>
  <c r="E29" i="67" s="1"/>
  <c r="E33" i="67" a="1"/>
  <c r="E33" i="67" s="1"/>
  <c r="E37" i="67" a="1"/>
  <c r="E37" i="67" s="1"/>
  <c r="E41" i="67" a="1"/>
  <c r="E41" i="67" s="1"/>
  <c r="E45" i="67" a="1"/>
  <c r="E45" i="67" s="1"/>
  <c r="E49" i="67" a="1"/>
  <c r="E49" i="67" s="1"/>
  <c r="E53" i="67" a="1"/>
  <c r="E53" i="67" s="1"/>
  <c r="E57" i="67" a="1"/>
  <c r="E57" i="67" s="1"/>
  <c r="E58" i="67" a="1"/>
  <c r="E58" i="67" s="1"/>
  <c r="E62" i="67" a="1"/>
  <c r="E62" i="67" s="1"/>
  <c r="E66" i="67" a="1"/>
  <c r="E66" i="67" s="1"/>
  <c r="E70" i="67" a="1"/>
  <c r="E70" i="67" s="1"/>
  <c r="E74" i="67" a="1"/>
  <c r="E74" i="67" s="1"/>
  <c r="E78" i="67" a="1"/>
  <c r="E78" i="67" s="1"/>
  <c r="E82" i="67" a="1"/>
  <c r="E82" i="67" s="1"/>
  <c r="E86" i="67" a="1"/>
  <c r="E86" i="67" s="1"/>
  <c r="E90" i="67" a="1"/>
  <c r="E90" i="67" s="1"/>
  <c r="E94" i="67" a="1"/>
  <c r="E94" i="67" s="1"/>
  <c r="E98" i="67" a="1"/>
  <c r="E98" i="67" s="1"/>
  <c r="E102" i="67" a="1"/>
  <c r="E102" i="67" s="1"/>
  <c r="E106" i="67" a="1"/>
  <c r="E106" i="67" s="1"/>
  <c r="E110" i="67" a="1"/>
  <c r="E110" i="67" s="1"/>
  <c r="E114" i="67" a="1"/>
  <c r="E114" i="67" s="1"/>
  <c r="E118" i="67" a="1"/>
  <c r="E118" i="67" s="1"/>
  <c r="E122" i="67" a="1"/>
  <c r="E122" i="67" s="1"/>
  <c r="E126" i="67" a="1"/>
  <c r="E126" i="67" s="1"/>
  <c r="E130" i="67" a="1"/>
  <c r="E130" i="67" s="1"/>
  <c r="E134" i="67" a="1"/>
  <c r="E134" i="67" s="1"/>
  <c r="E138" i="67" a="1"/>
  <c r="E138" i="67" s="1"/>
  <c r="E142" i="67" a="1"/>
  <c r="E142" i="67" s="1"/>
  <c r="E150" i="67" a="1"/>
  <c r="E150" i="67" s="1"/>
  <c r="E59" i="67" a="1"/>
  <c r="E59" i="67" s="1"/>
  <c r="E63" i="67" a="1"/>
  <c r="E63" i="67" s="1"/>
  <c r="E67" i="67" a="1"/>
  <c r="E67" i="67" s="1"/>
  <c r="E71" i="67" a="1"/>
  <c r="E71" i="67" s="1"/>
  <c r="E75" i="67" a="1"/>
  <c r="E75" i="67" s="1"/>
  <c r="E79" i="67" a="1"/>
  <c r="E79" i="67" s="1"/>
  <c r="E83" i="67" a="1"/>
  <c r="E83" i="67" s="1"/>
  <c r="E87" i="67" a="1"/>
  <c r="E87" i="67" s="1"/>
  <c r="E91" i="67" a="1"/>
  <c r="E91" i="67" s="1"/>
  <c r="E95" i="67" a="1"/>
  <c r="E95" i="67" s="1"/>
  <c r="E99" i="67" a="1"/>
  <c r="E99" i="67" s="1"/>
  <c r="E103" i="67" a="1"/>
  <c r="E103" i="67" s="1"/>
  <c r="E107" i="67" a="1"/>
  <c r="E107" i="67" s="1"/>
  <c r="E111" i="67" a="1"/>
  <c r="E111" i="67" s="1"/>
  <c r="E115" i="67" a="1"/>
  <c r="E115" i="67" s="1"/>
  <c r="E119" i="67" a="1"/>
  <c r="E119" i="67" s="1"/>
  <c r="E123" i="67" a="1"/>
  <c r="E123" i="67" s="1"/>
  <c r="E127" i="67" a="1"/>
  <c r="E127" i="67" s="1"/>
  <c r="E131" i="67" a="1"/>
  <c r="E131" i="67" s="1"/>
  <c r="E135" i="67" a="1"/>
  <c r="E135" i="67" s="1"/>
  <c r="E139" i="67" a="1"/>
  <c r="E139" i="67" s="1"/>
  <c r="E143" i="67" a="1"/>
  <c r="E143" i="67" s="1"/>
  <c r="E147" i="67" a="1"/>
  <c r="E147" i="67" s="1"/>
  <c r="E151" i="67" a="1"/>
  <c r="E151" i="67" s="1"/>
  <c r="E148" i="67" a="1"/>
  <c r="E148" i="67" s="1"/>
  <c r="E60" i="67" a="1"/>
  <c r="E60" i="67" s="1"/>
  <c r="E64" i="67" a="1"/>
  <c r="E64" i="67" s="1"/>
  <c r="E68" i="67" a="1"/>
  <c r="E68" i="67" s="1"/>
  <c r="E72" i="67" a="1"/>
  <c r="E72" i="67" s="1"/>
  <c r="E76" i="67" a="1"/>
  <c r="E76" i="67" s="1"/>
  <c r="E80" i="67" a="1"/>
  <c r="E80" i="67" s="1"/>
  <c r="E84" i="67" a="1"/>
  <c r="E84" i="67" s="1"/>
  <c r="E88" i="67" a="1"/>
  <c r="E88" i="67" s="1"/>
  <c r="E92" i="67" a="1"/>
  <c r="E92" i="67" s="1"/>
  <c r="E96" i="67" a="1"/>
  <c r="E96" i="67" s="1"/>
  <c r="E100" i="67" a="1"/>
  <c r="E100" i="67" s="1"/>
  <c r="E104" i="67" a="1"/>
  <c r="E104" i="67" s="1"/>
  <c r="E108" i="67" a="1"/>
  <c r="E108" i="67" s="1"/>
  <c r="E112" i="67" a="1"/>
  <c r="E112" i="67" s="1"/>
  <c r="E116" i="67" a="1"/>
  <c r="E116" i="67" s="1"/>
  <c r="E120" i="67" a="1"/>
  <c r="E120" i="67" s="1"/>
  <c r="E124" i="67" a="1"/>
  <c r="E124" i="67" s="1"/>
  <c r="E128" i="67" a="1"/>
  <c r="E128" i="67" s="1"/>
  <c r="E132" i="67" a="1"/>
  <c r="E132" i="67" s="1"/>
  <c r="E136" i="67" a="1"/>
  <c r="E136" i="67" s="1"/>
  <c r="E140" i="67" a="1"/>
  <c r="E140" i="67" s="1"/>
  <c r="E144" i="67" a="1"/>
  <c r="E144" i="67" s="1"/>
  <c r="E152" i="67" a="1"/>
  <c r="E152" i="67" s="1"/>
  <c r="E61" i="67" a="1"/>
  <c r="E61" i="67" s="1"/>
  <c r="E65" i="67" a="1"/>
  <c r="E65" i="67" s="1"/>
  <c r="E69" i="67" a="1"/>
  <c r="E69" i="67" s="1"/>
  <c r="E73" i="67" a="1"/>
  <c r="E73" i="67" s="1"/>
  <c r="E77" i="67" a="1"/>
  <c r="E77" i="67" s="1"/>
  <c r="E81" i="67" a="1"/>
  <c r="E81" i="67" s="1"/>
  <c r="E85" i="67" a="1"/>
  <c r="E85" i="67" s="1"/>
  <c r="E89" i="67" a="1"/>
  <c r="E89" i="67" s="1"/>
  <c r="E93" i="67" a="1"/>
  <c r="E93" i="67" s="1"/>
  <c r="E97" i="67" a="1"/>
  <c r="E97" i="67" s="1"/>
  <c r="E101" i="67" a="1"/>
  <c r="E101" i="67" s="1"/>
  <c r="E105" i="67" a="1"/>
  <c r="E105" i="67" s="1"/>
  <c r="E109" i="67" a="1"/>
  <c r="E109" i="67" s="1"/>
  <c r="E113" i="67" a="1"/>
  <c r="E113" i="67" s="1"/>
  <c r="E117" i="67" a="1"/>
  <c r="E117" i="67" s="1"/>
  <c r="E121" i="67" a="1"/>
  <c r="E121" i="67" s="1"/>
  <c r="E125" i="67" a="1"/>
  <c r="E125" i="67" s="1"/>
  <c r="E129" i="67" a="1"/>
  <c r="E129" i="67" s="1"/>
  <c r="E133" i="67" a="1"/>
  <c r="E133" i="67" s="1"/>
  <c r="E137" i="67" a="1"/>
  <c r="E137" i="67" s="1"/>
  <c r="E141" i="67" a="1"/>
  <c r="E141" i="67" s="1"/>
  <c r="E145" i="67" a="1"/>
  <c r="E145" i="67" s="1"/>
  <c r="E149" i="67" a="1"/>
  <c r="E149" i="67" s="1"/>
  <c r="E153" i="67" a="1"/>
  <c r="E153" i="67" s="1"/>
  <c r="E146" i="67" a="1"/>
  <c r="E146" i="67" s="1"/>
  <c r="AA6" i="61"/>
  <c r="AE7" i="61"/>
  <c r="D1" i="54"/>
  <c r="AF6" i="61"/>
  <c r="AB7" i="67"/>
  <c r="AB6" i="67"/>
  <c r="X7" i="67"/>
  <c r="X6" i="67"/>
  <c r="Q6" i="66"/>
  <c r="Q7" i="66"/>
  <c r="J7" i="66"/>
  <c r="J6" i="66"/>
  <c r="AI7" i="66"/>
  <c r="AI6" i="66"/>
  <c r="AB6" i="66"/>
  <c r="AB7" i="66"/>
  <c r="G7" i="67"/>
  <c r="G6" i="67"/>
  <c r="M6" i="67"/>
  <c r="M7" i="67"/>
  <c r="W6" i="67"/>
  <c r="W7" i="67"/>
  <c r="J6" i="67"/>
  <c r="J7" i="67"/>
  <c r="AF7" i="66"/>
  <c r="AF6" i="66"/>
  <c r="Y7" i="67"/>
  <c r="Y6" i="67"/>
  <c r="R7" i="67"/>
  <c r="R6" i="67"/>
  <c r="K7" i="67"/>
  <c r="K6" i="67"/>
  <c r="U6" i="66"/>
  <c r="U7" i="66"/>
  <c r="AE7" i="66"/>
  <c r="AE6" i="66"/>
  <c r="W7" i="66"/>
  <c r="W6" i="66"/>
  <c r="AF7" i="67"/>
  <c r="AF6" i="67"/>
  <c r="Y7" i="66"/>
  <c r="Y6" i="66"/>
  <c r="R6" i="66"/>
  <c r="R7" i="66"/>
  <c r="K7" i="66"/>
  <c r="K6" i="66"/>
  <c r="U6" i="67"/>
  <c r="U7" i="67"/>
  <c r="AE6" i="67"/>
  <c r="AE7" i="67"/>
  <c r="X7" i="66"/>
  <c r="X6" i="66"/>
  <c r="H6" i="66"/>
  <c r="H7" i="66"/>
  <c r="AG6" i="67"/>
  <c r="AG7" i="67"/>
  <c r="F6" i="66"/>
  <c r="F7" i="66"/>
  <c r="Z7" i="67"/>
  <c r="Z6" i="67"/>
  <c r="S6" i="67"/>
  <c r="S7" i="67"/>
  <c r="L7" i="67"/>
  <c r="L6" i="67"/>
  <c r="N6" i="66"/>
  <c r="N7" i="66"/>
  <c r="AC7" i="66"/>
  <c r="AC6" i="66"/>
  <c r="G6" i="66"/>
  <c r="G7" i="66"/>
  <c r="H7" i="67"/>
  <c r="H6" i="67"/>
  <c r="AG7" i="66"/>
  <c r="AG6" i="66"/>
  <c r="F7" i="67"/>
  <c r="F6" i="67"/>
  <c r="Z7" i="66"/>
  <c r="Z6" i="66"/>
  <c r="S7" i="66"/>
  <c r="S6" i="66"/>
  <c r="L6" i="66"/>
  <c r="L7" i="66"/>
  <c r="N7" i="67"/>
  <c r="N6" i="67"/>
  <c r="AC7" i="67"/>
  <c r="AC6" i="67"/>
  <c r="Q6" i="67"/>
  <c r="Q7" i="67"/>
  <c r="P6" i="66"/>
  <c r="P7" i="66"/>
  <c r="I7" i="67"/>
  <c r="I6" i="67"/>
  <c r="AD6" i="66"/>
  <c r="AD7" i="66"/>
  <c r="AH7" i="67"/>
  <c r="AH6" i="67"/>
  <c r="V7" i="66"/>
  <c r="V6" i="66"/>
  <c r="AA6" i="67"/>
  <c r="AA7" i="67"/>
  <c r="T6" i="67"/>
  <c r="T7" i="67"/>
  <c r="O7" i="66"/>
  <c r="O6" i="66"/>
  <c r="AI7" i="67"/>
  <c r="AI6" i="67"/>
  <c r="M6" i="66"/>
  <c r="M7" i="66"/>
  <c r="P6" i="67"/>
  <c r="P7" i="67"/>
  <c r="I7" i="66"/>
  <c r="I6" i="66"/>
  <c r="AD6" i="67"/>
  <c r="AD7" i="67"/>
  <c r="AH6" i="66"/>
  <c r="AH7" i="66"/>
  <c r="V6" i="67"/>
  <c r="V7" i="67"/>
  <c r="AA7" i="66"/>
  <c r="AA6" i="66"/>
  <c r="T7" i="66"/>
  <c r="T6" i="66"/>
  <c r="O7" i="67"/>
  <c r="O6" i="67"/>
  <c r="T7" i="61"/>
  <c r="P6" i="61"/>
  <c r="AH6" i="61"/>
  <c r="S7" i="61"/>
  <c r="AE7" i="58"/>
  <c r="I7" i="61"/>
  <c r="AC6" i="61"/>
  <c r="M7" i="61"/>
  <c r="W7" i="61"/>
  <c r="J7" i="61"/>
  <c r="AG7" i="61"/>
  <c r="Z6" i="56"/>
  <c r="AD7" i="61"/>
  <c r="Z7" i="61"/>
  <c r="N6" i="61"/>
  <c r="Y7" i="61"/>
  <c r="H7" i="61"/>
  <c r="L6" i="61"/>
  <c r="U7" i="61"/>
  <c r="AB6" i="61"/>
  <c r="R7" i="61"/>
  <c r="AI6" i="61"/>
  <c r="G7" i="61"/>
  <c r="X6" i="61"/>
  <c r="O7" i="61"/>
  <c r="K7" i="61"/>
  <c r="F7" i="61"/>
  <c r="Q6" i="61"/>
  <c r="V6" i="61"/>
  <c r="X7" i="63"/>
  <c r="X6" i="63"/>
  <c r="R6" i="62"/>
  <c r="R7" i="62"/>
  <c r="K6" i="62"/>
  <c r="K7" i="62"/>
  <c r="AI6" i="63"/>
  <c r="AI7" i="63"/>
  <c r="AB7" i="63"/>
  <c r="AB6" i="63"/>
  <c r="G7" i="62"/>
  <c r="G6" i="62"/>
  <c r="U6" i="63"/>
  <c r="U7" i="63"/>
  <c r="O7" i="63"/>
  <c r="O6" i="63"/>
  <c r="X7" i="62"/>
  <c r="X6" i="62"/>
  <c r="Y7" i="63"/>
  <c r="Y6" i="63"/>
  <c r="AI6" i="62"/>
  <c r="AI7" i="62"/>
  <c r="AB7" i="62"/>
  <c r="AB6" i="62"/>
  <c r="G7" i="63"/>
  <c r="G6" i="63"/>
  <c r="AD7" i="62"/>
  <c r="AD6" i="62"/>
  <c r="H7" i="63"/>
  <c r="H6" i="63"/>
  <c r="Y6" i="62"/>
  <c r="Y7" i="62"/>
  <c r="Z6" i="62"/>
  <c r="Z7" i="62"/>
  <c r="S7" i="63"/>
  <c r="S6" i="63"/>
  <c r="L7" i="63"/>
  <c r="L6" i="63"/>
  <c r="AC6" i="62"/>
  <c r="AC7" i="62"/>
  <c r="AD6" i="63"/>
  <c r="AD7" i="63"/>
  <c r="W7" i="62"/>
  <c r="W6" i="62"/>
  <c r="H7" i="62"/>
  <c r="H6" i="62"/>
  <c r="AF7" i="63"/>
  <c r="AF6" i="63"/>
  <c r="I7" i="63"/>
  <c r="I6" i="63"/>
  <c r="Z6" i="63"/>
  <c r="Z7" i="63"/>
  <c r="S7" i="62"/>
  <c r="S6" i="62"/>
  <c r="L6" i="62"/>
  <c r="L7" i="62"/>
  <c r="AC7" i="63"/>
  <c r="AC6" i="63"/>
  <c r="N7" i="62"/>
  <c r="N6" i="62"/>
  <c r="W6" i="63"/>
  <c r="W7" i="63"/>
  <c r="AF7" i="62"/>
  <c r="AF6" i="62"/>
  <c r="I7" i="62"/>
  <c r="I6" i="62"/>
  <c r="AG6" i="63"/>
  <c r="AG7" i="63"/>
  <c r="J6" i="62"/>
  <c r="J7" i="62"/>
  <c r="M6" i="62"/>
  <c r="M7" i="62"/>
  <c r="N7" i="63"/>
  <c r="N6" i="63"/>
  <c r="P7" i="63"/>
  <c r="P6" i="63"/>
  <c r="AG6" i="62"/>
  <c r="AG7" i="62"/>
  <c r="J7" i="63"/>
  <c r="J6" i="63"/>
  <c r="AH7" i="62"/>
  <c r="AH6" i="62"/>
  <c r="AA6" i="63"/>
  <c r="AA7" i="63"/>
  <c r="T6" i="63"/>
  <c r="T7" i="63"/>
  <c r="M7" i="63"/>
  <c r="M6" i="63"/>
  <c r="AE7" i="62"/>
  <c r="AE6" i="62"/>
  <c r="P7" i="62"/>
  <c r="P6" i="62"/>
  <c r="Q6" i="63"/>
  <c r="Q7" i="63"/>
  <c r="F7" i="62"/>
  <c r="F6" i="62"/>
  <c r="AH7" i="63"/>
  <c r="AH6" i="63"/>
  <c r="AA7" i="62"/>
  <c r="AA6" i="62"/>
  <c r="T6" i="62"/>
  <c r="T7" i="62"/>
  <c r="V7" i="62"/>
  <c r="V6" i="62"/>
  <c r="AE7" i="63"/>
  <c r="AE6" i="63"/>
  <c r="Q7" i="62"/>
  <c r="Q6" i="62"/>
  <c r="F6" i="63"/>
  <c r="F7" i="63"/>
  <c r="R7" i="63"/>
  <c r="R6" i="63"/>
  <c r="K6" i="63"/>
  <c r="K7" i="63"/>
  <c r="U6" i="62"/>
  <c r="U7" i="62"/>
  <c r="V7" i="63"/>
  <c r="V6" i="63"/>
  <c r="O7" i="62"/>
  <c r="O6" i="62"/>
  <c r="L7" i="58"/>
  <c r="O6" i="58"/>
  <c r="S7" i="58"/>
  <c r="Y7" i="58"/>
  <c r="Q7" i="58"/>
  <c r="AF6" i="58"/>
  <c r="Z7" i="58"/>
  <c r="K7" i="58"/>
  <c r="N6" i="58"/>
  <c r="M6" i="58"/>
  <c r="V7" i="58"/>
  <c r="F6" i="58"/>
  <c r="U6" i="58"/>
  <c r="X7" i="58"/>
  <c r="AB7" i="58"/>
  <c r="AI6" i="58"/>
  <c r="J7" i="58"/>
  <c r="H7" i="58"/>
  <c r="T6" i="58"/>
  <c r="AA6" i="58"/>
  <c r="R7" i="58"/>
  <c r="I6" i="58"/>
  <c r="AG6" i="58"/>
  <c r="W6" i="58"/>
  <c r="P7" i="58"/>
  <c r="AD6" i="58"/>
  <c r="G7" i="58"/>
  <c r="AH7" i="58"/>
  <c r="AC6" i="58"/>
  <c r="J6" i="56"/>
  <c r="H6" i="59"/>
  <c r="H7" i="59"/>
  <c r="AH7" i="59"/>
  <c r="AH6" i="59"/>
  <c r="AE7" i="59"/>
  <c r="AE6" i="59"/>
  <c r="P7" i="59"/>
  <c r="P6" i="59"/>
  <c r="I6" i="59"/>
  <c r="I7" i="59"/>
  <c r="J7" i="59"/>
  <c r="J6" i="59"/>
  <c r="AI6" i="59"/>
  <c r="AI7" i="59"/>
  <c r="U6" i="59"/>
  <c r="U7" i="59"/>
  <c r="AB6" i="59"/>
  <c r="AB7" i="59"/>
  <c r="G6" i="59"/>
  <c r="G7" i="59"/>
  <c r="N7" i="59"/>
  <c r="N6" i="59"/>
  <c r="F6" i="59"/>
  <c r="F7" i="59"/>
  <c r="X7" i="59"/>
  <c r="X6" i="59"/>
  <c r="Q7" i="59"/>
  <c r="Q6" i="59"/>
  <c r="R6" i="59"/>
  <c r="R7" i="59"/>
  <c r="K6" i="59"/>
  <c r="K7" i="59"/>
  <c r="M6" i="59"/>
  <c r="M7" i="59"/>
  <c r="T7" i="59"/>
  <c r="T6" i="59"/>
  <c r="AD6" i="59"/>
  <c r="AD7" i="59"/>
  <c r="AC6" i="59"/>
  <c r="AC7" i="59"/>
  <c r="AA7" i="59"/>
  <c r="AA6" i="59"/>
  <c r="V7" i="59"/>
  <c r="V6" i="59"/>
  <c r="O6" i="59"/>
  <c r="O7" i="59"/>
  <c r="AF6" i="59"/>
  <c r="AF7" i="59"/>
  <c r="Y6" i="59"/>
  <c r="Y7" i="59"/>
  <c r="Z7" i="59"/>
  <c r="Z6" i="59"/>
  <c r="S6" i="59"/>
  <c r="S7" i="59"/>
  <c r="L6" i="59"/>
  <c r="L7" i="59"/>
  <c r="W6" i="59"/>
  <c r="W7" i="59"/>
  <c r="AG7" i="59"/>
  <c r="AG6" i="59"/>
  <c r="AG7" i="56"/>
  <c r="AH2" i="54"/>
  <c r="AG5" i="50" s="1"/>
  <c r="K6" i="56"/>
  <c r="S7" i="56"/>
  <c r="AI6" i="56"/>
  <c r="AA6" i="56"/>
  <c r="Y6" i="50"/>
  <c r="Z6" i="50"/>
  <c r="R7" i="50"/>
  <c r="AH6" i="50"/>
  <c r="I6" i="50"/>
  <c r="J6" i="50"/>
  <c r="R7" i="56"/>
  <c r="Q7" i="50"/>
  <c r="Q6" i="56"/>
  <c r="P6" i="50"/>
  <c r="H7" i="56"/>
  <c r="G7" i="50"/>
  <c r="O7" i="56"/>
  <c r="N7" i="50"/>
  <c r="N7" i="56"/>
  <c r="M7" i="50"/>
  <c r="M7" i="56"/>
  <c r="L7" i="50"/>
  <c r="J7" i="56"/>
  <c r="I7" i="50"/>
  <c r="U7" i="56"/>
  <c r="T7" i="50"/>
  <c r="I6" i="56"/>
  <c r="H6" i="50"/>
  <c r="AF6" i="56"/>
  <c r="AE6" i="50"/>
  <c r="G7" i="56"/>
  <c r="F7" i="50"/>
  <c r="F7" i="56"/>
  <c r="E7" i="50"/>
  <c r="AC6" i="56"/>
  <c r="AB6" i="50"/>
  <c r="R6" i="56"/>
  <c r="Q6" i="50"/>
  <c r="S6" i="56"/>
  <c r="R6" i="50"/>
  <c r="P6" i="56"/>
  <c r="O6" i="50"/>
  <c r="X6" i="56"/>
  <c r="W6" i="50"/>
  <c r="AE6" i="56"/>
  <c r="AD6" i="50"/>
  <c r="AD6" i="56"/>
  <c r="AC6" i="50"/>
  <c r="U6" i="56"/>
  <c r="T6" i="50"/>
  <c r="AI7" i="56"/>
  <c r="AH7" i="50"/>
  <c r="V7" i="56"/>
  <c r="U7" i="50"/>
  <c r="Y7" i="56"/>
  <c r="X7" i="50"/>
  <c r="T7" i="56"/>
  <c r="S7" i="50"/>
  <c r="H6" i="56"/>
  <c r="G6" i="50"/>
  <c r="W6" i="56"/>
  <c r="V6" i="50"/>
  <c r="V6" i="56"/>
  <c r="U6" i="50"/>
  <c r="M6" i="56"/>
  <c r="L6" i="50"/>
  <c r="AH7" i="56"/>
  <c r="AG7" i="50"/>
  <c r="Y6" i="56"/>
  <c r="X6" i="50"/>
  <c r="Q7" i="56"/>
  <c r="P7" i="50"/>
  <c r="L6" i="56"/>
  <c r="K6" i="50"/>
  <c r="L7" i="56"/>
  <c r="K7" i="50"/>
  <c r="O6" i="56"/>
  <c r="N6" i="50"/>
  <c r="N6" i="56"/>
  <c r="M6" i="50"/>
  <c r="AB7" i="56"/>
  <c r="AA7" i="50"/>
  <c r="AA7" i="56"/>
  <c r="Z7" i="50"/>
  <c r="W7" i="56"/>
  <c r="V7" i="50"/>
  <c r="I7" i="56"/>
  <c r="H7" i="50"/>
  <c r="AF7" i="56"/>
  <c r="AE7" i="50"/>
  <c r="T6" i="56"/>
  <c r="S6" i="50"/>
  <c r="G6" i="56"/>
  <c r="F6" i="50"/>
  <c r="F6" i="56"/>
  <c r="E6" i="50"/>
  <c r="AB6" i="56"/>
  <c r="AA6" i="50"/>
  <c r="Z7" i="56"/>
  <c r="Y7" i="50"/>
  <c r="P7" i="56"/>
  <c r="O7" i="50"/>
  <c r="AG6" i="56"/>
  <c r="AF6" i="50"/>
  <c r="X7" i="56"/>
  <c r="W7" i="50"/>
  <c r="AE7" i="56"/>
  <c r="AD7" i="50"/>
  <c r="AD7" i="56"/>
  <c r="AC7" i="50"/>
  <c r="AC7" i="56"/>
  <c r="AB7" i="50"/>
  <c r="K7" i="56"/>
  <c r="J7" i="50"/>
  <c r="AH6" i="56"/>
  <c r="AG6" i="50"/>
  <c r="P1" i="54"/>
  <c r="V2" i="54"/>
  <c r="N1" i="54"/>
  <c r="AB1" i="54"/>
  <c r="H2" i="54"/>
  <c r="U2" i="54"/>
  <c r="AI2" i="54"/>
  <c r="AA2" i="54"/>
  <c r="S2" i="54"/>
  <c r="K2" i="54"/>
  <c r="AI1" i="54"/>
  <c r="AA1" i="54"/>
  <c r="S1" i="54"/>
  <c r="K1" i="54"/>
  <c r="AG2" i="54"/>
  <c r="Y2" i="54"/>
  <c r="Q2" i="54"/>
  <c r="I2" i="54"/>
  <c r="AG1" i="54"/>
  <c r="Y1" i="54"/>
  <c r="Q1" i="54"/>
  <c r="I1" i="54"/>
  <c r="AE2" i="54"/>
  <c r="W2" i="54"/>
  <c r="O2" i="54"/>
  <c r="G2" i="54"/>
  <c r="AE1" i="54"/>
  <c r="W1" i="54"/>
  <c r="O1" i="54"/>
  <c r="G1" i="54"/>
  <c r="J2" i="54"/>
  <c r="R1" i="54"/>
  <c r="AD1" i="54"/>
  <c r="L2" i="54"/>
  <c r="X2" i="54"/>
  <c r="F1" i="54"/>
  <c r="T1" i="54"/>
  <c r="AF1" i="54"/>
  <c r="M2" i="54"/>
  <c r="Z2" i="54"/>
  <c r="H1" i="54"/>
  <c r="U1" i="54"/>
  <c r="AH1" i="54"/>
  <c r="N2" i="54"/>
  <c r="AB2" i="54"/>
  <c r="V1" i="54"/>
  <c r="P2" i="54"/>
  <c r="R2" i="54"/>
  <c r="AD2" i="54"/>
  <c r="AC1" i="54"/>
  <c r="J1" i="54"/>
  <c r="AC2" i="54"/>
  <c r="L1" i="54"/>
  <c r="X1" i="54"/>
  <c r="M1" i="54"/>
  <c r="Z1" i="54"/>
  <c r="F2" i="54"/>
  <c r="T2" i="54"/>
  <c r="AF2" i="54"/>
  <c r="L16" i="68" l="1"/>
  <c r="K16" i="68"/>
  <c r="L22" i="68"/>
  <c r="L14" i="68"/>
  <c r="K14" i="68"/>
  <c r="L14" i="48"/>
  <c r="I14" i="48"/>
  <c r="L13" i="48"/>
  <c r="I13" i="48"/>
  <c r="K13" i="68"/>
  <c r="L13" i="68"/>
  <c r="K22" i="68"/>
  <c r="L19" i="68"/>
  <c r="L17" i="68"/>
  <c r="K17" i="68"/>
  <c r="L26" i="68"/>
  <c r="K26" i="68"/>
  <c r="K19" i="68"/>
  <c r="L22" i="48"/>
  <c r="I22" i="48"/>
  <c r="L25" i="48"/>
  <c r="I25" i="48"/>
  <c r="L16" i="48"/>
  <c r="I16" i="48"/>
  <c r="L17" i="48"/>
  <c r="I17" i="48"/>
  <c r="I19" i="48"/>
  <c r="L19" i="48"/>
  <c r="L4" i="50"/>
  <c r="O5" i="50"/>
  <c r="L5" i="50"/>
  <c r="I5" i="50"/>
  <c r="AD5" i="50"/>
  <c r="AF5" i="50"/>
  <c r="AH5" i="50"/>
  <c r="W4" i="50"/>
  <c r="U4" i="50"/>
  <c r="AE4" i="50"/>
  <c r="F4" i="50"/>
  <c r="H4" i="50"/>
  <c r="J4" i="50"/>
  <c r="T5" i="50"/>
  <c r="S5" i="50"/>
  <c r="AA5" i="50"/>
  <c r="S4" i="50"/>
  <c r="N4" i="50"/>
  <c r="P4" i="50"/>
  <c r="R4" i="50"/>
  <c r="G5" i="50"/>
  <c r="K4" i="50"/>
  <c r="AB5" i="50"/>
  <c r="M5" i="50"/>
  <c r="E4" i="50"/>
  <c r="V4" i="50"/>
  <c r="X4" i="50"/>
  <c r="Z4" i="50"/>
  <c r="AA4" i="50"/>
  <c r="I4" i="50"/>
  <c r="AG4" i="50"/>
  <c r="W5" i="50"/>
  <c r="AD4" i="50"/>
  <c r="AF4" i="50"/>
  <c r="AH4" i="50"/>
  <c r="M4" i="50"/>
  <c r="AE5" i="50"/>
  <c r="AB4" i="50"/>
  <c r="T4" i="50"/>
  <c r="K5" i="50"/>
  <c r="F5" i="50"/>
  <c r="H5" i="50"/>
  <c r="J5" i="50"/>
  <c r="U5" i="50"/>
  <c r="AC5" i="50"/>
  <c r="G4" i="50"/>
  <c r="AC4" i="50"/>
  <c r="N5" i="50"/>
  <c r="P5" i="50"/>
  <c r="R5" i="50"/>
  <c r="O4" i="50"/>
  <c r="E5" i="50"/>
  <c r="Y4" i="50"/>
  <c r="Q5" i="50"/>
  <c r="Y5" i="50"/>
  <c r="Q4" i="50"/>
  <c r="V5" i="50"/>
  <c r="X5" i="50"/>
  <c r="Z5" i="50"/>
  <c r="C2" i="53"/>
  <c r="A2" i="53"/>
  <c r="C1" i="53"/>
  <c r="A1" i="53"/>
  <c r="M2" i="53" l="1"/>
  <c r="L3" i="50" s="1"/>
  <c r="AB1" i="53"/>
  <c r="AB2" i="53"/>
  <c r="AC1" i="53"/>
  <c r="AC2" i="53"/>
  <c r="L1" i="53"/>
  <c r="L2" i="53"/>
  <c r="M1" i="53"/>
  <c r="AI2" i="53"/>
  <c r="AA2" i="53"/>
  <c r="S2" i="53"/>
  <c r="K2" i="53"/>
  <c r="AI1" i="53"/>
  <c r="AA1" i="53"/>
  <c r="S1" i="53"/>
  <c r="K1" i="53"/>
  <c r="AH2" i="53"/>
  <c r="Z2" i="53"/>
  <c r="R2" i="53"/>
  <c r="J2" i="53"/>
  <c r="AH1" i="53"/>
  <c r="Z1" i="53"/>
  <c r="R1" i="53"/>
  <c r="J1" i="53"/>
  <c r="AG2" i="53"/>
  <c r="Y2" i="53"/>
  <c r="Q2" i="53"/>
  <c r="I2" i="53"/>
  <c r="AG1" i="53"/>
  <c r="Y1" i="53"/>
  <c r="Q1" i="53"/>
  <c r="I1" i="53"/>
  <c r="H1" i="53"/>
  <c r="AF2" i="53"/>
  <c r="X2" i="53"/>
  <c r="P2" i="53"/>
  <c r="H2" i="53"/>
  <c r="AF1" i="53"/>
  <c r="X1" i="53"/>
  <c r="P1" i="53"/>
  <c r="AE2" i="53"/>
  <c r="W2" i="53"/>
  <c r="O2" i="53"/>
  <c r="G2" i="53"/>
  <c r="AE1" i="53"/>
  <c r="W1" i="53"/>
  <c r="O1" i="53"/>
  <c r="G1" i="53"/>
  <c r="AD2" i="53"/>
  <c r="V2" i="53"/>
  <c r="N2" i="53"/>
  <c r="F2" i="53"/>
  <c r="AD1" i="53"/>
  <c r="V1" i="53"/>
  <c r="N1" i="53"/>
  <c r="F1" i="53"/>
  <c r="T1" i="53"/>
  <c r="T2" i="53"/>
  <c r="U1" i="53"/>
  <c r="U2" i="53"/>
  <c r="C2" i="47"/>
  <c r="C1" i="47"/>
  <c r="C2" i="46"/>
  <c r="C1" i="46"/>
  <c r="C2" i="45"/>
  <c r="C1" i="45"/>
  <c r="C2" i="44"/>
  <c r="C1" i="44"/>
  <c r="C2" i="43"/>
  <c r="C1" i="43"/>
  <c r="C2" i="42"/>
  <c r="C1" i="42"/>
  <c r="C2" i="41"/>
  <c r="C1" i="41"/>
  <c r="J2" i="50" l="1"/>
  <c r="M2" i="50"/>
  <c r="N2" i="50"/>
  <c r="W2" i="50"/>
  <c r="P2" i="50"/>
  <c r="Q2" i="50"/>
  <c r="R2" i="50"/>
  <c r="K3" i="50"/>
  <c r="I2" i="50"/>
  <c r="U2" i="50"/>
  <c r="V2" i="50"/>
  <c r="AE2" i="50"/>
  <c r="X2" i="50"/>
  <c r="Y2" i="50"/>
  <c r="Z2" i="50"/>
  <c r="K2" i="50"/>
  <c r="F2" i="50"/>
  <c r="L2" i="50"/>
  <c r="AC2" i="50"/>
  <c r="AD2" i="50"/>
  <c r="G3" i="50"/>
  <c r="AF2" i="50"/>
  <c r="AG2" i="50"/>
  <c r="AH2" i="50"/>
  <c r="AB3" i="50"/>
  <c r="H2" i="50"/>
  <c r="E3" i="50"/>
  <c r="F3" i="50"/>
  <c r="O3" i="50"/>
  <c r="H3" i="50"/>
  <c r="I3" i="50"/>
  <c r="J3" i="50"/>
  <c r="AB2" i="50"/>
  <c r="E2" i="50"/>
  <c r="T2" i="50"/>
  <c r="M3" i="50"/>
  <c r="N3" i="50"/>
  <c r="W3" i="50"/>
  <c r="P3" i="50"/>
  <c r="Q3" i="50"/>
  <c r="R3" i="50"/>
  <c r="AA3" i="50"/>
  <c r="O2" i="50"/>
  <c r="S3" i="50"/>
  <c r="U3" i="50"/>
  <c r="V3" i="50"/>
  <c r="AE3" i="50"/>
  <c r="X3" i="50"/>
  <c r="Y3" i="50"/>
  <c r="Z3" i="50"/>
  <c r="AA2" i="50"/>
  <c r="T3" i="50"/>
  <c r="S2" i="50"/>
  <c r="AC3" i="50"/>
  <c r="AD3" i="50"/>
  <c r="G2" i="50"/>
  <c r="AF3" i="50"/>
  <c r="AG3" i="50"/>
  <c r="AH3" i="50"/>
  <c r="AB16" i="52"/>
  <c r="AM29" i="48" l="1"/>
  <c r="AN31" i="48"/>
  <c r="A3" i="17" l="1"/>
  <c r="A24" i="17" s="1"/>
  <c r="A4" i="17"/>
  <c r="A25" i="17" s="1"/>
  <c r="A5" i="17"/>
  <c r="A26" i="17" s="1"/>
  <c r="A6" i="17"/>
  <c r="A27" i="17" s="1"/>
  <c r="A7" i="17"/>
  <c r="A28" i="17" s="1"/>
  <c r="A8" i="17"/>
  <c r="A29" i="17" s="1"/>
  <c r="A9" i="17"/>
  <c r="A30" i="17" s="1"/>
  <c r="A10" i="17"/>
  <c r="A31" i="17" s="1"/>
  <c r="A11" i="17"/>
  <c r="A32" i="17" s="1"/>
  <c r="A12" i="17"/>
  <c r="A33" i="17" s="1"/>
  <c r="A13" i="17"/>
  <c r="A34" i="17" s="1"/>
  <c r="A15" i="17"/>
  <c r="A36" i="17" s="1"/>
  <c r="A14" i="17"/>
  <c r="A35" i="17" s="1"/>
  <c r="A16" i="17"/>
  <c r="A37" i="17" s="1"/>
  <c r="A17" i="17"/>
  <c r="A38" i="17" s="1"/>
  <c r="A18" i="17"/>
  <c r="A39" i="17" s="1"/>
  <c r="A19" i="17"/>
  <c r="A40" i="17" s="1"/>
  <c r="P10" i="17"/>
  <c r="O10" i="17"/>
  <c r="A60" i="17" l="1"/>
  <c r="A52" i="17"/>
  <c r="A57" i="17"/>
  <c r="A49" i="17"/>
  <c r="A56" i="17"/>
  <c r="A48" i="17"/>
  <c r="A61" i="17"/>
  <c r="A53" i="17"/>
  <c r="A45" i="17"/>
  <c r="A59" i="17"/>
  <c r="A55" i="17"/>
  <c r="A51" i="17"/>
  <c r="A47" i="17"/>
  <c r="A58" i="17"/>
  <c r="A54" i="17"/>
  <c r="A50" i="17"/>
  <c r="A46" i="17"/>
  <c r="A2" i="47"/>
  <c r="A2" i="46"/>
  <c r="A2" i="45"/>
  <c r="A2" i="44"/>
  <c r="A2" i="43"/>
  <c r="A2" i="42"/>
  <c r="A2" i="41"/>
  <c r="A1" i="47"/>
  <c r="A1" i="46"/>
  <c r="A1" i="45"/>
  <c r="A1" i="44"/>
  <c r="A1" i="43"/>
  <c r="A1" i="42"/>
  <c r="A1" i="41"/>
  <c r="AX85" i="48" l="1"/>
  <c r="BQ85" i="48" s="1"/>
  <c r="AX89" i="48"/>
  <c r="BQ89" i="48" s="1"/>
  <c r="AX93" i="48"/>
  <c r="BQ93" i="48" s="1"/>
  <c r="AX97" i="48"/>
  <c r="BQ97" i="48" s="1"/>
  <c r="AX96" i="48"/>
  <c r="BQ96" i="48" s="1"/>
  <c r="AX90" i="48"/>
  <c r="BQ90" i="48" s="1"/>
  <c r="AX88" i="48"/>
  <c r="BQ88" i="48" s="1"/>
  <c r="AX82" i="48"/>
  <c r="BQ82" i="48" s="1"/>
  <c r="K6" i="52" l="1"/>
  <c r="AO78" i="48"/>
  <c r="AY99" i="48"/>
  <c r="CC99" i="48" s="1"/>
  <c r="AZ100" i="48"/>
  <c r="CC100" i="48" s="1"/>
  <c r="BA101" i="48"/>
  <c r="CC101" i="48" s="1"/>
  <c r="BF102" i="48"/>
  <c r="CC102" i="48" s="1"/>
  <c r="BG103" i="48"/>
  <c r="CC103" i="48" s="1"/>
  <c r="BH104" i="48"/>
  <c r="CC104" i="48" s="1"/>
  <c r="J113" i="48"/>
  <c r="W85" i="48" l="1"/>
  <c r="S27" i="52"/>
  <c r="Z29" i="52"/>
  <c r="R27" i="52"/>
  <c r="Y29" i="52"/>
  <c r="AA46" i="52"/>
  <c r="X12" i="52"/>
  <c r="Z46" i="52"/>
  <c r="W12" i="52"/>
  <c r="O3" i="54"/>
  <c r="P3" i="54"/>
  <c r="Q3" i="54"/>
  <c r="T3" i="54"/>
  <c r="J6" i="52" l="1"/>
  <c r="N3" i="53"/>
  <c r="N6" i="53" s="1"/>
  <c r="N3" i="54"/>
  <c r="M3" i="53"/>
  <c r="M7" i="53" s="1"/>
  <c r="M3" i="54"/>
  <c r="G3" i="53"/>
  <c r="G7" i="53" s="1"/>
  <c r="G3" i="54"/>
  <c r="AB3" i="53"/>
  <c r="AB7" i="53" s="1"/>
  <c r="AB3" i="54"/>
  <c r="T6" i="54"/>
  <c r="T7" i="54"/>
  <c r="V3" i="53"/>
  <c r="V7" i="53" s="1"/>
  <c r="V3" i="54"/>
  <c r="AC3" i="53"/>
  <c r="AC6" i="53" s="1"/>
  <c r="AC3" i="54"/>
  <c r="AA3" i="53"/>
  <c r="AA7" i="53" s="1"/>
  <c r="AA3" i="54"/>
  <c r="S3" i="53"/>
  <c r="S6" i="53" s="1"/>
  <c r="S3" i="54"/>
  <c r="F3" i="53"/>
  <c r="F7" i="53" s="1"/>
  <c r="F3" i="54"/>
  <c r="AH3" i="53"/>
  <c r="AH6" i="53" s="1"/>
  <c r="AH3" i="54"/>
  <c r="Z3" i="53"/>
  <c r="Z6" i="53" s="1"/>
  <c r="Z3" i="54"/>
  <c r="R3" i="53"/>
  <c r="R7" i="53" s="1"/>
  <c r="R3" i="54"/>
  <c r="AG3" i="53"/>
  <c r="AG6" i="53" s="1"/>
  <c r="AG3" i="54"/>
  <c r="Y3" i="53"/>
  <c r="Y6" i="53" s="1"/>
  <c r="Y3" i="54"/>
  <c r="Q7" i="54"/>
  <c r="Q6" i="54"/>
  <c r="I3" i="53"/>
  <c r="I6" i="53" s="1"/>
  <c r="I3" i="54"/>
  <c r="H3" i="53"/>
  <c r="H6" i="53" s="1"/>
  <c r="H3" i="54"/>
  <c r="AI3" i="53"/>
  <c r="AI7" i="53" s="1"/>
  <c r="AI3" i="54"/>
  <c r="K3" i="53"/>
  <c r="K6" i="53" s="1"/>
  <c r="K3" i="54"/>
  <c r="AF3" i="53"/>
  <c r="AF6" i="53" s="1"/>
  <c r="AF3" i="54"/>
  <c r="X3" i="53"/>
  <c r="X6" i="53" s="1"/>
  <c r="X3" i="54"/>
  <c r="P6" i="54"/>
  <c r="P7" i="54"/>
  <c r="AD3" i="53"/>
  <c r="AD6" i="53" s="1"/>
  <c r="AD3" i="54"/>
  <c r="U3" i="53"/>
  <c r="U7" i="53" s="1"/>
  <c r="U3" i="54"/>
  <c r="L3" i="53"/>
  <c r="L6" i="53" s="1"/>
  <c r="L3" i="54"/>
  <c r="J3" i="53"/>
  <c r="J6" i="53" s="1"/>
  <c r="J3" i="54"/>
  <c r="AE3" i="53"/>
  <c r="AE7" i="53" s="1"/>
  <c r="AE3" i="54"/>
  <c r="W3" i="53"/>
  <c r="W6" i="53" s="1"/>
  <c r="W3" i="54"/>
  <c r="O6" i="54"/>
  <c r="O7" i="54"/>
  <c r="T3" i="43"/>
  <c r="T3" i="53"/>
  <c r="Q3" i="45"/>
  <c r="Q3" i="53"/>
  <c r="P3" i="43"/>
  <c r="P3" i="53"/>
  <c r="O3" i="44"/>
  <c r="O3" i="53"/>
  <c r="N7" i="53"/>
  <c r="AK100" i="48"/>
  <c r="AI88" i="48"/>
  <c r="AK101" i="48"/>
  <c r="AA96" i="48"/>
  <c r="O107" i="48"/>
  <c r="L42" i="52"/>
  <c r="M95" i="48"/>
  <c r="J25" i="52"/>
  <c r="AB110" i="48"/>
  <c r="AI87" i="48"/>
  <c r="O106" i="48"/>
  <c r="M42" i="52"/>
  <c r="AB109" i="48"/>
  <c r="AA95" i="48"/>
  <c r="M94" i="48"/>
  <c r="K25" i="52"/>
  <c r="BM98" i="48"/>
  <c r="CA98" i="48" s="1"/>
  <c r="AG3" i="46"/>
  <c r="AG3" i="44"/>
  <c r="AG3" i="47"/>
  <c r="AG3" i="45"/>
  <c r="AG3" i="42"/>
  <c r="AG3" i="43"/>
  <c r="AG3" i="41"/>
  <c r="U3" i="46"/>
  <c r="U3" i="47"/>
  <c r="U3" i="44"/>
  <c r="U3" i="42"/>
  <c r="U3" i="45"/>
  <c r="U3" i="43"/>
  <c r="U3" i="41"/>
  <c r="K3" i="47"/>
  <c r="K3" i="45"/>
  <c r="K3" i="46"/>
  <c r="K3" i="44"/>
  <c r="K3" i="43"/>
  <c r="K3" i="41"/>
  <c r="K3" i="42"/>
  <c r="G3" i="47"/>
  <c r="G3" i="45"/>
  <c r="G3" i="46"/>
  <c r="G3" i="43"/>
  <c r="G3" i="41"/>
  <c r="G3" i="42"/>
  <c r="G3" i="44"/>
  <c r="AF3" i="47"/>
  <c r="AF3" i="45"/>
  <c r="AF3" i="46"/>
  <c r="AF3" i="44"/>
  <c r="AF3" i="42"/>
  <c r="AF3" i="43"/>
  <c r="AF3" i="41"/>
  <c r="AB3" i="47"/>
  <c r="AB3" i="45"/>
  <c r="AB3" i="46"/>
  <c r="AB3" i="42"/>
  <c r="AB3" i="44"/>
  <c r="AB3" i="43"/>
  <c r="AB3" i="41"/>
  <c r="X3" i="47"/>
  <c r="X3" i="45"/>
  <c r="X3" i="46"/>
  <c r="X3" i="42"/>
  <c r="X3" i="44"/>
  <c r="X3" i="43"/>
  <c r="X3" i="41"/>
  <c r="L3" i="47"/>
  <c r="L3" i="45"/>
  <c r="L3" i="46"/>
  <c r="L3" i="42"/>
  <c r="L3" i="44"/>
  <c r="L3" i="43"/>
  <c r="L3" i="41"/>
  <c r="AC3" i="46"/>
  <c r="AC3" i="47"/>
  <c r="AC3" i="45"/>
  <c r="AC3" i="42"/>
  <c r="AC3" i="44"/>
  <c r="AC3" i="43"/>
  <c r="AC3" i="41"/>
  <c r="J3" i="46"/>
  <c r="J3" i="44"/>
  <c r="J3" i="47"/>
  <c r="J3" i="43"/>
  <c r="J3" i="41"/>
  <c r="J3" i="45"/>
  <c r="J3" i="42"/>
  <c r="AI3" i="47"/>
  <c r="AI3" i="45"/>
  <c r="AI3" i="46"/>
  <c r="AI3" i="43"/>
  <c r="AI3" i="41"/>
  <c r="AI3" i="42"/>
  <c r="AI3" i="44"/>
  <c r="AE3" i="47"/>
  <c r="AE3" i="45"/>
  <c r="AE3" i="46"/>
  <c r="AE3" i="43"/>
  <c r="AE3" i="41"/>
  <c r="AE3" i="44"/>
  <c r="AE3" i="42"/>
  <c r="AA3" i="47"/>
  <c r="AA3" i="45"/>
  <c r="AA3" i="46"/>
  <c r="AA3" i="44"/>
  <c r="AA3" i="43"/>
  <c r="AA3" i="41"/>
  <c r="AA3" i="42"/>
  <c r="W3" i="47"/>
  <c r="W3" i="45"/>
  <c r="W3" i="46"/>
  <c r="W3" i="43"/>
  <c r="W3" i="41"/>
  <c r="W3" i="42"/>
  <c r="W3" i="44"/>
  <c r="S3" i="47"/>
  <c r="S3" i="45"/>
  <c r="S3" i="46"/>
  <c r="S3" i="43"/>
  <c r="S3" i="41"/>
  <c r="S3" i="44"/>
  <c r="S3" i="42"/>
  <c r="H3" i="47"/>
  <c r="H3" i="45"/>
  <c r="H3" i="46"/>
  <c r="H3" i="42"/>
  <c r="H3" i="44"/>
  <c r="H3" i="43"/>
  <c r="H3" i="41"/>
  <c r="Y3" i="46"/>
  <c r="Y3" i="47"/>
  <c r="Y3" i="42"/>
  <c r="Y3" i="44"/>
  <c r="Y3" i="43"/>
  <c r="Y3" i="41"/>
  <c r="Y3" i="45"/>
  <c r="F3" i="46"/>
  <c r="F3" i="44"/>
  <c r="F3" i="47"/>
  <c r="F3" i="45"/>
  <c r="F3" i="43"/>
  <c r="F3" i="41"/>
  <c r="F3" i="42"/>
  <c r="I3" i="46"/>
  <c r="I3" i="47"/>
  <c r="I3" i="42"/>
  <c r="I3" i="44"/>
  <c r="I3" i="43"/>
  <c r="I3" i="41"/>
  <c r="I3" i="45"/>
  <c r="AH3" i="46"/>
  <c r="AH3" i="44"/>
  <c r="AH3" i="47"/>
  <c r="AH3" i="45"/>
  <c r="AH3" i="43"/>
  <c r="AH3" i="41"/>
  <c r="AH3" i="42"/>
  <c r="AD3" i="46"/>
  <c r="AD3" i="44"/>
  <c r="AD3" i="47"/>
  <c r="AD3" i="45"/>
  <c r="AD3" i="43"/>
  <c r="AD3" i="41"/>
  <c r="AD3" i="42"/>
  <c r="Z3" i="46"/>
  <c r="Z3" i="44"/>
  <c r="Z3" i="47"/>
  <c r="Z3" i="43"/>
  <c r="Z3" i="41"/>
  <c r="Z3" i="45"/>
  <c r="Z3" i="42"/>
  <c r="V3" i="46"/>
  <c r="V3" i="44"/>
  <c r="V3" i="47"/>
  <c r="V3" i="45"/>
  <c r="V3" i="43"/>
  <c r="V3" i="41"/>
  <c r="V3" i="42"/>
  <c r="R3" i="46"/>
  <c r="R3" i="44"/>
  <c r="R3" i="47"/>
  <c r="N3" i="46"/>
  <c r="N3" i="44"/>
  <c r="N3" i="47"/>
  <c r="P3" i="41"/>
  <c r="T3" i="41"/>
  <c r="N3" i="42"/>
  <c r="R3" i="42"/>
  <c r="Q3" i="44"/>
  <c r="Q3" i="46"/>
  <c r="Q3" i="47"/>
  <c r="M3" i="46"/>
  <c r="M3" i="47"/>
  <c r="M3" i="41"/>
  <c r="Q3" i="41"/>
  <c r="O3" i="42"/>
  <c r="M3" i="43"/>
  <c r="Q3" i="43"/>
  <c r="M3" i="44"/>
  <c r="R3" i="45"/>
  <c r="T3" i="47"/>
  <c r="T3" i="45"/>
  <c r="T3" i="46"/>
  <c r="P3" i="47"/>
  <c r="P3" i="45"/>
  <c r="P3" i="46"/>
  <c r="N3" i="41"/>
  <c r="R3" i="41"/>
  <c r="P3" i="42"/>
  <c r="T3" i="42"/>
  <c r="N3" i="43"/>
  <c r="R3" i="43"/>
  <c r="T3" i="44"/>
  <c r="M3" i="45"/>
  <c r="O3" i="47"/>
  <c r="O3" i="45"/>
  <c r="O3" i="46"/>
  <c r="O3" i="41"/>
  <c r="M3" i="42"/>
  <c r="Q3" i="42"/>
  <c r="O3" i="43"/>
  <c r="P3" i="44"/>
  <c r="N3" i="45"/>
  <c r="BM83" i="48"/>
  <c r="BM84" i="48"/>
  <c r="BM85" i="48"/>
  <c r="BM90" i="48"/>
  <c r="BM91" i="48"/>
  <c r="BM82" i="48"/>
  <c r="BM89" i="48"/>
  <c r="BM92" i="48"/>
  <c r="BM99" i="48"/>
  <c r="CA99" i="48" s="1"/>
  <c r="BM101" i="48"/>
  <c r="CA101" i="48" s="1"/>
  <c r="BM102" i="48"/>
  <c r="CA102" i="48" s="1"/>
  <c r="BM103" i="48"/>
  <c r="CA103" i="48" s="1"/>
  <c r="BM104" i="48"/>
  <c r="CA104" i="48" s="1"/>
  <c r="BM86" i="48"/>
  <c r="BM88" i="48"/>
  <c r="BM93" i="48"/>
  <c r="BM95" i="48"/>
  <c r="BM87" i="48"/>
  <c r="BM94" i="48"/>
  <c r="BM100" i="48"/>
  <c r="CA100" i="48" s="1"/>
  <c r="W84" i="48"/>
  <c r="BM96" i="48"/>
  <c r="BM97" i="48"/>
  <c r="F1" i="47"/>
  <c r="E28" i="50" s="1"/>
  <c r="G1" i="47"/>
  <c r="F28" i="50" s="1"/>
  <c r="H1" i="47"/>
  <c r="I1" i="47"/>
  <c r="J1" i="47"/>
  <c r="K1" i="47"/>
  <c r="L1" i="47"/>
  <c r="M1" i="47"/>
  <c r="N1" i="47"/>
  <c r="O1" i="47"/>
  <c r="N28" i="50" s="1"/>
  <c r="P1" i="47"/>
  <c r="Q1" i="47"/>
  <c r="R1" i="47"/>
  <c r="S1" i="47"/>
  <c r="T1" i="47"/>
  <c r="U1" i="47"/>
  <c r="V1" i="47"/>
  <c r="W1" i="47"/>
  <c r="V28" i="50" s="1"/>
  <c r="X1" i="47"/>
  <c r="Y1" i="47"/>
  <c r="Z1" i="47"/>
  <c r="Y28" i="50" s="1"/>
  <c r="AA1" i="47"/>
  <c r="AB1" i="47"/>
  <c r="AC1" i="47"/>
  <c r="AD1" i="47"/>
  <c r="AE1" i="47"/>
  <c r="AD28" i="50" s="1"/>
  <c r="AF1" i="47"/>
  <c r="AG1" i="47"/>
  <c r="AH1" i="47"/>
  <c r="AI1" i="47"/>
  <c r="F2" i="47"/>
  <c r="G2" i="47"/>
  <c r="H2" i="47"/>
  <c r="I2" i="47"/>
  <c r="H29" i="50" s="1"/>
  <c r="J2" i="47"/>
  <c r="K2" i="47"/>
  <c r="L2" i="47"/>
  <c r="M2" i="47"/>
  <c r="N2" i="47"/>
  <c r="O2" i="47"/>
  <c r="P2" i="47"/>
  <c r="Q2" i="47"/>
  <c r="P29" i="50" s="1"/>
  <c r="R2" i="47"/>
  <c r="S2" i="47"/>
  <c r="T2" i="47"/>
  <c r="U2" i="47"/>
  <c r="V2" i="47"/>
  <c r="W2" i="47"/>
  <c r="X2" i="47"/>
  <c r="Y2" i="47"/>
  <c r="Z2" i="47"/>
  <c r="AA2" i="47"/>
  <c r="AB2" i="47"/>
  <c r="AC2" i="47"/>
  <c r="AD2" i="47"/>
  <c r="AE2" i="47"/>
  <c r="AF2" i="47"/>
  <c r="AG2" i="47"/>
  <c r="AH2" i="47"/>
  <c r="AI2" i="47"/>
  <c r="F1" i="46"/>
  <c r="G1" i="46"/>
  <c r="H1" i="46"/>
  <c r="I1" i="46"/>
  <c r="J1" i="46"/>
  <c r="K1" i="46"/>
  <c r="L1" i="46"/>
  <c r="M1" i="46"/>
  <c r="N1" i="46"/>
  <c r="O1" i="46"/>
  <c r="P1" i="46"/>
  <c r="Q1" i="46"/>
  <c r="R1" i="46"/>
  <c r="S1" i="46"/>
  <c r="T1" i="46"/>
  <c r="U1" i="46"/>
  <c r="V1" i="46"/>
  <c r="W1" i="46"/>
  <c r="X1" i="46"/>
  <c r="Y1" i="46"/>
  <c r="Z1" i="46"/>
  <c r="AA1" i="46"/>
  <c r="AB1" i="46"/>
  <c r="AC1" i="46"/>
  <c r="AD1" i="46"/>
  <c r="AE1" i="46"/>
  <c r="AF1" i="46"/>
  <c r="AG1" i="46"/>
  <c r="AH1" i="46"/>
  <c r="AI1" i="46"/>
  <c r="F2" i="46"/>
  <c r="G2" i="46"/>
  <c r="H2" i="46"/>
  <c r="I2" i="46"/>
  <c r="J2" i="46"/>
  <c r="K2" i="46"/>
  <c r="L2" i="46"/>
  <c r="M2" i="46"/>
  <c r="N2" i="46"/>
  <c r="O2" i="46"/>
  <c r="P2" i="46"/>
  <c r="Q2" i="46"/>
  <c r="R2" i="46"/>
  <c r="S2" i="46"/>
  <c r="T2" i="46"/>
  <c r="U2" i="46"/>
  <c r="V2" i="46"/>
  <c r="W2" i="46"/>
  <c r="X2" i="46"/>
  <c r="Y2" i="46"/>
  <c r="Z2" i="46"/>
  <c r="AA2" i="46"/>
  <c r="AB2" i="46"/>
  <c r="AC2" i="46"/>
  <c r="AD2" i="46"/>
  <c r="AE2" i="46"/>
  <c r="AF2" i="46"/>
  <c r="AG2" i="46"/>
  <c r="AH2" i="46"/>
  <c r="AI2" i="46"/>
  <c r="F1" i="45"/>
  <c r="G1" i="45"/>
  <c r="H1" i="45"/>
  <c r="G32" i="50" s="1"/>
  <c r="I1" i="45"/>
  <c r="H32" i="50" s="1"/>
  <c r="J1" i="45"/>
  <c r="I32" i="50" s="1"/>
  <c r="K1" i="45"/>
  <c r="J32" i="50" s="1"/>
  <c r="L1" i="45"/>
  <c r="K32" i="50" s="1"/>
  <c r="M1" i="45"/>
  <c r="L32" i="50" s="1"/>
  <c r="N1" i="45"/>
  <c r="M32" i="50" s="1"/>
  <c r="O1" i="45"/>
  <c r="N32" i="50" s="1"/>
  <c r="P1" i="45"/>
  <c r="O32" i="50" s="1"/>
  <c r="Q1" i="45"/>
  <c r="P32" i="50" s="1"/>
  <c r="R1" i="45"/>
  <c r="Q32" i="50" s="1"/>
  <c r="S1" i="45"/>
  <c r="R32" i="50" s="1"/>
  <c r="T1" i="45"/>
  <c r="S32" i="50" s="1"/>
  <c r="U1" i="45"/>
  <c r="T32" i="50" s="1"/>
  <c r="V1" i="45"/>
  <c r="U32" i="50" s="1"/>
  <c r="W1" i="45"/>
  <c r="V32" i="50" s="1"/>
  <c r="X1" i="45"/>
  <c r="W32" i="50" s="1"/>
  <c r="Y1" i="45"/>
  <c r="X32" i="50" s="1"/>
  <c r="Z1" i="45"/>
  <c r="Y32" i="50" s="1"/>
  <c r="AA1" i="45"/>
  <c r="Z32" i="50" s="1"/>
  <c r="AB1" i="45"/>
  <c r="AA32" i="50" s="1"/>
  <c r="AC1" i="45"/>
  <c r="AB32" i="50" s="1"/>
  <c r="AD1" i="45"/>
  <c r="AC32" i="50" s="1"/>
  <c r="AE1" i="45"/>
  <c r="AD32" i="50" s="1"/>
  <c r="AF1" i="45"/>
  <c r="AE32" i="50" s="1"/>
  <c r="AG1" i="45"/>
  <c r="AF32" i="50" s="1"/>
  <c r="AH1" i="45"/>
  <c r="AG32" i="50" s="1"/>
  <c r="AI1" i="45"/>
  <c r="AH32" i="50" s="1"/>
  <c r="F2" i="45"/>
  <c r="E33" i="50" s="1"/>
  <c r="G2" i="45"/>
  <c r="F33" i="50" s="1"/>
  <c r="H2" i="45"/>
  <c r="G33" i="50" s="1"/>
  <c r="I2" i="45"/>
  <c r="H33" i="50" s="1"/>
  <c r="J2" i="45"/>
  <c r="I33" i="50" s="1"/>
  <c r="K2" i="45"/>
  <c r="J33" i="50" s="1"/>
  <c r="L2" i="45"/>
  <c r="K33" i="50" s="1"/>
  <c r="M2" i="45"/>
  <c r="L33" i="50" s="1"/>
  <c r="N2" i="45"/>
  <c r="M33" i="50" s="1"/>
  <c r="O2" i="45"/>
  <c r="N33" i="50" s="1"/>
  <c r="P2" i="45"/>
  <c r="O33" i="50" s="1"/>
  <c r="Q2" i="45"/>
  <c r="P33" i="50" s="1"/>
  <c r="R2" i="45"/>
  <c r="Q33" i="50" s="1"/>
  <c r="S2" i="45"/>
  <c r="R33" i="50" s="1"/>
  <c r="T2" i="45"/>
  <c r="S33" i="50" s="1"/>
  <c r="U2" i="45"/>
  <c r="T33" i="50" s="1"/>
  <c r="V2" i="45"/>
  <c r="U33" i="50" s="1"/>
  <c r="W2" i="45"/>
  <c r="V33" i="50" s="1"/>
  <c r="X2" i="45"/>
  <c r="W33" i="50" s="1"/>
  <c r="Y2" i="45"/>
  <c r="X33" i="50" s="1"/>
  <c r="Z2" i="45"/>
  <c r="Y33" i="50" s="1"/>
  <c r="AA2" i="45"/>
  <c r="Z33" i="50" s="1"/>
  <c r="AB2" i="45"/>
  <c r="AA33" i="50" s="1"/>
  <c r="AC2" i="45"/>
  <c r="AB33" i="50" s="1"/>
  <c r="AD2" i="45"/>
  <c r="AC33" i="50" s="1"/>
  <c r="AE2" i="45"/>
  <c r="AD33" i="50" s="1"/>
  <c r="AF2" i="45"/>
  <c r="AE33" i="50" s="1"/>
  <c r="AG2" i="45"/>
  <c r="AF33" i="50" s="1"/>
  <c r="AH2" i="45"/>
  <c r="AG33" i="50" s="1"/>
  <c r="AI2" i="45"/>
  <c r="AH33" i="50" s="1"/>
  <c r="F1" i="44"/>
  <c r="G1" i="44"/>
  <c r="H1" i="44"/>
  <c r="I1" i="44"/>
  <c r="J1" i="44"/>
  <c r="I16" i="50" s="1"/>
  <c r="K1" i="44"/>
  <c r="L1" i="44"/>
  <c r="M1" i="44"/>
  <c r="N1" i="44"/>
  <c r="O1" i="44"/>
  <c r="P1" i="44"/>
  <c r="Q1" i="44"/>
  <c r="R1" i="44"/>
  <c r="S1" i="44"/>
  <c r="T1" i="44"/>
  <c r="U1" i="44"/>
  <c r="V1" i="44"/>
  <c r="W1" i="44"/>
  <c r="X1" i="44"/>
  <c r="Y1" i="44"/>
  <c r="Z1" i="44"/>
  <c r="AA1" i="44"/>
  <c r="AB1" i="44"/>
  <c r="AC1" i="44"/>
  <c r="AD1" i="44"/>
  <c r="AE1" i="44"/>
  <c r="AF1" i="44"/>
  <c r="AG1" i="44"/>
  <c r="AH1" i="44"/>
  <c r="AI1" i="44"/>
  <c r="F2" i="44"/>
  <c r="G2" i="44"/>
  <c r="H2" i="44"/>
  <c r="I2" i="44"/>
  <c r="J2" i="44"/>
  <c r="K2" i="44"/>
  <c r="L2" i="44"/>
  <c r="M2" i="44"/>
  <c r="N2" i="44"/>
  <c r="O2" i="44"/>
  <c r="P2" i="44"/>
  <c r="Q2" i="44"/>
  <c r="R2" i="44"/>
  <c r="S2" i="44"/>
  <c r="T2" i="44"/>
  <c r="U2" i="44"/>
  <c r="T17" i="50" s="1"/>
  <c r="V2" i="44"/>
  <c r="W2" i="44"/>
  <c r="X2" i="44"/>
  <c r="Y2" i="44"/>
  <c r="Z2" i="44"/>
  <c r="AA2" i="44"/>
  <c r="AB2" i="44"/>
  <c r="AC2" i="44"/>
  <c r="AD2" i="44"/>
  <c r="AE2" i="44"/>
  <c r="AF2" i="44"/>
  <c r="AG2" i="44"/>
  <c r="AH2" i="44"/>
  <c r="AI2" i="44"/>
  <c r="F1" i="43"/>
  <c r="G1" i="43"/>
  <c r="H1" i="43"/>
  <c r="I1" i="43"/>
  <c r="H14" i="50" s="1"/>
  <c r="J1" i="43"/>
  <c r="K1" i="43"/>
  <c r="L1" i="43"/>
  <c r="M1" i="43"/>
  <c r="N1" i="43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AH1" i="43"/>
  <c r="AI1" i="43"/>
  <c r="F2" i="43"/>
  <c r="G2" i="43"/>
  <c r="H2" i="43"/>
  <c r="I2" i="43"/>
  <c r="J2" i="43"/>
  <c r="K2" i="43"/>
  <c r="L2" i="43"/>
  <c r="M2" i="43"/>
  <c r="N2" i="43"/>
  <c r="O2" i="43"/>
  <c r="P2" i="43"/>
  <c r="Q2" i="43"/>
  <c r="R2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AF2" i="43"/>
  <c r="AG2" i="43"/>
  <c r="AH2" i="43"/>
  <c r="AI2" i="43"/>
  <c r="F1" i="42"/>
  <c r="G1" i="42"/>
  <c r="H1" i="42"/>
  <c r="I1" i="42"/>
  <c r="J1" i="42"/>
  <c r="I10" i="50" s="1"/>
  <c r="K1" i="42"/>
  <c r="L1" i="42"/>
  <c r="M1" i="42"/>
  <c r="N1" i="42"/>
  <c r="O1" i="42"/>
  <c r="P1" i="42"/>
  <c r="Q1" i="42"/>
  <c r="R1" i="42"/>
  <c r="Q10" i="50" s="1"/>
  <c r="S1" i="42"/>
  <c r="T1" i="42"/>
  <c r="U1" i="42"/>
  <c r="V1" i="42"/>
  <c r="W1" i="42"/>
  <c r="X1" i="42"/>
  <c r="Y1" i="42"/>
  <c r="Z1" i="42"/>
  <c r="AA1" i="42"/>
  <c r="AB1" i="42"/>
  <c r="AC1" i="42"/>
  <c r="AD1" i="42"/>
  <c r="AE1" i="42"/>
  <c r="AF1" i="42"/>
  <c r="AG1" i="42"/>
  <c r="AH1" i="42"/>
  <c r="AI1" i="42"/>
  <c r="F2" i="42"/>
  <c r="G2" i="42"/>
  <c r="H2" i="42"/>
  <c r="I2" i="42"/>
  <c r="J2" i="42"/>
  <c r="K2" i="42"/>
  <c r="L2" i="42"/>
  <c r="M2" i="42"/>
  <c r="N2" i="42"/>
  <c r="O2" i="42"/>
  <c r="P2" i="42"/>
  <c r="Q2" i="42"/>
  <c r="R2" i="42"/>
  <c r="S2" i="42"/>
  <c r="T2" i="42"/>
  <c r="U2" i="42"/>
  <c r="V2" i="42"/>
  <c r="W2" i="42"/>
  <c r="X2" i="42"/>
  <c r="Y2" i="42"/>
  <c r="Z2" i="42"/>
  <c r="AA2" i="42"/>
  <c r="AB2" i="42"/>
  <c r="AC2" i="42"/>
  <c r="AD2" i="42"/>
  <c r="AE2" i="42"/>
  <c r="AF2" i="42"/>
  <c r="AG2" i="42"/>
  <c r="AH2" i="42"/>
  <c r="AI2" i="42"/>
  <c r="F1" i="41"/>
  <c r="G1" i="41"/>
  <c r="H1" i="41"/>
  <c r="I1" i="41"/>
  <c r="J1" i="41"/>
  <c r="K1" i="41"/>
  <c r="L1" i="41"/>
  <c r="M1" i="41"/>
  <c r="N1" i="41"/>
  <c r="M8" i="50" s="1"/>
  <c r="O1" i="41"/>
  <c r="P1" i="41"/>
  <c r="Q1" i="41"/>
  <c r="R1" i="41"/>
  <c r="S1" i="41"/>
  <c r="T1" i="41"/>
  <c r="U1" i="41"/>
  <c r="V1" i="41"/>
  <c r="W1" i="41"/>
  <c r="X1" i="41"/>
  <c r="Y1" i="41"/>
  <c r="Z1" i="41"/>
  <c r="AA1" i="41"/>
  <c r="AB1" i="41"/>
  <c r="AC1" i="41"/>
  <c r="AD1" i="41"/>
  <c r="AE1" i="41"/>
  <c r="AF1" i="41"/>
  <c r="AG1" i="41"/>
  <c r="AH1" i="41"/>
  <c r="AI1" i="41"/>
  <c r="F2" i="41"/>
  <c r="G2" i="41"/>
  <c r="H2" i="41"/>
  <c r="I2" i="41"/>
  <c r="J2" i="41"/>
  <c r="K2" i="41"/>
  <c r="L2" i="41"/>
  <c r="M2" i="41"/>
  <c r="N2" i="41"/>
  <c r="O2" i="41"/>
  <c r="P2" i="41"/>
  <c r="Q2" i="41"/>
  <c r="R2" i="41"/>
  <c r="S2" i="41"/>
  <c r="T2" i="41"/>
  <c r="U2" i="41"/>
  <c r="V2" i="41"/>
  <c r="W2" i="41"/>
  <c r="X2" i="41"/>
  <c r="Y2" i="41"/>
  <c r="Z2" i="41"/>
  <c r="AA2" i="41"/>
  <c r="AB2" i="41"/>
  <c r="AC2" i="41"/>
  <c r="AD2" i="41"/>
  <c r="AE2" i="41"/>
  <c r="AF2" i="41"/>
  <c r="AG2" i="41"/>
  <c r="AH2" i="41"/>
  <c r="AI2" i="41"/>
  <c r="F32" i="50" l="1"/>
  <c r="E32" i="50"/>
  <c r="M6" i="53"/>
  <c r="V6" i="53"/>
  <c r="F6" i="53"/>
  <c r="H7" i="53"/>
  <c r="U6" i="53"/>
  <c r="I7" i="53"/>
  <c r="S7" i="53"/>
  <c r="L7" i="53"/>
  <c r="AF7" i="53"/>
  <c r="AH7" i="41"/>
  <c r="E57" i="48" a="1"/>
  <c r="E57" i="48" s="1"/>
  <c r="R6" i="53"/>
  <c r="AC7" i="53"/>
  <c r="W7" i="53"/>
  <c r="AG7" i="53"/>
  <c r="Z7" i="53"/>
  <c r="X7" i="53"/>
  <c r="AH7" i="53"/>
  <c r="G6" i="53"/>
  <c r="AI6" i="53"/>
  <c r="AD7" i="53"/>
  <c r="AB6" i="53"/>
  <c r="AA6" i="53"/>
  <c r="J6" i="54"/>
  <c r="J7" i="54"/>
  <c r="AI7" i="54"/>
  <c r="AI6" i="54"/>
  <c r="Y6" i="54"/>
  <c r="Y7" i="54"/>
  <c r="AH7" i="54"/>
  <c r="AH6" i="54"/>
  <c r="AC7" i="54"/>
  <c r="AC6" i="54"/>
  <c r="G7" i="54"/>
  <c r="G6" i="54"/>
  <c r="AE7" i="54"/>
  <c r="AE6" i="54"/>
  <c r="K6" i="54"/>
  <c r="K7" i="54"/>
  <c r="AA6" i="54"/>
  <c r="AA7" i="54"/>
  <c r="L6" i="54"/>
  <c r="L7" i="54"/>
  <c r="X7" i="54"/>
  <c r="X6" i="54"/>
  <c r="H7" i="54"/>
  <c r="H6" i="54"/>
  <c r="AG7" i="54"/>
  <c r="AG6" i="54"/>
  <c r="F6" i="54"/>
  <c r="F7" i="54"/>
  <c r="V6" i="54"/>
  <c r="V7" i="54"/>
  <c r="M6" i="54"/>
  <c r="M7" i="54"/>
  <c r="AD7" i="54"/>
  <c r="AD6" i="54"/>
  <c r="AB6" i="54"/>
  <c r="AB7" i="54"/>
  <c r="J7" i="53"/>
  <c r="K7" i="53"/>
  <c r="Y7" i="53"/>
  <c r="AE6" i="53"/>
  <c r="W7" i="54"/>
  <c r="W6" i="54"/>
  <c r="U6" i="54"/>
  <c r="U7" i="54"/>
  <c r="AF7" i="54"/>
  <c r="AF6" i="54"/>
  <c r="I7" i="54"/>
  <c r="I6" i="54"/>
  <c r="R6" i="54"/>
  <c r="R7" i="54"/>
  <c r="S6" i="54"/>
  <c r="S7" i="54"/>
  <c r="N7" i="54"/>
  <c r="N6" i="54"/>
  <c r="Z6" i="54"/>
  <c r="Z7" i="54"/>
  <c r="O7" i="53"/>
  <c r="O6" i="53"/>
  <c r="Q6" i="53"/>
  <c r="Q7" i="53"/>
  <c r="T6" i="53"/>
  <c r="T7" i="53"/>
  <c r="P7" i="53"/>
  <c r="P6" i="53"/>
  <c r="N6" i="41"/>
  <c r="F6" i="47"/>
  <c r="G6" i="45"/>
  <c r="J6" i="44"/>
  <c r="G6" i="47"/>
  <c r="U7" i="44"/>
  <c r="F6" i="45"/>
  <c r="J6" i="42"/>
  <c r="AE6" i="47"/>
  <c r="Z6" i="47"/>
  <c r="R6" i="42"/>
  <c r="AG7" i="47"/>
  <c r="AF29" i="50"/>
  <c r="U7" i="47"/>
  <c r="T29" i="50"/>
  <c r="AI6" i="47"/>
  <c r="AH28" i="50"/>
  <c r="K6" i="47"/>
  <c r="J28" i="50"/>
  <c r="AF7" i="47"/>
  <c r="AE29" i="50"/>
  <c r="T7" i="47"/>
  <c r="S29" i="50"/>
  <c r="P7" i="47"/>
  <c r="O29" i="50"/>
  <c r="Q7" i="47"/>
  <c r="W6" i="47"/>
  <c r="AE7" i="47"/>
  <c r="AD29" i="50"/>
  <c r="AA7" i="47"/>
  <c r="Z29" i="50"/>
  <c r="S7" i="47"/>
  <c r="R29" i="50"/>
  <c r="O7" i="47"/>
  <c r="N29" i="50"/>
  <c r="G7" i="47"/>
  <c r="F29" i="50"/>
  <c r="I7" i="47"/>
  <c r="O6" i="47"/>
  <c r="AH7" i="47"/>
  <c r="AG29" i="50"/>
  <c r="AD7" i="47"/>
  <c r="AC29" i="50"/>
  <c r="Z7" i="47"/>
  <c r="Y29" i="50"/>
  <c r="V7" i="47"/>
  <c r="U29" i="50"/>
  <c r="R7" i="47"/>
  <c r="Q29" i="50"/>
  <c r="N7" i="47"/>
  <c r="M29" i="50"/>
  <c r="J7" i="47"/>
  <c r="I29" i="50"/>
  <c r="F7" i="47"/>
  <c r="E29" i="50"/>
  <c r="AF6" i="47"/>
  <c r="AE28" i="50"/>
  <c r="AB6" i="47"/>
  <c r="AA28" i="50"/>
  <c r="X6" i="47"/>
  <c r="W28" i="50"/>
  <c r="T6" i="47"/>
  <c r="S28" i="50"/>
  <c r="P6" i="47"/>
  <c r="O28" i="50"/>
  <c r="L6" i="47"/>
  <c r="K28" i="50"/>
  <c r="H6" i="47"/>
  <c r="G28" i="50"/>
  <c r="Y7" i="47"/>
  <c r="X29" i="50"/>
  <c r="S6" i="47"/>
  <c r="R28" i="50"/>
  <c r="X7" i="47"/>
  <c r="W29" i="50"/>
  <c r="L7" i="47"/>
  <c r="K29" i="50"/>
  <c r="H7" i="47"/>
  <c r="G29" i="50"/>
  <c r="AH6" i="47"/>
  <c r="AG28" i="50"/>
  <c r="AD6" i="47"/>
  <c r="AC28" i="50"/>
  <c r="V6" i="47"/>
  <c r="U28" i="50"/>
  <c r="R6" i="47"/>
  <c r="Q28" i="50"/>
  <c r="N6" i="47"/>
  <c r="M28" i="50"/>
  <c r="J6" i="47"/>
  <c r="I28" i="50"/>
  <c r="AC7" i="47"/>
  <c r="AB29" i="50"/>
  <c r="M7" i="47"/>
  <c r="L29" i="50"/>
  <c r="AA6" i="47"/>
  <c r="Z28" i="50"/>
  <c r="AB7" i="47"/>
  <c r="AA29" i="50"/>
  <c r="AI7" i="47"/>
  <c r="AH29" i="50"/>
  <c r="W7" i="47"/>
  <c r="V29" i="50"/>
  <c r="K7" i="47"/>
  <c r="J29" i="50"/>
  <c r="AG6" i="47"/>
  <c r="AF28" i="50"/>
  <c r="AC6" i="47"/>
  <c r="AB28" i="50"/>
  <c r="Y6" i="47"/>
  <c r="X28" i="50"/>
  <c r="U6" i="47"/>
  <c r="T28" i="50"/>
  <c r="Q6" i="47"/>
  <c r="P28" i="50"/>
  <c r="M6" i="47"/>
  <c r="L28" i="50"/>
  <c r="I6" i="47"/>
  <c r="H28" i="50"/>
  <c r="AG7" i="46"/>
  <c r="AF41" i="50"/>
  <c r="Y7" i="46"/>
  <c r="X41" i="50"/>
  <c r="Q7" i="46"/>
  <c r="P41" i="50"/>
  <c r="I7" i="46"/>
  <c r="H41" i="50"/>
  <c r="AE6" i="46"/>
  <c r="AD40" i="50"/>
  <c r="W6" i="46"/>
  <c r="V40" i="50"/>
  <c r="O6" i="46"/>
  <c r="N40" i="50"/>
  <c r="G6" i="46"/>
  <c r="F40" i="50"/>
  <c r="AB7" i="46"/>
  <c r="AA41" i="50"/>
  <c r="T7" i="46"/>
  <c r="S41" i="50"/>
  <c r="L7" i="46"/>
  <c r="K41" i="50"/>
  <c r="AH6" i="46"/>
  <c r="AG40" i="50"/>
  <c r="Z6" i="46"/>
  <c r="Y40" i="50"/>
  <c r="R6" i="46"/>
  <c r="Q40" i="50"/>
  <c r="F6" i="46"/>
  <c r="E40" i="50"/>
  <c r="AH7" i="46"/>
  <c r="AG41" i="50"/>
  <c r="AD7" i="46"/>
  <c r="AC41" i="50"/>
  <c r="Z7" i="46"/>
  <c r="Y41" i="50"/>
  <c r="V7" i="46"/>
  <c r="U41" i="50"/>
  <c r="R7" i="46"/>
  <c r="Q41" i="50"/>
  <c r="N7" i="46"/>
  <c r="M41" i="50"/>
  <c r="J7" i="46"/>
  <c r="I41" i="50"/>
  <c r="F7" i="46"/>
  <c r="E41" i="50"/>
  <c r="AF6" i="46"/>
  <c r="AE40" i="50"/>
  <c r="AB6" i="46"/>
  <c r="AA40" i="50"/>
  <c r="X6" i="46"/>
  <c r="W40" i="50"/>
  <c r="T6" i="46"/>
  <c r="S40" i="50"/>
  <c r="P6" i="46"/>
  <c r="O40" i="50"/>
  <c r="L6" i="46"/>
  <c r="K40" i="50"/>
  <c r="H6" i="46"/>
  <c r="G40" i="50"/>
  <c r="AC7" i="46"/>
  <c r="AB41" i="50"/>
  <c r="U7" i="46"/>
  <c r="T41" i="50"/>
  <c r="M7" i="46"/>
  <c r="L41" i="50"/>
  <c r="AI6" i="46"/>
  <c r="AH40" i="50"/>
  <c r="AA6" i="46"/>
  <c r="Z40" i="50"/>
  <c r="S6" i="46"/>
  <c r="R40" i="50"/>
  <c r="K6" i="46"/>
  <c r="J40" i="50"/>
  <c r="AF7" i="46"/>
  <c r="AE41" i="50"/>
  <c r="X7" i="46"/>
  <c r="W41" i="50"/>
  <c r="P7" i="46"/>
  <c r="O41" i="50"/>
  <c r="H7" i="46"/>
  <c r="G41" i="50"/>
  <c r="AD6" i="46"/>
  <c r="AC40" i="50"/>
  <c r="V6" i="46"/>
  <c r="U40" i="50"/>
  <c r="N6" i="46"/>
  <c r="M40" i="50"/>
  <c r="J6" i="46"/>
  <c r="I40" i="50"/>
  <c r="AI7" i="46"/>
  <c r="AH41" i="50"/>
  <c r="AE7" i="46"/>
  <c r="AD41" i="50"/>
  <c r="AA7" i="46"/>
  <c r="Z41" i="50"/>
  <c r="W7" i="46"/>
  <c r="V41" i="50"/>
  <c r="S7" i="46"/>
  <c r="R41" i="50"/>
  <c r="O7" i="46"/>
  <c r="N41" i="50"/>
  <c r="K7" i="46"/>
  <c r="J41" i="50"/>
  <c r="G7" i="46"/>
  <c r="F41" i="50"/>
  <c r="AG6" i="46"/>
  <c r="AF40" i="50"/>
  <c r="AC6" i="46"/>
  <c r="AB40" i="50"/>
  <c r="Y6" i="46"/>
  <c r="X40" i="50"/>
  <c r="U6" i="46"/>
  <c r="T40" i="50"/>
  <c r="Q6" i="46"/>
  <c r="P40" i="50"/>
  <c r="M6" i="46"/>
  <c r="L40" i="50"/>
  <c r="I6" i="46"/>
  <c r="H40" i="50"/>
  <c r="AF7" i="45"/>
  <c r="AB7" i="45"/>
  <c r="X7" i="45"/>
  <c r="T7" i="45"/>
  <c r="P7" i="45"/>
  <c r="L7" i="45"/>
  <c r="H7" i="45"/>
  <c r="AH6" i="45"/>
  <c r="AD6" i="45"/>
  <c r="Z6" i="45"/>
  <c r="V6" i="45"/>
  <c r="R6" i="45"/>
  <c r="N6" i="45"/>
  <c r="J6" i="45"/>
  <c r="AE7" i="45"/>
  <c r="S7" i="45"/>
  <c r="G7" i="45"/>
  <c r="Y6" i="45"/>
  <c r="M6" i="45"/>
  <c r="AD7" i="45"/>
  <c r="N7" i="45"/>
  <c r="AF6" i="45"/>
  <c r="AB6" i="45"/>
  <c r="X6" i="45"/>
  <c r="T6" i="45"/>
  <c r="P6" i="45"/>
  <c r="L6" i="45"/>
  <c r="H6" i="45"/>
  <c r="AI7" i="45"/>
  <c r="AA7" i="45"/>
  <c r="W7" i="45"/>
  <c r="O7" i="45"/>
  <c r="K7" i="45"/>
  <c r="AG6" i="45"/>
  <c r="AC6" i="45"/>
  <c r="U6" i="45"/>
  <c r="Q6" i="45"/>
  <c r="I6" i="45"/>
  <c r="AH7" i="45"/>
  <c r="Z7" i="45"/>
  <c r="V7" i="45"/>
  <c r="R7" i="45"/>
  <c r="J7" i="45"/>
  <c r="F7" i="45"/>
  <c r="AG7" i="45"/>
  <c r="AC7" i="45"/>
  <c r="Y7" i="45"/>
  <c r="U7" i="45"/>
  <c r="Q7" i="45"/>
  <c r="M7" i="45"/>
  <c r="I7" i="45"/>
  <c r="AI6" i="45"/>
  <c r="AE6" i="45"/>
  <c r="AA6" i="45"/>
  <c r="W6" i="45"/>
  <c r="S6" i="45"/>
  <c r="O6" i="45"/>
  <c r="K6" i="45"/>
  <c r="AF7" i="44"/>
  <c r="AE17" i="50"/>
  <c r="X7" i="44"/>
  <c r="W17" i="50"/>
  <c r="P7" i="44"/>
  <c r="O17" i="50"/>
  <c r="H7" i="44"/>
  <c r="G17" i="50"/>
  <c r="AD6" i="44"/>
  <c r="AC16" i="50"/>
  <c r="V6" i="44"/>
  <c r="U16" i="50"/>
  <c r="N6" i="44"/>
  <c r="M16" i="50"/>
  <c r="F6" i="44"/>
  <c r="E16" i="50"/>
  <c r="AE7" i="44"/>
  <c r="AD17" i="50"/>
  <c r="W7" i="44"/>
  <c r="V17" i="50"/>
  <c r="O7" i="44"/>
  <c r="N17" i="50"/>
  <c r="G7" i="44"/>
  <c r="F17" i="50"/>
  <c r="AC6" i="44"/>
  <c r="AB16" i="50"/>
  <c r="U6" i="44"/>
  <c r="T16" i="50"/>
  <c r="M6" i="44"/>
  <c r="L16" i="50"/>
  <c r="AH7" i="44"/>
  <c r="AG17" i="50"/>
  <c r="AD7" i="44"/>
  <c r="AC17" i="50"/>
  <c r="Z7" i="44"/>
  <c r="Y17" i="50"/>
  <c r="V7" i="44"/>
  <c r="U17" i="50"/>
  <c r="R7" i="44"/>
  <c r="Q17" i="50"/>
  <c r="N7" i="44"/>
  <c r="M17" i="50"/>
  <c r="J7" i="44"/>
  <c r="I17" i="50"/>
  <c r="F7" i="44"/>
  <c r="E17" i="50"/>
  <c r="AF6" i="44"/>
  <c r="AE16" i="50"/>
  <c r="AB6" i="44"/>
  <c r="AA16" i="50"/>
  <c r="X6" i="44"/>
  <c r="W16" i="50"/>
  <c r="T6" i="44"/>
  <c r="S16" i="50"/>
  <c r="P6" i="44"/>
  <c r="O16" i="50"/>
  <c r="L6" i="44"/>
  <c r="K16" i="50"/>
  <c r="H6" i="44"/>
  <c r="G16" i="50"/>
  <c r="AB7" i="44"/>
  <c r="AA17" i="50"/>
  <c r="T7" i="44"/>
  <c r="S17" i="50"/>
  <c r="L7" i="44"/>
  <c r="K17" i="50"/>
  <c r="AH6" i="44"/>
  <c r="AG16" i="50"/>
  <c r="Z6" i="44"/>
  <c r="Y16" i="50"/>
  <c r="R6" i="44"/>
  <c r="Q16" i="50"/>
  <c r="AI7" i="44"/>
  <c r="AH17" i="50"/>
  <c r="AA7" i="44"/>
  <c r="Z17" i="50"/>
  <c r="S7" i="44"/>
  <c r="R17" i="50"/>
  <c r="K7" i="44"/>
  <c r="J17" i="50"/>
  <c r="AG6" i="44"/>
  <c r="AF16" i="50"/>
  <c r="Y6" i="44"/>
  <c r="X16" i="50"/>
  <c r="Q6" i="44"/>
  <c r="P16" i="50"/>
  <c r="I6" i="44"/>
  <c r="H16" i="50"/>
  <c r="AG7" i="44"/>
  <c r="AF17" i="50"/>
  <c r="AC7" i="44"/>
  <c r="AB17" i="50"/>
  <c r="Y7" i="44"/>
  <c r="X17" i="50"/>
  <c r="Q7" i="44"/>
  <c r="P17" i="50"/>
  <c r="M7" i="44"/>
  <c r="L17" i="50"/>
  <c r="I7" i="44"/>
  <c r="H17" i="50"/>
  <c r="AI6" i="44"/>
  <c r="AH16" i="50"/>
  <c r="AE6" i="44"/>
  <c r="AD16" i="50"/>
  <c r="AA6" i="44"/>
  <c r="Z16" i="50"/>
  <c r="W6" i="44"/>
  <c r="V16" i="50"/>
  <c r="S6" i="44"/>
  <c r="R16" i="50"/>
  <c r="O6" i="44"/>
  <c r="N16" i="50"/>
  <c r="K6" i="44"/>
  <c r="J16" i="50"/>
  <c r="G6" i="44"/>
  <c r="F16" i="50"/>
  <c r="I6" i="43"/>
  <c r="Z7" i="43"/>
  <c r="Y15" i="50"/>
  <c r="V7" i="43"/>
  <c r="U15" i="50"/>
  <c r="J7" i="43"/>
  <c r="I15" i="50"/>
  <c r="F7" i="43"/>
  <c r="E15" i="50"/>
  <c r="X6" i="43"/>
  <c r="W14" i="50"/>
  <c r="T6" i="43"/>
  <c r="S14" i="50"/>
  <c r="P6" i="43"/>
  <c r="O14" i="50"/>
  <c r="AG7" i="43"/>
  <c r="AF15" i="50"/>
  <c r="AC7" i="43"/>
  <c r="AB15" i="50"/>
  <c r="Q7" i="43"/>
  <c r="P15" i="50"/>
  <c r="AF7" i="43"/>
  <c r="AE15" i="50"/>
  <c r="X7" i="43"/>
  <c r="W15" i="50"/>
  <c r="T7" i="43"/>
  <c r="S15" i="50"/>
  <c r="L7" i="43"/>
  <c r="K15" i="50"/>
  <c r="H7" i="43"/>
  <c r="G15" i="50"/>
  <c r="AI7" i="43"/>
  <c r="AH15" i="50"/>
  <c r="AE7" i="43"/>
  <c r="AD15" i="50"/>
  <c r="AA7" i="43"/>
  <c r="Z15" i="50"/>
  <c r="W7" i="43"/>
  <c r="V15" i="50"/>
  <c r="S7" i="43"/>
  <c r="R15" i="50"/>
  <c r="O7" i="43"/>
  <c r="N15" i="50"/>
  <c r="K7" i="43"/>
  <c r="J15" i="50"/>
  <c r="G7" i="43"/>
  <c r="F15" i="50"/>
  <c r="AG6" i="43"/>
  <c r="AF14" i="50"/>
  <c r="AC6" i="43"/>
  <c r="AB14" i="50"/>
  <c r="Y6" i="43"/>
  <c r="X14" i="50"/>
  <c r="U6" i="43"/>
  <c r="T14" i="50"/>
  <c r="Q6" i="43"/>
  <c r="P14" i="50"/>
  <c r="M6" i="43"/>
  <c r="L14" i="50"/>
  <c r="AD7" i="43"/>
  <c r="AC15" i="50"/>
  <c r="R7" i="43"/>
  <c r="Q15" i="50"/>
  <c r="AF6" i="43"/>
  <c r="AE14" i="50"/>
  <c r="H6" i="43"/>
  <c r="G14" i="50"/>
  <c r="U7" i="43"/>
  <c r="T15" i="50"/>
  <c r="M7" i="43"/>
  <c r="L15" i="50"/>
  <c r="I7" i="43"/>
  <c r="H15" i="50"/>
  <c r="AI6" i="43"/>
  <c r="AH14" i="50"/>
  <c r="AE6" i="43"/>
  <c r="AD14" i="50"/>
  <c r="AA6" i="43"/>
  <c r="Z14" i="50"/>
  <c r="W6" i="43"/>
  <c r="V14" i="50"/>
  <c r="S6" i="43"/>
  <c r="R14" i="50"/>
  <c r="O6" i="43"/>
  <c r="N14" i="50"/>
  <c r="K6" i="43"/>
  <c r="J14" i="50"/>
  <c r="G6" i="43"/>
  <c r="F14" i="50"/>
  <c r="AH7" i="43"/>
  <c r="AG15" i="50"/>
  <c r="N7" i="43"/>
  <c r="M15" i="50"/>
  <c r="AB6" i="43"/>
  <c r="AA14" i="50"/>
  <c r="L6" i="43"/>
  <c r="K14" i="50"/>
  <c r="Y7" i="43"/>
  <c r="X15" i="50"/>
  <c r="AB7" i="43"/>
  <c r="AA15" i="50"/>
  <c r="P7" i="43"/>
  <c r="O15" i="50"/>
  <c r="AH6" i="43"/>
  <c r="AG14" i="50"/>
  <c r="AD6" i="43"/>
  <c r="AC14" i="50"/>
  <c r="Z6" i="43"/>
  <c r="Y14" i="50"/>
  <c r="V6" i="43"/>
  <c r="U14" i="50"/>
  <c r="R6" i="43"/>
  <c r="Q14" i="50"/>
  <c r="N6" i="43"/>
  <c r="M14" i="50"/>
  <c r="J6" i="43"/>
  <c r="I14" i="50"/>
  <c r="F6" i="43"/>
  <c r="E14" i="50"/>
  <c r="AA7" i="42"/>
  <c r="Z11" i="50"/>
  <c r="W7" i="42"/>
  <c r="V11" i="50"/>
  <c r="K7" i="42"/>
  <c r="J11" i="50"/>
  <c r="G7" i="42"/>
  <c r="F11" i="50"/>
  <c r="Y6" i="42"/>
  <c r="X10" i="50"/>
  <c r="U6" i="42"/>
  <c r="T10" i="50"/>
  <c r="Q6" i="42"/>
  <c r="P10" i="50"/>
  <c r="AH7" i="42"/>
  <c r="AG11" i="50"/>
  <c r="AD7" i="42"/>
  <c r="AC11" i="50"/>
  <c r="R7" i="42"/>
  <c r="Q11" i="50"/>
  <c r="AG7" i="42"/>
  <c r="AF11" i="50"/>
  <c r="Y7" i="42"/>
  <c r="X11" i="50"/>
  <c r="U7" i="42"/>
  <c r="T11" i="50"/>
  <c r="M7" i="42"/>
  <c r="L11" i="50"/>
  <c r="I7" i="42"/>
  <c r="H11" i="50"/>
  <c r="AF7" i="42"/>
  <c r="AE11" i="50"/>
  <c r="AB7" i="42"/>
  <c r="AA11" i="50"/>
  <c r="X7" i="42"/>
  <c r="W11" i="50"/>
  <c r="T7" i="42"/>
  <c r="S11" i="50"/>
  <c r="P7" i="42"/>
  <c r="O11" i="50"/>
  <c r="L7" i="42"/>
  <c r="K11" i="50"/>
  <c r="H7" i="42"/>
  <c r="G11" i="50"/>
  <c r="AH6" i="42"/>
  <c r="AG10" i="50"/>
  <c r="AD6" i="42"/>
  <c r="AC10" i="50"/>
  <c r="Z6" i="42"/>
  <c r="Y10" i="50"/>
  <c r="V6" i="42"/>
  <c r="U10" i="50"/>
  <c r="N6" i="42"/>
  <c r="M10" i="50"/>
  <c r="F6" i="42"/>
  <c r="E10" i="50"/>
  <c r="AE7" i="42"/>
  <c r="AD11" i="50"/>
  <c r="O7" i="42"/>
  <c r="N11" i="50"/>
  <c r="AC6" i="42"/>
  <c r="AB10" i="50"/>
  <c r="M6" i="42"/>
  <c r="L10" i="50"/>
  <c r="V7" i="42"/>
  <c r="U11" i="50"/>
  <c r="N7" i="42"/>
  <c r="M11" i="50"/>
  <c r="J7" i="42"/>
  <c r="I11" i="50"/>
  <c r="F7" i="42"/>
  <c r="E11" i="50"/>
  <c r="AF6" i="42"/>
  <c r="AE10" i="50"/>
  <c r="AB6" i="42"/>
  <c r="AA10" i="50"/>
  <c r="X6" i="42"/>
  <c r="W10" i="50"/>
  <c r="T6" i="42"/>
  <c r="S10" i="50"/>
  <c r="P6" i="42"/>
  <c r="O10" i="50"/>
  <c r="L6" i="42"/>
  <c r="K10" i="50"/>
  <c r="H6" i="42"/>
  <c r="G10" i="50"/>
  <c r="AI7" i="42"/>
  <c r="AH11" i="50"/>
  <c r="S7" i="42"/>
  <c r="R11" i="50"/>
  <c r="AG6" i="42"/>
  <c r="AF10" i="50"/>
  <c r="I6" i="42"/>
  <c r="H10" i="50"/>
  <c r="Z7" i="42"/>
  <c r="Y11" i="50"/>
  <c r="AC7" i="42"/>
  <c r="AB11" i="50"/>
  <c r="Q7" i="42"/>
  <c r="P11" i="50"/>
  <c r="AI6" i="42"/>
  <c r="AH10" i="50"/>
  <c r="AE6" i="42"/>
  <c r="AD10" i="50"/>
  <c r="AA6" i="42"/>
  <c r="Z10" i="50"/>
  <c r="W6" i="42"/>
  <c r="V10" i="50"/>
  <c r="S6" i="42"/>
  <c r="R10" i="50"/>
  <c r="O6" i="42"/>
  <c r="N10" i="50"/>
  <c r="K6" i="42"/>
  <c r="J10" i="50"/>
  <c r="G6" i="42"/>
  <c r="F10" i="50"/>
  <c r="AF7" i="41"/>
  <c r="AE9" i="50"/>
  <c r="AB7" i="41"/>
  <c r="AA9" i="50"/>
  <c r="X7" i="41"/>
  <c r="W9" i="50"/>
  <c r="T7" i="41"/>
  <c r="S9" i="50"/>
  <c r="P7" i="41"/>
  <c r="O9" i="50"/>
  <c r="L7" i="41"/>
  <c r="K9" i="50"/>
  <c r="H7" i="41"/>
  <c r="G9" i="50"/>
  <c r="AH6" i="41"/>
  <c r="AG8" i="50"/>
  <c r="AD6" i="41"/>
  <c r="AC8" i="50"/>
  <c r="Z6" i="41"/>
  <c r="Y8" i="50"/>
  <c r="V6" i="41"/>
  <c r="U8" i="50"/>
  <c r="R6" i="41"/>
  <c r="Q8" i="50"/>
  <c r="J6" i="41"/>
  <c r="I8" i="50"/>
  <c r="F6" i="41"/>
  <c r="E8" i="50"/>
  <c r="AI7" i="41"/>
  <c r="AH9" i="50"/>
  <c r="AE7" i="41"/>
  <c r="AD9" i="50"/>
  <c r="AA7" i="41"/>
  <c r="Z9" i="50"/>
  <c r="W7" i="41"/>
  <c r="V9" i="50"/>
  <c r="S7" i="41"/>
  <c r="R9" i="50"/>
  <c r="O7" i="41"/>
  <c r="N9" i="50"/>
  <c r="K7" i="41"/>
  <c r="J9" i="50"/>
  <c r="G7" i="41"/>
  <c r="F9" i="50"/>
  <c r="AG6" i="41"/>
  <c r="AF8" i="50"/>
  <c r="AC6" i="41"/>
  <c r="AB8" i="50"/>
  <c r="Y6" i="41"/>
  <c r="X8" i="50"/>
  <c r="U6" i="41"/>
  <c r="T8" i="50"/>
  <c r="Q6" i="41"/>
  <c r="P8" i="50"/>
  <c r="M6" i="41"/>
  <c r="L8" i="50"/>
  <c r="I6" i="41"/>
  <c r="H8" i="50"/>
  <c r="AG9" i="50"/>
  <c r="AD7" i="41"/>
  <c r="AC9" i="50"/>
  <c r="Z7" i="41"/>
  <c r="Y9" i="50"/>
  <c r="V7" i="41"/>
  <c r="U9" i="50"/>
  <c r="R7" i="41"/>
  <c r="Q9" i="50"/>
  <c r="N7" i="41"/>
  <c r="M9" i="50"/>
  <c r="J7" i="41"/>
  <c r="I9" i="50"/>
  <c r="F7" i="41"/>
  <c r="E9" i="50"/>
  <c r="AF6" i="41"/>
  <c r="AE8" i="50"/>
  <c r="AB6" i="41"/>
  <c r="AA8" i="50"/>
  <c r="X6" i="41"/>
  <c r="W8" i="50"/>
  <c r="T6" i="41"/>
  <c r="S8" i="50"/>
  <c r="P6" i="41"/>
  <c r="O8" i="50"/>
  <c r="L6" i="41"/>
  <c r="K8" i="50"/>
  <c r="H6" i="41"/>
  <c r="G8" i="50"/>
  <c r="AG7" i="41"/>
  <c r="AF9" i="50"/>
  <c r="AC7" i="41"/>
  <c r="AB9" i="50"/>
  <c r="Y7" i="41"/>
  <c r="X9" i="50"/>
  <c r="U7" i="41"/>
  <c r="T9" i="50"/>
  <c r="Q7" i="41"/>
  <c r="P9" i="50"/>
  <c r="M7" i="41"/>
  <c r="L9" i="50"/>
  <c r="I7" i="41"/>
  <c r="H9" i="50"/>
  <c r="AI6" i="41"/>
  <c r="AH8" i="50"/>
  <c r="AE6" i="41"/>
  <c r="AD8" i="50"/>
  <c r="AA6" i="41"/>
  <c r="Z8" i="50"/>
  <c r="W6" i="41"/>
  <c r="V8" i="50"/>
  <c r="S6" i="41"/>
  <c r="R8" i="50"/>
  <c r="O6" i="41"/>
  <c r="N8" i="50"/>
  <c r="K6" i="41"/>
  <c r="J8" i="50"/>
  <c r="G6" i="41"/>
  <c r="F8" i="50"/>
  <c r="L20" i="68" l="1"/>
  <c r="K20" i="68"/>
  <c r="AB43" i="50"/>
  <c r="E81" i="48" s="1"/>
  <c r="Z42" i="50"/>
  <c r="L23" i="68"/>
  <c r="R42" i="50"/>
  <c r="AH42" i="50"/>
  <c r="C87" i="48" s="1"/>
  <c r="T43" i="50"/>
  <c r="E79" i="48" s="1"/>
  <c r="O42" i="50"/>
  <c r="AE42" i="50"/>
  <c r="C84" i="48" s="1"/>
  <c r="Q43" i="50"/>
  <c r="E76" i="48" s="1"/>
  <c r="AG43" i="50"/>
  <c r="E86" i="48" s="1"/>
  <c r="H42" i="50"/>
  <c r="C68" i="48" s="1"/>
  <c r="X42" i="50"/>
  <c r="Z43" i="50"/>
  <c r="AG42" i="50"/>
  <c r="C86" i="48" s="1"/>
  <c r="O43" i="50"/>
  <c r="J43" i="50"/>
  <c r="E70" i="48" s="1"/>
  <c r="U43" i="50"/>
  <c r="P43" i="50"/>
  <c r="E43" i="50"/>
  <c r="S42" i="50"/>
  <c r="C78" i="48" s="1"/>
  <c r="N42" i="50"/>
  <c r="C74" i="48" s="1"/>
  <c r="W42" i="50"/>
  <c r="Y43" i="50"/>
  <c r="G42" i="50"/>
  <c r="C67" i="48" s="1"/>
  <c r="K43" i="50"/>
  <c r="E71" i="48" s="1"/>
  <c r="N43" i="50"/>
  <c r="E74" i="48" s="1"/>
  <c r="P42" i="50"/>
  <c r="K6" i="68"/>
  <c r="L6" i="68"/>
  <c r="L11" i="68"/>
  <c r="K11" i="68"/>
  <c r="L10" i="68"/>
  <c r="K10" i="68"/>
  <c r="L7" i="68"/>
  <c r="K7" i="68"/>
  <c r="L27" i="68"/>
  <c r="K27" i="68"/>
  <c r="L5" i="68"/>
  <c r="K5" i="68"/>
  <c r="E42" i="50"/>
  <c r="C65" i="48" s="1"/>
  <c r="F42" i="50"/>
  <c r="C66" i="48" s="1"/>
  <c r="M42" i="50"/>
  <c r="C73" i="48" s="1"/>
  <c r="AD43" i="50"/>
  <c r="E83" i="48" s="1"/>
  <c r="I43" i="50"/>
  <c r="E69" i="48" s="1"/>
  <c r="U42" i="50"/>
  <c r="W43" i="50"/>
  <c r="AB42" i="50"/>
  <c r="C81" i="48" s="1"/>
  <c r="V42" i="50"/>
  <c r="H43" i="50"/>
  <c r="E68" i="48" s="1"/>
  <c r="X43" i="50"/>
  <c r="L42" i="50"/>
  <c r="C72" i="48" s="1"/>
  <c r="AF42" i="50"/>
  <c r="C85" i="48" s="1"/>
  <c r="R43" i="50"/>
  <c r="E77" i="48" s="1"/>
  <c r="AH43" i="50"/>
  <c r="E87" i="48" s="1"/>
  <c r="AC42" i="50"/>
  <c r="C82" i="48" s="1"/>
  <c r="AE43" i="50"/>
  <c r="E84" i="48" s="1"/>
  <c r="Q42" i="50"/>
  <c r="C76" i="48" s="1"/>
  <c r="BR82" i="48" s="1"/>
  <c r="BS82" i="48" s="1"/>
  <c r="S43" i="50"/>
  <c r="E78" i="48" s="1"/>
  <c r="K42" i="50"/>
  <c r="C71" i="48" s="1"/>
  <c r="AA42" i="50"/>
  <c r="C80" i="48" s="1"/>
  <c r="M43" i="50"/>
  <c r="E73" i="48" s="1"/>
  <c r="AC43" i="50"/>
  <c r="E82" i="48" s="1"/>
  <c r="T42" i="50"/>
  <c r="C79" i="48" s="1"/>
  <c r="F43" i="50"/>
  <c r="V43" i="50"/>
  <c r="Y42" i="50"/>
  <c r="AA43" i="50"/>
  <c r="E80" i="48" s="1"/>
  <c r="G43" i="50"/>
  <c r="E67" i="48" s="1"/>
  <c r="J42" i="50"/>
  <c r="L43" i="50"/>
  <c r="E72" i="48" s="1"/>
  <c r="I42" i="50"/>
  <c r="AF43" i="50"/>
  <c r="E85" i="48" s="1"/>
  <c r="AD42" i="50"/>
  <c r="C83" i="48" s="1"/>
  <c r="I3" i="48"/>
  <c r="L3" i="48"/>
  <c r="C77" i="48"/>
  <c r="I26" i="48"/>
  <c r="L26" i="48"/>
  <c r="L7" i="48"/>
  <c r="I7" i="48"/>
  <c r="L5" i="48"/>
  <c r="I5" i="48"/>
  <c r="I10" i="48"/>
  <c r="L10" i="48"/>
  <c r="I11" i="48"/>
  <c r="L11" i="48"/>
  <c r="L20" i="48"/>
  <c r="I20" i="48"/>
  <c r="L6" i="48"/>
  <c r="I6" i="48"/>
  <c r="H4" i="17"/>
  <c r="F4" i="17"/>
  <c r="C4" i="17"/>
  <c r="B4" i="17"/>
  <c r="D4" i="17"/>
  <c r="G4" i="17"/>
  <c r="E4" i="17"/>
  <c r="H6" i="17"/>
  <c r="F6" i="17"/>
  <c r="C6" i="17"/>
  <c r="B6" i="17"/>
  <c r="D6" i="17"/>
  <c r="E6" i="17"/>
  <c r="G6" i="17"/>
  <c r="G5" i="17"/>
  <c r="E5" i="17"/>
  <c r="D5" i="17"/>
  <c r="B5" i="17"/>
  <c r="F5" i="17"/>
  <c r="C5" i="17"/>
  <c r="H5" i="17"/>
  <c r="G7" i="17"/>
  <c r="E7" i="17"/>
  <c r="D7" i="17"/>
  <c r="B7" i="17"/>
  <c r="C7" i="17"/>
  <c r="H7" i="17"/>
  <c r="F7" i="17"/>
  <c r="H3" i="17"/>
  <c r="G3" i="17"/>
  <c r="F3" i="17"/>
  <c r="E3" i="17"/>
  <c r="D3" i="17"/>
  <c r="C3" i="17"/>
  <c r="B3" i="17"/>
  <c r="C44" i="17"/>
  <c r="D44" i="17"/>
  <c r="E44" i="17"/>
  <c r="F44" i="17"/>
  <c r="G44" i="17"/>
  <c r="H44" i="17"/>
  <c r="C23" i="17"/>
  <c r="D23" i="17"/>
  <c r="E23" i="17"/>
  <c r="F23" i="17"/>
  <c r="G23" i="17"/>
  <c r="H23" i="17"/>
  <c r="B44" i="17"/>
  <c r="B23" i="17"/>
  <c r="S42" i="48" l="1"/>
  <c r="BR38" i="48"/>
  <c r="BS38" i="48" s="1"/>
  <c r="BT38" i="48" s="1"/>
  <c r="AR49" i="48"/>
  <c r="BR40" i="48"/>
  <c r="BS40" i="48" s="1"/>
  <c r="BT40" i="48" s="1"/>
  <c r="S43" i="48"/>
  <c r="BR46" i="48"/>
  <c r="BS46" i="48" s="1"/>
  <c r="BT46" i="48" s="1"/>
  <c r="BR50" i="48"/>
  <c r="BS50" i="48" s="1"/>
  <c r="BT50" i="48" s="1"/>
  <c r="BW50" i="48" s="1"/>
  <c r="AF61" i="48"/>
  <c r="K54" i="48"/>
  <c r="BR44" i="48"/>
  <c r="BS44" i="48" s="1"/>
  <c r="BT44" i="48" s="1"/>
  <c r="BR36" i="48"/>
  <c r="BS36" i="48" s="1"/>
  <c r="BT36" i="48" s="1"/>
  <c r="K53" i="48"/>
  <c r="BR41" i="48"/>
  <c r="BS41" i="48" s="1"/>
  <c r="BT41" i="48" s="1"/>
  <c r="AB49" i="48"/>
  <c r="AF60" i="48"/>
  <c r="BR42" i="48"/>
  <c r="BS42" i="48" s="1"/>
  <c r="BT42" i="48" s="1"/>
  <c r="BR48" i="48"/>
  <c r="BS48" i="48" s="1"/>
  <c r="BT48" i="48" s="1"/>
  <c r="AR50" i="48"/>
  <c r="BR35" i="48"/>
  <c r="BS35" i="48" s="1"/>
  <c r="BT35" i="48" s="1"/>
  <c r="K41" i="48"/>
  <c r="BR49" i="48"/>
  <c r="BS49" i="48" s="1"/>
  <c r="BT49" i="48" s="1"/>
  <c r="AB50" i="48"/>
  <c r="W53" i="48"/>
  <c r="BR37" i="48"/>
  <c r="BS37" i="48" s="1"/>
  <c r="BT37" i="48" s="1"/>
  <c r="AO50" i="48"/>
  <c r="BR47" i="48"/>
  <c r="BS47" i="48" s="1"/>
  <c r="BT47" i="48" s="1"/>
  <c r="BR45" i="48"/>
  <c r="BS45" i="48" s="1"/>
  <c r="BT45" i="48" s="1"/>
  <c r="W54" i="48"/>
  <c r="AO49" i="48"/>
  <c r="BR39" i="48"/>
  <c r="BS39" i="48" s="1"/>
  <c r="BT39" i="48" s="1"/>
  <c r="K42" i="48"/>
  <c r="BR43" i="48"/>
  <c r="BS43" i="48" s="1"/>
  <c r="BT43" i="48" s="1"/>
  <c r="BR91" i="48"/>
  <c r="BS91" i="48" s="1"/>
  <c r="BR94" i="48"/>
  <c r="BS94" i="48" s="1"/>
  <c r="BR84" i="48"/>
  <c r="BS84" i="48" s="1"/>
  <c r="BR95" i="48"/>
  <c r="BS95" i="48" s="1"/>
  <c r="BR83" i="48"/>
  <c r="BS83" i="48" s="1"/>
  <c r="BR87" i="48"/>
  <c r="BS87" i="48" s="1"/>
  <c r="AO79" i="48"/>
  <c r="BR89" i="48"/>
  <c r="BS89" i="48" s="1"/>
  <c r="W80" i="48"/>
  <c r="BR93" i="48"/>
  <c r="BS93" i="48" s="1"/>
  <c r="AA115" i="48"/>
  <c r="BR90" i="48"/>
  <c r="BS90" i="48" s="1"/>
  <c r="AA114" i="48"/>
  <c r="BR92" i="48"/>
  <c r="BS92" i="48" s="1"/>
  <c r="J115" i="48"/>
  <c r="BR96" i="48"/>
  <c r="BS96" i="48" s="1"/>
  <c r="BR86" i="48"/>
  <c r="BS86" i="48" s="1"/>
  <c r="W79" i="48"/>
  <c r="BR85" i="48"/>
  <c r="BS85" i="48" s="1"/>
  <c r="AO80" i="48"/>
  <c r="BR97" i="48"/>
  <c r="BS97" i="48" s="1"/>
  <c r="J114" i="48"/>
  <c r="BR88" i="48"/>
  <c r="BS88" i="48" s="1"/>
  <c r="AO100" i="48"/>
  <c r="J106" i="48"/>
  <c r="J95" i="48"/>
  <c r="J107" i="48"/>
  <c r="J94" i="48"/>
  <c r="AO101" i="48"/>
  <c r="AO88" i="48"/>
  <c r="AO87" i="48"/>
  <c r="I62" i="17"/>
  <c r="K60" i="17"/>
  <c r="K58" i="17"/>
  <c r="K56" i="17"/>
  <c r="K54" i="17"/>
  <c r="K52" i="17"/>
  <c r="K50" i="17"/>
  <c r="K48" i="17"/>
  <c r="K46" i="17"/>
  <c r="B16" i="17"/>
  <c r="BT32" i="48" l="1"/>
  <c r="B52" i="48" s="1"/>
  <c r="BW43" i="48"/>
  <c r="CE43" i="48"/>
  <c r="CE37" i="48"/>
  <c r="BW37" i="48"/>
  <c r="BW42" i="48"/>
  <c r="CE42" i="48"/>
  <c r="CE50" i="48"/>
  <c r="CE39" i="48"/>
  <c r="BW39" i="48"/>
  <c r="CE46" i="48"/>
  <c r="BW46" i="48"/>
  <c r="CE49" i="48"/>
  <c r="BW49" i="48"/>
  <c r="BW41" i="48"/>
  <c r="CE41" i="48"/>
  <c r="CE40" i="48"/>
  <c r="BW40" i="48"/>
  <c r="CE45" i="48"/>
  <c r="BW45" i="48"/>
  <c r="CE35" i="48"/>
  <c r="BW35" i="48"/>
  <c r="BW36" i="48"/>
  <c r="CE36" i="48"/>
  <c r="CE47" i="48"/>
  <c r="BW47" i="48"/>
  <c r="BW44" i="48"/>
  <c r="CE44" i="48"/>
  <c r="CE38" i="48"/>
  <c r="BW38" i="48"/>
  <c r="CE48" i="48"/>
  <c r="BW48" i="48"/>
  <c r="BT91" i="48"/>
  <c r="BT87" i="48"/>
  <c r="BT94" i="48"/>
  <c r="BT86" i="48"/>
  <c r="BT84" i="48"/>
  <c r="BW89" i="48"/>
  <c r="BW97" i="48"/>
  <c r="BT92" i="48"/>
  <c r="BT82" i="48"/>
  <c r="BW88" i="48"/>
  <c r="BW96" i="48"/>
  <c r="H10" i="17"/>
  <c r="F10" i="17"/>
  <c r="C10" i="17"/>
  <c r="B10" i="17"/>
  <c r="D10" i="17"/>
  <c r="G10" i="17"/>
  <c r="E10" i="17"/>
  <c r="H18" i="17"/>
  <c r="F18" i="17"/>
  <c r="C18" i="17"/>
  <c r="G18" i="17"/>
  <c r="B18" i="17"/>
  <c r="E18" i="17"/>
  <c r="D18" i="17"/>
  <c r="G11" i="17"/>
  <c r="E11" i="17"/>
  <c r="D11" i="17"/>
  <c r="B11" i="17"/>
  <c r="H11" i="17"/>
  <c r="F11" i="17"/>
  <c r="C11" i="17"/>
  <c r="H16" i="17"/>
  <c r="F16" i="17"/>
  <c r="C16" i="17"/>
  <c r="G16" i="17"/>
  <c r="E16" i="17"/>
  <c r="D16" i="17"/>
  <c r="H14" i="17"/>
  <c r="F14" i="17"/>
  <c r="C14" i="17"/>
  <c r="B14" i="17"/>
  <c r="G14" i="17"/>
  <c r="E14" i="17"/>
  <c r="D14" i="17"/>
  <c r="G15" i="17"/>
  <c r="E15" i="17"/>
  <c r="D15" i="17"/>
  <c r="H15" i="17"/>
  <c r="F15" i="17"/>
  <c r="C15" i="17"/>
  <c r="B15" i="17"/>
  <c r="H12" i="17"/>
  <c r="F12" i="17"/>
  <c r="C12" i="17"/>
  <c r="G12" i="17"/>
  <c r="E12" i="17"/>
  <c r="B12" i="17"/>
  <c r="D12" i="17"/>
  <c r="G9" i="17"/>
  <c r="E9" i="17"/>
  <c r="D9" i="17"/>
  <c r="H9" i="17"/>
  <c r="C9" i="17"/>
  <c r="B9" i="17"/>
  <c r="F9" i="17"/>
  <c r="C8" i="17"/>
  <c r="D8" i="17"/>
  <c r="H8" i="17"/>
  <c r="B8" i="17"/>
  <c r="G8" i="17"/>
  <c r="F8" i="17"/>
  <c r="E8" i="17"/>
  <c r="G13" i="17"/>
  <c r="E13" i="17"/>
  <c r="F13" i="17"/>
  <c r="C13" i="17"/>
  <c r="D13" i="17"/>
  <c r="H13" i="17"/>
  <c r="B13" i="17"/>
  <c r="G17" i="17"/>
  <c r="E17" i="17"/>
  <c r="H17" i="17"/>
  <c r="F17" i="17"/>
  <c r="D17" i="17"/>
  <c r="C17" i="17"/>
  <c r="B17" i="17"/>
  <c r="K37" i="17"/>
  <c r="K13" i="17"/>
  <c r="K6" i="17"/>
  <c r="K10" i="17"/>
  <c r="K18" i="17"/>
  <c r="K7" i="17"/>
  <c r="K11" i="17"/>
  <c r="K15" i="17"/>
  <c r="K4" i="17"/>
  <c r="K8" i="17"/>
  <c r="K12" i="17"/>
  <c r="K16" i="17"/>
  <c r="K9" i="17"/>
  <c r="K5" i="17"/>
  <c r="K17" i="17"/>
  <c r="K14" i="17"/>
  <c r="K59" i="17"/>
  <c r="K47" i="17"/>
  <c r="K49" i="17"/>
  <c r="K51" i="17"/>
  <c r="K53" i="17"/>
  <c r="K55" i="17"/>
  <c r="K57" i="17"/>
  <c r="K26" i="17"/>
  <c r="K28" i="17"/>
  <c r="K30" i="17"/>
  <c r="K32" i="17"/>
  <c r="K34" i="17"/>
  <c r="K36" i="17"/>
  <c r="K38" i="17"/>
  <c r="K25" i="17"/>
  <c r="K27" i="17"/>
  <c r="K29" i="17"/>
  <c r="K31" i="17"/>
  <c r="K33" i="17"/>
  <c r="K35" i="17"/>
  <c r="K39" i="17"/>
  <c r="B57" i="48" l="1" a="1"/>
  <c r="B57" i="48" s="1"/>
  <c r="B59" i="48" a="1"/>
  <c r="B59" i="48" s="1"/>
  <c r="BW84" i="48"/>
  <c r="CE84" i="48"/>
  <c r="BW82" i="48"/>
  <c r="CE82" i="48"/>
  <c r="BW86" i="48"/>
  <c r="CE86" i="48"/>
  <c r="BW92" i="48"/>
  <c r="CE92" i="48"/>
  <c r="BW94" i="48"/>
  <c r="CE94" i="48"/>
  <c r="BW87" i="48"/>
  <c r="CE87" i="48"/>
  <c r="CE91" i="48"/>
  <c r="BW91" i="48"/>
  <c r="BT97" i="48"/>
  <c r="BT90" i="48"/>
  <c r="BT83" i="48"/>
  <c r="BT95" i="48"/>
  <c r="BT89" i="48"/>
  <c r="BT88" i="48"/>
  <c r="BT93" i="48"/>
  <c r="BT96" i="48"/>
  <c r="BT85" i="48"/>
  <c r="C20" i="17"/>
  <c r="F20" i="17"/>
  <c r="H20" i="17"/>
  <c r="B20" i="17"/>
  <c r="D20" i="17"/>
  <c r="G20" i="17"/>
  <c r="E20" i="17"/>
  <c r="J8" i="17"/>
  <c r="L8" i="17" s="1"/>
  <c r="J12" i="17"/>
  <c r="L12" i="17" s="1"/>
  <c r="J10" i="17"/>
  <c r="L10" i="17" s="1"/>
  <c r="J15" i="17"/>
  <c r="L15" i="17" s="1"/>
  <c r="J9" i="17"/>
  <c r="L9" i="17" s="1"/>
  <c r="J4" i="17"/>
  <c r="L4" i="17" s="1"/>
  <c r="J13" i="17"/>
  <c r="L13" i="17" s="1"/>
  <c r="J7" i="17"/>
  <c r="L7" i="17" s="1"/>
  <c r="J16" i="17"/>
  <c r="L16" i="17" s="1"/>
  <c r="J5" i="17"/>
  <c r="L5" i="17" s="1"/>
  <c r="J14" i="17"/>
  <c r="L14" i="17" s="1"/>
  <c r="J6" i="17"/>
  <c r="L6" i="17" s="1"/>
  <c r="J11" i="17"/>
  <c r="L11" i="17" s="1"/>
  <c r="J17" i="17"/>
  <c r="L17" i="17" s="1"/>
  <c r="J18" i="17"/>
  <c r="L18" i="17" s="1"/>
  <c r="E56" i="48" l="1" a="1"/>
  <c r="E56" i="48" s="1"/>
  <c r="E58" i="48" a="1"/>
  <c r="E58" i="48" s="1"/>
  <c r="BT78" i="48"/>
  <c r="E52" i="48" s="1"/>
  <c r="BW93" i="48"/>
  <c r="CE93" i="48"/>
  <c r="BW95" i="48"/>
  <c r="CE95" i="48"/>
  <c r="BW90" i="48"/>
  <c r="CE90" i="48"/>
  <c r="BW85" i="48"/>
  <c r="CE85" i="48"/>
  <c r="BW83" i="48"/>
  <c r="CE83" i="48"/>
  <c r="P4" i="17"/>
  <c r="P6" i="17" s="1"/>
  <c r="P11" i="17"/>
  <c r="O11" i="17"/>
  <c r="L20" i="17"/>
  <c r="J20" i="17"/>
  <c r="O4" i="17"/>
  <c r="O6" i="17" s="1"/>
  <c r="E59" i="48" l="1" a="1"/>
  <c r="E59" i="48" s="1"/>
  <c r="H5" i="53"/>
  <c r="H5" i="54"/>
  <c r="L5" i="53"/>
  <c r="L5" i="54"/>
  <c r="P5" i="53"/>
  <c r="P5" i="54"/>
  <c r="U4" i="53"/>
  <c r="U4" i="54"/>
  <c r="Y5" i="53"/>
  <c r="Y5" i="54"/>
  <c r="AD4" i="53"/>
  <c r="AD4" i="54"/>
  <c r="AF5" i="53"/>
  <c r="AF5" i="54"/>
  <c r="I4" i="53"/>
  <c r="I4" i="54"/>
  <c r="M4" i="53"/>
  <c r="M4" i="54"/>
  <c r="Q4" i="53"/>
  <c r="Q4" i="54"/>
  <c r="U5" i="53"/>
  <c r="U5" i="54"/>
  <c r="Z4" i="53"/>
  <c r="Z4" i="54"/>
  <c r="AD5" i="53"/>
  <c r="AD5" i="54"/>
  <c r="M5" i="53"/>
  <c r="M5" i="54"/>
  <c r="Q5" i="53"/>
  <c r="Q5" i="54"/>
  <c r="V4" i="53"/>
  <c r="V4" i="54"/>
  <c r="Z5" i="53"/>
  <c r="Z5" i="54"/>
  <c r="AE4" i="53"/>
  <c r="AE4" i="54"/>
  <c r="AC5" i="53"/>
  <c r="AC5" i="54"/>
  <c r="J4" i="53"/>
  <c r="J4" i="54"/>
  <c r="V5" i="53"/>
  <c r="V5" i="54"/>
  <c r="AE5" i="53"/>
  <c r="AE5" i="54"/>
  <c r="AF4" i="53"/>
  <c r="AF4" i="54"/>
  <c r="F4" i="53"/>
  <c r="F4" i="54"/>
  <c r="J5" i="53"/>
  <c r="J5" i="54"/>
  <c r="N5" i="53"/>
  <c r="N5" i="54"/>
  <c r="R5" i="53"/>
  <c r="R5" i="54"/>
  <c r="W4" i="53"/>
  <c r="W4" i="54"/>
  <c r="AA5" i="53"/>
  <c r="AA5" i="54"/>
  <c r="AG4" i="53"/>
  <c r="AG4" i="54"/>
  <c r="AI5" i="53"/>
  <c r="AI5" i="54"/>
  <c r="R4" i="53"/>
  <c r="R4" i="54"/>
  <c r="AA4" i="53"/>
  <c r="AA4" i="54"/>
  <c r="G5" i="53"/>
  <c r="G5" i="54"/>
  <c r="F5" i="53"/>
  <c r="F5" i="54"/>
  <c r="K4" i="53"/>
  <c r="K4" i="54"/>
  <c r="O4" i="53"/>
  <c r="O4" i="54"/>
  <c r="S4" i="53"/>
  <c r="S4" i="54"/>
  <c r="X4" i="53"/>
  <c r="X4" i="54"/>
  <c r="AB4" i="53"/>
  <c r="AB4" i="54"/>
  <c r="AH4" i="53"/>
  <c r="AH4" i="54"/>
  <c r="AG5" i="53"/>
  <c r="AG5" i="54"/>
  <c r="K5" i="53"/>
  <c r="K5" i="54"/>
  <c r="X5" i="53"/>
  <c r="X5" i="54"/>
  <c r="AB5" i="53"/>
  <c r="AB5" i="54"/>
  <c r="AH5" i="53"/>
  <c r="AH5" i="54"/>
  <c r="I5" i="53"/>
  <c r="I5" i="54"/>
  <c r="N4" i="53"/>
  <c r="N4" i="54"/>
  <c r="S5" i="53"/>
  <c r="S5" i="54"/>
  <c r="G4" i="53"/>
  <c r="G4" i="54"/>
  <c r="O5" i="53"/>
  <c r="O5" i="54"/>
  <c r="T4" i="53"/>
  <c r="T4" i="54"/>
  <c r="W5" i="53"/>
  <c r="W5" i="54"/>
  <c r="H4" i="53"/>
  <c r="H4" i="54"/>
  <c r="L4" i="53"/>
  <c r="L4" i="54"/>
  <c r="P4" i="53"/>
  <c r="P4" i="54"/>
  <c r="T5" i="53"/>
  <c r="T5" i="54"/>
  <c r="Y4" i="53"/>
  <c r="Y4" i="54"/>
  <c r="AC4" i="53"/>
  <c r="AC4" i="54"/>
  <c r="AI4" i="53"/>
  <c r="AI4" i="54"/>
  <c r="J5" i="46"/>
  <c r="J5" i="44"/>
  <c r="J5" i="47"/>
  <c r="J5" i="45"/>
  <c r="J5" i="43"/>
  <c r="J5" i="41"/>
  <c r="J5" i="42"/>
  <c r="H4" i="46"/>
  <c r="H4" i="44"/>
  <c r="H4" i="47"/>
  <c r="H4" i="43"/>
  <c r="H4" i="41"/>
  <c r="H4" i="45"/>
  <c r="H4" i="42"/>
  <c r="P4" i="46"/>
  <c r="P4" i="44"/>
  <c r="P4" i="47"/>
  <c r="P4" i="45"/>
  <c r="P4" i="43"/>
  <c r="P4" i="41"/>
  <c r="P4" i="42"/>
  <c r="X4" i="46"/>
  <c r="X4" i="44"/>
  <c r="X4" i="47"/>
  <c r="X4" i="43"/>
  <c r="X4" i="41"/>
  <c r="X4" i="45"/>
  <c r="X4" i="42"/>
  <c r="AF4" i="46"/>
  <c r="AF4" i="44"/>
  <c r="AF4" i="47"/>
  <c r="AF4" i="45"/>
  <c r="AF4" i="43"/>
  <c r="AF4" i="41"/>
  <c r="AF4" i="42"/>
  <c r="H5" i="47"/>
  <c r="H5" i="45"/>
  <c r="H5" i="46"/>
  <c r="H5" i="42"/>
  <c r="H5" i="44"/>
  <c r="H5" i="43"/>
  <c r="H5" i="41"/>
  <c r="L5" i="47"/>
  <c r="L5" i="45"/>
  <c r="L5" i="46"/>
  <c r="L5" i="44"/>
  <c r="L5" i="42"/>
  <c r="L5" i="43"/>
  <c r="L5" i="41"/>
  <c r="P5" i="47"/>
  <c r="P5" i="45"/>
  <c r="P5" i="46"/>
  <c r="P5" i="42"/>
  <c r="P5" i="44"/>
  <c r="P5" i="43"/>
  <c r="P5" i="41"/>
  <c r="T5" i="47"/>
  <c r="T5" i="45"/>
  <c r="T5" i="46"/>
  <c r="T5" i="44"/>
  <c r="T5" i="42"/>
  <c r="T5" i="43"/>
  <c r="T5" i="41"/>
  <c r="X5" i="47"/>
  <c r="X5" i="45"/>
  <c r="X5" i="46"/>
  <c r="X5" i="42"/>
  <c r="X5" i="44"/>
  <c r="X5" i="43"/>
  <c r="X5" i="41"/>
  <c r="AB5" i="47"/>
  <c r="AB5" i="45"/>
  <c r="AB5" i="46"/>
  <c r="AB5" i="44"/>
  <c r="AB5" i="42"/>
  <c r="AB5" i="43"/>
  <c r="AB5" i="41"/>
  <c r="AF5" i="47"/>
  <c r="AF5" i="45"/>
  <c r="AF5" i="46"/>
  <c r="AF5" i="42"/>
  <c r="AF5" i="44"/>
  <c r="AF5" i="43"/>
  <c r="AF5" i="41"/>
  <c r="L4" i="46"/>
  <c r="L4" i="44"/>
  <c r="L4" i="47"/>
  <c r="L4" i="43"/>
  <c r="L4" i="41"/>
  <c r="L4" i="45"/>
  <c r="L4" i="42"/>
  <c r="J4" i="47"/>
  <c r="J4" i="45"/>
  <c r="J4" i="46"/>
  <c r="J4" i="44"/>
  <c r="J4" i="42"/>
  <c r="J4" i="43"/>
  <c r="J4" i="41"/>
  <c r="R4" i="47"/>
  <c r="R4" i="45"/>
  <c r="R4" i="46"/>
  <c r="R4" i="44"/>
  <c r="R4" i="42"/>
  <c r="R4" i="43"/>
  <c r="R4" i="41"/>
  <c r="Z4" i="47"/>
  <c r="Z4" i="45"/>
  <c r="Z4" i="46"/>
  <c r="Z4" i="44"/>
  <c r="Z4" i="42"/>
  <c r="Z4" i="43"/>
  <c r="Z4" i="41"/>
  <c r="AH4" i="47"/>
  <c r="AH4" i="45"/>
  <c r="AH4" i="46"/>
  <c r="AH4" i="44"/>
  <c r="AH4" i="42"/>
  <c r="AH4" i="43"/>
  <c r="AH4" i="41"/>
  <c r="I5" i="46"/>
  <c r="I5" i="44"/>
  <c r="I5" i="47"/>
  <c r="I5" i="45"/>
  <c r="I5" i="42"/>
  <c r="I5" i="43"/>
  <c r="I5" i="41"/>
  <c r="M5" i="46"/>
  <c r="M5" i="44"/>
  <c r="M5" i="47"/>
  <c r="M5" i="45"/>
  <c r="M5" i="42"/>
  <c r="M5" i="43"/>
  <c r="M5" i="41"/>
  <c r="Q5" i="46"/>
  <c r="Q5" i="44"/>
  <c r="Q5" i="47"/>
  <c r="Q5" i="45"/>
  <c r="Q5" i="42"/>
  <c r="Q5" i="43"/>
  <c r="Q5" i="41"/>
  <c r="U5" i="46"/>
  <c r="U5" i="44"/>
  <c r="U5" i="47"/>
  <c r="U5" i="45"/>
  <c r="U5" i="42"/>
  <c r="U5" i="43"/>
  <c r="U5" i="41"/>
  <c r="Y5" i="46"/>
  <c r="Y5" i="44"/>
  <c r="Y5" i="47"/>
  <c r="Y5" i="45"/>
  <c r="Y5" i="42"/>
  <c r="Y5" i="43"/>
  <c r="Y5" i="41"/>
  <c r="AC5" i="46"/>
  <c r="AC5" i="44"/>
  <c r="AC5" i="47"/>
  <c r="AC5" i="45"/>
  <c r="AC5" i="42"/>
  <c r="AC5" i="43"/>
  <c r="AC5" i="41"/>
  <c r="AG5" i="46"/>
  <c r="AG5" i="44"/>
  <c r="AG5" i="47"/>
  <c r="AG5" i="45"/>
  <c r="AG5" i="42"/>
  <c r="AG5" i="43"/>
  <c r="AG5" i="41"/>
  <c r="T4" i="46"/>
  <c r="T4" i="44"/>
  <c r="T4" i="47"/>
  <c r="T4" i="45"/>
  <c r="T4" i="43"/>
  <c r="T4" i="41"/>
  <c r="T4" i="42"/>
  <c r="F5" i="46"/>
  <c r="F5" i="44"/>
  <c r="F5" i="47"/>
  <c r="F5" i="45"/>
  <c r="F5" i="43"/>
  <c r="F5" i="41"/>
  <c r="F5" i="42"/>
  <c r="N5" i="46"/>
  <c r="N5" i="44"/>
  <c r="N5" i="47"/>
  <c r="N5" i="45"/>
  <c r="N5" i="43"/>
  <c r="N5" i="41"/>
  <c r="N5" i="42"/>
  <c r="V5" i="46"/>
  <c r="V5" i="44"/>
  <c r="V5" i="47"/>
  <c r="V5" i="45"/>
  <c r="V5" i="43"/>
  <c r="V5" i="41"/>
  <c r="V5" i="42"/>
  <c r="AH5" i="46"/>
  <c r="AH5" i="44"/>
  <c r="AH5" i="47"/>
  <c r="AH5" i="45"/>
  <c r="AH5" i="43"/>
  <c r="AH5" i="41"/>
  <c r="AH5" i="42"/>
  <c r="I4" i="47"/>
  <c r="I4" i="45"/>
  <c r="I4" i="46"/>
  <c r="I4" i="43"/>
  <c r="I4" i="41"/>
  <c r="I4" i="44"/>
  <c r="I4" i="42"/>
  <c r="M4" i="47"/>
  <c r="M4" i="45"/>
  <c r="M4" i="46"/>
  <c r="M4" i="43"/>
  <c r="M4" i="41"/>
  <c r="M4" i="42"/>
  <c r="M4" i="44"/>
  <c r="Q4" i="47"/>
  <c r="Q4" i="45"/>
  <c r="Q4" i="46"/>
  <c r="Q4" i="43"/>
  <c r="Q4" i="41"/>
  <c r="Q4" i="44"/>
  <c r="Q4" i="42"/>
  <c r="S4" i="46"/>
  <c r="S4" i="44"/>
  <c r="S4" i="47"/>
  <c r="S4" i="45"/>
  <c r="S4" i="42"/>
  <c r="S4" i="43"/>
  <c r="S4" i="41"/>
  <c r="U4" i="47"/>
  <c r="U4" i="45"/>
  <c r="U4" i="46"/>
  <c r="U4" i="43"/>
  <c r="U4" i="41"/>
  <c r="U4" i="42"/>
  <c r="U4" i="44"/>
  <c r="W4" i="46"/>
  <c r="W4" i="44"/>
  <c r="W4" i="47"/>
  <c r="W4" i="45"/>
  <c r="W4" i="42"/>
  <c r="W4" i="43"/>
  <c r="W4" i="41"/>
  <c r="Y4" i="47"/>
  <c r="Y4" i="45"/>
  <c r="Y4" i="46"/>
  <c r="Y4" i="43"/>
  <c r="Y4" i="41"/>
  <c r="Y4" i="44"/>
  <c r="Y4" i="42"/>
  <c r="AA4" i="46"/>
  <c r="AA4" i="44"/>
  <c r="AA4" i="47"/>
  <c r="AA4" i="45"/>
  <c r="AA4" i="42"/>
  <c r="AA4" i="43"/>
  <c r="AA4" i="41"/>
  <c r="AC4" i="47"/>
  <c r="AC4" i="45"/>
  <c r="AC4" i="46"/>
  <c r="AC4" i="43"/>
  <c r="AC4" i="41"/>
  <c r="AC4" i="42"/>
  <c r="AC4" i="44"/>
  <c r="AE4" i="46"/>
  <c r="AE4" i="44"/>
  <c r="AE4" i="47"/>
  <c r="AE4" i="45"/>
  <c r="AE4" i="42"/>
  <c r="AE4" i="43"/>
  <c r="AE4" i="41"/>
  <c r="AG4" i="47"/>
  <c r="AG4" i="45"/>
  <c r="AG4" i="46"/>
  <c r="AG4" i="43"/>
  <c r="AG4" i="41"/>
  <c r="AG4" i="44"/>
  <c r="AG4" i="42"/>
  <c r="AI4" i="46"/>
  <c r="AI4" i="44"/>
  <c r="AI4" i="47"/>
  <c r="AI4" i="45"/>
  <c r="AI4" i="42"/>
  <c r="AI4" i="43"/>
  <c r="AI4" i="41"/>
  <c r="AB4" i="46"/>
  <c r="AB4" i="44"/>
  <c r="AB4" i="47"/>
  <c r="AB4" i="45"/>
  <c r="AB4" i="43"/>
  <c r="AB4" i="41"/>
  <c r="AB4" i="42"/>
  <c r="R5" i="46"/>
  <c r="R5" i="44"/>
  <c r="R5" i="47"/>
  <c r="R5" i="45"/>
  <c r="R5" i="43"/>
  <c r="R5" i="41"/>
  <c r="R5" i="42"/>
  <c r="Z5" i="46"/>
  <c r="Z5" i="44"/>
  <c r="Z5" i="47"/>
  <c r="Z5" i="45"/>
  <c r="Z5" i="43"/>
  <c r="Z5" i="41"/>
  <c r="Z5" i="42"/>
  <c r="AD5" i="46"/>
  <c r="AD5" i="44"/>
  <c r="AD5" i="47"/>
  <c r="AD5" i="45"/>
  <c r="AD5" i="43"/>
  <c r="AD5" i="41"/>
  <c r="AD5" i="42"/>
  <c r="G4" i="46"/>
  <c r="G4" i="44"/>
  <c r="G4" i="47"/>
  <c r="G4" i="45"/>
  <c r="G4" i="42"/>
  <c r="G4" i="43"/>
  <c r="G4" i="41"/>
  <c r="K4" i="46"/>
  <c r="K4" i="44"/>
  <c r="K4" i="47"/>
  <c r="K4" i="45"/>
  <c r="K4" i="42"/>
  <c r="K4" i="43"/>
  <c r="K4" i="41"/>
  <c r="O4" i="46"/>
  <c r="O4" i="44"/>
  <c r="O4" i="47"/>
  <c r="O4" i="45"/>
  <c r="O4" i="42"/>
  <c r="O4" i="43"/>
  <c r="O4" i="41"/>
  <c r="F4" i="47"/>
  <c r="F4" i="45"/>
  <c r="F4" i="46"/>
  <c r="F4" i="42"/>
  <c r="F4" i="44"/>
  <c r="F4" i="43"/>
  <c r="F4" i="41"/>
  <c r="N4" i="47"/>
  <c r="N4" i="45"/>
  <c r="N4" i="46"/>
  <c r="N4" i="42"/>
  <c r="N4" i="44"/>
  <c r="N4" i="43"/>
  <c r="N4" i="41"/>
  <c r="V4" i="47"/>
  <c r="V4" i="45"/>
  <c r="V4" i="46"/>
  <c r="V4" i="42"/>
  <c r="V4" i="44"/>
  <c r="V4" i="43"/>
  <c r="V4" i="41"/>
  <c r="AD4" i="47"/>
  <c r="AD4" i="45"/>
  <c r="AD4" i="46"/>
  <c r="AD4" i="42"/>
  <c r="AD4" i="44"/>
  <c r="AD4" i="43"/>
  <c r="AD4" i="41"/>
  <c r="G5" i="47"/>
  <c r="G5" i="45"/>
  <c r="G5" i="46"/>
  <c r="G5" i="43"/>
  <c r="G5" i="41"/>
  <c r="G5" i="42"/>
  <c r="G5" i="44"/>
  <c r="K5" i="47"/>
  <c r="K5" i="45"/>
  <c r="K5" i="46"/>
  <c r="K5" i="43"/>
  <c r="K5" i="41"/>
  <c r="K5" i="44"/>
  <c r="K5" i="42"/>
  <c r="O5" i="47"/>
  <c r="O5" i="45"/>
  <c r="O5" i="46"/>
  <c r="O5" i="43"/>
  <c r="O5" i="41"/>
  <c r="O5" i="42"/>
  <c r="O5" i="44"/>
  <c r="S5" i="47"/>
  <c r="S5" i="45"/>
  <c r="S5" i="46"/>
  <c r="S5" i="43"/>
  <c r="S5" i="41"/>
  <c r="S5" i="44"/>
  <c r="S5" i="42"/>
  <c r="W5" i="47"/>
  <c r="W5" i="45"/>
  <c r="W5" i="46"/>
  <c r="W5" i="43"/>
  <c r="W5" i="41"/>
  <c r="W5" i="42"/>
  <c r="W5" i="44"/>
  <c r="AA5" i="47"/>
  <c r="AA5" i="45"/>
  <c r="AA5" i="46"/>
  <c r="AA5" i="43"/>
  <c r="AA5" i="41"/>
  <c r="AA5" i="44"/>
  <c r="AA5" i="42"/>
  <c r="AE5" i="47"/>
  <c r="AE5" i="45"/>
  <c r="AE5" i="46"/>
  <c r="AE5" i="43"/>
  <c r="AE5" i="41"/>
  <c r="AE5" i="42"/>
  <c r="AE5" i="44"/>
  <c r="AI5" i="47"/>
  <c r="AI5" i="45"/>
  <c r="AI5" i="46"/>
  <c r="AI5" i="43"/>
  <c r="AI5" i="41"/>
  <c r="AI5" i="44"/>
  <c r="AI5" i="42"/>
  <c r="E9" i="46" l="1" a="1"/>
  <c r="E9" i="46" s="1"/>
  <c r="E15" i="46" a="1"/>
  <c r="E15" i="46" s="1"/>
  <c r="E19" i="46" a="1"/>
  <c r="E19" i="46" s="1"/>
  <c r="E23" i="46" a="1"/>
  <c r="E23" i="46" s="1"/>
  <c r="E29" i="46" a="1"/>
  <c r="E29" i="46" s="1"/>
  <c r="E33" i="46" a="1"/>
  <c r="E33" i="46" s="1"/>
  <c r="E37" i="46" a="1"/>
  <c r="E37" i="46" s="1"/>
  <c r="E41" i="46" a="1"/>
  <c r="E41" i="46" s="1"/>
  <c r="E47" i="46" a="1"/>
  <c r="E47" i="46" s="1"/>
  <c r="E51" i="46" a="1"/>
  <c r="E51" i="46" s="1"/>
  <c r="E55" i="46" a="1"/>
  <c r="E55" i="46" s="1"/>
  <c r="E59" i="46" a="1"/>
  <c r="E59" i="46" s="1"/>
  <c r="E63" i="46" a="1"/>
  <c r="E63" i="46" s="1"/>
  <c r="E67" i="46" a="1"/>
  <c r="E67" i="46" s="1"/>
  <c r="E73" i="46" a="1"/>
  <c r="E73" i="46" s="1"/>
  <c r="E77" i="46" a="1"/>
  <c r="E77" i="46" s="1"/>
  <c r="E81" i="46" a="1"/>
  <c r="E81" i="46" s="1"/>
  <c r="E85" i="46" a="1"/>
  <c r="E85" i="46" s="1"/>
  <c r="E12" i="46" a="1"/>
  <c r="E12" i="46" s="1"/>
  <c r="E14" i="46" a="1"/>
  <c r="E14" i="46" s="1"/>
  <c r="E18" i="46" a="1"/>
  <c r="E18" i="46" s="1"/>
  <c r="E22" i="46" a="1"/>
  <c r="E22" i="46" s="1"/>
  <c r="E26" i="46" a="1"/>
  <c r="E26" i="46" s="1"/>
  <c r="E30" i="46" a="1"/>
  <c r="E30" i="46" s="1"/>
  <c r="E34" i="46" a="1"/>
  <c r="E34" i="46" s="1"/>
  <c r="E38" i="46" a="1"/>
  <c r="E38" i="46" s="1"/>
  <c r="E40" i="46" a="1"/>
  <c r="E40" i="46" s="1"/>
  <c r="E44" i="46" a="1"/>
  <c r="E44" i="46" s="1"/>
  <c r="E48" i="46" a="1"/>
  <c r="E48" i="46" s="1"/>
  <c r="E52" i="46" a="1"/>
  <c r="E52" i="46" s="1"/>
  <c r="E56" i="46" a="1"/>
  <c r="E56" i="46" s="1"/>
  <c r="E60" i="46" a="1"/>
  <c r="E60" i="46" s="1"/>
  <c r="E62" i="46" a="1"/>
  <c r="E62" i="46" s="1"/>
  <c r="E66" i="46" a="1"/>
  <c r="E66" i="46" s="1"/>
  <c r="E70" i="46" a="1"/>
  <c r="E70" i="46" s="1"/>
  <c r="E74" i="46" a="1"/>
  <c r="E74" i="46" s="1"/>
  <c r="E78" i="46" a="1"/>
  <c r="E78" i="46" s="1"/>
  <c r="E80" i="46" a="1"/>
  <c r="E80" i="46" s="1"/>
  <c r="E84" i="46" a="1"/>
  <c r="E84" i="46" s="1"/>
  <c r="E10" i="46" a="1"/>
  <c r="E10" i="46" s="1"/>
  <c r="E16" i="46" a="1"/>
  <c r="E16" i="46" s="1"/>
  <c r="E20" i="46" a="1"/>
  <c r="E20" i="46" s="1"/>
  <c r="E24" i="46" a="1"/>
  <c r="E24" i="46" s="1"/>
  <c r="E28" i="46" a="1"/>
  <c r="E28" i="46" s="1"/>
  <c r="E32" i="46" a="1"/>
  <c r="E32" i="46" s="1"/>
  <c r="E36" i="46" a="1"/>
  <c r="E36" i="46" s="1"/>
  <c r="E42" i="46" a="1"/>
  <c r="E42" i="46" s="1"/>
  <c r="E46" i="46" a="1"/>
  <c r="E46" i="46" s="1"/>
  <c r="E50" i="46" a="1"/>
  <c r="E50" i="46" s="1"/>
  <c r="E54" i="46" a="1"/>
  <c r="E54" i="46" s="1"/>
  <c r="E58" i="46" a="1"/>
  <c r="E58" i="46" s="1"/>
  <c r="E64" i="46" a="1"/>
  <c r="E64" i="46" s="1"/>
  <c r="E68" i="46" a="1"/>
  <c r="E68" i="46" s="1"/>
  <c r="E72" i="46" a="1"/>
  <c r="E72" i="46" s="1"/>
  <c r="E76" i="46" a="1"/>
  <c r="E76" i="46" s="1"/>
  <c r="E82" i="46" a="1"/>
  <c r="E82" i="46" s="1"/>
  <c r="E86" i="46" a="1"/>
  <c r="E86" i="46" s="1"/>
  <c r="E11" i="46" a="1"/>
  <c r="E11" i="46" s="1"/>
  <c r="E13" i="46" a="1"/>
  <c r="E13" i="46" s="1"/>
  <c r="E17" i="46" a="1"/>
  <c r="E17" i="46" s="1"/>
  <c r="E21" i="46" a="1"/>
  <c r="E21" i="46" s="1"/>
  <c r="E25" i="46" a="1"/>
  <c r="E25" i="46" s="1"/>
  <c r="E27" i="46" a="1"/>
  <c r="E27" i="46" s="1"/>
  <c r="E31" i="46" a="1"/>
  <c r="E31" i="46" s="1"/>
  <c r="E35" i="46" a="1"/>
  <c r="E35" i="46" s="1"/>
  <c r="E39" i="46" a="1"/>
  <c r="E39" i="46" s="1"/>
  <c r="E43" i="46" a="1"/>
  <c r="E43" i="46" s="1"/>
  <c r="E45" i="46" a="1"/>
  <c r="E45" i="46" s="1"/>
  <c r="E49" i="46" a="1"/>
  <c r="E49" i="46" s="1"/>
  <c r="E53" i="46" a="1"/>
  <c r="E53" i="46" s="1"/>
  <c r="E57" i="46" a="1"/>
  <c r="E57" i="46" s="1"/>
  <c r="E61" i="46" a="1"/>
  <c r="E61" i="46" s="1"/>
  <c r="E65" i="46" a="1"/>
  <c r="E65" i="46" s="1"/>
  <c r="E69" i="46" a="1"/>
  <c r="E69" i="46" s="1"/>
  <c r="E71" i="46" a="1"/>
  <c r="E71" i="46" s="1"/>
  <c r="E75" i="46" a="1"/>
  <c r="E75" i="46" s="1"/>
  <c r="E79" i="46" a="1"/>
  <c r="E79" i="46" s="1"/>
  <c r="E83" i="46" a="1"/>
  <c r="E83" i="46" s="1"/>
  <c r="E87" i="46" a="1"/>
  <c r="E87" i="46" s="1"/>
  <c r="E91" i="46" a="1"/>
  <c r="E91" i="46" s="1"/>
  <c r="E95" i="46" a="1"/>
  <c r="E95" i="46" s="1"/>
  <c r="E99" i="46" a="1"/>
  <c r="E99" i="46" s="1"/>
  <c r="E103" i="46" a="1"/>
  <c r="E103" i="46" s="1"/>
  <c r="E107" i="46" a="1"/>
  <c r="E107" i="46" s="1"/>
  <c r="E111" i="46" a="1"/>
  <c r="E111" i="46" s="1"/>
  <c r="E115" i="46" a="1"/>
  <c r="E115" i="46" s="1"/>
  <c r="E119" i="46" a="1"/>
  <c r="E119" i="46" s="1"/>
  <c r="E123" i="46" a="1"/>
  <c r="E123" i="46" s="1"/>
  <c r="E127" i="46" a="1"/>
  <c r="E127" i="46" s="1"/>
  <c r="E135" i="46" a="1"/>
  <c r="E135" i="46" s="1"/>
  <c r="E88" i="46" a="1"/>
  <c r="E88" i="46" s="1"/>
  <c r="E92" i="46" a="1"/>
  <c r="E92" i="46" s="1"/>
  <c r="E96" i="46" a="1"/>
  <c r="E96" i="46" s="1"/>
  <c r="E100" i="46" a="1"/>
  <c r="E100" i="46" s="1"/>
  <c r="E104" i="46" a="1"/>
  <c r="E104" i="46" s="1"/>
  <c r="E108" i="46" a="1"/>
  <c r="E108" i="46" s="1"/>
  <c r="E112" i="46" a="1"/>
  <c r="E112" i="46" s="1"/>
  <c r="E116" i="46" a="1"/>
  <c r="E116" i="46" s="1"/>
  <c r="E120" i="46" a="1"/>
  <c r="E120" i="46" s="1"/>
  <c r="E124" i="46" a="1"/>
  <c r="E124" i="46" s="1"/>
  <c r="E128" i="46" a="1"/>
  <c r="E128" i="46" s="1"/>
  <c r="E132" i="46" a="1"/>
  <c r="E132" i="46" s="1"/>
  <c r="E136" i="46" a="1"/>
  <c r="E136" i="46" s="1"/>
  <c r="E89" i="46" a="1"/>
  <c r="E89" i="46" s="1"/>
  <c r="E93" i="46" a="1"/>
  <c r="E93" i="46" s="1"/>
  <c r="E97" i="46" a="1"/>
  <c r="E97" i="46" s="1"/>
  <c r="E101" i="46" a="1"/>
  <c r="E101" i="46" s="1"/>
  <c r="E105" i="46" a="1"/>
  <c r="E105" i="46" s="1"/>
  <c r="E109" i="46" a="1"/>
  <c r="E109" i="46" s="1"/>
  <c r="E113" i="46" a="1"/>
  <c r="E113" i="46" s="1"/>
  <c r="E117" i="46" a="1"/>
  <c r="E117" i="46" s="1"/>
  <c r="E121" i="46" a="1"/>
  <c r="E121" i="46" s="1"/>
  <c r="E125" i="46" a="1"/>
  <c r="E125" i="46" s="1"/>
  <c r="E129" i="46" a="1"/>
  <c r="E129" i="46" s="1"/>
  <c r="E133" i="46" a="1"/>
  <c r="E133" i="46" s="1"/>
  <c r="E90" i="46" a="1"/>
  <c r="E90" i="46" s="1"/>
  <c r="E94" i="46" a="1"/>
  <c r="E94" i="46" s="1"/>
  <c r="E98" i="46" a="1"/>
  <c r="E98" i="46" s="1"/>
  <c r="E102" i="46" a="1"/>
  <c r="E102" i="46" s="1"/>
  <c r="E106" i="46" a="1"/>
  <c r="E106" i="46" s="1"/>
  <c r="E110" i="46" a="1"/>
  <c r="E110" i="46" s="1"/>
  <c r="E114" i="46" a="1"/>
  <c r="E114" i="46" s="1"/>
  <c r="E118" i="46" a="1"/>
  <c r="E118" i="46" s="1"/>
  <c r="E122" i="46" a="1"/>
  <c r="E122" i="46" s="1"/>
  <c r="E126" i="46" a="1"/>
  <c r="E126" i="46" s="1"/>
  <c r="E130" i="46" a="1"/>
  <c r="E130" i="46" s="1"/>
  <c r="E134" i="46" a="1"/>
  <c r="E134" i="46" s="1"/>
  <c r="E131" i="46" a="1"/>
  <c r="E131" i="46" s="1"/>
  <c r="E9" i="45" a="1"/>
  <c r="E9" i="45" s="1"/>
  <c r="E15" i="45" a="1"/>
  <c r="E15" i="45" s="1"/>
  <c r="E19" i="45" a="1"/>
  <c r="E19" i="45" s="1"/>
  <c r="E23" i="45" a="1"/>
  <c r="E23" i="45" s="1"/>
  <c r="E27" i="45" a="1"/>
  <c r="E27" i="45" s="1"/>
  <c r="E31" i="45" a="1"/>
  <c r="E31" i="45" s="1"/>
  <c r="E35" i="45" a="1"/>
  <c r="E35" i="45" s="1"/>
  <c r="E39" i="45" a="1"/>
  <c r="E39" i="45" s="1"/>
  <c r="E43" i="45" a="1"/>
  <c r="E43" i="45" s="1"/>
  <c r="E47" i="45" a="1"/>
  <c r="E47" i="45" s="1"/>
  <c r="E51" i="45" a="1"/>
  <c r="E51" i="45" s="1"/>
  <c r="E55" i="45" a="1"/>
  <c r="E55" i="45" s="1"/>
  <c r="E59" i="45" a="1"/>
  <c r="E59" i="45" s="1"/>
  <c r="E12" i="45" a="1"/>
  <c r="E12" i="45" s="1"/>
  <c r="E14" i="45" a="1"/>
  <c r="E14" i="45" s="1"/>
  <c r="E18" i="45" a="1"/>
  <c r="E18" i="45" s="1"/>
  <c r="E22" i="45" a="1"/>
  <c r="E22" i="45" s="1"/>
  <c r="E26" i="45" a="1"/>
  <c r="E26" i="45" s="1"/>
  <c r="E30" i="45" a="1"/>
  <c r="E30" i="45" s="1"/>
  <c r="E34" i="45" a="1"/>
  <c r="E34" i="45" s="1"/>
  <c r="E38" i="45" a="1"/>
  <c r="E38" i="45" s="1"/>
  <c r="E42" i="45" a="1"/>
  <c r="E42" i="45" s="1"/>
  <c r="E46" i="45" a="1"/>
  <c r="E46" i="45" s="1"/>
  <c r="E50" i="45" a="1"/>
  <c r="E50" i="45" s="1"/>
  <c r="E54" i="45" a="1"/>
  <c r="E54" i="45" s="1"/>
  <c r="E58" i="45" a="1"/>
  <c r="E58" i="45" s="1"/>
  <c r="E10" i="45" a="1"/>
  <c r="E10" i="45" s="1"/>
  <c r="E16" i="45" a="1"/>
  <c r="E16" i="45" s="1"/>
  <c r="K23" i="68" s="1"/>
  <c r="E20" i="45" a="1"/>
  <c r="E20" i="45" s="1"/>
  <c r="E24" i="45" a="1"/>
  <c r="E24" i="45" s="1"/>
  <c r="E28" i="45" a="1"/>
  <c r="E28" i="45" s="1"/>
  <c r="E32" i="45" a="1"/>
  <c r="E32" i="45" s="1"/>
  <c r="E36" i="45" a="1"/>
  <c r="E36" i="45" s="1"/>
  <c r="E40" i="45" a="1"/>
  <c r="E40" i="45" s="1"/>
  <c r="E44" i="45" a="1"/>
  <c r="E44" i="45" s="1"/>
  <c r="E48" i="45" a="1"/>
  <c r="E48" i="45" s="1"/>
  <c r="E52" i="45" a="1"/>
  <c r="E52" i="45" s="1"/>
  <c r="E56" i="45" a="1"/>
  <c r="E56" i="45" s="1"/>
  <c r="E60" i="45" a="1"/>
  <c r="E60" i="45" s="1"/>
  <c r="E11" i="45" a="1"/>
  <c r="E11" i="45" s="1"/>
  <c r="E13" i="45" a="1"/>
  <c r="E13" i="45" s="1"/>
  <c r="E17" i="45" a="1"/>
  <c r="E17" i="45" s="1"/>
  <c r="E21" i="45" a="1"/>
  <c r="E21" i="45" s="1"/>
  <c r="E25" i="45" a="1"/>
  <c r="E25" i="45" s="1"/>
  <c r="E29" i="45" a="1"/>
  <c r="E29" i="45" s="1"/>
  <c r="E33" i="45" a="1"/>
  <c r="E33" i="45" s="1"/>
  <c r="E37" i="45" a="1"/>
  <c r="E37" i="45" s="1"/>
  <c r="E41" i="45" a="1"/>
  <c r="E41" i="45" s="1"/>
  <c r="E45" i="45" a="1"/>
  <c r="E45" i="45" s="1"/>
  <c r="E49" i="45" a="1"/>
  <c r="E49" i="45" s="1"/>
  <c r="E53" i="45" a="1"/>
  <c r="E53" i="45" s="1"/>
  <c r="E57" i="45" a="1"/>
  <c r="E57" i="45" s="1"/>
  <c r="E9" i="47" a="1"/>
  <c r="E9" i="47" s="1"/>
  <c r="E11" i="47" a="1"/>
  <c r="E11" i="47" s="1"/>
  <c r="E13" i="47" a="1"/>
  <c r="E13" i="47" s="1"/>
  <c r="E15" i="47" a="1"/>
  <c r="E15" i="47" s="1"/>
  <c r="E17" i="47" a="1"/>
  <c r="E17" i="47" s="1"/>
  <c r="E19" i="47" a="1"/>
  <c r="E19" i="47" s="1"/>
  <c r="E21" i="47" a="1"/>
  <c r="E21" i="47" s="1"/>
  <c r="E23" i="47" a="1"/>
  <c r="E23" i="47" s="1"/>
  <c r="E25" i="47" a="1"/>
  <c r="E25" i="47" s="1"/>
  <c r="E27" i="47" a="1"/>
  <c r="E27" i="47" s="1"/>
  <c r="E29" i="47" a="1"/>
  <c r="E29" i="47" s="1"/>
  <c r="E31" i="47" a="1"/>
  <c r="E31" i="47" s="1"/>
  <c r="E33" i="47" a="1"/>
  <c r="E33" i="47" s="1"/>
  <c r="E35" i="47" a="1"/>
  <c r="E35" i="47" s="1"/>
  <c r="E37" i="47" a="1"/>
  <c r="E37" i="47" s="1"/>
  <c r="E39" i="47" a="1"/>
  <c r="E39" i="47" s="1"/>
  <c r="E41" i="47" a="1"/>
  <c r="E41" i="47" s="1"/>
  <c r="E43" i="47" a="1"/>
  <c r="E43" i="47" s="1"/>
  <c r="E45" i="47" a="1"/>
  <c r="E45" i="47" s="1"/>
  <c r="E47" i="47" a="1"/>
  <c r="E47" i="47" s="1"/>
  <c r="E49" i="47" a="1"/>
  <c r="E49" i="47" s="1"/>
  <c r="E51" i="47" a="1"/>
  <c r="E51" i="47" s="1"/>
  <c r="E53" i="47" a="1"/>
  <c r="E53" i="47" s="1"/>
  <c r="E55" i="47" a="1"/>
  <c r="E55" i="47" s="1"/>
  <c r="E57" i="47" a="1"/>
  <c r="E57" i="47" s="1"/>
  <c r="E59" i="47" a="1"/>
  <c r="E59" i="47" s="1"/>
  <c r="E61" i="47" a="1"/>
  <c r="E61" i="47" s="1"/>
  <c r="E63" i="47" a="1"/>
  <c r="E63" i="47" s="1"/>
  <c r="E24" i="47" a="1"/>
  <c r="E24" i="47" s="1"/>
  <c r="E32" i="47" a="1"/>
  <c r="E32" i="47" s="1"/>
  <c r="E36" i="47" a="1"/>
  <c r="E36" i="47" s="1"/>
  <c r="E40" i="47" a="1"/>
  <c r="E40" i="47" s="1"/>
  <c r="E44" i="47" a="1"/>
  <c r="E44" i="47" s="1"/>
  <c r="E48" i="47" a="1"/>
  <c r="E48" i="47" s="1"/>
  <c r="E52" i="47" a="1"/>
  <c r="E52" i="47" s="1"/>
  <c r="E54" i="47" a="1"/>
  <c r="E54" i="47" s="1"/>
  <c r="E58" i="47" a="1"/>
  <c r="E58" i="47" s="1"/>
  <c r="E62" i="47" a="1"/>
  <c r="E62" i="47" s="1"/>
  <c r="E66" i="47" a="1"/>
  <c r="E66" i="47" s="1"/>
  <c r="E70" i="47" a="1"/>
  <c r="E70" i="47" s="1"/>
  <c r="E74" i="47" a="1"/>
  <c r="E74" i="47" s="1"/>
  <c r="E78" i="47" a="1"/>
  <c r="E78" i="47" s="1"/>
  <c r="E82" i="47" a="1"/>
  <c r="E82" i="47" s="1"/>
  <c r="E86" i="47" a="1"/>
  <c r="E86" i="47" s="1"/>
  <c r="E92" i="47" a="1"/>
  <c r="E92" i="47" s="1"/>
  <c r="E96" i="47" a="1"/>
  <c r="E96" i="47" s="1"/>
  <c r="E100" i="47" a="1"/>
  <c r="E100" i="47" s="1"/>
  <c r="E104" i="47" a="1"/>
  <c r="E104" i="47" s="1"/>
  <c r="E106" i="47" a="1"/>
  <c r="E106" i="47" s="1"/>
  <c r="E110" i="47" a="1"/>
  <c r="E110" i="47" s="1"/>
  <c r="E114" i="47" a="1"/>
  <c r="E114" i="47" s="1"/>
  <c r="E10" i="47" a="1"/>
  <c r="E10" i="47" s="1"/>
  <c r="E12" i="47" a="1"/>
  <c r="E12" i="47" s="1"/>
  <c r="E14" i="47" a="1"/>
  <c r="E14" i="47" s="1"/>
  <c r="E16" i="47" a="1"/>
  <c r="E16" i="47" s="1"/>
  <c r="E18" i="47" a="1"/>
  <c r="E18" i="47" s="1"/>
  <c r="E20" i="47" a="1"/>
  <c r="E20" i="47" s="1"/>
  <c r="E22" i="47" a="1"/>
  <c r="E22" i="47" s="1"/>
  <c r="E26" i="47" a="1"/>
  <c r="E26" i="47" s="1"/>
  <c r="E28" i="47" a="1"/>
  <c r="E28" i="47" s="1"/>
  <c r="E30" i="47" a="1"/>
  <c r="E30" i="47" s="1"/>
  <c r="E34" i="47" a="1"/>
  <c r="E34" i="47" s="1"/>
  <c r="E38" i="47" a="1"/>
  <c r="E38" i="47" s="1"/>
  <c r="E42" i="47" a="1"/>
  <c r="E42" i="47" s="1"/>
  <c r="E46" i="47" a="1"/>
  <c r="E46" i="47" s="1"/>
  <c r="E50" i="47" a="1"/>
  <c r="E50" i="47" s="1"/>
  <c r="E56" i="47" a="1"/>
  <c r="E56" i="47" s="1"/>
  <c r="E60" i="47" a="1"/>
  <c r="E60" i="47" s="1"/>
  <c r="E64" i="47" a="1"/>
  <c r="E64" i="47" s="1"/>
  <c r="E68" i="47" a="1"/>
  <c r="E68" i="47" s="1"/>
  <c r="E72" i="47" a="1"/>
  <c r="E72" i="47" s="1"/>
  <c r="E76" i="47" a="1"/>
  <c r="E76" i="47" s="1"/>
  <c r="E80" i="47" a="1"/>
  <c r="E80" i="47" s="1"/>
  <c r="E84" i="47" a="1"/>
  <c r="E84" i="47" s="1"/>
  <c r="E88" i="47" a="1"/>
  <c r="E88" i="47" s="1"/>
  <c r="E90" i="47" a="1"/>
  <c r="E90" i="47" s="1"/>
  <c r="E94" i="47" a="1"/>
  <c r="E94" i="47" s="1"/>
  <c r="E98" i="47" a="1"/>
  <c r="E98" i="47" s="1"/>
  <c r="E102" i="47" a="1"/>
  <c r="E102" i="47" s="1"/>
  <c r="E108" i="47" a="1"/>
  <c r="E108" i="47" s="1"/>
  <c r="E112" i="47" a="1"/>
  <c r="E112" i="47" s="1"/>
  <c r="E116" i="47" a="1"/>
  <c r="E116" i="47" s="1"/>
  <c r="E120" i="47" a="1"/>
  <c r="E120" i="47" s="1"/>
  <c r="E65" i="47" a="1"/>
  <c r="E65" i="47" s="1"/>
  <c r="E69" i="47" a="1"/>
  <c r="E69" i="47" s="1"/>
  <c r="E73" i="47" a="1"/>
  <c r="E73" i="47" s="1"/>
  <c r="E77" i="47" a="1"/>
  <c r="E77" i="47" s="1"/>
  <c r="E81" i="47" a="1"/>
  <c r="E81" i="47" s="1"/>
  <c r="E85" i="47" a="1"/>
  <c r="E85" i="47" s="1"/>
  <c r="E89" i="47" a="1"/>
  <c r="E89" i="47" s="1"/>
  <c r="E93" i="47" a="1"/>
  <c r="E93" i="47" s="1"/>
  <c r="E97" i="47" a="1"/>
  <c r="E97" i="47" s="1"/>
  <c r="E101" i="47" a="1"/>
  <c r="E101" i="47" s="1"/>
  <c r="E105" i="47" a="1"/>
  <c r="E105" i="47" s="1"/>
  <c r="E109" i="47" a="1"/>
  <c r="E109" i="47" s="1"/>
  <c r="E113" i="47" a="1"/>
  <c r="E113" i="47" s="1"/>
  <c r="E117" i="47" a="1"/>
  <c r="E117" i="47" s="1"/>
  <c r="E131" i="47" a="1"/>
  <c r="E131" i="47" s="1"/>
  <c r="E118" i="47" a="1"/>
  <c r="E118" i="47" s="1"/>
  <c r="E121" i="47" a="1"/>
  <c r="E121" i="47" s="1"/>
  <c r="E124" i="47" a="1"/>
  <c r="E124" i="47" s="1"/>
  <c r="E129" i="47" a="1"/>
  <c r="E129" i="47" s="1"/>
  <c r="E132" i="47" a="1"/>
  <c r="E132" i="47" s="1"/>
  <c r="E95" i="47" a="1"/>
  <c r="E95" i="47" s="1"/>
  <c r="E103" i="47" a="1"/>
  <c r="E103" i="47" s="1"/>
  <c r="E111" i="47" a="1"/>
  <c r="E111" i="47" s="1"/>
  <c r="E122" i="47" a="1"/>
  <c r="E122" i="47" s="1"/>
  <c r="E130" i="47" a="1"/>
  <c r="E130" i="47" s="1"/>
  <c r="E119" i="47" a="1"/>
  <c r="E119" i="47" s="1"/>
  <c r="E123" i="47" a="1"/>
  <c r="E123" i="47" s="1"/>
  <c r="E67" i="47" a="1"/>
  <c r="E67" i="47" s="1"/>
  <c r="E71" i="47" a="1"/>
  <c r="E71" i="47" s="1"/>
  <c r="E75" i="47" a="1"/>
  <c r="E75" i="47" s="1"/>
  <c r="E79" i="47" a="1"/>
  <c r="E79" i="47" s="1"/>
  <c r="E83" i="47" a="1"/>
  <c r="E83" i="47" s="1"/>
  <c r="E87" i="47" a="1"/>
  <c r="E87" i="47" s="1"/>
  <c r="E91" i="47" a="1"/>
  <c r="E91" i="47" s="1"/>
  <c r="E99" i="47" a="1"/>
  <c r="E99" i="47" s="1"/>
  <c r="E107" i="47" a="1"/>
  <c r="E107" i="47" s="1"/>
  <c r="E115" i="47" a="1"/>
  <c r="E115" i="47" s="1"/>
  <c r="E127" i="47" a="1"/>
  <c r="E127" i="47" s="1"/>
  <c r="E125" i="47" a="1"/>
  <c r="E125" i="47" s="1"/>
  <c r="E128" i="47" a="1"/>
  <c r="E128" i="47" s="1"/>
  <c r="E126" i="47" a="1"/>
  <c r="E126" i="47" s="1"/>
  <c r="E9" i="41" a="1"/>
  <c r="E9" i="41" s="1"/>
  <c r="E11" i="41" a="1"/>
  <c r="E11" i="41" s="1"/>
  <c r="E13" i="41" a="1"/>
  <c r="E13" i="41" s="1"/>
  <c r="E15" i="41" a="1"/>
  <c r="E15" i="41" s="1"/>
  <c r="E17" i="41" a="1"/>
  <c r="E17" i="41" s="1"/>
  <c r="E19" i="41" a="1"/>
  <c r="E19" i="41" s="1"/>
  <c r="E21" i="41" a="1"/>
  <c r="E21" i="41" s="1"/>
  <c r="E23" i="41" a="1"/>
  <c r="E23" i="41" s="1"/>
  <c r="E25" i="41" a="1"/>
  <c r="E25" i="41" s="1"/>
  <c r="E27" i="41" a="1"/>
  <c r="E27" i="41" s="1"/>
  <c r="E29" i="41" a="1"/>
  <c r="E29" i="41" s="1"/>
  <c r="E31" i="41" a="1"/>
  <c r="E31" i="41" s="1"/>
  <c r="E33" i="41" a="1"/>
  <c r="E33" i="41" s="1"/>
  <c r="E35" i="41" a="1"/>
  <c r="E35" i="41" s="1"/>
  <c r="E37" i="41" a="1"/>
  <c r="E37" i="41" s="1"/>
  <c r="E39" i="41" a="1"/>
  <c r="E39" i="41" s="1"/>
  <c r="E41" i="41" a="1"/>
  <c r="E41" i="41" s="1"/>
  <c r="E43" i="41" a="1"/>
  <c r="E43" i="41" s="1"/>
  <c r="E45" i="41" a="1"/>
  <c r="E45" i="41" s="1"/>
  <c r="E47" i="41" a="1"/>
  <c r="E47" i="41" s="1"/>
  <c r="E49" i="41" a="1"/>
  <c r="E49" i="41" s="1"/>
  <c r="E51" i="41" a="1"/>
  <c r="E51" i="41" s="1"/>
  <c r="E53" i="41" a="1"/>
  <c r="E53" i="41" s="1"/>
  <c r="E55" i="41" a="1"/>
  <c r="E55" i="41" s="1"/>
  <c r="E57" i="41" a="1"/>
  <c r="E57" i="41" s="1"/>
  <c r="E59" i="41" a="1"/>
  <c r="E59" i="41" s="1"/>
  <c r="E61" i="41" a="1"/>
  <c r="E61" i="41" s="1"/>
  <c r="E10" i="41" a="1"/>
  <c r="E10" i="41" s="1"/>
  <c r="E12" i="41" a="1"/>
  <c r="E12" i="41" s="1"/>
  <c r="E14" i="41" a="1"/>
  <c r="E14" i="41" s="1"/>
  <c r="E16" i="41" a="1"/>
  <c r="E16" i="41" s="1"/>
  <c r="E18" i="41" a="1"/>
  <c r="E18" i="41" s="1"/>
  <c r="E20" i="41" a="1"/>
  <c r="E20" i="41" s="1"/>
  <c r="E22" i="41" a="1"/>
  <c r="E22" i="41" s="1"/>
  <c r="E24" i="41" a="1"/>
  <c r="E24" i="41" s="1"/>
  <c r="E26" i="41" a="1"/>
  <c r="E26" i="41" s="1"/>
  <c r="E28" i="41" a="1"/>
  <c r="E28" i="41" s="1"/>
  <c r="E30" i="41" a="1"/>
  <c r="E30" i="41" s="1"/>
  <c r="E32" i="41" a="1"/>
  <c r="E32" i="41" s="1"/>
  <c r="E34" i="41" a="1"/>
  <c r="E34" i="41" s="1"/>
  <c r="E36" i="41" a="1"/>
  <c r="E36" i="41" s="1"/>
  <c r="E38" i="41" a="1"/>
  <c r="E38" i="41" s="1"/>
  <c r="E40" i="41" a="1"/>
  <c r="E40" i="41" s="1"/>
  <c r="E42" i="41" a="1"/>
  <c r="E42" i="41" s="1"/>
  <c r="E44" i="41" a="1"/>
  <c r="E44" i="41" s="1"/>
  <c r="E46" i="41" a="1"/>
  <c r="E46" i="41" s="1"/>
  <c r="E48" i="41" a="1"/>
  <c r="E48" i="41" s="1"/>
  <c r="E50" i="41" a="1"/>
  <c r="E50" i="41" s="1"/>
  <c r="E52" i="41" a="1"/>
  <c r="E52" i="41" s="1"/>
  <c r="E54" i="41" a="1"/>
  <c r="E54" i="41" s="1"/>
  <c r="E56" i="41" a="1"/>
  <c r="E56" i="41" s="1"/>
  <c r="E58" i="41" a="1"/>
  <c r="E58" i="41" s="1"/>
  <c r="E60" i="41" a="1"/>
  <c r="E60" i="41" s="1"/>
  <c r="E62" i="41" a="1"/>
  <c r="E62" i="41" s="1"/>
  <c r="E64" i="41" a="1"/>
  <c r="E64" i="41" s="1"/>
  <c r="E66" i="41" a="1"/>
  <c r="E66" i="41" s="1"/>
  <c r="E68" i="41" a="1"/>
  <c r="E68" i="41" s="1"/>
  <c r="E70" i="41" a="1"/>
  <c r="E70" i="41" s="1"/>
  <c r="E72" i="41" a="1"/>
  <c r="E72" i="41" s="1"/>
  <c r="E74" i="41" a="1"/>
  <c r="E74" i="41" s="1"/>
  <c r="E76" i="41" a="1"/>
  <c r="E76" i="41" s="1"/>
  <c r="E78" i="41" a="1"/>
  <c r="E78" i="41" s="1"/>
  <c r="E80" i="41" a="1"/>
  <c r="E80" i="41" s="1"/>
  <c r="E83" i="41" a="1"/>
  <c r="E83" i="41" s="1"/>
  <c r="E86" i="41" a="1"/>
  <c r="E86" i="41" s="1"/>
  <c r="E91" i="41" a="1"/>
  <c r="E91" i="41" s="1"/>
  <c r="E94" i="41" a="1"/>
  <c r="E94" i="41" s="1"/>
  <c r="E99" i="41" a="1"/>
  <c r="E99" i="41" s="1"/>
  <c r="E102" i="41" a="1"/>
  <c r="E102" i="41" s="1"/>
  <c r="E69" i="41" a="1"/>
  <c r="E69" i="41" s="1"/>
  <c r="E73" i="41" a="1"/>
  <c r="E73" i="41" s="1"/>
  <c r="E77" i="41" a="1"/>
  <c r="E77" i="41" s="1"/>
  <c r="E81" i="41" a="1"/>
  <c r="E81" i="41" s="1"/>
  <c r="E84" i="41" a="1"/>
  <c r="E84" i="41" s="1"/>
  <c r="E89" i="41" a="1"/>
  <c r="E89" i="41" s="1"/>
  <c r="E92" i="41" a="1"/>
  <c r="E92" i="41" s="1"/>
  <c r="E97" i="41" a="1"/>
  <c r="E97" i="41" s="1"/>
  <c r="E100" i="41" a="1"/>
  <c r="E100" i="41" s="1"/>
  <c r="E105" i="41" a="1"/>
  <c r="E105" i="41" s="1"/>
  <c r="E82" i="41" a="1"/>
  <c r="E82" i="41" s="1"/>
  <c r="E87" i="41" a="1"/>
  <c r="E87" i="41" s="1"/>
  <c r="E90" i="41" a="1"/>
  <c r="E90" i="41" s="1"/>
  <c r="E95" i="41" a="1"/>
  <c r="E95" i="41" s="1"/>
  <c r="E98" i="41" a="1"/>
  <c r="E98" i="41" s="1"/>
  <c r="E103" i="41" a="1"/>
  <c r="E103" i="41" s="1"/>
  <c r="E106" i="41" a="1"/>
  <c r="E106" i="41" s="1"/>
  <c r="E63" i="41" a="1"/>
  <c r="E63" i="41" s="1"/>
  <c r="E71" i="41" a="1"/>
  <c r="E71" i="41" s="1"/>
  <c r="E75" i="41" a="1"/>
  <c r="E75" i="41" s="1"/>
  <c r="E79" i="41" a="1"/>
  <c r="E79" i="41" s="1"/>
  <c r="E85" i="41" a="1"/>
  <c r="E85" i="41" s="1"/>
  <c r="E88" i="41" a="1"/>
  <c r="E88" i="41" s="1"/>
  <c r="E93" i="41" a="1"/>
  <c r="E93" i="41" s="1"/>
  <c r="E96" i="41" a="1"/>
  <c r="E96" i="41" s="1"/>
  <c r="E101" i="41" a="1"/>
  <c r="E101" i="41" s="1"/>
  <c r="E104" i="41" a="1"/>
  <c r="E104" i="41" s="1"/>
  <c r="E65" i="41" a="1"/>
  <c r="E65" i="41" s="1"/>
  <c r="E67" i="41" a="1"/>
  <c r="E67" i="41" s="1"/>
  <c r="E9" i="42" a="1"/>
  <c r="E9" i="42" s="1"/>
  <c r="E11" i="42" a="1"/>
  <c r="E11" i="42" s="1"/>
  <c r="E13" i="42" a="1"/>
  <c r="E13" i="42" s="1"/>
  <c r="E15" i="42" a="1"/>
  <c r="E15" i="42" s="1"/>
  <c r="E17" i="42" a="1"/>
  <c r="E17" i="42" s="1"/>
  <c r="E19" i="42" a="1"/>
  <c r="E19" i="42" s="1"/>
  <c r="E21" i="42" a="1"/>
  <c r="E21" i="42" s="1"/>
  <c r="E23" i="42" a="1"/>
  <c r="E23" i="42" s="1"/>
  <c r="E25" i="42" a="1"/>
  <c r="E25" i="42" s="1"/>
  <c r="E27" i="42" a="1"/>
  <c r="E27" i="42" s="1"/>
  <c r="E29" i="42" a="1"/>
  <c r="E29" i="42" s="1"/>
  <c r="E31" i="42" a="1"/>
  <c r="E31" i="42" s="1"/>
  <c r="E33" i="42" a="1"/>
  <c r="E33" i="42" s="1"/>
  <c r="E35" i="42" a="1"/>
  <c r="E35" i="42" s="1"/>
  <c r="E37" i="42" a="1"/>
  <c r="E37" i="42" s="1"/>
  <c r="E39" i="42" a="1"/>
  <c r="E39" i="42" s="1"/>
  <c r="E41" i="42" a="1"/>
  <c r="E41" i="42" s="1"/>
  <c r="E43" i="42" a="1"/>
  <c r="E43" i="42" s="1"/>
  <c r="E45" i="42" a="1"/>
  <c r="E45" i="42" s="1"/>
  <c r="E47" i="42" a="1"/>
  <c r="E47" i="42" s="1"/>
  <c r="E49" i="42" a="1"/>
  <c r="E49" i="42" s="1"/>
  <c r="E51" i="42" a="1"/>
  <c r="E51" i="42" s="1"/>
  <c r="E53" i="42" a="1"/>
  <c r="E53" i="42" s="1"/>
  <c r="E55" i="42" a="1"/>
  <c r="E55" i="42" s="1"/>
  <c r="E57" i="42" a="1"/>
  <c r="E57" i="42" s="1"/>
  <c r="E59" i="42" a="1"/>
  <c r="E59" i="42" s="1"/>
  <c r="E61" i="42" a="1"/>
  <c r="E61" i="42" s="1"/>
  <c r="E63" i="42" a="1"/>
  <c r="E63" i="42" s="1"/>
  <c r="E65" i="42" a="1"/>
  <c r="E65" i="42" s="1"/>
  <c r="E67" i="42" a="1"/>
  <c r="E67" i="42" s="1"/>
  <c r="E69" i="42" a="1"/>
  <c r="E69" i="42" s="1"/>
  <c r="E75" i="42" a="1"/>
  <c r="E75" i="42" s="1"/>
  <c r="E79" i="42" a="1"/>
  <c r="E79" i="42" s="1"/>
  <c r="E83" i="42" a="1"/>
  <c r="E83" i="42" s="1"/>
  <c r="E89" i="42" a="1"/>
  <c r="E89" i="42" s="1"/>
  <c r="E14" i="42" a="1"/>
  <c r="E14" i="42" s="1"/>
  <c r="E22" i="42" a="1"/>
  <c r="E22" i="42" s="1"/>
  <c r="E26" i="42" a="1"/>
  <c r="E26" i="42" s="1"/>
  <c r="E32" i="42" a="1"/>
  <c r="E32" i="42" s="1"/>
  <c r="E38" i="42" a="1"/>
  <c r="E38" i="42" s="1"/>
  <c r="E42" i="42" a="1"/>
  <c r="E42" i="42" s="1"/>
  <c r="E46" i="42" a="1"/>
  <c r="E46" i="42" s="1"/>
  <c r="E50" i="42" a="1"/>
  <c r="E50" i="42" s="1"/>
  <c r="E56" i="42" a="1"/>
  <c r="E56" i="42" s="1"/>
  <c r="E64" i="42" a="1"/>
  <c r="E64" i="42" s="1"/>
  <c r="E70" i="42" a="1"/>
  <c r="E70" i="42" s="1"/>
  <c r="E78" i="42" a="1"/>
  <c r="E78" i="42" s="1"/>
  <c r="E84" i="42" a="1"/>
  <c r="E84" i="42" s="1"/>
  <c r="E86" i="42" a="1"/>
  <c r="E86" i="42" s="1"/>
  <c r="E71" i="42" a="1"/>
  <c r="E71" i="42" s="1"/>
  <c r="E85" i="42" a="1"/>
  <c r="E85" i="42" s="1"/>
  <c r="E10" i="42" a="1"/>
  <c r="E10" i="42" s="1"/>
  <c r="E12" i="42" a="1"/>
  <c r="E12" i="42" s="1"/>
  <c r="E16" i="42" a="1"/>
  <c r="E16" i="42" s="1"/>
  <c r="E18" i="42" a="1"/>
  <c r="E18" i="42" s="1"/>
  <c r="E20" i="42" a="1"/>
  <c r="E20" i="42" s="1"/>
  <c r="E24" i="42" a="1"/>
  <c r="E24" i="42" s="1"/>
  <c r="E28" i="42" a="1"/>
  <c r="E28" i="42" s="1"/>
  <c r="E30" i="42" a="1"/>
  <c r="E30" i="42" s="1"/>
  <c r="E34" i="42" a="1"/>
  <c r="E34" i="42" s="1"/>
  <c r="E36" i="42" a="1"/>
  <c r="E36" i="42" s="1"/>
  <c r="E40" i="42" a="1"/>
  <c r="E40" i="42" s="1"/>
  <c r="E44" i="42" a="1"/>
  <c r="E44" i="42" s="1"/>
  <c r="E48" i="42" a="1"/>
  <c r="E48" i="42" s="1"/>
  <c r="E52" i="42" a="1"/>
  <c r="E52" i="42" s="1"/>
  <c r="E54" i="42" a="1"/>
  <c r="E54" i="42" s="1"/>
  <c r="E58" i="42" a="1"/>
  <c r="E58" i="42" s="1"/>
  <c r="E60" i="42" a="1"/>
  <c r="E60" i="42" s="1"/>
  <c r="E62" i="42" a="1"/>
  <c r="E62" i="42" s="1"/>
  <c r="E66" i="42" a="1"/>
  <c r="E66" i="42" s="1"/>
  <c r="E68" i="42" a="1"/>
  <c r="E68" i="42" s="1"/>
  <c r="E72" i="42" a="1"/>
  <c r="E72" i="42" s="1"/>
  <c r="E74" i="42" a="1"/>
  <c r="E74" i="42" s="1"/>
  <c r="E76" i="42" a="1"/>
  <c r="E76" i="42" s="1"/>
  <c r="E80" i="42" a="1"/>
  <c r="E80" i="42" s="1"/>
  <c r="E82" i="42" a="1"/>
  <c r="E82" i="42" s="1"/>
  <c r="E88" i="42" a="1"/>
  <c r="E88" i="42" s="1"/>
  <c r="E90" i="42" a="1"/>
  <c r="E90" i="42" s="1"/>
  <c r="E73" i="42" a="1"/>
  <c r="E73" i="42" s="1"/>
  <c r="E77" i="42" a="1"/>
  <c r="E77" i="42" s="1"/>
  <c r="E81" i="42" a="1"/>
  <c r="E81" i="42" s="1"/>
  <c r="E87" i="42" a="1"/>
  <c r="E87" i="42" s="1"/>
  <c r="E9" i="54" a="1"/>
  <c r="E9" i="54" s="1"/>
  <c r="E15" i="54" a="1"/>
  <c r="E15" i="54" s="1"/>
  <c r="E19" i="54" a="1"/>
  <c r="E19" i="54" s="1"/>
  <c r="E23" i="54" a="1"/>
  <c r="E23" i="54" s="1"/>
  <c r="E25" i="54" a="1"/>
  <c r="E25" i="54" s="1"/>
  <c r="E29" i="54" a="1"/>
  <c r="E29" i="54" s="1"/>
  <c r="E33" i="54" a="1"/>
  <c r="E33" i="54" s="1"/>
  <c r="E37" i="54" a="1"/>
  <c r="E37" i="54" s="1"/>
  <c r="E43" i="54" a="1"/>
  <c r="E43" i="54" s="1"/>
  <c r="E45" i="54" a="1"/>
  <c r="E45" i="54" s="1"/>
  <c r="E51" i="54" a="1"/>
  <c r="E51" i="54" s="1"/>
  <c r="E53" i="54" a="1"/>
  <c r="E53" i="54" s="1"/>
  <c r="E57" i="54" a="1"/>
  <c r="E57" i="54" s="1"/>
  <c r="E61" i="54" a="1"/>
  <c r="E61" i="54" s="1"/>
  <c r="E65" i="54" a="1"/>
  <c r="E65" i="54" s="1"/>
  <c r="E69" i="54" a="1"/>
  <c r="E69" i="54" s="1"/>
  <c r="E73" i="54" a="1"/>
  <c r="E73" i="54" s="1"/>
  <c r="E77" i="54" a="1"/>
  <c r="E77" i="54" s="1"/>
  <c r="E81" i="54" a="1"/>
  <c r="E81" i="54" s="1"/>
  <c r="E85" i="54" a="1"/>
  <c r="E85" i="54" s="1"/>
  <c r="E91" i="54" a="1"/>
  <c r="E91" i="54" s="1"/>
  <c r="E95" i="54" a="1"/>
  <c r="E95" i="54" s="1"/>
  <c r="E99" i="54" a="1"/>
  <c r="E99" i="54" s="1"/>
  <c r="E103" i="54" a="1"/>
  <c r="E103" i="54" s="1"/>
  <c r="E107" i="54" a="1"/>
  <c r="E107" i="54" s="1"/>
  <c r="E12" i="54" a="1"/>
  <c r="E12" i="54" s="1"/>
  <c r="E14" i="54" a="1"/>
  <c r="E14" i="54" s="1"/>
  <c r="E18" i="54" a="1"/>
  <c r="E18" i="54" s="1"/>
  <c r="E22" i="54" a="1"/>
  <c r="E22" i="54" s="1"/>
  <c r="E28" i="54" a="1"/>
  <c r="E28" i="54" s="1"/>
  <c r="E32" i="54" a="1"/>
  <c r="E32" i="54" s="1"/>
  <c r="E36" i="54" a="1"/>
  <c r="E36" i="54" s="1"/>
  <c r="E40" i="54" a="1"/>
  <c r="E40" i="54" s="1"/>
  <c r="E42" i="54" a="1"/>
  <c r="E42" i="54" s="1"/>
  <c r="E48" i="54" a="1"/>
  <c r="E48" i="54" s="1"/>
  <c r="E50" i="54" a="1"/>
  <c r="E50" i="54" s="1"/>
  <c r="E54" i="54" a="1"/>
  <c r="E54" i="54" s="1"/>
  <c r="E60" i="54" a="1"/>
  <c r="E60" i="54" s="1"/>
  <c r="E62" i="54" a="1"/>
  <c r="E62" i="54" s="1"/>
  <c r="E66" i="54" a="1"/>
  <c r="E66" i="54" s="1"/>
  <c r="E70" i="54" a="1"/>
  <c r="E70" i="54" s="1"/>
  <c r="E76" i="54" a="1"/>
  <c r="E76" i="54" s="1"/>
  <c r="E78" i="54" a="1"/>
  <c r="E78" i="54" s="1"/>
  <c r="E82" i="54" a="1"/>
  <c r="E82" i="54" s="1"/>
  <c r="E86" i="54" a="1"/>
  <c r="E86" i="54" s="1"/>
  <c r="E90" i="54" a="1"/>
  <c r="E90" i="54" s="1"/>
  <c r="E94" i="54" a="1"/>
  <c r="E94" i="54" s="1"/>
  <c r="E100" i="54" a="1"/>
  <c r="E100" i="54" s="1"/>
  <c r="E104" i="54" a="1"/>
  <c r="E104" i="54" s="1"/>
  <c r="E106" i="54" a="1"/>
  <c r="E106" i="54" s="1"/>
  <c r="E10" i="54" a="1"/>
  <c r="E10" i="54" s="1"/>
  <c r="E16" i="54" a="1"/>
  <c r="E16" i="54" s="1"/>
  <c r="E20" i="54" a="1"/>
  <c r="E20" i="54" s="1"/>
  <c r="E24" i="54" a="1"/>
  <c r="E24" i="54" s="1"/>
  <c r="E26" i="54" a="1"/>
  <c r="E26" i="54" s="1"/>
  <c r="E30" i="54" a="1"/>
  <c r="E30" i="54" s="1"/>
  <c r="E34" i="54" a="1"/>
  <c r="E34" i="54" s="1"/>
  <c r="E38" i="54" a="1"/>
  <c r="E38" i="54" s="1"/>
  <c r="E44" i="54" a="1"/>
  <c r="E44" i="54" s="1"/>
  <c r="E46" i="54" a="1"/>
  <c r="E46" i="54" s="1"/>
  <c r="E52" i="54" a="1"/>
  <c r="E52" i="54" s="1"/>
  <c r="E56" i="54" a="1"/>
  <c r="E56" i="54" s="1"/>
  <c r="E58" i="54" a="1"/>
  <c r="E58" i="54" s="1"/>
  <c r="E64" i="54" a="1"/>
  <c r="E64" i="54" s="1"/>
  <c r="E68" i="54" a="1"/>
  <c r="E68" i="54" s="1"/>
  <c r="E72" i="54" a="1"/>
  <c r="E72" i="54" s="1"/>
  <c r="E74" i="54" a="1"/>
  <c r="E74" i="54" s="1"/>
  <c r="E80" i="54" a="1"/>
  <c r="E80" i="54" s="1"/>
  <c r="E84" i="54" a="1"/>
  <c r="E84" i="54" s="1"/>
  <c r="E88" i="54" a="1"/>
  <c r="E88" i="54" s="1"/>
  <c r="E92" i="54" a="1"/>
  <c r="E92" i="54" s="1"/>
  <c r="E96" i="54" a="1"/>
  <c r="E96" i="54" s="1"/>
  <c r="E98" i="54" a="1"/>
  <c r="E98" i="54" s="1"/>
  <c r="E102" i="54" a="1"/>
  <c r="E102" i="54" s="1"/>
  <c r="E11" i="54" a="1"/>
  <c r="E11" i="54" s="1"/>
  <c r="E13" i="54" a="1"/>
  <c r="E13" i="54" s="1"/>
  <c r="E17" i="54" a="1"/>
  <c r="E17" i="54" s="1"/>
  <c r="E21" i="54" a="1"/>
  <c r="E21" i="54" s="1"/>
  <c r="E27" i="54" a="1"/>
  <c r="E27" i="54" s="1"/>
  <c r="E31" i="54" a="1"/>
  <c r="E31" i="54" s="1"/>
  <c r="E35" i="54" a="1"/>
  <c r="E35" i="54" s="1"/>
  <c r="E39" i="54" a="1"/>
  <c r="E39" i="54" s="1"/>
  <c r="E41" i="54" a="1"/>
  <c r="E41" i="54" s="1"/>
  <c r="E47" i="54" a="1"/>
  <c r="E47" i="54" s="1"/>
  <c r="E49" i="54" a="1"/>
  <c r="E49" i="54" s="1"/>
  <c r="E55" i="54" a="1"/>
  <c r="E55" i="54" s="1"/>
  <c r="E59" i="54" a="1"/>
  <c r="E59" i="54" s="1"/>
  <c r="E63" i="54" a="1"/>
  <c r="E63" i="54" s="1"/>
  <c r="E67" i="54" a="1"/>
  <c r="E67" i="54" s="1"/>
  <c r="E71" i="54" a="1"/>
  <c r="E71" i="54" s="1"/>
  <c r="E75" i="54" a="1"/>
  <c r="E75" i="54" s="1"/>
  <c r="E79" i="54" a="1"/>
  <c r="E79" i="54" s="1"/>
  <c r="E83" i="54" a="1"/>
  <c r="E83" i="54" s="1"/>
  <c r="E87" i="54" a="1"/>
  <c r="E87" i="54" s="1"/>
  <c r="E89" i="54" a="1"/>
  <c r="E89" i="54" s="1"/>
  <c r="E93" i="54" a="1"/>
  <c r="E93" i="54" s="1"/>
  <c r="E97" i="54" a="1"/>
  <c r="E97" i="54" s="1"/>
  <c r="E101" i="54" a="1"/>
  <c r="E101" i="54" s="1"/>
  <c r="E105" i="54" a="1"/>
  <c r="E105" i="54" s="1"/>
  <c r="G24" i="17"/>
  <c r="B24" i="17"/>
  <c r="B45" i="17" s="1"/>
  <c r="C24" i="17"/>
  <c r="C45" i="17" s="1"/>
  <c r="D24" i="17"/>
  <c r="F24" i="17"/>
  <c r="E24" i="17"/>
  <c r="H24" i="17"/>
  <c r="I23" i="48" l="1"/>
  <c r="L23" i="48"/>
  <c r="D25" i="17"/>
  <c r="D46" i="17" s="1"/>
  <c r="D38" i="17"/>
  <c r="D59" i="17" s="1"/>
  <c r="F38" i="17"/>
  <c r="F59" i="17" s="1"/>
  <c r="F37" i="17"/>
  <c r="F58" i="17" s="1"/>
  <c r="G37" i="17"/>
  <c r="G58" i="17" s="1"/>
  <c r="F25" i="17"/>
  <c r="F46" i="17" s="1"/>
  <c r="B25" i="17"/>
  <c r="B46" i="17" s="1"/>
  <c r="B38" i="17"/>
  <c r="B59" i="17" s="1"/>
  <c r="G25" i="17"/>
  <c r="G46" i="17" s="1"/>
  <c r="G38" i="17"/>
  <c r="G59" i="17" s="1"/>
  <c r="E25" i="17"/>
  <c r="E46" i="17" s="1"/>
  <c r="C25" i="17"/>
  <c r="C46" i="17" s="1"/>
  <c r="H39" i="17"/>
  <c r="H60" i="17" s="1"/>
  <c r="B39" i="17"/>
  <c r="B60" i="17" s="1"/>
  <c r="D36" i="17"/>
  <c r="D57" i="17" s="1"/>
  <c r="C39" i="17"/>
  <c r="C60" i="17" s="1"/>
  <c r="D27" i="17"/>
  <c r="D48" i="17" s="1"/>
  <c r="D34" i="17"/>
  <c r="D55" i="17" s="1"/>
  <c r="G31" i="17"/>
  <c r="G52" i="17" s="1"/>
  <c r="D37" i="17"/>
  <c r="D58" i="17" s="1"/>
  <c r="C27" i="17"/>
  <c r="C48" i="17" s="1"/>
  <c r="C32" i="17"/>
  <c r="C53" i="17" s="1"/>
  <c r="C34" i="17"/>
  <c r="C55" i="17" s="1"/>
  <c r="C29" i="17"/>
  <c r="C50" i="17" s="1"/>
  <c r="D26" i="17"/>
  <c r="D47" i="17" s="1"/>
  <c r="D32" i="17"/>
  <c r="D53" i="17" s="1"/>
  <c r="D35" i="17"/>
  <c r="D56" i="17" s="1"/>
  <c r="D28" i="17"/>
  <c r="D49" i="17" s="1"/>
  <c r="D33" i="17"/>
  <c r="D54" i="17" s="1"/>
  <c r="D29" i="17"/>
  <c r="D50" i="17" s="1"/>
  <c r="D31" i="17"/>
  <c r="D52" i="17" s="1"/>
  <c r="E28" i="17"/>
  <c r="E49" i="17" s="1"/>
  <c r="E30" i="17"/>
  <c r="E51" i="17" s="1"/>
  <c r="F30" i="17"/>
  <c r="F51" i="17" s="1"/>
  <c r="G32" i="17"/>
  <c r="G53" i="17" s="1"/>
  <c r="G33" i="17"/>
  <c r="G54" i="17" s="1"/>
  <c r="G26" i="17"/>
  <c r="G47" i="17" s="1"/>
  <c r="D30" i="17"/>
  <c r="D51" i="17" s="1"/>
  <c r="D39" i="17"/>
  <c r="D60" i="17" s="1"/>
  <c r="B32" i="17"/>
  <c r="B53" i="17" s="1"/>
  <c r="B29" i="17"/>
  <c r="B50" i="17" s="1"/>
  <c r="F28" i="17"/>
  <c r="F49" i="17" s="1"/>
  <c r="G30" i="17"/>
  <c r="G51" i="17" s="1"/>
  <c r="G28" i="17"/>
  <c r="G49" i="17" s="1"/>
  <c r="G34" i="17"/>
  <c r="G55" i="17" s="1"/>
  <c r="B30" i="17"/>
  <c r="B51" i="17" s="1"/>
  <c r="B26" i="17"/>
  <c r="B47" i="17" s="1"/>
  <c r="G29" i="17"/>
  <c r="G50" i="17" s="1"/>
  <c r="G27" i="17"/>
  <c r="G48" i="17" s="1"/>
  <c r="G39" i="17"/>
  <c r="G60" i="17" s="1"/>
  <c r="G36" i="17"/>
  <c r="G57" i="17" s="1"/>
  <c r="F34" i="17"/>
  <c r="F55" i="17" s="1"/>
  <c r="F31" i="17"/>
  <c r="F52" i="17" s="1"/>
  <c r="F27" i="17"/>
  <c r="F48" i="17" s="1"/>
  <c r="F26" i="17"/>
  <c r="F47" i="17" s="1"/>
  <c r="F29" i="17"/>
  <c r="F50" i="17" s="1"/>
  <c r="F33" i="17"/>
  <c r="F54" i="17" s="1"/>
  <c r="F36" i="17"/>
  <c r="F57" i="17" s="1"/>
  <c r="F39" i="17"/>
  <c r="F60" i="17" s="1"/>
  <c r="F35" i="17"/>
  <c r="F56" i="17" s="1"/>
  <c r="F32" i="17"/>
  <c r="F53" i="17" s="1"/>
  <c r="B36" i="17"/>
  <c r="B57" i="17" s="1"/>
  <c r="B33" i="17"/>
  <c r="B54" i="17" s="1"/>
  <c r="B37" i="17"/>
  <c r="B58" i="17" s="1"/>
  <c r="B34" i="17"/>
  <c r="B55" i="17" s="1"/>
  <c r="B27" i="17"/>
  <c r="B48" i="17" s="1"/>
  <c r="B35" i="17"/>
  <c r="B56" i="17" s="1"/>
  <c r="B28" i="17"/>
  <c r="B49" i="17" s="1"/>
  <c r="B31" i="17"/>
  <c r="C36" i="17"/>
  <c r="C57" i="17" s="1"/>
  <c r="C33" i="17"/>
  <c r="C54" i="17" s="1"/>
  <c r="C26" i="17"/>
  <c r="C47" i="17" s="1"/>
  <c r="C28" i="17"/>
  <c r="C49" i="17" s="1"/>
  <c r="H25" i="17"/>
  <c r="H31" i="17"/>
  <c r="H52" i="17" s="1"/>
  <c r="G35" i="17"/>
  <c r="G56" i="17" s="1"/>
  <c r="E39" i="17"/>
  <c r="E60" i="17" s="1"/>
  <c r="E37" i="17"/>
  <c r="E58" i="17" s="1"/>
  <c r="E32" i="17"/>
  <c r="E53" i="17" s="1"/>
  <c r="E26" i="17"/>
  <c r="E47" i="17" s="1"/>
  <c r="E34" i="17"/>
  <c r="E55" i="17" s="1"/>
  <c r="E35" i="17"/>
  <c r="E56" i="17" s="1"/>
  <c r="E38" i="17"/>
  <c r="E59" i="17" s="1"/>
  <c r="E33" i="17"/>
  <c r="E54" i="17" s="1"/>
  <c r="E27" i="17"/>
  <c r="E48" i="17" s="1"/>
  <c r="E36" i="17"/>
  <c r="E57" i="17" s="1"/>
  <c r="E29" i="17"/>
  <c r="E50" i="17" s="1"/>
  <c r="E31" i="17"/>
  <c r="E52" i="17" s="1"/>
  <c r="C37" i="17"/>
  <c r="C58" i="17" s="1"/>
  <c r="C31" i="17"/>
  <c r="C52" i="17" s="1"/>
  <c r="C38" i="17"/>
  <c r="C59" i="17" s="1"/>
  <c r="C30" i="17"/>
  <c r="C51" i="17" s="1"/>
  <c r="C35" i="17"/>
  <c r="C56" i="17" s="1"/>
  <c r="H33" i="17"/>
  <c r="H54" i="17" s="1"/>
  <c r="H38" i="17"/>
  <c r="H59" i="17" s="1"/>
  <c r="H35" i="17"/>
  <c r="H56" i="17" s="1"/>
  <c r="H34" i="17"/>
  <c r="H55" i="17" s="1"/>
  <c r="H26" i="17"/>
  <c r="H47" i="17" s="1"/>
  <c r="H29" i="17"/>
  <c r="H50" i="17" s="1"/>
  <c r="H27" i="17"/>
  <c r="H48" i="17" s="1"/>
  <c r="H32" i="17"/>
  <c r="H53" i="17" s="1"/>
  <c r="H28" i="17"/>
  <c r="H49" i="17" s="1"/>
  <c r="H30" i="17"/>
  <c r="H51" i="17" s="1"/>
  <c r="H36" i="17"/>
  <c r="H37" i="17"/>
  <c r="H58" i="17" s="1"/>
  <c r="J25" i="17" l="1"/>
  <c r="D41" i="17"/>
  <c r="D62" i="17"/>
  <c r="F41" i="17"/>
  <c r="F62" i="17"/>
  <c r="B62" i="17"/>
  <c r="B41" i="17"/>
  <c r="B52" i="17"/>
  <c r="J52" i="17" s="1"/>
  <c r="H46" i="17"/>
  <c r="J46" i="17" s="1"/>
  <c r="G41" i="17"/>
  <c r="G62" i="17"/>
  <c r="J60" i="17"/>
  <c r="J39" i="17"/>
  <c r="J55" i="17"/>
  <c r="J58" i="17"/>
  <c r="J36" i="17"/>
  <c r="J54" i="17"/>
  <c r="J33" i="17"/>
  <c r="E62" i="17"/>
  <c r="J31" i="17"/>
  <c r="E41" i="17"/>
  <c r="J56" i="17"/>
  <c r="C62" i="17"/>
  <c r="J35" i="17"/>
  <c r="J59" i="17"/>
  <c r="J38" i="17"/>
  <c r="C41" i="17"/>
  <c r="J29" i="17"/>
  <c r="J27" i="17"/>
  <c r="J48" i="17"/>
  <c r="J50" i="17"/>
  <c r="J47" i="17"/>
  <c r="J51" i="17"/>
  <c r="H41" i="17"/>
  <c r="J26" i="17"/>
  <c r="J30" i="17"/>
  <c r="H57" i="17"/>
  <c r="J57" i="17" s="1"/>
  <c r="J49" i="17"/>
  <c r="J28" i="17"/>
  <c r="H62" i="17"/>
  <c r="J53" i="17"/>
  <c r="J37" i="17"/>
  <c r="J32" i="17"/>
  <c r="J34" i="17"/>
  <c r="O25" i="17" l="1"/>
  <c r="P25" i="17"/>
  <c r="P46" i="17"/>
  <c r="J41" i="17"/>
  <c r="O46" i="17"/>
  <c r="J62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Adrian Kirn</author>
  </authors>
  <commentList>
    <comment ref="AF39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Adrian Kirn:</t>
        </r>
        <r>
          <rPr>
            <sz val="9"/>
            <color indexed="81"/>
            <rFont val="Tahoma"/>
            <family val="2"/>
          </rPr>
          <t xml:space="preserve">
Should this point be moved here?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0_Tolerances" description="Connection to the '00_Tolerances' query in the workbook." type="5" refreshedVersion="6" background="1" saveData="1">
    <dbPr connection="Provider=Microsoft.Mashup.OleDb.1;Data Source=$Workbook$;Location=00_Tolerances;Extended Properties=&quot;&quot;" command="SELECT * FROM [00_Tolerances]"/>
  </connection>
  <connection id="2" xr16:uid="{00000000-0015-0000-FFFF-FFFF01000000}" keepAlive="1" name="Query - 20_Counters" description="Connection to the '20_Counters' query in the workbook." type="5" refreshedVersion="6" background="1" refreshOnLoad="1" saveData="1">
    <dbPr connection="Provider=Microsoft.Mashup.OleDb.1;Data Source=$Workbook$;Location=20_Counters;Extended Properties=&quot;&quot;" command="SELECT * FROM [20_Counters]"/>
  </connection>
  <connection id="3" xr16:uid="{00000000-0015-0000-FFFF-FFFF02000000}" keepAlive="1" name="Query - 30_Fixtures" description="Connection to the '30_Fixtures' query in the workbook." type="5" refreshedVersion="0" background="1">
    <dbPr connection="Provider=Microsoft.Mashup.OleDb.1;Data Source=$Workbook$;Location=30_Fixtures;Extended Properties=&quot;&quot;" command="SELECT * FROM [30_Fixtures]"/>
  </connection>
  <connection id="4" xr16:uid="{00000000-0015-0000-FFFF-FFFF03000000}" keepAlive="1" name="Query - OffsetHistory" description="Connection to the 'OffsetHistory' query in the workbook." type="5" refreshedVersion="6" background="1" refreshOnLoad="1" saveData="1">
    <dbPr connection="Provider=Microsoft.Mashup.OleDb.1;Data Source=$Workbook$;Location=OffsetHistory;Extended Properties=&quot;&quot;" command="SELECT * FROM [OffsetHistory]"/>
  </connection>
  <connection id="5" xr16:uid="{00000000-0015-0000-FFFF-FFFF04000000}" keepAlive="1" name="WJM_AE1(1/2) TF-19-0003:0001:1/2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9_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1:1') OR ([20_LPT5_1].[Fixture Location]='TF-19-0003:0001:2') OR ([20_LPT5_2].[Fixture Location]='TF-19-0003:0001:1') OR ([20_LPT5_2].[Fixture Location]='TF-19-0003:0001:2')) _x000d__x000a_AND [40_CMM_LPT5].[Date] &gt;= GetDate()-14_x000d__x000a_ORDER BY [40_CMM_LPT5].[Date] ASC;"/>
  </connection>
  <connection id="6" xr16:uid="{00000000-0015-0000-FFFF-FFFF05000000}" keepAlive="1" name="WJM_AE1(1/2) TF-19-0003:0001:3/4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9_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1:3') OR ([20_LPT5_1].[Fixture Location]='TF-19-0003:0001:4') OR ([20_LPT5_2].[Fixture Location]='TF-19-0003:0001:3') OR ([20_LPT5_2].[Fixture Location]='TF-19-0003:0001:4')) _x000d__x000a_AND [40_CMM_LPT5].[Date] &gt;= GetDate()-14_x000d__x000a_ORDER BY [40_CMM_LPT5].[Date] ASC;"/>
  </connection>
  <connection id="7" xr16:uid="{00000000-0015-0000-FFFF-FFFF06000000}" keepAlive="1" name="WJM_AE1(5/6) TF-19-0003:0002:5/6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9_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2:5') OR ([20_LPT5_1].[Fixture Location]='TF-19-0003:0002:6') OR ([20_LPT5_2].[Fixture Location]='TF-19-0003:0002:5') OR ([20_LPT5_2].[Fixture Location]='TF-19-0003:0002:6')) _x000d__x000a_AND [40_CMM_LPT5].[Date] &gt;= GetDate()-14_x000d__x000a_ORDER BY [40_CMM_LPT5].[Date] ASC;"/>
  </connection>
  <connection id="8" xr16:uid="{00000000-0015-0000-FFFF-FFFF07000000}" keepAlive="1" name="WJM_AE1(7/8) TF-19-0003:0002:7/8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2:7') OR ([20_LPT5_1].[Fixture Location]='TF-19-0003:0002:8') OR ([20_LPT5_2].[Fixture Location]='TF-19-0003:0002:7') OR ([20_LPT5_2].[Fixture Location]='TF-19-0003:0002:8')) _x000d__x000a_AND [40_CMM_LPT5].[Date] &gt;= GetDate()-14_x000d__x000a_ORDER BY [40_CMM_LPT5].[Date] ASC;"/>
  </connection>
  <connection id="9" xr16:uid="{00000000-0015-0000-FFFF-FFFF08000000}" keepAlive="1" name="WJM_AE2(5/6) TF-19-0003:0004:5/6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4:5') OR ([20_LPT5_1].[Fixture Location]='TF-19-0003:0004:6') OR ([20_LPT5_2].[Fixture Location]='TF-19-0003:0004:5') OR ([20_LPT5_2].[Fixture Location]='TF-19-0003:0004:6')) _x000d__x000a_AND [40_CMM_LPT5].[Date] &gt;= GetDate()-14_x000d__x000a_ORDER BY [40_CMM_LPT5].[Date] ASC;"/>
  </connection>
  <connection id="10" xr16:uid="{61D2B853-79E7-41CB-A8E5-E6B37F2BE5C0}" keepAlive="1" name="WJM_AE2(5/6) TF-19-0003:0004:5/61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3:1') OR ([20_LPT5_1].[Fixture Location]='TF-19-0003:0003:2') OR ([20_LPT5_2].[Fixture Location]='TF-19-0003:0003:1') OR ([20_LPT5_2].[Fixture Location]='TF-19-0003:0003:2')) _x000d__x000a_AND [40_CMM_LPT5].[Date] &gt;= GetDate()-14_x000d__x000a_ORDER BY [40_CMM_LPT5].[Date] ASC;"/>
  </connection>
  <connection id="11" xr16:uid="{00000000-0015-0000-FFFF-FFFF09000000}" keepAlive="1" name="WJM_AE2(7/8) TF-19-0003:0004:7/8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4:7') OR ([20_LPT5_1].[Fixture Location]='TF-19-0003:0004:8') OR ([20_LPT5_2].[Fixture Location]='TF-19-0003:0004:7') OR ([20_LPT5_2].[Fixture Location]='TF-19-0003:0004:8')) _x000d__x000a_AND [40_CMM_LPT5].[Date] &gt;= GetDate()-14_x000d__x000a_ORDER BY [40_CMM_LPT5].[Date] ASC;"/>
  </connection>
  <connection id="12" xr16:uid="{00000000-0015-0000-FFFF-FFFF0A000000}" keepAlive="1" name="WJM_M500_2(1/2) TF-19-0003:0006:1/2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_x000d__x000a_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6:1') OR ([20_LPT5_1].[Fixture Location]='TF-19-0003:0006:2') OR ([20_LPT5_2].[Fixture Location]='TF-19-0003:0006:1') OR ([20_LPT5_2].[Fixture Location]='TF-19-0003:0006:2')) _x000d__x000a_AND [40_CMM_LPT5].[Date] &gt;= GetDate()-14_x000d__x000a_ORDER BY [40_CMM_LPT5].[Date] ASC;"/>
  </connection>
  <connection id="13" xr16:uid="{00000000-0015-0000-FFFF-FFFF0B000000}" keepAlive="1" name="WJM_M500_2(3/4) TF-19-0003:0006:3/4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_x000d__x000a_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6:3') OR ([20_LPT5_1].[Fixture Location]='TF-19-0003:0006:4') OR ([20_LPT5_2].[Fixture Location]='TF-19-0003:0006:3') OR ([20_LPT5_2].[Fixture Location]='TF-19-0003:0006:4')) _x000d__x000a_AND [40_CMM_LPT5].[Date] &gt;= GetDate()-14_x000d__x000a_ORDER BY [40_CMM_LPT5].[Date] ASC;"/>
  </connection>
  <connection id="14" xr16:uid="{99A49CE6-ABFA-48D5-82DA-78BCC7DEEAB0}" keepAlive="1" name="WJM_M500_2(5/6) TF-19-0012:0001:5/6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_x000d__x000a_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12:0001:5') OR ([20_LPT5_1].[Fixture Location]='TF-19-0012:0001:6') OR ([20_LPT5_2].[Fixture Location]='TF-19-0012:0001:5') OR ([20_LPT5_2].[Fixture Location]='TF-19-0012:0001:6')) _x000d__x000a_AND [40_CMM_LPT5].[Date] &gt;= GetDate()-14_x000d__x000a_ORDER BY [40_CMM_LPT5].[Date] ASC;"/>
  </connection>
  <connection id="15" xr16:uid="{EB27AFDF-D4A7-4504-8734-980B9F8CF9F3}" keepAlive="1" name="WJM_M500_2(7/8) TF-19-0012:0001:7/8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T T1_1], [40_CMM_LPT5].[T T1_2], [40_CMM_LPT5].[Dim 2_1], [40_CMM_LPT5].[Dim 2_2], [40_CMM_LPT5].[Dim 3_1], [40_CMM_LPT5].[Dim 3_2], [40_CMM_LPT5].[T T3_1], [40_CMM_LPT5].[T T3_2], _x000d__x000a_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_x000d__x000a_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12:0001:7') OR ([20_LPT5_1].[Fixture Location]='TF-19-0012:0001:8') OR ([20_LPT5_2].[Fixture Location]='TF-19-0012:0001:7') OR ([20_LPT5_2].[Fixture Location]='TF-19-0012:0001:8')) _x000d__x000a_AND [40_CMM_LPT5].[Date] &gt;= GetDate()-14_x000d__x000a_ORDER BY [40_CMM_LPT5].[Date] ASC;"/>
  </connection>
  <connection id="16" xr16:uid="{00000000-0015-0000-FFFF-FFFF0C000000}" keepAlive="1" name="WJM_M500_3(5/6) TF-19-0003:0008:5/6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8:5') OR ([20_LPT5_1].[Fixture Location]='TF-19-0003:0008:6') OR ([20_LPT5_2].[Fixture Location]='TF-19-0003:0008:5') OR ([20_LPT5_2].[Fixture Location]='TF-19-0003:0008:6')) _x000d__x000a_AND [40_CMM_LPT5].[Date] &gt;= GetDate()-14_x000d__x000a_ORDER BY [40_CMM_LPT5].[Date] ASC;"/>
  </connection>
  <connection id="17" xr16:uid="{00000000-0015-0000-FFFF-FFFF0D000000}" keepAlive="1" name="WJM_M500_3(7/8) TF-19-0003:0008:7/8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8:7') OR ([20_LPT5_1].[Fixture Location]='TF-19-0003:0008:8') OR ([20_LPT5_2].[Fixture Location]='TF-19-0003:0008:7') OR ([20_LPT5_2].[Fixture Location]='TF-19-0003:0008:8')) _x000d__x000a_AND [40_CMM_LPT5].[Date] &gt;= GetDate()-14_x000d__x000a_ORDER BY [40_CMM_LPT5].[Date] ASC;"/>
  </connection>
  <connection id="18" xr16:uid="{00000000-0015-0000-FFFF-FFFF0E000000}" keepAlive="1" name="WJM_M500_4(3/4) TF-19-0003:0005:1/2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5:1') OR ([20_LPT5_1].[Fixture Location]='TF-19-0003:0005:2') OR ([20_LPT5_2].[Fixture Location]='TF-19-0003:0005:1') OR ([20_LPT5_2].[Fixture Location]='TF-19-0003:0005:2')) _x000d__x000a_AND [40_CMM_LPT5].[Date] &gt;= GetDate()-14_x000d__x000a_ORDER BY [40_CMM_LPT5].[Date] ASC;"/>
  </connection>
  <connection id="19" xr16:uid="{00000000-0015-0000-FFFF-FFFF0F000000}" keepAlive="1" name="WJM_M500_4(3/4) TF-19-0003:0005:3/4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05:3') OR ([20_LPT5_1].[Fixture Location]='TF-19-0003:0005:4') OR ([20_LPT5_2].[Fixture Location]='TF-19-0003:0005:3') OR ([20_LPT5_2].[Fixture Location]='TF-19-0003:0005:4')) _x000d__x000a_AND [40_CMM_LPT5].[Date] &gt;= GetDate()-14_x000d__x000a_ORDER BY [40_CMM_LPT5].[Date] ASC;"/>
  </connection>
  <connection id="20" xr16:uid="{00000000-0015-0000-FFFF-FFFF10000000}" keepAlive="1" name="WJM_M500_4(3/4) TF-19-0003:0011:3/4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11:3') OR ([20_LPT5_1].[Fixture Location]='TF-19-0003:0011:4') OR ([20_LPT5_2].[Fixture Location]='TF-19-0003:0011:3') OR ([20_LPT5_2].[Fixture Location]='TF-19-0003:0011:4')) _x000d__x000a_AND [40_CMM_LPT5].[Date] &gt;= GetDate()-14_x000d__x000a_ORDER BY [40_CMM_LPT5].[Date] ASC;"/>
  </connection>
  <connection id="21" xr16:uid="{00000000-0015-0000-FFFF-FFFF11000000}" keepAlive="1" name="WJM_M500_5(1/2) TF-19-0003:0013:1/2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13:1') OR ([20_LPT5_1].[Fixture Location]='TF-19-0003:0013:2') OR ([20_LPT5_2].[Fixture Location]='TF-19-0003:0013:1') OR ([20_LPT5_2].[Fixture Location]='TF-19-0003:0013:2')) _x000d__x000a_AND [40_CMM_LPT5].[Date] &gt;= GetDate()-14_x000d__x000a_ORDER BY [40_CMM_LPT5].[Date] ASC;"/>
  </connection>
  <connection id="22" xr16:uid="{00000000-0015-0000-FFFF-FFFF12000000}" keepAlive="1" name="WJM_M500_5(1/2) TF-19-0003:0013:3/4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13:3') OR ([20_LPT5_1].[Fixture Location]='TF-19-0003:0013:4') OR ([20_LPT5_2].[Fixture Location]='TF-19-0003:0013:3') OR ([20_LPT5_2].[Fixture Location]='TF-19-0003:0013:4')) _x000d__x000a_AND [40_CMM_LPT5].[Date] &gt;= GetDate()-14_x000d__x000a_ORDER BY [40_CMM_LPT5].[Date] ASC;"/>
  </connection>
  <connection id="23" xr16:uid="{00000000-0015-0000-FFFF-FFFF13000000}" keepAlive="1" name="WJM_M500_6(1/2) TF-19-0003:0014:1/2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14:1') OR ([20_LPT5_1].[Fixture Location]='TF-19-0003:0014:2') OR ([20_LPT5_2].[Fixture Location]='TF-19-0003:0014:1') OR ([20_LPT5_2].[Fixture Location]='TF-19-0003:0014:2')) _x000d__x000a_AND [40_CMM_LPT5].[Date] &gt;= GetDate()-14_x000d__x000a_ORDER BY [40_CMM_LPT5].[Date] ASC;"/>
  </connection>
  <connection id="24" xr16:uid="{00000000-0015-0000-FFFF-FFFF14000000}" keepAlive="1" name="WJM_M500_6(3/4) TF-19-0003:0014:3/4" type="5" refreshedVersion="6" background="1" refreshOnLoad="1" saveData="1">
    <dbPr connection="Provider=SQLOLEDB.1;Integrated Security=SSPI;Persist Security Info=True;Initial Catalog=CMM_Repository;Data Source=PRODSQLAPP01.shapetechnologies.com\PRODSQLAPP01;Use Procedure for Prepare=1;Auto Translate=True;Packet Size=4096;Workstation ID=LKEN149;Use Encryption for Data=False;Tag with column collation when possible=False" command="SELECT DISTINCT [00_AE_SN_Control].[Blade Serial Number], [00_AE_SN_Control].[FIC Blade Part Number] AS [Blade Part Number], [40_CMM_LPT5].[Date], _x000d__x000a_[40_CMM_LPT5].[Dim 1_1], [40_CMM_LPT5].[Dim 1_2], [40_CMM_LPT5].[Dim 2_1], [40_CMM_LPT5].[Dim 2_2], [40_CMM_LPT5].[Dim 3_1], [40_CMM_LPT5].[Dim 3_2], _x000d__x000a_[40_CMM_LPT5].[Dim 4_1], [40_CMM_LPT5].[Dim 4_2], [40_CMM_LPT5].[Dim 5_1], [40_CMM_LPT5].[Dim 5_2], [40_CMM_LPT5].[Dim 6], [40_CMM_LPT5].[Dim 7], _x000d__x000a_[40_CMM_LPT5].[Dim 9_1], [40_CMM_LPT5].[Dim 9_2], [40_CMM_LPT5].[Dim 10_1], [40_CMM_LPT5].[Dim 10_2], _x000d__x000a_[40_CMM_LPT5].[Dim 11], [40_CMM_LPT5].[Dim 11 Max], [40_CMM_LPT5].[Dim 11 Min], [40_CMM_LPT5].[Dim 12], [40_CMM_LPT5].[Dim 12 Max], [40_CMM_LPT5].[Dim 12 Min], _x000d__x000a_[40_CMM_LPT5].[T 1], [40_CMM_LPT5].[T 2], [40_CMM_LPT5].[T 3], [40_CMM_LPT5].[T 4], [40_CMM_LPT5].[T 5], [40_CMM_LPT5].[T 6], [40_CMM_LPT5].[T 7], [40_CMM_LPT5].[T 8], [40_CMM_LPT5].[Revision] _x000d__x000a_FROM [40_CMM_LPT5] INNER JOIN (([00_AE_SN_Control] _x000d__x000a__x0009_LEFT JOIN [20_LPT5] AS [20_LPT5_1] ON [00_AE_SN_Control].[Blade Serial Number] = [20_LPT5_1].[Blade SN Dash 1]) _x000d__x000a__x0009_LEFT JOIN [20_LPT5] AS [20_LPT5_2] ON [00_AE_SN_Control].[Blade Serial Number] = [20_LPT5_2].[Blade SN Dash 2]) _x000d__x000a_ON [40_CMM_LPT5].[Serial Number] = [00_AE_SN_Control].[Blade Serial Number]_x000d__x000a_WHERE (([20_LPT5_1].[Fixture Location]='TF-19-0003:0014:3') OR ([20_LPT5_1].[Fixture Location]='TF-19-0003:0014:4') OR ([20_LPT5_2].[Fixture Location]='TF-19-0003:0014:3') OR ([20_LPT5_2].[Fixture Location]='TF-19-0003:0014:4')) _x000d__x000a_AND [40_CMM_LPT5].[Date] &gt;= GetDate()-14_x000d__x000a_ORDER BY [40_CMM_LPT5].[Date] ASC;"/>
  </connection>
</connections>
</file>

<file path=xl/sharedStrings.xml><?xml version="1.0" encoding="utf-8"?>
<sst xmlns="http://schemas.openxmlformats.org/spreadsheetml/2006/main" count="9835" uniqueCount="2913">
  <si>
    <t>Date</t>
  </si>
  <si>
    <t>Dim 1_1</t>
  </si>
  <si>
    <t>Dim 1_2</t>
  </si>
  <si>
    <t>Dim 2_1</t>
  </si>
  <si>
    <t>Dim 2_2</t>
  </si>
  <si>
    <t>Dim 3_1</t>
  </si>
  <si>
    <t>Dim 3_2</t>
  </si>
  <si>
    <t>Dim 4_1</t>
  </si>
  <si>
    <t>Dim 4_2</t>
  </si>
  <si>
    <t>Dim 5_1</t>
  </si>
  <si>
    <t>Dim 5_2</t>
  </si>
  <si>
    <t>Dim 6</t>
  </si>
  <si>
    <t>Dim 7</t>
  </si>
  <si>
    <t>Dim 9_1</t>
  </si>
  <si>
    <t>Dim 9_2</t>
  </si>
  <si>
    <t>Dim 10_1</t>
  </si>
  <si>
    <t>Dim 10_2</t>
  </si>
  <si>
    <t>Dim 11</t>
  </si>
  <si>
    <t>Dim 11 Max</t>
  </si>
  <si>
    <t>Dim 11 Min</t>
  </si>
  <si>
    <t>Dim 12</t>
  </si>
  <si>
    <t>Dim 12 Max</t>
  </si>
  <si>
    <t>Dim 12 Min</t>
  </si>
  <si>
    <t>T 1</t>
  </si>
  <si>
    <t>T 2</t>
  </si>
  <si>
    <t>T 3</t>
  </si>
  <si>
    <t>T 4</t>
  </si>
  <si>
    <t>T 5</t>
  </si>
  <si>
    <t>T 6</t>
  </si>
  <si>
    <t>T 7</t>
  </si>
  <si>
    <t>T 8</t>
  </si>
  <si>
    <t>060053-2</t>
  </si>
  <si>
    <t>060053-1</t>
  </si>
  <si>
    <t>Blade Serial Number</t>
  </si>
  <si>
    <t>Dimension</t>
  </si>
  <si>
    <t>Min Value</t>
  </si>
  <si>
    <t>Max Value</t>
  </si>
  <si>
    <t>Nominal</t>
  </si>
  <si>
    <t>-Tol</t>
  </si>
  <si>
    <t>+Tol</t>
  </si>
  <si>
    <t>Average</t>
  </si>
  <si>
    <t>Min Allowable</t>
  </si>
  <si>
    <t>Max Allowable</t>
  </si>
  <si>
    <t>OOT</t>
  </si>
  <si>
    <t>Shift</t>
  </si>
  <si>
    <t>Total</t>
  </si>
  <si>
    <t>1st and 2nd</t>
  </si>
  <si>
    <t>3rd</t>
  </si>
  <si>
    <t>Daily Average</t>
  </si>
  <si>
    <t>YIELD RATE</t>
  </si>
  <si>
    <t>Per Hour</t>
  </si>
  <si>
    <t>AE1_5</t>
  </si>
  <si>
    <t>AE1_7</t>
  </si>
  <si>
    <t>AE2_5</t>
  </si>
  <si>
    <t>AE2_7</t>
  </si>
  <si>
    <t>AE5_3</t>
  </si>
  <si>
    <t>AE3_3</t>
  </si>
  <si>
    <t>AE4_7</t>
  </si>
  <si>
    <t>TOTAL BLADES</t>
  </si>
  <si>
    <t>FAILED BLADES</t>
  </si>
  <si>
    <t>Blade Part Number</t>
  </si>
  <si>
    <t>DIM 9</t>
  </si>
  <si>
    <t>DIM 10</t>
  </si>
  <si>
    <t>Max Change</t>
  </si>
  <si>
    <t>Min Change</t>
  </si>
  <si>
    <t>=</t>
  </si>
  <si>
    <t>DIM 11</t>
  </si>
  <si>
    <t>Fixed
Location</t>
  </si>
  <si>
    <t>-2 Dim 12</t>
  </si>
  <si>
    <t>-2 Dim 11</t>
  </si>
  <si>
    <t>-1 Dim 12</t>
  </si>
  <si>
    <t>-1 Dim 11</t>
  </si>
  <si>
    <t>DIM 12</t>
  </si>
  <si>
    <t>Bottom
Dimensions</t>
  </si>
  <si>
    <t>Top
Dimensions</t>
  </si>
  <si>
    <t>Adjustment
Increment</t>
  </si>
  <si>
    <t>Conditon 1</t>
  </si>
  <si>
    <t>Deviation</t>
  </si>
  <si>
    <t>New Value</t>
  </si>
  <si>
    <t>Actual</t>
  </si>
  <si>
    <t>Change</t>
  </si>
  <si>
    <t>Constraints</t>
  </si>
  <si>
    <t>Round Digits</t>
  </si>
  <si>
    <t>Fix a Cut</t>
  </si>
  <si>
    <t>Total Offset</t>
  </si>
  <si>
    <t>Adjustment</t>
  </si>
  <si>
    <t>AVG X</t>
  </si>
  <si>
    <t>Int Adjustment</t>
  </si>
  <si>
    <t>Amount</t>
  </si>
  <si>
    <t>Value</t>
  </si>
  <si>
    <t>Description</t>
  </si>
  <si>
    <t>Cut Name</t>
  </si>
  <si>
    <t>2) Change Initial Parameters</t>
  </si>
  <si>
    <t>Top</t>
  </si>
  <si>
    <t>1) Choose →</t>
  </si>
  <si>
    <t>Limit</t>
  </si>
  <si>
    <t>DIM 5</t>
  </si>
  <si>
    <t>Cut 1 Balance</t>
  </si>
  <si>
    <t>DIM 4</t>
  </si>
  <si>
    <t>DIM 2</t>
  </si>
  <si>
    <t>DIM 3</t>
  </si>
  <si>
    <t>Bottom Dimensions</t>
  </si>
  <si>
    <t>DIM 1</t>
  </si>
  <si>
    <t>Top Dimensions</t>
  </si>
  <si>
    <t>AVG Y</t>
  </si>
  <si>
    <t>Machine</t>
  </si>
  <si>
    <t>CutToLength
Point 1</t>
  </si>
  <si>
    <t>CutToLength
Point 78</t>
  </si>
  <si>
    <t>Index1a
Curve 2</t>
  </si>
  <si>
    <t>Index1a
Curve 4</t>
  </si>
  <si>
    <t>Index1b
Curve 1</t>
  </si>
  <si>
    <t>Index1b
Curve 4</t>
  </si>
  <si>
    <t>Index2a
Curve 1</t>
  </si>
  <si>
    <t>Index2a
Curve 4</t>
  </si>
  <si>
    <t>Index2b
Curve 4</t>
  </si>
  <si>
    <t>Index2b
Curve 2</t>
  </si>
  <si>
    <t>Separation
Curve 3</t>
  </si>
  <si>
    <t>Separation
Curve 7</t>
  </si>
  <si>
    <t>Separation
Curve 5</t>
  </si>
  <si>
    <t>Separation
Curve 1</t>
  </si>
  <si>
    <t>Separation
Curve 9</t>
  </si>
  <si>
    <t>C2L-78</t>
  </si>
  <si>
    <t>C2L-1</t>
  </si>
  <si>
    <t>1a-2</t>
  </si>
  <si>
    <t>1b-1</t>
  </si>
  <si>
    <t>2b-2</t>
  </si>
  <si>
    <t>2a-1</t>
  </si>
  <si>
    <t>SEP-3</t>
  </si>
  <si>
    <t>SEP-7</t>
  </si>
  <si>
    <t>SEP-1</t>
  </si>
  <si>
    <t>SEP-5</t>
  </si>
  <si>
    <t>SEP-9</t>
  </si>
  <si>
    <t>1a-4</t>
  </si>
  <si>
    <t>1b-4</t>
  </si>
  <si>
    <t>2b-4</t>
  </si>
  <si>
    <t>2a-4</t>
  </si>
  <si>
    <t>Top Fixed Location</t>
  </si>
  <si>
    <t>Bottom Fixed Location</t>
  </si>
  <si>
    <t>Balance</t>
  </si>
  <si>
    <t>Cut 1 Top</t>
  </si>
  <si>
    <t>Cut 1 Bottom</t>
  </si>
  <si>
    <t>Start Date</t>
  </si>
  <si>
    <t>End Date</t>
  </si>
  <si>
    <t>Efficiency</t>
  </si>
  <si>
    <t>Machine Capacity</t>
  </si>
  <si>
    <t>Cut 1a-2</t>
  </si>
  <si>
    <t>Cut 2b-2</t>
  </si>
  <si>
    <t>Name</t>
  </si>
  <si>
    <t>Bal.</t>
  </si>
  <si>
    <t>Bot</t>
  </si>
  <si>
    <t>Revision</t>
  </si>
  <si>
    <t>ID</t>
  </si>
  <si>
    <t>Obsolete</t>
  </si>
  <si>
    <t>Active Machine</t>
  </si>
  <si>
    <t>Part Number</t>
  </si>
  <si>
    <t>Nomenclature</t>
  </si>
  <si>
    <t>Fixture</t>
  </si>
  <si>
    <t>M500_2_4 (3-4)</t>
  </si>
  <si>
    <t>AE1_2  (1-2)</t>
  </si>
  <si>
    <t>AE2_6  (2-6)</t>
  </si>
  <si>
    <t>AE2_8  (2-8)</t>
  </si>
  <si>
    <t>M500_4_2  (5-2)</t>
  </si>
  <si>
    <t>-1 Dim 1_1</t>
  </si>
  <si>
    <t>-1 Dim 2_1</t>
  </si>
  <si>
    <t>-1 Dim 4_1</t>
  </si>
  <si>
    <t>-1 Dim 5_1</t>
  </si>
  <si>
    <t>-2 Dim 2_1</t>
  </si>
  <si>
    <t>-2 Dim 3_1</t>
  </si>
  <si>
    <t>-2 Dim 4_1</t>
  </si>
  <si>
    <t>-2 Dim 5_1</t>
  </si>
  <si>
    <t>-1 Dim 1_2</t>
  </si>
  <si>
    <t>-1 Dim 2_2</t>
  </si>
  <si>
    <t>-1 Dim 4_2</t>
  </si>
  <si>
    <t>-1 Dim 5_2</t>
  </si>
  <si>
    <t>-2 Dim 2_2</t>
  </si>
  <si>
    <t>-2 Dim 3_2</t>
  </si>
  <si>
    <t>-2 Dim 4_2</t>
  </si>
  <si>
    <t>-2 Dim 5_2</t>
  </si>
  <si>
    <t>≥</t>
  </si>
  <si>
    <t>≤</t>
  </si>
  <si>
    <t>Conditon 2</t>
  </si>
  <si>
    <t>Conditon 3</t>
  </si>
  <si>
    <t>Moderate Offsets</t>
  </si>
  <si>
    <t>Extreme Offsets</t>
  </si>
  <si>
    <t>Machines Needing Offsets</t>
  </si>
  <si>
    <t>MachineNumber</t>
  </si>
  <si>
    <t>FileName</t>
  </si>
  <si>
    <t>CreateDate</t>
  </si>
  <si>
    <t>OFFSET_ID</t>
  </si>
  <si>
    <t>30_Fixtures.Nomenclature</t>
  </si>
  <si>
    <t>WJM_M500_2</t>
  </si>
  <si>
    <t>Fixture6</t>
  </si>
  <si>
    <t>WJM_M500_2|6</t>
  </si>
  <si>
    <t>WJM_M500_4</t>
  </si>
  <si>
    <t>Fixture2</t>
  </si>
  <si>
    <t>WJM_M500_4|2</t>
  </si>
  <si>
    <t>WJM_AE2</t>
  </si>
  <si>
    <t>WJM_AE2|6</t>
  </si>
  <si>
    <t>Fixture8</t>
  </si>
  <si>
    <t>WJM_AE2|8</t>
  </si>
  <si>
    <t>WJM_AE1</t>
  </si>
  <si>
    <t>WJM_AE1|2</t>
  </si>
  <si>
    <t>Fixture4</t>
  </si>
  <si>
    <t>WJM_M500_2|4</t>
  </si>
  <si>
    <t>WJM_M500_4|4</t>
  </si>
  <si>
    <t>WJM_AE1|6</t>
  </si>
  <si>
    <t>WJM_AE1|8</t>
  </si>
  <si>
    <t>WJM_M500_3</t>
  </si>
  <si>
    <t>WJM_M500_3|8</t>
  </si>
  <si>
    <t>Offset Date</t>
  </si>
  <si>
    <t>#2</t>
  </si>
  <si>
    <t>#1</t>
  </si>
  <si>
    <t>← 5) Use these in AquaCAM
            or FlowExpert</t>
  </si>
  <si>
    <t>4) Click "Load/Save"</t>
  </si>
  <si>
    <t>3) Click Data Tab, then "Solver"</t>
  </si>
  <si>
    <t>6) Click "Load", then "Replace", then "Solve"</t>
  </si>
  <si>
    <t>7) Click "OK"</t>
  </si>
  <si>
    <t>8) Repeat steps 5 - 7 for the Blue cells in #2</t>
  </si>
  <si>
    <t>5) Highlight the Yellow cells in #1</t>
  </si>
  <si>
    <t>9) Click "Close"</t>
  </si>
  <si>
    <t>WJM_M500_2|2</t>
  </si>
  <si>
    <t>M500_3_6  (4-6)</t>
  </si>
  <si>
    <t>WJM_M500_3|6</t>
  </si>
  <si>
    <t>Start from last offset</t>
  </si>
  <si>
    <t>WJM_M500_3|2</t>
  </si>
  <si>
    <t>WJM_M500_3|4</t>
  </si>
  <si>
    <t>WJM_M500_5</t>
  </si>
  <si>
    <t>WJM_M500_5|4</t>
  </si>
  <si>
    <t>Orifice Hours</t>
  </si>
  <si>
    <t>MachineID</t>
  </si>
  <si>
    <t>AbrasiveCnt</t>
  </si>
  <si>
    <t>MixCnt</t>
  </si>
  <si>
    <t>OrificeCnt</t>
  </si>
  <si>
    <t>WJM_M500_1</t>
  </si>
  <si>
    <t>WJM_M500_5|2</t>
  </si>
  <si>
    <t>AMP5-2</t>
  </si>
  <si>
    <t>AMP5-4</t>
  </si>
  <si>
    <t>AMP4-4</t>
  </si>
  <si>
    <t>AMP4-2</t>
  </si>
  <si>
    <t>AA Machine</t>
  </si>
  <si>
    <t>AMP 5</t>
  </si>
  <si>
    <t>AMP 4</t>
  </si>
  <si>
    <t>Machine ID</t>
  </si>
  <si>
    <t>AA1-4</t>
  </si>
  <si>
    <t>WJM_M500_1|4</t>
  </si>
  <si>
    <t>WJM_M500_6</t>
  </si>
  <si>
    <t>Mixing Tube Hours</t>
  </si>
  <si>
    <t>AMP 7</t>
  </si>
  <si>
    <t>AMP7-6</t>
  </si>
  <si>
    <t>AMP7-8</t>
  </si>
  <si>
    <t>Index 1</t>
  </si>
  <si>
    <t>Curve 4</t>
  </si>
  <si>
    <t>Index 1a</t>
  </si>
  <si>
    <t>Index 1b</t>
  </si>
  <si>
    <t>Curve 1</t>
  </si>
  <si>
    <t>Curve 2</t>
  </si>
  <si>
    <t>Point 78</t>
  </si>
  <si>
    <t>h</t>
  </si>
  <si>
    <t>Index 2</t>
  </si>
  <si>
    <t>Index 2a</t>
  </si>
  <si>
    <t>Index 2b</t>
  </si>
  <si>
    <t>Point 1</t>
  </si>
  <si>
    <t>Separation</t>
  </si>
  <si>
    <t>Curve 3</t>
  </si>
  <si>
    <t>Curve 5</t>
  </si>
  <si>
    <t>Curve 7</t>
  </si>
  <si>
    <t>Curve 9</t>
  </si>
  <si>
    <t>AUTOMATIC OFFSET</t>
  </si>
  <si>
    <t>AMP2-6</t>
  </si>
  <si>
    <t>AMP2-8</t>
  </si>
  <si>
    <t>AMP7-2</t>
  </si>
  <si>
    <t>AMP7-4</t>
  </si>
  <si>
    <t>AMP1-6</t>
  </si>
  <si>
    <t>AMP1-2</t>
  </si>
  <si>
    <t>AMP1-8</t>
  </si>
  <si>
    <t>AMP2-2</t>
  </si>
  <si>
    <t>AMP1-4</t>
  </si>
  <si>
    <t>AA 1</t>
  </si>
  <si>
    <t>AMP 1</t>
  </si>
  <si>
    <t>AMP 2</t>
  </si>
  <si>
    <t>AMP 3</t>
  </si>
  <si>
    <t>AMP 6</t>
  </si>
  <si>
    <t>AMP3-2</t>
  </si>
  <si>
    <t>AMP3-4</t>
  </si>
  <si>
    <t>AMP6-2</t>
  </si>
  <si>
    <t>AMP6-4</t>
  </si>
  <si>
    <t>AMP6-6</t>
  </si>
  <si>
    <t>Blades since offset</t>
  </si>
  <si>
    <t>Global Shift in X</t>
  </si>
  <si>
    <t>Global Shift in Y</t>
  </si>
  <si>
    <t>Global X</t>
  </si>
  <si>
    <t>Administrative:</t>
  </si>
  <si>
    <t>*Sign conventions are on the next tab</t>
  </si>
  <si>
    <t>mm</t>
  </si>
  <si>
    <r>
      <t xml:space="preserve">Move </t>
    </r>
    <r>
      <rPr>
        <i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of Cut To Length in </t>
    </r>
    <r>
      <rPr>
        <b/>
        <sz val="11"/>
        <color theme="1"/>
        <rFont val="Calibri"/>
        <family val="2"/>
        <scheme val="minor"/>
      </rPr>
      <t>Y</t>
    </r>
  </si>
  <si>
    <r>
      <t xml:space="preserve">Move </t>
    </r>
    <r>
      <rPr>
        <i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of Cut To Length in </t>
    </r>
    <r>
      <rPr>
        <b/>
        <sz val="11"/>
        <color theme="1"/>
        <rFont val="Calibri"/>
        <family val="2"/>
        <scheme val="minor"/>
      </rPr>
      <t>X</t>
    </r>
  </si>
  <si>
    <r>
      <t xml:space="preserve">Move </t>
    </r>
    <r>
      <rPr>
        <i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of Index 1 &amp; 2 in </t>
    </r>
    <r>
      <rPr>
        <b/>
        <sz val="11"/>
        <color theme="1"/>
        <rFont val="Calibri"/>
        <family val="2"/>
        <scheme val="minor"/>
      </rPr>
      <t>Y</t>
    </r>
  </si>
  <si>
    <r>
      <t xml:space="preserve">Move </t>
    </r>
    <r>
      <rPr>
        <i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of Index 1 &amp; 2 in </t>
    </r>
    <r>
      <rPr>
        <b/>
        <sz val="11"/>
        <color theme="1"/>
        <rFont val="Calibri"/>
        <family val="2"/>
        <scheme val="minor"/>
      </rPr>
      <t>X</t>
    </r>
  </si>
  <si>
    <t>Select which fixtures the machine will cut:</t>
  </si>
  <si>
    <t xml:space="preserve"> </t>
  </si>
  <si>
    <t>Verify the numbers in the table to the right</t>
  </si>
  <si>
    <t>* It must be already open</t>
  </si>
  <si>
    <t>Make the cut files</t>
  </si>
  <si>
    <t>OR</t>
  </si>
  <si>
    <t>Bottom</t>
  </si>
  <si>
    <t>Pick a fixture to offset:</t>
  </si>
  <si>
    <t>Pick a machine:</t>
  </si>
  <si>
    <t xml:space="preserve">    Offset Values</t>
  </si>
  <si>
    <t>If you want to just create cut files for a machine, follow these instructions:</t>
  </si>
  <si>
    <t>If you want to perform an offset on a fixture, follow these instructions:</t>
  </si>
  <si>
    <t>Make Cut Files Only</t>
  </si>
  <si>
    <t>Perform An Offset</t>
  </si>
  <si>
    <t>Perform the offset</t>
  </si>
  <si>
    <t>Click to get the offset numbers from the Offset Calculator spreadsheet:</t>
  </si>
  <si>
    <t>Enter them manually in the table to the right</t>
  </si>
  <si>
    <t>Pick a fixture:</t>
  </si>
  <si>
    <t>Offset Numbers</t>
  </si>
  <si>
    <t>AMP3_LPT5_Offset.offset</t>
  </si>
  <si>
    <t>Offset File Names</t>
  </si>
  <si>
    <t>AMP3_LPT5_Precut.ord</t>
  </si>
  <si>
    <t>Cut File Names</t>
  </si>
  <si>
    <t>Y</t>
  </si>
  <si>
    <t>Fixture 7/8</t>
  </si>
  <si>
    <t>X</t>
  </si>
  <si>
    <t>Fixture 5/6</t>
  </si>
  <si>
    <t>Fixture 3/4</t>
  </si>
  <si>
    <t>Fixture 1/2</t>
  </si>
  <si>
    <t>Fixture Names</t>
  </si>
  <si>
    <t>G:\Flow\Commercial\Seattle\Engineering\User Folders\Adrian Kirn\1904 - Automatic Offsets for AMP\M500 Cutting Programs\Zero Offset File.offset</t>
  </si>
  <si>
    <t>Zero Offset File</t>
  </si>
  <si>
    <t>Offset_Calculations_Single.xlsx</t>
  </si>
  <si>
    <t>Offset Calculator Filename</t>
  </si>
  <si>
    <t>C:\Users\akirn\Desktop\Temporary While Travelling\1904 - Automatic Offsets for AMP\M500 Offset Histories.xlsm</t>
  </si>
  <si>
    <t>Offset History Excel File</t>
  </si>
  <si>
    <t>G:\Flow\Operations\Seattle\Quality\Contract Cutting\Operation Documents\M500 Cutting Programs\Nominal M500 Files\Nominal Test\M500_2020.ord</t>
  </si>
  <si>
    <t>Nominal ORD File</t>
  </si>
  <si>
    <t>X/Y?</t>
  </si>
  <si>
    <t>#</t>
  </si>
  <si>
    <t>Machine names</t>
  </si>
  <si>
    <t>File Locations</t>
  </si>
  <si>
    <t>Y Direction</t>
  </si>
  <si>
    <t>X direction</t>
  </si>
  <si>
    <t>All of Cut to Length</t>
  </si>
  <si>
    <t>All of Index 1 and 2</t>
  </si>
  <si>
    <t>BH76</t>
  </si>
  <si>
    <t>BA76</t>
  </si>
  <si>
    <t>BN29</t>
  </si>
  <si>
    <t>BF29</t>
  </si>
  <si>
    <t>Home (end)</t>
  </si>
  <si>
    <t>BG76</t>
  </si>
  <si>
    <t>AZ76</t>
  </si>
  <si>
    <t>Whole Fixture Clearance</t>
  </si>
  <si>
    <t>BM29</t>
  </si>
  <si>
    <t>BE29</t>
  </si>
  <si>
    <t>Fixture 7/8 Exit</t>
  </si>
  <si>
    <t>BF76</t>
  </si>
  <si>
    <t>AY76</t>
  </si>
  <si>
    <t>Fixture 5/6 Exit</t>
  </si>
  <si>
    <t>BH29</t>
  </si>
  <si>
    <t>AZ29</t>
  </si>
  <si>
    <t>Fixture 3/4 Exit</t>
  </si>
  <si>
    <t>BK29</t>
  </si>
  <si>
    <t>BC29</t>
  </si>
  <si>
    <t>Fixture 1/2 Exit</t>
  </si>
  <si>
    <t>BL29</t>
  </si>
  <si>
    <t>BD29</t>
  </si>
  <si>
    <t>BK76</t>
  </si>
  <si>
    <t>BD76</t>
  </si>
  <si>
    <t>Fixture 3/4 Clearance</t>
  </si>
  <si>
    <t>BL76</t>
  </si>
  <si>
    <t>BE76</t>
  </si>
  <si>
    <t>BG29</t>
  </si>
  <si>
    <t>AY29</t>
  </si>
  <si>
    <t>Fixture 5/6 Clearance</t>
  </si>
  <si>
    <t>BI29</t>
  </si>
  <si>
    <t>BA29</t>
  </si>
  <si>
    <t>BJ29</t>
  </si>
  <si>
    <t>BB29</t>
  </si>
  <si>
    <t>Fixture 7/8 Clearance</t>
  </si>
  <si>
    <t>BJ76</t>
  </si>
  <si>
    <t>BC76</t>
  </si>
  <si>
    <t>BI76</t>
  </si>
  <si>
    <t>BB76</t>
  </si>
  <si>
    <t>Home (start)</t>
  </si>
  <si>
    <t>Direction (X/Y)</t>
  </si>
  <si>
    <t>Last Point</t>
  </si>
  <si>
    <t>First Point</t>
  </si>
  <si>
    <t>Feature</t>
  </si>
  <si>
    <t>Use it this time?</t>
  </si>
  <si>
    <t>End Point</t>
  </si>
  <si>
    <t>Start Point</t>
  </si>
  <si>
    <t>Corresponding cell in the calculator</t>
  </si>
  <si>
    <t>ORD File Fixture Point Definitions</t>
  </si>
  <si>
    <t>Change these points (point 0 is the first point of Fixture U/V where U = 1,3,5,7 and V = 2,4,6,8)</t>
  </si>
  <si>
    <t>Links between this sheet and the offset calculator</t>
  </si>
  <si>
    <t>0.052700, 0.022700, -2.955700, 0, 0, 0.0, 0.0, 1.0</t>
  </si>
  <si>
    <t>0, 0</t>
  </si>
  <si>
    <t>0.939700, 39.261600, -2.534600, 0, 0, 0.0, 0.0, 1.000000</t>
  </si>
  <si>
    <t>0.939700, 39.261600, 0.516600, 0, 0, 0.0, 0.0, 1.000000</t>
  </si>
  <si>
    <t>17.720900, 39.261600, -2.534600, 0, 0, 0.0, 0.0, 1.000000</t>
  </si>
  <si>
    <t>17.720900, 39.261600, 0.516600, 0, 0, 0.0, 0.0, 1.000000</t>
  </si>
  <si>
    <t>32.807499, 39.261600, -2.534600, 0, 0, 0.0, 0.0, 1.000000</t>
  </si>
  <si>
    <t>32.807499, 39.261600, 0.516600, 0, 0, 0.0, 0.0, 1.000000</t>
  </si>
  <si>
    <t>61.122299, 39.261600, -2.534600, 0, 0, 0.0, 0.0, 1.000000</t>
  </si>
  <si>
    <t>61.122299, 39.261600, 0.516600, 0, 0, 0.0, 0.0, 1.000000</t>
  </si>
  <si>
    <t>0, 1</t>
  </si>
  <si>
    <t>1, 1</t>
  </si>
  <si>
    <t>1, 2</t>
  </si>
  <si>
    <t>1, -1</t>
  </si>
  <si>
    <t>0.052700, 0.022700, -2.943800, 0, 0, 0.0, 0.0, 1.000000</t>
  </si>
  <si>
    <t>0.052700, 0.022700, 0.095500, 0, 0, 0.0, 0.0, 1.000000</t>
  </si>
  <si>
    <t>VER 7.00</t>
  </si>
  <si>
    <t>Bottom Contour</t>
  </si>
  <si>
    <t>Top Contour</t>
  </si>
  <si>
    <t>Status</t>
  </si>
  <si>
    <t>Offset</t>
  </si>
  <si>
    <t>Patch #</t>
  </si>
  <si>
    <t>K</t>
  </si>
  <si>
    <t>J</t>
  </si>
  <si>
    <t>I</t>
  </si>
  <si>
    <t>Z (center)</t>
  </si>
  <si>
    <t>Y (center)</t>
  </si>
  <si>
    <t>X (center)</t>
  </si>
  <si>
    <t>Quality</t>
  </si>
  <si>
    <t>Type</t>
  </si>
  <si>
    <t>Z (start)</t>
  </si>
  <si>
    <t>Y (start)</t>
  </si>
  <si>
    <t>X (start)</t>
  </si>
  <si>
    <t>Arc</t>
  </si>
  <si>
    <t>Z</t>
  </si>
  <si>
    <t>Line</t>
  </si>
  <si>
    <t>X Direction</t>
  </si>
  <si>
    <t>Point #</t>
  </si>
  <si>
    <t>Format: Patch #, Top Contour X Offset, Top Contour Y Offset, Bottom Contour X Offset, Bottom Contour Y Offset</t>
  </si>
  <si>
    <t>All units are in inches.</t>
  </si>
  <si>
    <t>This file is the sole property of Flow International Coorporation.</t>
  </si>
  <si>
    <t>This is an offset file for the LPT5 rough cutting operation in Flow's Advanced Material Processing department.</t>
  </si>
  <si>
    <t>0.052700, 0.022700, -2.955700, 0, 0, 0.0, 0.0, 1.000000</t>
  </si>
  <si>
    <t>Positive X ↑</t>
  </si>
  <si>
    <t>← 4) Use these in AquaCAM</t>
  </si>
  <si>
    <t>← Positive Y</t>
  </si>
  <si>
    <t>4) Use these in AquaCAM</t>
  </si>
  <si>
    <t>↑</t>
  </si>
  <si>
    <t>Run Solver</t>
  </si>
  <si>
    <t>AMP4_LPT5_Precut.ord</t>
  </si>
  <si>
    <t>AMP5_LPT5_Precut.ord</t>
  </si>
  <si>
    <t>AMP6_LPT5_Precut.ord</t>
  </si>
  <si>
    <t>AMP7_LPT5_Precut.ord</t>
  </si>
  <si>
    <t>AMP4_LPT5_Offset.offset</t>
  </si>
  <si>
    <t>AMP5_LPT5_Offset.offset</t>
  </si>
  <si>
    <t>AMP6_LPT5_Offset.offset</t>
  </si>
  <si>
    <t>AMP7_LPT5_Offset.offset</t>
  </si>
  <si>
    <t>AMP 1 Cut Folder</t>
  </si>
  <si>
    <t>AMP 2 Cut Folder</t>
  </si>
  <si>
    <t>AMP 3 Cut Folder</t>
  </si>
  <si>
    <t>AMP 4 Cut Folder</t>
  </si>
  <si>
    <t>AMP 5 Cut Folder</t>
  </si>
  <si>
    <t>AMP 6 Cut Folder</t>
  </si>
  <si>
    <t>AMP 7 Cut Folder</t>
  </si>
  <si>
    <t>\\shapetechnologies.com\root\Flow\Operations\Seattle\Quality\Contract Cutting\Operation Documents\M500 Cutting Programs\AMP4 (WJM_M500_5)</t>
  </si>
  <si>
    <t>\\shapetechnologies.com\root\Flow\Operations\Seattle\Quality\Contract Cutting\Operation Documents\M500 Cutting Programs\AMP3 (WJM_M500_6)</t>
  </si>
  <si>
    <t>\\shapetechnologies.com\root\Flow\Operations\Seattle\Quality\Contract Cutting\Operation Documents\M500 Cutting Programs\AMP5 (WJM_M500_4)</t>
  </si>
  <si>
    <t>\\shapetechnologies.com\root\Flow\Operations\Seattle\Quality\Contract Cutting\Operation Documents\M500 Cutting Programs\AMP6 (WJM_M500_2)</t>
  </si>
  <si>
    <t>\\shapetechnologies.com\root\Flow\Operations\Seattle\Quality\Contract Cutting\Operation Documents\M500 Cutting Programs\AMP7 (WJM_M500_3)</t>
  </si>
  <si>
    <t>Combined</t>
  </si>
  <si>
    <t>AA 1 Cut Folder</t>
  </si>
  <si>
    <t>\\shapetechnologies.com\root\Flow\Operations\Seattle\Quality\Contract Cutting\Operation Documents\M500 Cutting Programs\AA1 (WJM_M500_1)</t>
  </si>
  <si>
    <t>AA1_LPT5_Offset.offset</t>
  </si>
  <si>
    <t>AA1_LPT5_Precut.ord</t>
  </si>
  <si>
    <t>Offline Fixtures</t>
  </si>
  <si>
    <t>If you want to perform an offset on 
a fixture, follow these instructions:</t>
  </si>
  <si>
    <t>Choose initial parameters:</t>
  </si>
  <si>
    <t>Averaging data from:</t>
  </si>
  <si>
    <t>Number of blades in average:</t>
  </si>
  <si>
    <t>Blade Count</t>
  </si>
  <si>
    <t>Average Count</t>
  </si>
  <si>
    <t>Max Change Options</t>
  </si>
  <si>
    <t>Adjustment Resolution</t>
  </si>
  <si>
    <t>1) Solve from last offset:</t>
  </si>
  <si>
    <t>2) Max change allowed:</t>
  </si>
  <si>
    <t>Enter your name:</t>
  </si>
  <si>
    <t>Offset Operators</t>
  </si>
  <si>
    <t>Adrian Kirn</t>
  </si>
  <si>
    <t>Blake Bozlee</t>
  </si>
  <si>
    <t>Corentin Ryo</t>
  </si>
  <si>
    <t>Chris Zarlengo</t>
  </si>
  <si>
    <t>Corey Wilson</t>
  </si>
  <si>
    <t>Other</t>
  </si>
  <si>
    <t>SQL Fixture</t>
  </si>
  <si>
    <t>Fixture 4</t>
  </si>
  <si>
    <t>217,0.000000,0.000000,0.000000,0.000000</t>
  </si>
  <si>
    <t>Manual</t>
  </si>
  <si>
    <t>WJM_M500_6|4</t>
  </si>
  <si>
    <t>Solve from last offset</t>
  </si>
  <si>
    <t>Choose offset file:</t>
  </si>
  <si>
    <t>Load last offset file</t>
  </si>
  <si>
    <t>Update offset file</t>
  </si>
  <si>
    <t>Run steps 4 - 7 for additional fixtures</t>
  </si>
  <si>
    <t>Create ORD file</t>
  </si>
  <si>
    <t>3) Increment resolution:</t>
  </si>
  <si>
    <t>Repeat these steps for each fixture</t>
  </si>
  <si>
    <t>Manual offset</t>
  </si>
  <si>
    <t>Manual Offset Sheet: Fill in Yellow Squares</t>
  </si>
  <si>
    <t>Cells will turn green and arrows will show when data is present</t>
  </si>
  <si>
    <t>Positive</t>
  </si>
  <si>
    <t>Negative</t>
  </si>
  <si>
    <t>↓</t>
  </si>
  <si>
    <t>Cell value</t>
  </si>
  <si>
    <t>This replaces steps 4 -  6</t>
  </si>
  <si>
    <t xml:space="preserve">    Manual Offset Values</t>
  </si>
  <si>
    <t>Global Shift Left/Right</t>
  </si>
  <si>
    <t>Global Shift Up/Down</t>
  </si>
  <si>
    <t>2 weeks</t>
  </si>
  <si>
    <t>From offset</t>
  </si>
  <si>
    <t>Offsets</t>
  </si>
  <si>
    <t>Moderate</t>
  </si>
  <si>
    <t>Extreme</t>
  </si>
  <si>
    <t>Hours</t>
  </si>
  <si>
    <t>Mix Tube</t>
  </si>
  <si>
    <t>Orifice</t>
  </si>
  <si>
    <t>// This 3D file was created by FlowMaster(R), which is proprietary to Flow International Corporation. 368 64 216</t>
  </si>
  <si>
    <t>16.231600, 2.825400, 0.622800, 0, 0, 0.0, 0.0, 1.000000</t>
  </si>
  <si>
    <t>16.231600, 2.825400, -2.416500, 0, 0, 0.0, 0.0, 1.000000</t>
  </si>
  <si>
    <t>16.231600, 2.825400, 0.111000, 0, 60, 0.0, 0.0, 1.000000</t>
  </si>
  <si>
    <t>16.231600, 2.825400, -2.928300, 0, 60, 0.0, 0.0, 1.000000</t>
  </si>
  <si>
    <t>16.231600, 2.943500, 0.111000, 0, 60, 0.0, 0.0, 1.000000</t>
  </si>
  <si>
    <t>16.231600, 3.022200, 0.111000, 0, 60, 0.0, 0.0, 1.000000</t>
  </si>
  <si>
    <t>16.231600, 2.904100, -2.928300, 0, 60, 0.0, 0.0, 1.000000</t>
  </si>
  <si>
    <t>16.231600, 6.025100, 0.111000, 0, 60, 0.0, 0.0, 1.000000</t>
  </si>
  <si>
    <t>16.231600, 6.587200, -2.928300, 0, 60, 0.0, 0.0, 1.000000</t>
  </si>
  <si>
    <t>16.231600, 6.029000, 0.111000, 0, 0, 0.0, 0.0, 1.000000</t>
  </si>
  <si>
    <t>16.231600, 6.591100, -2.928300, 0, 0, 0.0, 0.0, 1.000000</t>
  </si>
  <si>
    <t>16.231600, 6.029000, 0.622800, 0, 0, 0.0, 0.0, 1.000000</t>
  </si>
  <si>
    <t>16.231600, 6.591100, -2.416500, 0, 0, 0.0, 0.0, 1.000000</t>
  </si>
  <si>
    <t>16.285000, 8.995300, 0.674100, 0, 0, 0.0, 0.0, 1.000000</t>
  </si>
  <si>
    <t>16.285000, 9.557400, -2.365200, 0, 0, 0.0, 0.0, 1.000000</t>
  </si>
  <si>
    <t>7.845700, 17.137600, 0.516600, 0, 0, 0.0, 0.0, 1.000000</t>
  </si>
  <si>
    <t>7.767000, 16.870600, -2.534600, 0, 0, 0.0, 0.0, 1.000000</t>
  </si>
  <si>
    <t>7.845700, 17.137600, 0.004800, 0, 60, 0.0, 0.0, 1.000000</t>
  </si>
  <si>
    <t>7.767000, 16.870600, -3.046400, 0, 60, 0.0, 0.0, 1.000000</t>
  </si>
  <si>
    <t>8.003200, 17.137199, 0.004800, 0, 60, 0.0, 0.0, 1.000000</t>
  </si>
  <si>
    <t>7.924500, 16.870300, -3.046400, 0, 60, 0.0, 0.0, 1.000000</t>
  </si>
  <si>
    <t>9.629200, 17.137199, 0.004800, 0, 40, 0.0, 0.0, 1.000000</t>
  </si>
  <si>
    <t>9.629200, 16.870300, -3.046400, 0, 40, 0.0, 0.0, 1.000000</t>
  </si>
  <si>
    <t>9.629200, 17.561501, 0.004800, 1, 40, 9.669000, 17.561899, 0.004800, 0.0, 0.0, -1.000000</t>
  </si>
  <si>
    <t>9.629200, 16.951900, -3.046400, 1, 40, 9.669000, 16.952200, -3.046400, 0.0, 0.0, -1.000000</t>
  </si>
  <si>
    <t>9.668600, 17.601700, 0.004800, 0, 40, 0.0, 0.0, 1.000000</t>
  </si>
  <si>
    <t>9.668600, 16.992001, -3.046400, 0, 40, 0.0, 0.0, 1.000000</t>
  </si>
  <si>
    <t>10.141000, 17.601700, 0.004800, 0, 75, 0.0, 0.0, 1.000000</t>
  </si>
  <si>
    <t>10.141000, 16.992001, -3.046400, 0, 75, 0.0, 0.0, 1.000000</t>
  </si>
  <si>
    <t>14.975700, 17.992201, 0.004800, 0, 40, 0.0, 0.0, 1.000000</t>
  </si>
  <si>
    <t>14.975700, 16.921801, -3.046400, 0, 40, 0.0, 0.0, 1.000000</t>
  </si>
  <si>
    <t>15.723700, 17.992201, 0.004800, 1, 40, 15.722500, 17.951599, 0.004800, 0.0, 0.0, -1.000000</t>
  </si>
  <si>
    <t>15.723700, 16.921801, -3.046400, 1, 40, 15.722500, 16.881300, -3.046400, 0.0, 0.0, -1.000000</t>
  </si>
  <si>
    <t>15.763100, 17.950500, 0.004800, 0, 40, 0.0, 0.0, 1.000000</t>
  </si>
  <si>
    <t>15.763100, 16.880100, -3.046400, 0, 40, 0.0, 0.0, 1.000000</t>
  </si>
  <si>
    <t>15.763100, 16.461300, 0.004800, 0, 60, 0.0, 0.0, 1.000000</t>
  </si>
  <si>
    <t>15.763100, 15.390900, -3.046400, 0, 60, 0.0, 0.0, 1.000000</t>
  </si>
  <si>
    <t>15.763100, 16.457399, 0.004800, 0, 0, 0.0, 0.0, 1.000000</t>
  </si>
  <si>
    <t>15.763100, 15.387000, -3.046400, 0, 0, 0.0, 0.0, 1.000000</t>
  </si>
  <si>
    <t>15.763100, 16.457399, 0.516600, 0, 0, 0.0, 0.0, 1.000000</t>
  </si>
  <si>
    <t>15.763100, 15.387000, -2.534600, 0, 0, 0.0, 0.0, 1.000000</t>
  </si>
  <si>
    <t>14.644900, 19.125299, 0.516600, 0, 0, 0.0, 0.0, 1.000000</t>
  </si>
  <si>
    <t>14.644900, 18.054899, -2.534600, 0, 0, 0.0, 0.0, 1.000000</t>
  </si>
  <si>
    <t>16.428400, 19.184500, 0.516600, 0, 0, 0.0, 0.0, 1.000000</t>
  </si>
  <si>
    <t>16.428400, 19.451500, -2.534600, 0, 0, 0.0, 0.0, 1.000000</t>
  </si>
  <si>
    <t>16.428400, 19.184500, 0.004800, 0, 60, 0.0, 0.0, 1.000000</t>
  </si>
  <si>
    <t>16.428400, 19.451500, -3.046400, 0, 60, 0.0, 0.0, 1.000000</t>
  </si>
  <si>
    <t>16.270901, 19.184500, 0.004800, 0, 60, 0.0, 0.0, 1.000000</t>
  </si>
  <si>
    <t>16.270901, 19.451500, -3.046400, 0, 60, 0.0, 0.0, 1.000000</t>
  </si>
  <si>
    <t>14.644900, 19.184500, 0.004800, 0, 40, 0.0, 0.0, 1.000000</t>
  </si>
  <si>
    <t>14.644900, 19.451500, -3.046400, 0, 40, 0.0, 0.0, 1.000000</t>
  </si>
  <si>
    <t>14.644900, 18.760201, 0.004800, 1, 40, 14.605200, 18.759800, 0.004800, 0.0, 0.0, -1.000000</t>
  </si>
  <si>
    <t>14.644900, 19.369900, -3.046400, 1, 40, 14.605200, 19.369499, -3.046400, 0.0, 0.0, -1.000000</t>
  </si>
  <si>
    <t>14.605600, 18.720100, 0.004800, 0, 40, 0.0, 0.0, 1.000000</t>
  </si>
  <si>
    <t>14.605600, 19.329800, -3.046400, 0, 40, 0.0, 0.0, 1.000000</t>
  </si>
  <si>
    <t>14.133100, 18.720100, 0.004800, 0, 75, 0.0, 0.0, 1.000000</t>
  </si>
  <si>
    <t>14.133100, 19.329800, -3.046400, 0, 75, 0.0, 0.0, 1.000000</t>
  </si>
  <si>
    <t>9.298500, 18.329599, 0.004800, 0, 40, 0.0, 0.0, 1.000000</t>
  </si>
  <si>
    <t>9.298500, 19.399900, -3.046400, 0, 40, 0.0, 0.0, 1.000000</t>
  </si>
  <si>
    <t>8.550500, 18.329599, 0.004800, 1, 40, 8.551700, 18.370100, 0.004800, 0.0, 0.0, -1.000000</t>
  </si>
  <si>
    <t>8.550500, 19.399900, -3.046400, 1, 40, 8.551700, 19.440500, -3.046400, 0.0, 0.0, -1.000000</t>
  </si>
  <si>
    <t>8.511100, 18.371300, 0.004800, 0, 40, 0.0, 0.0, 1.000000</t>
  </si>
  <si>
    <t>8.511100, 19.441601, -3.046400, 0, 40, 0.0, 0.0, 1.000000</t>
  </si>
  <si>
    <t>8.511100, 19.466299, 0.004800, 0, 60, 0.0, 0.0, 1.000000</t>
  </si>
  <si>
    <t>8.511100, 20.536699, -3.046400, 0, 60, 0.0, 0.0, 1.000000</t>
  </si>
  <si>
    <t>8.511100, 19.470200, 0.004800, 0, 0, 0.0, 0.0, 1.000000</t>
  </si>
  <si>
    <t>8.511100, 20.540600, -3.046400, 0, 0, 0.0, 0.0, 1.000000</t>
  </si>
  <si>
    <t>8.511100, 19.470200, 0.516600, 0, 0, 0.0, 0.0, 1.000000</t>
  </si>
  <si>
    <t>8.511100, 20.540600, -2.534600, 0, 0, 0.0, 0.0, 1.000000</t>
  </si>
  <si>
    <t>9.629200, 17.196501, 0.516600, 0, 0, 0.0, 0.0, 1.000000</t>
  </si>
  <si>
    <t>9.629200, 18.266899, -2.534600, 0, 0, 0.0, 0.0, 1.000000</t>
  </si>
  <si>
    <t>7.924500, 17.501400, 0.516600, 0, 0, 0.0, 0.0, 1.000000</t>
  </si>
  <si>
    <t>7.924500, 17.501400, -2.534600, 0, 0, 0.0, 0.0, 1.000000</t>
  </si>
  <si>
    <t>7.924500, 17.501400, 0.004800, 0, 60, 0.0, 0.0, 1.000000</t>
  </si>
  <si>
    <t>7.924500, 17.501400, -3.046400, 0, 60, 0.0, 0.0, 1.000000</t>
  </si>
  <si>
    <t>8.003200, 17.501400, 0.004800, 0, 30, 0.0, 0.0, 1.000000</t>
  </si>
  <si>
    <t>8.003200, 17.501400, -3.046400, 0, 30, 0.0, 0.0, 1.000000</t>
  </si>
  <si>
    <t>8.432400, 17.501400, 0.004800, 1, 40, 8.432400, 17.580200, 0.004800, 0.0, 0.0, 1.000000</t>
  </si>
  <si>
    <t>8.432400, 17.501400, -3.046400, 1, 40, 8.432400, 17.580200, -3.046400, 0.0, 0.0, 1.000000</t>
  </si>
  <si>
    <t>8.511100, 17.580200, 0.004800, 0, 40, 0.0, 0.0, 1.000000</t>
  </si>
  <si>
    <t>8.511100, 17.580200, -3.046400, 0, 40, 0.0, 0.0, 1.000000</t>
  </si>
  <si>
    <t>8.511100, 18.101801, 0.004800, 1, 40, 8.589800, 18.101801, 0.004800, 0.0, 0.0, -1.000000</t>
  </si>
  <si>
    <t>8.511100, 18.101801, -3.046400, 1, 40, 8.589800, 18.101801, -3.046400, 0.0, 0.0, -1.000000</t>
  </si>
  <si>
    <t>8.589800, 18.180599, 0.004800, 0, 70, 0.0, 0.0, 1.000000</t>
  </si>
  <si>
    <t>8.589800, 18.180599, -3.046400, 0, 70, 0.0, 0.0, 1.000000</t>
  </si>
  <si>
    <t>15.644900, 18.180599, 0.004800, 1, 40, 15.644900, 18.259300, 0.004800, 0.0, 0.0, 1.000000</t>
  </si>
  <si>
    <t>15.644900, 18.180599, -3.046400, 1, 40, 15.644900, 18.259300, -3.046400, 0.0, 0.0, 1.000000</t>
  </si>
  <si>
    <t>15.723700, 18.259300, 0.004800, 0, 40, 0.0, 0.0, 1.000000</t>
  </si>
  <si>
    <t>15.723700, 18.259300, -3.046400, 0, 40, 0.0, 0.0, 1.000000</t>
  </si>
  <si>
    <t>15.723700, 18.781000, 0.004800, 1, 40, 15.802400, 18.781000, 0.004800, 0.0, 0.0, -1.000000</t>
  </si>
  <si>
    <t>15.723700, 18.781000, -3.046400, 1, 40, 15.802400, 18.781000, -3.046400, 0.0, 0.0, -1.000000</t>
  </si>
  <si>
    <t>15.802400, 18.859699, 0.004800, 0, 30, 0.0, 0.0, 1.000000</t>
  </si>
  <si>
    <t>15.802400, 18.859699, -3.046400, 0, 30, 0.0, 0.0, 1.000000</t>
  </si>
  <si>
    <t>16.270901, 18.859699, 0.004800, 0, 60, 0.0, 0.0, 1.000000</t>
  </si>
  <si>
    <t>16.585899, 18.859699, -3.046400, 0, 60, 0.0, 0.0, 1.000000</t>
  </si>
  <si>
    <t>16.274900, 18.859699, 0.004800, 0, 60, 0.0, 0.0, 1.000000</t>
  </si>
  <si>
    <t>16.589800, 18.859699, -3.046400, 0, 60, 0.0, 0.0, 1.000000</t>
  </si>
  <si>
    <t>16.589800, 18.859699, 0.004800, 0, 0, 0.0, 0.0, 1.000000</t>
  </si>
  <si>
    <t>16.589800, 18.859699, -3.046400, 0, 0, 0.0, 0.0, 1.000000</t>
  </si>
  <si>
    <t>16.589800, 18.859699, 0.516600, 0, 0, 0.0, 0.0, 1.000000</t>
  </si>
  <si>
    <t>16.589800, 18.859699, -2.534600, 0, 0, 0.0, 0.0, 1.000000</t>
  </si>
  <si>
    <t>20.127300, 19.758499, 0.637800, 0, 0, 0.0, 0.0, 1.000000</t>
  </si>
  <si>
    <t>20.127300, 19.758499, -2.413400, 0, 0, 0.0, 0.0, 1.000000</t>
  </si>
  <si>
    <t>20.171400, 0.388600, 0.637800, 0, 0, 0.0, 0.0, 1.000000</t>
  </si>
  <si>
    <t>20.171400, 0.388600, -2.413400, 0, 0, 0.0, 0.0, 1.000000</t>
  </si>
  <si>
    <t>32.373299, 2.825400, 0.622800, 0, 0, 0.0, 0.0, 1.000000</t>
  </si>
  <si>
    <t>32.373299, 2.825400, -2.416500, 0, 0, 0.0, 0.0, 1.000000</t>
  </si>
  <si>
    <t>32.373299, 2.825400, 0.111000, 0, 60, 0.0, 0.0, 1.000000</t>
  </si>
  <si>
    <t>32.373299, 2.825400, -2.928300, 0, 60, 0.0, 0.0, 1.000000</t>
  </si>
  <si>
    <t>32.373299, 2.943500, 0.111000, 0, 60, 0.0, 0.0, 1.000000</t>
  </si>
  <si>
    <t>32.373299, 3.022200, 0.111000, 0, 60, 0.0, 0.0, 1.000000</t>
  </si>
  <si>
    <t>32.373299, 2.904100, -2.928300, 0, 60, 0.0, 0.0, 1.000000</t>
  </si>
  <si>
    <t>32.373299, 6.025100, 0.111000, 0, 60, 0.0, 0.0, 1.000000</t>
  </si>
  <si>
    <t>32.373299, 6.587200, -2.928300, 0, 60, 0.0, 0.0, 1.000000</t>
  </si>
  <si>
    <t>32.373299, 6.029000, 0.111000, 0, 0, 0.0, 0.0, 1.000000</t>
  </si>
  <si>
    <t>32.373299, 6.591100, -2.928300, 0, 0, 0.0, 0.0, 1.000000</t>
  </si>
  <si>
    <t>32.373299, 6.029000, 0.622800, 0, 0, 0.0, 0.0, 1.000000</t>
  </si>
  <si>
    <t>32.373299, 6.591100, -2.416500, 0, 0, 0.0, 0.0, 1.000000</t>
  </si>
  <si>
    <t>32.416901, 8.995300, 0.674100, 0, 0, 0.0, 0.0, 1.000000</t>
  </si>
  <si>
    <t>32.416901, 9.557400, -2.365200, 0, 0, 0.0, 0.0, 1.000000</t>
  </si>
  <si>
    <t>23.987499, 17.137600, 0.516600, 0, 0, 0.0, 0.0, 1.000000</t>
  </si>
  <si>
    <t>23.908701, 16.870600, -2.534600, 0, 0, 0.0, 0.0, 1.000000</t>
  </si>
  <si>
    <t>23.987499, 17.137600, 0.004800, 0, 60, 0.0, 0.0, 1.000000</t>
  </si>
  <si>
    <t>23.908701, 16.870600, -3.046400, 0, 60, 0.0, 0.0, 1.000000</t>
  </si>
  <si>
    <t>24.144899, 17.137199, 0.004800, 0, 60, 0.0, 0.0, 1.000000</t>
  </si>
  <si>
    <t>24.066200, 16.870300, -3.046400, 0, 60, 0.0, 0.0, 1.000000</t>
  </si>
  <si>
    <t>25.770901, 17.137199, 0.004800, 0, 40, 0.0, 0.0, 1.000000</t>
  </si>
  <si>
    <t>25.770901, 16.870300, -3.046400, 0, 40, 0.0, 0.0, 1.000000</t>
  </si>
  <si>
    <t>25.770901, 17.561501, 0.004800, 1, 40, 25.810699, 17.561899, 0.004800, 0.0, 0.0, -1.000000</t>
  </si>
  <si>
    <t>25.770901, 16.951900, -3.046400, 1, 40, 25.810699, 16.952200, -3.046400, 0.0, 0.0, -1.000000</t>
  </si>
  <si>
    <t>25.810301, 17.601700, 0.004800, 0, 40, 0.0, 0.0, 1.000000</t>
  </si>
  <si>
    <t>25.810301, 16.992001, -3.046400, 0, 40, 0.0, 0.0, 1.000000</t>
  </si>
  <si>
    <t>26.282700, 17.601700, 0.004800, 0, 75, 0.0, 0.0, 1.000000</t>
  </si>
  <si>
    <t>26.282700, 16.992001, -3.046400, 0, 75, 0.0, 0.0, 1.000000</t>
  </si>
  <si>
    <t>31.117399, 17.992201, 0.004800, 0, 40, 0.0, 0.0, 1.000000</t>
  </si>
  <si>
    <t>31.117399, 16.921801, -3.046400, 0, 40, 0.0, 0.0, 1.000000</t>
  </si>
  <si>
    <t>31.865400, 17.992201, 0.004800, 1, 40, 31.864201, 17.951599, 0.004800, 0.0, 0.0, -1.000000</t>
  </si>
  <si>
    <t>31.865400, 16.921801, -3.046400, 1, 40, 31.864201, 16.881300, -3.046400, 0.0, 0.0, -1.000000</t>
  </si>
  <si>
    <t>31.904800, 17.950500, 0.004800, 0, 40, 0.0, 0.0, 1.000000</t>
  </si>
  <si>
    <t>31.904800, 16.880100, -3.046400, 0, 40, 0.0, 0.0, 1.000000</t>
  </si>
  <si>
    <t>31.904800, 16.461300, 0.004800, 0, 60, 0.0, 0.0, 1.000000</t>
  </si>
  <si>
    <t>31.904800, 15.390900, -3.046400, 0, 60, 0.0, 0.0, 1.000000</t>
  </si>
  <si>
    <t>31.904800, 16.457399, 0.004800, 0, 0, 0.0, 0.0, 1.000000</t>
  </si>
  <si>
    <t>31.904800, 15.387000, -3.046400, 0, 0, 0.0, 0.0, 1.000000</t>
  </si>
  <si>
    <t>31.904800, 16.457399, 0.516600, 0, 0, 0.0, 0.0, 1.000000</t>
  </si>
  <si>
    <t>31.904800, 15.387000, -2.534600, 0, 0, 0.0, 0.0, 1.000000</t>
  </si>
  <si>
    <t>30.786699, 19.125299, 0.516600, 0, 0, 0.0, 0.0, 1.000000</t>
  </si>
  <si>
    <t>30.786699, 18.054899, -2.534600, 0, 0, 0.0, 0.0, 1.000000</t>
  </si>
  <si>
    <t>32.570099, 19.184200, 0.516600, 0, 0, 0.0, 0.0, 1.000000</t>
  </si>
  <si>
    <t>32.648899, 19.451099, -2.534600, 0, 0, 0.0, 0.0, 1.000000</t>
  </si>
  <si>
    <t>32.570099, 19.184200, 0.004800, 0, 60, 0.0, 0.0, 1.000000</t>
  </si>
  <si>
    <t>32.648899, 19.451099, -3.046400, 0, 60, 0.0, 0.0, 1.000000</t>
  </si>
  <si>
    <t>32.412701, 19.184500, 0.004800, 0, 60, 0.0, 0.0, 1.000000</t>
  </si>
  <si>
    <t>32.491402, 19.451500, -3.046400, 0, 60, 0.0, 0.0, 1.000000</t>
  </si>
  <si>
    <t>30.786699, 19.184500, 0.004800, 0, 40, 0.0, 0.0, 1.000000</t>
  </si>
  <si>
    <t>30.786699, 19.451500, -3.046400, 0, 40, 0.0, 0.0, 1.000000</t>
  </si>
  <si>
    <t>30.786699, 18.760201, 0.004800, 1, 40, 30.746901, 18.759800, 0.004800, 0.0, 0.0, -1.000000</t>
  </si>
  <si>
    <t>30.786699, 19.369900, -3.046400, 1, 40, 30.746901, 19.369499, -3.046400, 0.0, 0.0, -1.000000</t>
  </si>
  <si>
    <t>30.747299, 18.720100, 0.004800, 0, 40, 0.0, 0.0, 1.000000</t>
  </si>
  <si>
    <t>30.747299, 19.329800, -3.046400, 0, 40, 0.0, 0.0, 1.000000</t>
  </si>
  <si>
    <t>30.274900, 18.720100, 0.004800, 0, 75, 0.0, 0.0, 1.000000</t>
  </si>
  <si>
    <t>30.274900, 19.329800, -3.046400, 0, 75, 0.0, 0.0, 1.000000</t>
  </si>
  <si>
    <t>25.440201, 18.329599, 0.004800, 0, 40, 0.0, 0.0, 1.000000</t>
  </si>
  <si>
    <t>25.440201, 19.399900, -3.046400, 0, 40, 0.0, 0.0, 1.000000</t>
  </si>
  <si>
    <t>24.692200, 18.329599, 0.004800, 1, 40, 24.693399, 18.370100, 0.004800, 0.0, 0.0, -1.000000</t>
  </si>
  <si>
    <t>24.692200, 19.399900, -3.046400, 1, 40, 24.693399, 19.440500, -3.046400, 0.0, 0.0, -1.000000</t>
  </si>
  <si>
    <t>24.652800, 18.371300, 0.004800, 0, 40, 0.0, 0.0, 1.000000</t>
  </si>
  <si>
    <t>24.652800, 19.441601, -3.046400, 0, 40, 0.0, 0.0, 1.000000</t>
  </si>
  <si>
    <t>24.652800, 19.466299, 0.004800, 0, 60, 0.0, 0.0, 1.000000</t>
  </si>
  <si>
    <t>24.652800, 20.536699, -3.046400, 0, 60, 0.0, 0.0, 1.000000</t>
  </si>
  <si>
    <t>24.652800, 19.470200, 0.004800, 0, 0, 0.0, 0.0, 1.000000</t>
  </si>
  <si>
    <t>24.652800, 20.540600, -3.046400, 0, 0, 0.0, 0.0, 1.000000</t>
  </si>
  <si>
    <t>24.652800, 19.470200, 0.516600, 0, 0, 0.0, 0.0, 1.000000</t>
  </si>
  <si>
    <t>24.652800, 20.540600, -2.534600, 0, 0, 0.0, 0.0, 1.000000</t>
  </si>
  <si>
    <t>25.770901, 17.196501, 0.516600, 0, 0, 0.0, 0.0, 1.000000</t>
  </si>
  <si>
    <t>25.770901, 18.266899, -2.534600, 0, 0, 0.0, 0.0, 1.000000</t>
  </si>
  <si>
    <t>24.066200, 17.501400, 0.516600, 0, 0, 0.0, 0.0, 1.000000</t>
  </si>
  <si>
    <t>24.066200, 17.501400, -2.534600, 0, 0, 0.0, 0.0, 1.000000</t>
  </si>
  <si>
    <t>24.066200, 17.501400, 0.004800, 0, 60, 0.0, 0.0, 1.000000</t>
  </si>
  <si>
    <t>24.066200, 17.501400, -3.046400, 0, 60, 0.0, 0.0, 1.000000</t>
  </si>
  <si>
    <t>24.144899, 17.501400, 0.004800, 0, 30, 0.0, 0.0, 1.000000</t>
  </si>
  <si>
    <t>24.144899, 17.501400, -3.046400, 0, 30, 0.0, 0.0, 1.000000</t>
  </si>
  <si>
    <t>24.574100, 17.501400, 0.004800, 1, 40, 24.574100, 17.580200, 0.004800, 0.0, 0.0, 1.000000</t>
  </si>
  <si>
    <t>24.574100, 17.501400, -3.046400, 1, 40, 24.574100, 17.580200, -3.046400, 0.0, 0.0, 1.000000</t>
  </si>
  <si>
    <t>24.652800, 17.580200, 0.004800, 0, 40, 0.0, 0.0, 1.000000</t>
  </si>
  <si>
    <t>24.652800, 17.580200, -3.046400, 0, 40, 0.0, 0.0, 1.000000</t>
  </si>
  <si>
    <t>24.652800, 18.101801, 0.004800, 1, 40, 24.731600, 18.101801, 0.004800, 0.0, 0.0, -1.000000</t>
  </si>
  <si>
    <t>24.652800, 18.101801, -3.046400, 1, 40, 24.731600, 18.101801, -3.046400, 0.0, 0.0, -1.000000</t>
  </si>
  <si>
    <t>24.731600, 18.180599, 0.004800, 0, 70, 0.0, 0.0, 1.000000</t>
  </si>
  <si>
    <t>24.731600, 18.180599, -3.046400, 0, 70, 0.0, 0.0, 1.000000</t>
  </si>
  <si>
    <t>31.786699, 18.180599, 0.004800, 1, 40, 31.786699, 18.259300, 0.004800, 0.0, 0.0, 1.000000</t>
  </si>
  <si>
    <t>31.786699, 18.180599, -3.046400, 1, 40, 31.786699, 18.259300, -3.046400, 0.0, 0.0, 1.000000</t>
  </si>
  <si>
    <t>31.865400, 18.259300, 0.004800, 0, 40, 0.0, 0.0, 1.000000</t>
  </si>
  <si>
    <t>31.865400, 18.259300, -3.046400, 0, 40, 0.0, 0.0, 1.000000</t>
  </si>
  <si>
    <t>31.865400, 18.781000, 0.004800, 1, 40, 31.944201, 18.781000, 0.004800, 0.0, 0.0, -1.000000</t>
  </si>
  <si>
    <t>31.865400, 18.781000, -3.046400, 1, 40, 31.944201, 18.781000, -3.046400, 0.0, 0.0, -1.000000</t>
  </si>
  <si>
    <t>31.944201, 18.859699, 0.004800, 0, 30, 0.0, 0.0, 1.000000</t>
  </si>
  <si>
    <t>31.944201, 18.859699, -3.046400, 0, 30, 0.0, 0.0, 1.000000</t>
  </si>
  <si>
    <t>32.412701, 18.859699, 0.004800, 0, 60, 0.0, 0.0, 1.000000</t>
  </si>
  <si>
    <t>32.727600, 18.859699, -3.046400, 0, 60, 0.0, 0.0, 1.000000</t>
  </si>
  <si>
    <t>32.416599, 18.859699, 0.004800, 0, 60, 0.0, 0.0, 1.000000</t>
  </si>
  <si>
    <t>32.731602, 18.859699, -3.046400, 0, 60, 0.0, 0.0, 1.000000</t>
  </si>
  <si>
    <t>32.731602, 18.859699, 0.004800, 0, 0, 0.0, 0.0, 1.000000</t>
  </si>
  <si>
    <t>32.731602, 18.859699, -3.046400, 0, 0, 0.0, 0.0, 1.000000</t>
  </si>
  <si>
    <t>32.731602, 18.859699, 0.516600, 0, 0, 0.0, 0.0, 1.000000</t>
  </si>
  <si>
    <t>32.731602, 18.859699, -2.534600, 0, 0, 0.0, 0.0, 1.000000</t>
  </si>
  <si>
    <t>42.428398, 19.809299, 0.637800, 0, 0, 0.0, 0.0, 1.000000</t>
  </si>
  <si>
    <t>42.428398, 19.809299, -2.413400, 0, 0, 0.0, 0.0, 1.000000</t>
  </si>
  <si>
    <t>42.472500, 0.439400, 0.637800, 0, 0, 0.0, 0.0, 1.000000</t>
  </si>
  <si>
    <t>42.472500, 0.439400, -2.413400, 0, 0, 0.0, 0.0, 1.000000</t>
  </si>
  <si>
    <t>60.522900, 2.825400, 0.622800, 0, 0, 0.0, 0.0, 1.000000</t>
  </si>
  <si>
    <t>60.522900, 2.825400, -2.416500, 0, 0, 0.0, 0.0, 1.000000</t>
  </si>
  <si>
    <t>60.522900, 2.825400, 0.111000, 0, 60, 0.0, 0.0, 1.000000</t>
  </si>
  <si>
    <t>60.522900, 2.825400, -2.928300, 0, 60, 0.0, 0.0, 1.000000</t>
  </si>
  <si>
    <t>60.522900, 2.943500, 0.111000, 0, 60, 0.0, 0.0, 1.000000</t>
  </si>
  <si>
    <t>60.522900, 3.022200, 0.111000, 0, 60, 0.0, 0.0, 1.000000</t>
  </si>
  <si>
    <t>60.522900, 2.904100, -2.928300, 0, 60, 0.0, 0.0, 1.000000</t>
  </si>
  <si>
    <t>60.522900, 6.025100, 0.111000, 0, 60, 0.0, 0.0, 1.000000</t>
  </si>
  <si>
    <t>60.522900, 6.587200, -2.928300, 0, 60, 0.0, 0.0, 1.000000</t>
  </si>
  <si>
    <t>60.522900, 6.029000, 0.111000, 0, 0, 0.0, 0.0, 1.000000</t>
  </si>
  <si>
    <t>60.522900, 6.591100, -2.928300, 0, 0, 0.0, 0.0, 1.000000</t>
  </si>
  <si>
    <t>60.522900, 6.029000, 0.622800, 0, 0, 0.0, 0.0, 1.000000</t>
  </si>
  <si>
    <t>60.522900, 6.591100, -2.416500, 0, 0, 0.0, 0.0, 1.000000</t>
  </si>
  <si>
    <t>60.540001, 8.619300, 0.628600, 0, 0, 0.0, 0.0, 1.000000</t>
  </si>
  <si>
    <t>60.540001, 9.181500, -2.410700, 0, 0, 0.0, 0.0, 1.000000</t>
  </si>
  <si>
    <t>52.137100, 17.137600, 0.516600, 0, 0, 0.0, 0.0, 1.000000</t>
  </si>
  <si>
    <t>52.058300, 16.870600, -2.534600, 0, 0, 0.0, 0.0, 1.000000</t>
  </si>
  <si>
    <t>52.137100, 17.137600, 0.004800, 0, 60, 0.0, 0.0, 1.000000</t>
  </si>
  <si>
    <t>52.058300, 16.870600, -3.046400, 0, 60, 0.0, 0.0, 1.000000</t>
  </si>
  <si>
    <t>52.294601, 17.137199, 0.004800, 0, 60, 0.0, 0.0, 1.000000</t>
  </si>
  <si>
    <t>52.215801, 16.870300, -3.046400, 0, 60, 0.0, 0.0, 1.000000</t>
  </si>
  <si>
    <t>53.920502, 17.137199, 0.004800, 0, 40, 0.0, 0.0, 1.000000</t>
  </si>
  <si>
    <t>53.920502, 16.870300, -3.046400, 0, 40, 0.0, 0.0, 1.000000</t>
  </si>
  <si>
    <t>53.920502, 17.561501, 0.004800, 1, 40, 53.960300, 17.561899, 0.004800, 0.0, 0.0, -1.000000</t>
  </si>
  <si>
    <t>53.920502, 16.951900, -3.046400, 1, 40, 53.960300, 16.952200, -3.046400, 0.0, 0.0, -1.000000</t>
  </si>
  <si>
    <t>53.959900, 17.601700, 0.004800, 0, 40, 0.0, 0.0, 1.000000</t>
  </si>
  <si>
    <t>53.959900, 16.992001, -3.046400, 0, 40, 0.0, 0.0, 1.000000</t>
  </si>
  <si>
    <t>54.432400, 17.601700, 0.004800, 0, 75, 0.0, 0.0, 1.000000</t>
  </si>
  <si>
    <t>54.432400, 16.992001, -3.046400, 0, 75, 0.0, 0.0, 1.000000</t>
  </si>
  <si>
    <t>59.266998, 17.992201, 0.004800, 0, 40, 0.0, 0.0, 1.000000</t>
  </si>
  <si>
    <t>59.266998, 16.921801, -3.046400, 0, 40, 0.0, 0.0, 1.000000</t>
  </si>
  <si>
    <t>60.014999, 17.992201, 0.004800, 1, 40, 60.013802, 17.951599, 0.004800, 0.0, 0.0, -1.000000</t>
  </si>
  <si>
    <t>60.014999, 16.921801, -3.046400, 1, 40, 60.013802, 16.881300, -3.046400, 0.0, 0.0, -1.000000</t>
  </si>
  <si>
    <t>60.054401, 17.950500, 0.004800, 0, 40, 0.0, 0.0, 1.000000</t>
  </si>
  <si>
    <t>60.054401, 16.880100, -3.046400, 0, 40, 0.0, 0.0, 1.000000</t>
  </si>
  <si>
    <t>60.054401, 16.461300, 0.004800, 0, 60, 0.0, 0.0, 1.000000</t>
  </si>
  <si>
    <t>60.054401, 15.390900, -3.046400, 0, 60, 0.0, 0.0, 1.000000</t>
  </si>
  <si>
    <t>60.054401, 16.457399, 0.004800, 0, 0, 0.0, 0.0, 1.000000</t>
  </si>
  <si>
    <t>60.054401, 15.387000, -3.046400, 0, 0, 0.0, 0.0, 1.000000</t>
  </si>
  <si>
    <t>60.054401, 16.457399, 0.516600, 0, 0, 0.0, 0.0, 1.000000</t>
  </si>
  <si>
    <t>60.054401, 15.387000, -2.534600, 0, 0, 0.0, 0.0, 1.000000</t>
  </si>
  <si>
    <t>58.936298, 19.125299, 0.516600, 0, 0, 0.0, 0.0, 1.000000</t>
  </si>
  <si>
    <t>58.936298, 18.054899, -2.534600, 0, 0, 0.0, 0.0, 1.000000</t>
  </si>
  <si>
    <t>60.719799, 19.184200, 0.516600, 0, 0, 0.0, 0.0, 1.000000</t>
  </si>
  <si>
    <t>60.798500, 19.451099, -2.534600, 0, 0, 0.0, 0.0, 1.000000</t>
  </si>
  <si>
    <t>60.719799, 19.184200, 0.004800, 0, 60, 0.0, 0.0, 1.000000</t>
  </si>
  <si>
    <t>60.798500, 19.451099, -3.046400, 0, 60, 0.0, 0.0, 1.000000</t>
  </si>
  <si>
    <t>60.562302, 19.184500, 0.004800, 0, 60, 0.0, 0.0, 1.000000</t>
  </si>
  <si>
    <t>60.640999, 19.451500, -3.046400, 0, 60, 0.0, 0.0, 1.000000</t>
  </si>
  <si>
    <t>58.936298, 19.184500, 0.004800, 0, 40, 0.0, 0.0, 1.000000</t>
  </si>
  <si>
    <t>58.936298, 19.451500, -3.046400, 0, 40, 0.0, 0.0, 1.000000</t>
  </si>
  <si>
    <t>58.936298, 18.760201, 0.004800, 1, 40, 58.896500, 18.759800, 0.004800, 0.0, 0.0, -1.000000</t>
  </si>
  <si>
    <t>58.936298, 19.369900, -3.046400, 1, 40, 58.896500, 19.369499, -3.046400, 0.0, 0.0, -1.000000</t>
  </si>
  <si>
    <t>58.896900, 18.720100, 0.004800, 0, 40, 0.0, 0.0, 1.000000</t>
  </si>
  <si>
    <t>58.896900, 19.329800, -3.046400, 0, 40, 0.0, 0.0, 1.000000</t>
  </si>
  <si>
    <t>58.424500, 18.720100, 0.004800, 0, 75, 0.0, 0.0, 1.000000</t>
  </si>
  <si>
    <t>58.424500, 19.329800, -3.046400, 0, 75, 0.0, 0.0, 1.000000</t>
  </si>
  <si>
    <t>53.589802, 18.329599, 0.004800, 0, 40, 0.0, 0.0, 1.000000</t>
  </si>
  <si>
    <t>53.589802, 19.399900, -3.046400, 0, 40, 0.0, 0.0, 1.000000</t>
  </si>
  <si>
    <t>52.841801, 18.329599, 0.004800, 1, 40, 52.842999, 18.370100, 0.004800, 0.0, 0.0, -1.000000</t>
  </si>
  <si>
    <t>52.841801, 19.399900, -3.046400, 1, 40, 52.842999, 19.440500, -3.046400, 0.0, 0.0, -1.000000</t>
  </si>
  <si>
    <t>52.802399, 18.371300, 0.004800, 0, 40, 0.0, 0.0, 1.000000</t>
  </si>
  <si>
    <t>52.802399, 19.441601, -3.046400, 0, 40, 0.0, 0.0, 1.000000</t>
  </si>
  <si>
    <t>52.802399, 19.466299, 0.004800, 0, 60, 0.0, 0.0, 1.000000</t>
  </si>
  <si>
    <t>52.802399, 20.536699, -3.046400, 0, 60, 0.0, 0.0, 1.000000</t>
  </si>
  <si>
    <t>52.802399, 19.470200, 0.004800, 0, 0, 0.0, 0.0, 1.000000</t>
  </si>
  <si>
    <t>52.802399, 20.540600, -3.046400, 0, 0, 0.0, 0.0, 1.000000</t>
  </si>
  <si>
    <t>52.802399, 19.470200, 0.516600, 0, 0, 0.0, 0.0, 1.000000</t>
  </si>
  <si>
    <t>52.802399, 20.540600, -2.534600, 0, 0, 0.0, 0.0, 1.000000</t>
  </si>
  <si>
    <t>53.920502, 17.196501, 0.516600, 0, 0, 0.0, 0.0, 1.000000</t>
  </si>
  <si>
    <t>53.920502, 18.266899, -2.534600, 0, 0, 0.0, 0.0, 1.000000</t>
  </si>
  <si>
    <t>52.215801, 17.501400, 0.516600, 0, 0, 0.0, 0.0, 1.000000</t>
  </si>
  <si>
    <t>52.215801, 17.501400, -2.534600, 0, 0, 0.0, 0.0, 1.000000</t>
  </si>
  <si>
    <t>52.215801, 17.501400, 0.004800, 0, 60, 0.0, 0.0, 1.000000</t>
  </si>
  <si>
    <t>52.215801, 17.501400, -3.046400, 0, 60, 0.0, 0.0, 1.000000</t>
  </si>
  <si>
    <t>52.294601, 17.501400, 0.004800, 0, 30, 0.0, 0.0, 1.000000</t>
  </si>
  <si>
    <t>52.294601, 17.501400, -3.046400, 0, 30, 0.0, 0.0, 1.000000</t>
  </si>
  <si>
    <t>52.723701, 17.501400, 0.004800, 1, 40, 52.723701, 17.580200, 0.004800, 0.0, 0.0, 1.000000</t>
  </si>
  <si>
    <t>52.723701, 17.501400, -3.046400, 1, 40, 52.723701, 17.580200, -3.046400, 0.0, 0.0, 1.000000</t>
  </si>
  <si>
    <t>52.802399, 17.580200, 0.004800, 0, 40, 0.0, 0.0, 1.000000</t>
  </si>
  <si>
    <t>52.802399, 17.580200, -3.046400, 0, 40, 0.0, 0.0, 1.000000</t>
  </si>
  <si>
    <t>52.802399, 18.101801, 0.004800, 1, 40, 52.881199, 18.101801, 0.004800, 0.0, 0.0, -1.000000</t>
  </si>
  <si>
    <t>52.802399, 18.101801, -3.046400, 1, 40, 52.881199, 18.101801, -3.046400, 0.0, 0.0, -1.000000</t>
  </si>
  <si>
    <t>52.881199, 18.180599, 0.004800, 0, 70, 0.0, 0.0, 1.000000</t>
  </si>
  <si>
    <t>52.881199, 18.180599, -3.046400, 0, 70, 0.0, 0.0, 1.000000</t>
  </si>
  <si>
    <t>59.936298, 18.180599, 0.004800, 1, 40, 59.936298, 18.259300, 0.004800, 0.0, 0.0, 1.000000</t>
  </si>
  <si>
    <t>59.936298, 18.180599, -3.046400, 1, 40, 59.936298, 18.259300, -3.046400, 0.0, 0.0, 1.000000</t>
  </si>
  <si>
    <t>60.014999, 18.259300, 0.004800, 0, 40, 0.0, 0.0, 1.000000</t>
  </si>
  <si>
    <t>60.014999, 18.259300, -3.046400, 0, 40, 0.0, 0.0, 1.000000</t>
  </si>
  <si>
    <t>60.014999, 18.781000, 0.004800, 1, 40, 60.093800, 18.781000, 0.004800, 0.0, 0.0, -1.000000</t>
  </si>
  <si>
    <t>60.014999, 18.781000, -3.046400, 1, 40, 60.093800, 18.781000, -3.046400, 0.0, 0.0, -1.000000</t>
  </si>
  <si>
    <t>60.093800, 18.859699, 0.004800, 0, 30, 0.0, 0.0, 1.000000</t>
  </si>
  <si>
    <t>60.093800, 18.859699, -3.046400, 0, 30, 0.0, 0.0, 1.000000</t>
  </si>
  <si>
    <t>60.562302, 18.859699, 0.004800, 0, 60, 0.0, 0.0, 1.000000</t>
  </si>
  <si>
    <t>60.877201, 18.859699, -3.046400, 0, 60, 0.0, 0.0, 1.000000</t>
  </si>
  <si>
    <t>60.566200, 18.859699, 0.004800, 0, 60, 0.0, 0.0, 1.000000</t>
  </si>
  <si>
    <t>60.881199, 18.859699, -3.046400, 0, 60, 0.0, 0.0, 1.000000</t>
  </si>
  <si>
    <t>60.881199, 18.859699, 0.004800, 0, 0, 0.0, 0.0, 1.000000</t>
  </si>
  <si>
    <t>60.881199, 18.859699, -3.046400, 0, 0, 0.0, 0.0, 1.000000</t>
  </si>
  <si>
    <t>60.881199, 18.859699, 0.516600, 0, 0, 0.0, 0.0, 1.000000</t>
  </si>
  <si>
    <t>60.881199, 18.859699, -2.534600, 0, 0, 0.0, 0.0, 1.000000</t>
  </si>
  <si>
    <t>64.403297, 19.662800, 0.628600, 0, 0, 0.0, 0.0, 1.000000</t>
  </si>
  <si>
    <t>64.403297, 19.662800, -2.422600, 0, 0, 0.0, 0.0, 1.000000</t>
  </si>
  <si>
    <t>64.446999, 0.469300, 0.628600, 0, 0, 0.0, 0.0, 1.000000</t>
  </si>
  <si>
    <t>64.446999, 0.469300, -2.422600, 0, 0, 0.0, 0.0, 1.000000</t>
  </si>
  <si>
    <t>76.664597, 2.825400, 0.622800, 0, 0, 0.0, 0.0, 1.000000</t>
  </si>
  <si>
    <t>76.664597, 2.825400, -2.416500, 0, 0, 0.0, 0.0, 1.000000</t>
  </si>
  <si>
    <t>76.664597, 2.825400, 0.111000, 0, 60, 0.0, 0.0, 1.000000</t>
  </si>
  <si>
    <t>76.664597, 2.825400, -2.928300, 0, 60, 0.0, 0.0, 1.000000</t>
  </si>
  <si>
    <t>76.664597, 2.943500, 0.111000, 0, 60, 0.0, 0.0, 1.000000</t>
  </si>
  <si>
    <t>76.664597, 3.022200, 0.111000, 0, 60, 0.0, 0.0, 1.000000</t>
  </si>
  <si>
    <t>76.664597, 2.904100, -2.928300, 0, 60, 0.0, 0.0, 1.000000</t>
  </si>
  <si>
    <t>76.664597, 6.025100, 0.111000, 0, 60, 0.0, 0.0, 1.000000</t>
  </si>
  <si>
    <t>76.664597, 6.587200, -2.928300, 0, 60, 0.0, 0.0, 1.000000</t>
  </si>
  <si>
    <t>76.664597, 6.029000, 0.111000, 0, 0, 0.0, 0.0, 1.000000</t>
  </si>
  <si>
    <t>76.664597, 6.591100, -2.928300, 0, 0, 0.0, 0.0, 1.000000</t>
  </si>
  <si>
    <t>76.664597, 6.029000, 0.622800, 0, 0, 0.0, 0.0, 1.000000</t>
  </si>
  <si>
    <t>76.664597, 6.591100, -2.416500, 0, 0, 0.0, 0.0, 1.000000</t>
  </si>
  <si>
    <t>76.624199, 8.619300, 0.628600, 0, 0, 0.0, 0.0, 1.000000</t>
  </si>
  <si>
    <t>76.624199, 9.181500, -2.410700, 0, 0, 0.0, 0.0, 1.000000</t>
  </si>
  <si>
    <t>68.278801, 17.137600, 0.516600, 0, 0, 0.0, 0.0, 1.000000</t>
  </si>
  <si>
    <t>68.200104, 16.870600, -2.534600, 0, 0, 0.0, 0.0, 1.000000</t>
  </si>
  <si>
    <t>68.278801, 17.137600, 0.004800, 0, 60, 0.0, 0.0, 1.000000</t>
  </si>
  <si>
    <t>68.200104, 16.870600, -3.046400, 0, 60, 0.0, 0.0, 1.000000</t>
  </si>
  <si>
    <t>68.436302, 17.137199, 0.004800, 0, 60, 0.0, 0.0, 1.000000</t>
  </si>
  <si>
    <t>68.357498, 16.870300, -3.046400, 0, 60, 0.0, 0.0, 1.000000</t>
  </si>
  <si>
    <t>70.062302, 17.137199, 0.004800, 0, 40, 0.0, 0.0, 1.000000</t>
  </si>
  <si>
    <t>70.062302, 16.870300, -3.046400, 0, 40, 0.0, 0.0, 1.000000</t>
  </si>
  <si>
    <t>70.062302, 17.561501, 0.004800, 1, 40, 70.101997, 17.561899, 0.004800, 0.0, 0.0, -1.000000</t>
  </si>
  <si>
    <t>70.062302, 16.951900, -3.046400, 1, 40, 70.101997, 16.952200, -3.046400, 0.0, 0.0, -1.000000</t>
  </si>
  <si>
    <t>70.101601, 17.601700, 0.004800, 0, 40, 0.0, 0.0, 1.000000</t>
  </si>
  <si>
    <t>70.101601, 16.992001, -3.046400, 0, 40, 0.0, 0.0, 1.000000</t>
  </si>
  <si>
    <t>70.574097, 17.601700, 0.004800, 0, 75, 0.0, 0.0, 1.000000</t>
  </si>
  <si>
    <t>70.574097, 16.992001, -3.046400, 0, 75, 0.0, 0.0, 1.000000</t>
  </si>
  <si>
    <t>75.408699, 17.992201, 0.004800, 0, 40, 0.0, 0.0, 1.000000</t>
  </si>
  <si>
    <t>75.408699, 16.921801, -3.046400, 0, 40, 0.0, 0.0, 1.000000</t>
  </si>
  <si>
    <t>76.156799, 17.992201, 0.004800, 1, 40, 76.155502, 17.951599, 0.004800, 0.0, 0.0, -1.000000</t>
  </si>
  <si>
    <t>76.156799, 16.921801, -3.046400, 1, 40, 76.155502, 16.881300, -3.046400, 0.0, 0.0, -1.000000</t>
  </si>
  <si>
    <t>76.196098, 17.950500, 0.004800, 0, 40, 0.0, 0.0, 1.000000</t>
  </si>
  <si>
    <t>76.196098, 16.880100, -3.046400, 0, 40, 0.0, 0.0, 1.000000</t>
  </si>
  <si>
    <t>76.196098, 16.461300, 0.004800, 0, 60, 0.0, 0.0, 1.000000</t>
  </si>
  <si>
    <t>76.196098, 15.390900, -3.046400, 0, 60, 0.0, 0.0, 1.000000</t>
  </si>
  <si>
    <t>76.196098, 16.457399, 0.004800, 0, 0, 0.0, 0.0, 1.000000</t>
  </si>
  <si>
    <t>76.196098, 15.387000, -3.046400, 0, 0, 0.0, 0.0, 1.000000</t>
  </si>
  <si>
    <t>76.196098, 16.457399, 0.516600, 0, 0, 0.0, 0.0, 1.000000</t>
  </si>
  <si>
    <t>76.196098, 15.387000, -2.534600, 0, 0, 0.0, 0.0, 1.000000</t>
  </si>
  <si>
    <t>75.078003, 19.125299, 0.516600, 0, 0, 0.0, 0.0, 1.000000</t>
  </si>
  <si>
    <t>75.078003, 18.054899, -2.534600, 0, 0, 0.0, 0.0, 1.000000</t>
  </si>
  <si>
    <t>76.861504, 19.184200, 0.516600, 0, 0, 0.0, 0.0, 1.000000</t>
  </si>
  <si>
    <t>76.940201, 19.451099, -2.534600, 0, 0, 0.0, 0.0, 1.000000</t>
  </si>
  <si>
    <t>76.861504, 19.184200, 0.004800, 0, 60, 0.0, 0.0, 1.000000</t>
  </si>
  <si>
    <t>76.940201, 19.451099, -3.046400, 0, 60, 0.0, 0.0, 1.000000</t>
  </si>
  <si>
    <t>76.704002, 19.184500, 0.004800, 0, 60, 0.0, 0.0, 1.000000</t>
  </si>
  <si>
    <t>76.782700, 19.451500, -3.046400, 0, 60, 0.0, 0.0, 1.000000</t>
  </si>
  <si>
    <t>75.078003, 19.184500, 0.004800, 0, 40, 0.0, 0.0, 1.000000</t>
  </si>
  <si>
    <t>75.078003, 19.451500, -3.046400, 0, 40, 0.0, 0.0, 1.000000</t>
  </si>
  <si>
    <t>75.078003, 18.760201, 0.004800, 1, 40, 75.038300, 18.759800, 0.004800, 0.0, 0.0, -1.000000</t>
  </si>
  <si>
    <t>75.078003, 19.369900, -3.046400, 1, 40, 75.038300, 19.369499, -3.046400, 0.0, 0.0, -1.000000</t>
  </si>
  <si>
    <t>75.038597, 18.720100, 0.004800, 0, 40, 0.0, 0.0, 1.000000</t>
  </si>
  <si>
    <t>75.038597, 19.329800, -3.046400, 0, 40, 0.0, 0.0, 1.000000</t>
  </si>
  <si>
    <t>74.566200, 18.720100, 0.004800, 0, 75, 0.0, 0.0, 1.000000</t>
  </si>
  <si>
    <t>74.566200, 19.329800, -3.046400, 0, 75, 0.0, 0.0, 1.000000</t>
  </si>
  <si>
    <t>69.731598, 18.329599, 0.004800, 0, 40, 0.0, 0.0, 1.000000</t>
  </si>
  <si>
    <t>69.731598, 19.399900, -3.046400, 0, 40, 0.0, 0.0, 1.000000</t>
  </si>
  <si>
    <t>68.983498, 18.329599, 0.004800, 1, 40, 68.984703, 18.370100, 0.004800, 0.0, 0.0, -1.000000</t>
  </si>
  <si>
    <t>68.983498, 19.399900, -3.046400, 1, 40, 68.984703, 19.440500, -3.046400, 0.0, 0.0, -1.000000</t>
  </si>
  <si>
    <t>68.944199, 18.371300, 0.004800, 0, 40, 0.0, 0.0, 1.000000</t>
  </si>
  <si>
    <t>68.944199, 19.441601, -3.046400, 0, 40, 0.0, 0.0, 1.000000</t>
  </si>
  <si>
    <t>68.944199, 19.466299, 0.004800, 0, 60, 0.0, 0.0, 1.000000</t>
  </si>
  <si>
    <t>68.944199, 20.536699, -3.046400, 0, 60, 0.0, 0.0, 1.000000</t>
  </si>
  <si>
    <t>68.944199, 19.470200, 0.004800, 0, 0, 0.0, 0.0, 1.000000</t>
  </si>
  <si>
    <t>68.944199, 20.540600, -3.046400, 0, 0, 0.0, 0.0, 1.000000</t>
  </si>
  <si>
    <t>68.944199, 19.470200, 0.516600, 0, 0, 0.0, 0.0, 1.000000</t>
  </si>
  <si>
    <t>68.944199, 20.540600, -2.534600, 0, 0, 0.0, 0.0, 1.000000</t>
  </si>
  <si>
    <t>70.062302, 17.196501, 0.516600, 0, 0, 0.0, 0.0, 1.000000</t>
  </si>
  <si>
    <t>70.062302, 18.266899, -2.534600, 0, 0, 0.0, 0.0, 1.000000</t>
  </si>
  <si>
    <t>68.357498, 17.501400, 0.516600, 0, 0, 0.0, 0.0, 1.000000</t>
  </si>
  <si>
    <t>68.357498, 17.501400, -2.534600, 0, 0, 0.0, 0.0, 1.000000</t>
  </si>
  <si>
    <t>68.357498, 17.501400, 0.004800, 0, 60, 0.0, 0.0, 1.000000</t>
  </si>
  <si>
    <t>68.357498, 17.501400, -3.046400, 0, 60, 0.0, 0.0, 1.000000</t>
  </si>
  <si>
    <t>68.436302, 17.501400, 0.004800, 0, 30, 0.0, 0.0, 1.000000</t>
  </si>
  <si>
    <t>68.436302, 17.501400, -3.046400, 0, 30, 0.0, 0.0, 1.000000</t>
  </si>
  <si>
    <t>68.865402, 17.501400, 0.004800, 1, 40, 68.865402, 17.580200, 0.004800, 0.0, 0.0, 1.000000</t>
  </si>
  <si>
    <t>68.865402, 17.501400, -3.046400, 1, 40, 68.865402, 17.580200, -3.046400, 0.0, 0.0, 1.000000</t>
  </si>
  <si>
    <t>68.944199, 17.580200, 0.004800, 0, 40, 0.0, 0.0, 1.000000</t>
  </si>
  <si>
    <t>68.944199, 17.580200, -3.046400, 0, 40, 0.0, 0.0, 1.000000</t>
  </si>
  <si>
    <t>68.944199, 18.101801, 0.004800, 1, 40, 69.022903, 18.101801, 0.004800, 0.0, 0.0, -1.000000</t>
  </si>
  <si>
    <t>68.944199, 18.101801, -3.046400, 1, 40, 69.022903, 18.101801, -3.046400, 0.0, 0.0, -1.000000</t>
  </si>
  <si>
    <t>69.022903, 18.180599, 0.004800, 0, 70, 0.0, 0.0, 1.000000</t>
  </si>
  <si>
    <t>69.022903, 18.180599, -3.046400, 0, 70, 0.0, 0.0, 1.000000</t>
  </si>
  <si>
    <t>76.078003, 18.180599, 0.004800, 1, 40, 76.078003, 18.259300, 0.004800, 0.0, 0.0, 1.000000</t>
  </si>
  <si>
    <t>76.078003, 18.180599, -3.046400, 1, 40, 76.078003, 18.259300, -3.046400, 0.0, 0.0, 1.000000</t>
  </si>
  <si>
    <t>76.156799, 18.259300, 0.004800, 0, 40, 0.0, 0.0, 1.000000</t>
  </si>
  <si>
    <t>76.156799, 18.259300, -3.046400, 0, 40, 0.0, 0.0, 1.000000</t>
  </si>
  <si>
    <t>76.156799, 18.781000, 0.004800, 1, 40, 76.235497, 18.781000, 0.004800, 0.0, 0.0, -1.000000</t>
  </si>
  <si>
    <t>76.156799, 18.781000, -3.046400, 1, 40, 76.235497, 18.781000, -3.046400, 0.0, 0.0, -1.000000</t>
  </si>
  <si>
    <t>76.235497, 18.859699, 0.004800, 0, 30, 0.0, 0.0, 1.000000</t>
  </si>
  <si>
    <t>76.235497, 18.859699, -3.046400, 0, 30, 0.0, 0.0, 1.000000</t>
  </si>
  <si>
    <t>76.704002, 18.859699, 0.004800, 0, 60, 0.0, 0.0, 1.000000</t>
  </si>
  <si>
    <t>77.018997, 18.859699, -3.046400, 0, 60, 0.0, 0.0, 1.000000</t>
  </si>
  <si>
    <t>76.707901, 18.859699, 0.004800, 0, 60, 0.0, 0.0, 1.000000</t>
  </si>
  <si>
    <t>77.022903, 18.859699, -3.046400, 0, 60, 0.0, 0.0, 1.000000</t>
  </si>
  <si>
    <t>77.022903, 18.859699, 0.004800, 0, 0, 0.0, 0.0, 1.000000</t>
  </si>
  <si>
    <t>77.022903, 18.859699, -3.046400, 0, 0, 0.0, 0.0, 1.000000</t>
  </si>
  <si>
    <t>77.022903, 18.859699, 0.516600, 0, 0, 0.0, 0.0, 1.000000</t>
  </si>
  <si>
    <t>77.022903, 18.859699, -2.534600, 0, 0, 0.0, 0.0, 1.000000</t>
  </si>
  <si>
    <t>77.302200, 39.261600, 0.516600, 0, 0, 0.0, 0.0, 1.000000</t>
  </si>
  <si>
    <t>77.302200, 39.261600, -2.534600, 0, 0, 0.0, 0.0, 1.000000</t>
  </si>
  <si>
    <t>0.052700, 0.022700, 0.095500, 0, 0, 0.0, 0.0, 1.0</t>
  </si>
  <si>
    <t>WJM_M500_6|2</t>
  </si>
  <si>
    <t>Option Name</t>
  </si>
  <si>
    <t>Setting #1</t>
  </si>
  <si>
    <t>Setting #2</t>
  </si>
  <si>
    <t>Setting #3</t>
  </si>
  <si>
    <t>Setting #4</t>
  </si>
  <si>
    <t>Setting #5</t>
  </si>
  <si>
    <t>Setting #6</t>
  </si>
  <si>
    <t>Setting #7</t>
  </si>
  <si>
    <t>Setting #8</t>
  </si>
  <si>
    <t>Setting #9</t>
  </si>
  <si>
    <t>Setting #10</t>
  </si>
  <si>
    <t>Setting #11</t>
  </si>
  <si>
    <t>Setting #12</t>
  </si>
  <si>
    <t>File Location</t>
  </si>
  <si>
    <t>Fixture Setting</t>
  </si>
  <si>
    <t>CutC2L-globalX</t>
  </si>
  <si>
    <t>CutC2L-globalY</t>
  </si>
  <si>
    <t>CutIndex1_2-globalX</t>
  </si>
  <si>
    <t>CutIndex1_2-globalY</t>
  </si>
  <si>
    <t>Notes:
Need compare ORD file generated (kCompare)</t>
  </si>
  <si>
    <t>AA1-8</t>
  </si>
  <si>
    <t>Transition Points</t>
  </si>
  <si>
    <t>Aaron Williams</t>
  </si>
  <si>
    <t>Mike Walker</t>
  </si>
  <si>
    <t>[ENG] Blake Bozlee</t>
  </si>
  <si>
    <t>[ENG] Corentin Ryo</t>
  </si>
  <si>
    <t>[ENG] Chris Zarlengo</t>
  </si>
  <si>
    <t>[ENG] Adrian Kirn</t>
  </si>
  <si>
    <t>D</t>
  </si>
  <si>
    <t>HF883370-1</t>
  </si>
  <si>
    <t>HF883371-0</t>
  </si>
  <si>
    <t>HF883388-N</t>
  </si>
  <si>
    <t>HF883389-M</t>
  </si>
  <si>
    <t>HF884402-1</t>
  </si>
  <si>
    <t>HF884403-0</t>
  </si>
  <si>
    <t>HF884388-7</t>
  </si>
  <si>
    <t>HF884389-6</t>
  </si>
  <si>
    <t>HF884006-1</t>
  </si>
  <si>
    <t>HF884007-0</t>
  </si>
  <si>
    <t>HF883960-T</t>
  </si>
  <si>
    <t>HF883961-R</t>
  </si>
  <si>
    <t>HF883514-D</t>
  </si>
  <si>
    <t>HF883515-C</t>
  </si>
  <si>
    <t>HF883354-D</t>
  </si>
  <si>
    <t>HF883355-C</t>
  </si>
  <si>
    <t>HF884396-P</t>
  </si>
  <si>
    <t>HF884397-N</t>
  </si>
  <si>
    <t>HF884398-M</t>
  </si>
  <si>
    <t>HF884399-L</t>
  </si>
  <si>
    <t>HF883972-8</t>
  </si>
  <si>
    <t>HF883973-7</t>
  </si>
  <si>
    <t>HF884032-J</t>
  </si>
  <si>
    <t>HF884033-H</t>
  </si>
  <si>
    <t>HF883356-B</t>
  </si>
  <si>
    <t>HF883357-A</t>
  </si>
  <si>
    <t>HF883496-8</t>
  </si>
  <si>
    <t>HF883497-7</t>
  </si>
  <si>
    <t>HF884284-C</t>
  </si>
  <si>
    <t>HF884285-B</t>
  </si>
  <si>
    <t>HF884386-9</t>
  </si>
  <si>
    <t>HF884387-8</t>
  </si>
  <si>
    <t>HF883966-K</t>
  </si>
  <si>
    <t>HF883967-J</t>
  </si>
  <si>
    <t>HF884044-1</t>
  </si>
  <si>
    <t>HF884045-0</t>
  </si>
  <si>
    <t>HF884034-G</t>
  </si>
  <si>
    <t>HF884035-F</t>
  </si>
  <si>
    <t>HF885428-P</t>
  </si>
  <si>
    <t>HF885429-N</t>
  </si>
  <si>
    <t>HF884512-Y</t>
  </si>
  <si>
    <t>HF884513-W</t>
  </si>
  <si>
    <t>HF885420-G</t>
  </si>
  <si>
    <t>HF885421-F</t>
  </si>
  <si>
    <t>HF885440-F</t>
  </si>
  <si>
    <t>HF885441-Y</t>
  </si>
  <si>
    <t>HF884338-R</t>
  </si>
  <si>
    <t>HF884339-P</t>
  </si>
  <si>
    <t>HF883378-8</t>
  </si>
  <si>
    <t>HF883379-7</t>
  </si>
  <si>
    <t>HF883392-D</t>
  </si>
  <si>
    <t>HF883393-C</t>
  </si>
  <si>
    <t>HF884430-G</t>
  </si>
  <si>
    <t>HF884431-F</t>
  </si>
  <si>
    <t>HF884406-C</t>
  </si>
  <si>
    <t>HF884407-B</t>
  </si>
  <si>
    <t>HF884174-W</t>
  </si>
  <si>
    <t>HF884175-V</t>
  </si>
  <si>
    <t>HF883934-8</t>
  </si>
  <si>
    <t>HF883935-7</t>
  </si>
  <si>
    <t>HF884008-E</t>
  </si>
  <si>
    <t>HF884009-D</t>
  </si>
  <si>
    <t>HF885412-0</t>
  </si>
  <si>
    <t>HF885413-E</t>
  </si>
  <si>
    <t>HF884546-9</t>
  </si>
  <si>
    <t>HF884547-8</t>
  </si>
  <si>
    <t>HF885424-V</t>
  </si>
  <si>
    <t>HF885425-U</t>
  </si>
  <si>
    <t>HF885438-8</t>
  </si>
  <si>
    <t>HF885439-7</t>
  </si>
  <si>
    <t>HF884378-N</t>
  </si>
  <si>
    <t>HF884379-M</t>
  </si>
  <si>
    <t>HF883504-W</t>
  </si>
  <si>
    <t>HF883505-V</t>
  </si>
  <si>
    <t>HF884420-2</t>
  </si>
  <si>
    <t>HF884421-1</t>
  </si>
  <si>
    <t>HF884282-E</t>
  </si>
  <si>
    <t>HF884283-D</t>
  </si>
  <si>
    <t>HF884366-A</t>
  </si>
  <si>
    <t>HF884367-9</t>
  </si>
  <si>
    <t>HF884374-U</t>
  </si>
  <si>
    <t>HF884375-T</t>
  </si>
  <si>
    <t>HF883968-H</t>
  </si>
  <si>
    <t>HF883969-G</t>
  </si>
  <si>
    <t>HF884002-5</t>
  </si>
  <si>
    <t>HF884003-4</t>
  </si>
  <si>
    <t>HF885408-R</t>
  </si>
  <si>
    <t>HF885409-P</t>
  </si>
  <si>
    <t>HF884514-V</t>
  </si>
  <si>
    <t>HF884515-U</t>
  </si>
  <si>
    <t>HF885294-B</t>
  </si>
  <si>
    <t>HF885295-A</t>
  </si>
  <si>
    <t>HF885436-A</t>
  </si>
  <si>
    <t>HF885437-9</t>
  </si>
  <si>
    <t>HF883350-2</t>
  </si>
  <si>
    <t>HF883351-1</t>
  </si>
  <si>
    <t>HF884454-U</t>
  </si>
  <si>
    <t>HF884455-T</t>
  </si>
  <si>
    <t>HF884426-B</t>
  </si>
  <si>
    <t>HF884427-A</t>
  </si>
  <si>
    <t>HF884424-D</t>
  </si>
  <si>
    <t>HF884425-C</t>
  </si>
  <si>
    <t>HF884342-0</t>
  </si>
  <si>
    <t>HF884343-E</t>
  </si>
  <si>
    <t>HF884030-L</t>
  </si>
  <si>
    <t>HF884031-K</t>
  </si>
  <si>
    <t>HF883964-M</t>
  </si>
  <si>
    <t>HF883965-L</t>
  </si>
  <si>
    <t>HF885430-1</t>
  </si>
  <si>
    <t>HF885431-0</t>
  </si>
  <si>
    <t>HF884548-7</t>
  </si>
  <si>
    <t>HF884549-6</t>
  </si>
  <si>
    <t>HF885276-A</t>
  </si>
  <si>
    <t>HF885277-9</t>
  </si>
  <si>
    <t>HF883344-W</t>
  </si>
  <si>
    <t>HF883345-V</t>
  </si>
  <si>
    <t>HF884308-B</t>
  </si>
  <si>
    <t>HF884309-A</t>
  </si>
  <si>
    <t>HF884390-Y</t>
  </si>
  <si>
    <t>HF884391-W</t>
  </si>
  <si>
    <t>HF884370-F</t>
  </si>
  <si>
    <t>HF884371-Y</t>
  </si>
  <si>
    <t>HF884344-D</t>
  </si>
  <si>
    <t>HF884345-C</t>
  </si>
  <si>
    <t>HF884004-3</t>
  </si>
  <si>
    <t>HF884005-2</t>
  </si>
  <si>
    <t>HF884042-3</t>
  </si>
  <si>
    <t>HF884043-2</t>
  </si>
  <si>
    <t>HF885318-A</t>
  </si>
  <si>
    <t>HF885319-9</t>
  </si>
  <si>
    <t>HF884544-B</t>
  </si>
  <si>
    <t>HF884545-A</t>
  </si>
  <si>
    <t>HF885500-G</t>
  </si>
  <si>
    <t>HF885501-F</t>
  </si>
  <si>
    <t>HF885432-E</t>
  </si>
  <si>
    <t>HF885433-D</t>
  </si>
  <si>
    <t>HF883498-6</t>
  </si>
  <si>
    <t>HF883499-5</t>
  </si>
  <si>
    <t>HF883856-6</t>
  </si>
  <si>
    <t>HF883857-5</t>
  </si>
  <si>
    <t>HF884432-Y</t>
  </si>
  <si>
    <t>HF884433-W</t>
  </si>
  <si>
    <t>HF884368-8</t>
  </si>
  <si>
    <t>HF884369-7</t>
  </si>
  <si>
    <t>HF884186-B</t>
  </si>
  <si>
    <t>HF884187-A</t>
  </si>
  <si>
    <t>HF884000-7</t>
  </si>
  <si>
    <t>HF884001-6</t>
  </si>
  <si>
    <t>HF883970-A</t>
  </si>
  <si>
    <t>HF883971-9</t>
  </si>
  <si>
    <t>HF885280-F</t>
  </si>
  <si>
    <t>HF885281-Y</t>
  </si>
  <si>
    <t>HF884478-M</t>
  </si>
  <si>
    <t>HF884479-L</t>
  </si>
  <si>
    <t>HF885416-B</t>
  </si>
  <si>
    <t>HF885417-A</t>
  </si>
  <si>
    <t>HF884414-W</t>
  </si>
  <si>
    <t>HF884415-V</t>
  </si>
  <si>
    <t>HF884274-V</t>
  </si>
  <si>
    <t>HF884275-U</t>
  </si>
  <si>
    <t>HF883932-A</t>
  </si>
  <si>
    <t>HF883933-9</t>
  </si>
  <si>
    <t>HF885284-U</t>
  </si>
  <si>
    <t>HF885285-T</t>
  </si>
  <si>
    <t>HF885414-D</t>
  </si>
  <si>
    <t>HF885415-C</t>
  </si>
  <si>
    <t>HF884452-W</t>
  </si>
  <si>
    <t>HF884453-V</t>
  </si>
  <si>
    <t>HF884354-V</t>
  </si>
  <si>
    <t>HF884355-U</t>
  </si>
  <si>
    <t>HF884036-Y</t>
  </si>
  <si>
    <t>HF884037-W</t>
  </si>
  <si>
    <t>HF885286-R</t>
  </si>
  <si>
    <t>HF885287-P</t>
  </si>
  <si>
    <t>HF885418-9</t>
  </si>
  <si>
    <t>HF885419-8</t>
  </si>
  <si>
    <t>Keino Clarke</t>
  </si>
  <si>
    <t>HF884442-E</t>
  </si>
  <si>
    <t>HF884443-D</t>
  </si>
  <si>
    <t>HF884438-P</t>
  </si>
  <si>
    <t>HF884439-N</t>
  </si>
  <si>
    <t>HF885472-C</t>
  </si>
  <si>
    <t>HF885473-B</t>
  </si>
  <si>
    <t>HF884040-5</t>
  </si>
  <si>
    <t>HF884041-4</t>
  </si>
  <si>
    <t>HF884732-U</t>
  </si>
  <si>
    <t>HF884733-T</t>
  </si>
  <si>
    <t>HF884538-N</t>
  </si>
  <si>
    <t>HF884539-M</t>
  </si>
  <si>
    <t>HF884446-A</t>
  </si>
  <si>
    <t>HF884447-9</t>
  </si>
  <si>
    <t>HF884302-2</t>
  </si>
  <si>
    <t>HF884303-1</t>
  </si>
  <si>
    <t>HF885480-W</t>
  </si>
  <si>
    <t>HF885481-V</t>
  </si>
  <si>
    <t>HF885494-9</t>
  </si>
  <si>
    <t>HF885495-8</t>
  </si>
  <si>
    <t>HF884734-R</t>
  </si>
  <si>
    <t>HF884735-P</t>
  </si>
  <si>
    <t>HF883998-1</t>
  </si>
  <si>
    <t>HF883999-0</t>
  </si>
  <si>
    <t>HF884038-V</t>
  </si>
  <si>
    <t>HF884039-U</t>
  </si>
  <si>
    <t>HF884292-W</t>
  </si>
  <si>
    <t>HF884293-V</t>
  </si>
  <si>
    <t>HF885476-8</t>
  </si>
  <si>
    <t>HF885477-7</t>
  </si>
  <si>
    <t>HF885484-R</t>
  </si>
  <si>
    <t>HF885485-P</t>
  </si>
  <si>
    <t>HF884730-W</t>
  </si>
  <si>
    <t>HF884731-V</t>
  </si>
  <si>
    <t>HF884738-L</t>
  </si>
  <si>
    <t>HF884739-K</t>
  </si>
  <si>
    <t>HF884608-8</t>
  </si>
  <si>
    <t>HF884609-7</t>
  </si>
  <si>
    <t>HF884712-V</t>
  </si>
  <si>
    <t>HF884713-U</t>
  </si>
  <si>
    <t>HF884294-U</t>
  </si>
  <si>
    <t>HF884295-T</t>
  </si>
  <si>
    <t>HF885468-M</t>
  </si>
  <si>
    <t>HF885469-L</t>
  </si>
  <si>
    <t>HF885478-6</t>
  </si>
  <si>
    <t>HF885479-5</t>
  </si>
  <si>
    <t>HF884704-B</t>
  </si>
  <si>
    <t>HF884705-A</t>
  </si>
  <si>
    <t>HF884736-N</t>
  </si>
  <si>
    <t>HF884737-M</t>
  </si>
  <si>
    <t>HF884444-C</t>
  </si>
  <si>
    <t>HF884445-B</t>
  </si>
  <si>
    <t>HF884382-D</t>
  </si>
  <si>
    <t>HF884383-C</t>
  </si>
  <si>
    <t>HF885460-Y</t>
  </si>
  <si>
    <t>HF885461-W</t>
  </si>
  <si>
    <t>HF883962-P</t>
  </si>
  <si>
    <t>HF883963-N</t>
  </si>
  <si>
    <t>HF884684-8</t>
  </si>
  <si>
    <t>HF884685-7</t>
  </si>
  <si>
    <t>HF885452-D</t>
  </si>
  <si>
    <t>HF885453-C</t>
  </si>
  <si>
    <t>HF885462-V</t>
  </si>
  <si>
    <t>HF885463-U</t>
  </si>
  <si>
    <t>HF885454-B</t>
  </si>
  <si>
    <t>HF885455-A</t>
  </si>
  <si>
    <t>HF885496-7</t>
  </si>
  <si>
    <t>HF885497-6</t>
  </si>
  <si>
    <t>HF885474-A</t>
  </si>
  <si>
    <t>HF885475-9</t>
  </si>
  <si>
    <t>HF884682-A</t>
  </si>
  <si>
    <t>HF884683-9</t>
  </si>
  <si>
    <t>HF884524-C</t>
  </si>
  <si>
    <t>HF884525-B</t>
  </si>
  <si>
    <t>HF884728-6</t>
  </si>
  <si>
    <t>HF884729-5</t>
  </si>
  <si>
    <t>HF885434-C</t>
  </si>
  <si>
    <t>HF885435-B</t>
  </si>
  <si>
    <t>HF885450-0</t>
  </si>
  <si>
    <t>HF885451-E</t>
  </si>
  <si>
    <t>HF885482-U</t>
  </si>
  <si>
    <t>HF885483-T</t>
  </si>
  <si>
    <t>HF885466-P</t>
  </si>
  <si>
    <t>HF885467-N</t>
  </si>
  <si>
    <t>HF885458-7</t>
  </si>
  <si>
    <t>HF885459-6</t>
  </si>
  <si>
    <t>HF885488-L</t>
  </si>
  <si>
    <t>HF885489-K</t>
  </si>
  <si>
    <t>HF884700-0</t>
  </si>
  <si>
    <t>HF884701-E</t>
  </si>
  <si>
    <t>HF884710-Y</t>
  </si>
  <si>
    <t>HF884711-W</t>
  </si>
  <si>
    <t>HF885448-N</t>
  </si>
  <si>
    <t>HF885449-M</t>
  </si>
  <si>
    <t>HF885446-R</t>
  </si>
  <si>
    <t>HF885447-P</t>
  </si>
  <si>
    <t>HF885444-U</t>
  </si>
  <si>
    <t>HF885445-T</t>
  </si>
  <si>
    <t>HF884348-9</t>
  </si>
  <si>
    <t>HF884349-8</t>
  </si>
  <si>
    <t>HF885464-T</t>
  </si>
  <si>
    <t>HF885465-R</t>
  </si>
  <si>
    <t>HF885442-W</t>
  </si>
  <si>
    <t>HF885443-V</t>
  </si>
  <si>
    <t>HF884372-W</t>
  </si>
  <si>
    <t>HF884373-V</t>
  </si>
  <si>
    <t>HF885456-9</t>
  </si>
  <si>
    <t>HF885457-8</t>
  </si>
  <si>
    <t>HF884502-0</t>
  </si>
  <si>
    <t>HF884503-E</t>
  </si>
  <si>
    <t>HF884510-G</t>
  </si>
  <si>
    <t>HF884511-F</t>
  </si>
  <si>
    <t>HF884574-R</t>
  </si>
  <si>
    <t>HF884575-P</t>
  </si>
  <si>
    <t>HF884626-9</t>
  </si>
  <si>
    <t>HF884627-8</t>
  </si>
  <si>
    <t>HF885388-M</t>
  </si>
  <si>
    <t>HF885389-L</t>
  </si>
  <si>
    <t>HF884634-T</t>
  </si>
  <si>
    <t>HF884635-R</t>
  </si>
  <si>
    <t>HF884674-P</t>
  </si>
  <si>
    <t>HF884675-N</t>
  </si>
  <si>
    <t>HF884802-C</t>
  </si>
  <si>
    <t>HF884803-B</t>
  </si>
  <si>
    <t>HF884740-D</t>
  </si>
  <si>
    <t>HF884741-C</t>
  </si>
  <si>
    <t>HF884624-B</t>
  </si>
  <si>
    <t>HF884625-A</t>
  </si>
  <si>
    <t>HF884602-E</t>
  </si>
  <si>
    <t>HF884603-D</t>
  </si>
  <si>
    <t>HF884606-A</t>
  </si>
  <si>
    <t>HF884607-9</t>
  </si>
  <si>
    <t>HF885392-C</t>
  </si>
  <si>
    <t>HF885393-B</t>
  </si>
  <si>
    <t>HF884864-7</t>
  </si>
  <si>
    <t>HF884865-6</t>
  </si>
  <si>
    <t>HF884652-U</t>
  </si>
  <si>
    <t>HF884653-T</t>
  </si>
  <si>
    <t>HF884774-N</t>
  </si>
  <si>
    <t>HF884775-M</t>
  </si>
  <si>
    <t>HF885426-T</t>
  </si>
  <si>
    <t>HF885427-R</t>
  </si>
  <si>
    <t>HF884474-T</t>
  </si>
  <si>
    <t>HF884475-R</t>
  </si>
  <si>
    <t>HF884504-D</t>
  </si>
  <si>
    <t>HF884505-C</t>
  </si>
  <si>
    <t>HF884672-T</t>
  </si>
  <si>
    <t>HF884673-R</t>
  </si>
  <si>
    <t>HF885298-7</t>
  </si>
  <si>
    <t>HF885299-6</t>
  </si>
  <si>
    <t>HF885302-G</t>
  </si>
  <si>
    <t>HF885303-F</t>
  </si>
  <si>
    <t>HF884670-V</t>
  </si>
  <si>
    <t>HF884671-U</t>
  </si>
  <si>
    <t>HF884860-B</t>
  </si>
  <si>
    <t>HF884861-A</t>
  </si>
  <si>
    <t>HF884636-P</t>
  </si>
  <si>
    <t>HF884637-N</t>
  </si>
  <si>
    <t>HF884776-L</t>
  </si>
  <si>
    <t>HF884777-K</t>
  </si>
  <si>
    <t>HF884760-C</t>
  </si>
  <si>
    <t>HF884761-B</t>
  </si>
  <si>
    <t>HF884858-J</t>
  </si>
  <si>
    <t>HF884859-H</t>
  </si>
  <si>
    <t>HF884766-6</t>
  </si>
  <si>
    <t>HF884767-5</t>
  </si>
  <si>
    <t>HF884778-J</t>
  </si>
  <si>
    <t>HF884779-H</t>
  </si>
  <si>
    <t>HF885422-Y</t>
  </si>
  <si>
    <t>HF885423-W</t>
  </si>
  <si>
    <t>HF884480-E</t>
  </si>
  <si>
    <t>HF884481-D</t>
  </si>
  <si>
    <t>HF884486-8</t>
  </si>
  <si>
    <t>HF884487-7</t>
  </si>
  <si>
    <t>HF884696-L</t>
  </si>
  <si>
    <t>HF884697-K</t>
  </si>
  <si>
    <t>HF885308-T</t>
  </si>
  <si>
    <t>HF885309-R</t>
  </si>
  <si>
    <t>HF884668-5</t>
  </si>
  <si>
    <t>HF884669-4</t>
  </si>
  <si>
    <t>HF884894-L</t>
  </si>
  <si>
    <t>HF884895-K</t>
  </si>
  <si>
    <t>HF884654-R</t>
  </si>
  <si>
    <t>HF884655-P</t>
  </si>
  <si>
    <t>HF884758-K</t>
  </si>
  <si>
    <t>HF884759-J</t>
  </si>
  <si>
    <t>HF884784-7</t>
  </si>
  <si>
    <t>HF884785-6</t>
  </si>
  <si>
    <t>HF884762-A</t>
  </si>
  <si>
    <t>HF884763-9</t>
  </si>
  <si>
    <t>HF884874-M</t>
  </si>
  <si>
    <t>HF884875-L</t>
  </si>
  <si>
    <t>HF884588-5</t>
  </si>
  <si>
    <t>HF884589-4</t>
  </si>
  <si>
    <t>HF884470-Y</t>
  </si>
  <si>
    <t>HF884471-W</t>
  </si>
  <si>
    <t>HF884484-A</t>
  </si>
  <si>
    <t>HF884485-9</t>
  </si>
  <si>
    <t>HF884666-7</t>
  </si>
  <si>
    <t>HF884667-6</t>
  </si>
  <si>
    <t>HF884554-T</t>
  </si>
  <si>
    <t>HF884555-R</t>
  </si>
  <si>
    <t>HF884692-R</t>
  </si>
  <si>
    <t>HF884693-P</t>
  </si>
  <si>
    <t>HF884492-U</t>
  </si>
  <si>
    <t>HF884493-T</t>
  </si>
  <si>
    <t>HF884638-M</t>
  </si>
  <si>
    <t>HF884639-L</t>
  </si>
  <si>
    <t>HF884800-E</t>
  </si>
  <si>
    <t>HF884801-D</t>
  </si>
  <si>
    <t>HF884820-D</t>
  </si>
  <si>
    <t>HF884821-C</t>
  </si>
  <si>
    <t>HF884742-B</t>
  </si>
  <si>
    <t>HF884743-A</t>
  </si>
  <si>
    <t>HF884850-U</t>
  </si>
  <si>
    <t>HF884851-T</t>
  </si>
  <si>
    <t>HF884590-V</t>
  </si>
  <si>
    <t>HF884591-U</t>
  </si>
  <si>
    <t>HF884522-E</t>
  </si>
  <si>
    <t>HF884523-D</t>
  </si>
  <si>
    <t>HF884506-B</t>
  </si>
  <si>
    <t>HF884507-A</t>
  </si>
  <si>
    <t>HF884706-9</t>
  </si>
  <si>
    <t>HF884707-8</t>
  </si>
  <si>
    <t>HF884690-U</t>
  </si>
  <si>
    <t>HF884691-T</t>
  </si>
  <si>
    <t>HF884620-0</t>
  </si>
  <si>
    <t>HF884621-E</t>
  </si>
  <si>
    <t>HF884752-T</t>
  </si>
  <si>
    <t>HF884753-R</t>
  </si>
  <si>
    <t>HF884930-U</t>
  </si>
  <si>
    <t>HF884931-T</t>
  </si>
  <si>
    <t>HF884972-N</t>
  </si>
  <si>
    <t>HF884973-M</t>
  </si>
  <si>
    <t>HF884744-9</t>
  </si>
  <si>
    <t>HF884745-8</t>
  </si>
  <si>
    <t>HF884906-7</t>
  </si>
  <si>
    <t>HF884907-6</t>
  </si>
  <si>
    <t>HF884488-6</t>
  </si>
  <si>
    <t>HF884489-5</t>
  </si>
  <si>
    <t>HF884508-9</t>
  </si>
  <si>
    <t>HF884509-8</t>
  </si>
  <si>
    <t>HF884540-0</t>
  </si>
  <si>
    <t>HF884541-E</t>
  </si>
  <si>
    <t>HF885390-E</t>
  </si>
  <si>
    <t>HF885391-D</t>
  </si>
  <si>
    <t>HF884900-D</t>
  </si>
  <si>
    <t>HF884901-C</t>
  </si>
  <si>
    <t>HF884676-M</t>
  </si>
  <si>
    <t>HF884677-L</t>
  </si>
  <si>
    <t>HF884856-L</t>
  </si>
  <si>
    <t>HF884857-K</t>
  </si>
  <si>
    <t>HF884770-U</t>
  </si>
  <si>
    <t>HF884771-T</t>
  </si>
  <si>
    <t>HF884870-T</t>
  </si>
  <si>
    <t>HF884871-R</t>
  </si>
  <si>
    <t>HF884598-K</t>
  </si>
  <si>
    <t>HF884599-J</t>
  </si>
  <si>
    <t>HF885486-N</t>
  </si>
  <si>
    <t>HF885487-M</t>
  </si>
  <si>
    <t>HF884586-7</t>
  </si>
  <si>
    <t>HF884587-6</t>
  </si>
  <si>
    <t>HF884658-L</t>
  </si>
  <si>
    <t>HF884659-K</t>
  </si>
  <si>
    <t>HF884630-Y</t>
  </si>
  <si>
    <t>HF884631-W</t>
  </si>
  <si>
    <t>HF884826-7</t>
  </si>
  <si>
    <t>HF884827-6</t>
  </si>
  <si>
    <t>HF884680-C</t>
  </si>
  <si>
    <t>HF884681-B</t>
  </si>
  <si>
    <t>HF884750-V</t>
  </si>
  <si>
    <t>HF884751-U</t>
  </si>
  <si>
    <t>HF884748-5</t>
  </si>
  <si>
    <t>HF884749-4</t>
  </si>
  <si>
    <t>HF884936-L</t>
  </si>
  <si>
    <t>HF884937-K</t>
  </si>
  <si>
    <t>HF884832-T</t>
  </si>
  <si>
    <t>HF884833-R</t>
  </si>
  <si>
    <t>HF884872-P</t>
  </si>
  <si>
    <t>HF884873-N</t>
  </si>
  <si>
    <t>HF885492-B</t>
  </si>
  <si>
    <t>HF885493-A</t>
  </si>
  <si>
    <t>HF884494-R</t>
  </si>
  <si>
    <t>HF884495-P</t>
  </si>
  <si>
    <t>HF884662-B</t>
  </si>
  <si>
    <t>HF884663-A</t>
  </si>
  <si>
    <t>HF884656-N</t>
  </si>
  <si>
    <t>HF884657-M</t>
  </si>
  <si>
    <t>HF884822-B</t>
  </si>
  <si>
    <t>HF884823-A</t>
  </si>
  <si>
    <t>HF884640-E</t>
  </si>
  <si>
    <t>HF884641-D</t>
  </si>
  <si>
    <t>HF885004-H</t>
  </si>
  <si>
    <t>HF885005-G</t>
  </si>
  <si>
    <t>HF884764-8</t>
  </si>
  <si>
    <t>HF884765-7</t>
  </si>
  <si>
    <t>HF884834-P</t>
  </si>
  <si>
    <t>HF884835-N</t>
  </si>
  <si>
    <t>HF884852-R</t>
  </si>
  <si>
    <t>HF884853-P</t>
  </si>
  <si>
    <t>HF884842-A</t>
  </si>
  <si>
    <t>HF884843-9</t>
  </si>
  <si>
    <t>HF884840-C</t>
  </si>
  <si>
    <t>HF884841-B</t>
  </si>
  <si>
    <t>HF884810-W</t>
  </si>
  <si>
    <t>HF884811-V</t>
  </si>
  <si>
    <t>HF884610-F</t>
  </si>
  <si>
    <t>HF884611-Y</t>
  </si>
  <si>
    <t>HF884472-V</t>
  </si>
  <si>
    <t>HF884473-U</t>
  </si>
  <si>
    <t>HF885278-8</t>
  </si>
  <si>
    <t>HF885279-7</t>
  </si>
  <si>
    <t>HF884702-D</t>
  </si>
  <si>
    <t>HF884703-C</t>
  </si>
  <si>
    <t>HF884568-6</t>
  </si>
  <si>
    <t>HF884569-5</t>
  </si>
  <si>
    <t>HF884988-1</t>
  </si>
  <si>
    <t>HF884989-0</t>
  </si>
  <si>
    <t>HF884718-M</t>
  </si>
  <si>
    <t>HF884719-L</t>
  </si>
  <si>
    <t>HF884322-1</t>
  </si>
  <si>
    <t>HF884323-0</t>
  </si>
  <si>
    <t>HF884152-G</t>
  </si>
  <si>
    <t>HF884153-F</t>
  </si>
  <si>
    <t>HF884688-4</t>
  </si>
  <si>
    <t>HF884689-3</t>
  </si>
  <si>
    <t>HF883930-C</t>
  </si>
  <si>
    <t>HF885596-6</t>
  </si>
  <si>
    <t>HF885597-5</t>
  </si>
  <si>
    <t>HF884890-R</t>
  </si>
  <si>
    <t>HF884891-P</t>
  </si>
  <si>
    <t>HF884902-B</t>
  </si>
  <si>
    <t>HF884903-A</t>
  </si>
  <si>
    <t>HF884814-R</t>
  </si>
  <si>
    <t>HF884815-P</t>
  </si>
  <si>
    <t>HF884612-W</t>
  </si>
  <si>
    <t>HF884613-V</t>
  </si>
  <si>
    <t>HF884600-1</t>
  </si>
  <si>
    <t>HF884601-0</t>
  </si>
  <si>
    <t>HF884516-T</t>
  </si>
  <si>
    <t>HF884517-R</t>
  </si>
  <si>
    <t>HF884708-7</t>
  </si>
  <si>
    <t>HF884709-6</t>
  </si>
  <si>
    <t>HF884566-8</t>
  </si>
  <si>
    <t>HF884567-7</t>
  </si>
  <si>
    <t>HF884346-B</t>
  </si>
  <si>
    <t>HF884347-A</t>
  </si>
  <si>
    <t>HF884016-F</t>
  </si>
  <si>
    <t>HF884017-Y</t>
  </si>
  <si>
    <t>HF884150-J</t>
  </si>
  <si>
    <t>HF884151-H</t>
  </si>
  <si>
    <t>HF884694-N</t>
  </si>
  <si>
    <t>HF884695-M</t>
  </si>
  <si>
    <t>HF884642-C</t>
  </si>
  <si>
    <t>HF884643-B</t>
  </si>
  <si>
    <t>HF884836-M</t>
  </si>
  <si>
    <t>HF884837-L</t>
  </si>
  <si>
    <t>HF884804-A</t>
  </si>
  <si>
    <t>HF884805-9</t>
  </si>
  <si>
    <t>HF884746-7</t>
  </si>
  <si>
    <t>HF884747-6</t>
  </si>
  <si>
    <t>HF884558-M</t>
  </si>
  <si>
    <t>HF884559-L</t>
  </si>
  <si>
    <t>HF884724-A</t>
  </si>
  <si>
    <t>HF884725-9</t>
  </si>
  <si>
    <t>HF885328-R</t>
  </si>
  <si>
    <t>HF885329-P</t>
  </si>
  <si>
    <t>HF885320-H</t>
  </si>
  <si>
    <t>HF885321-G</t>
  </si>
  <si>
    <t>HF884772-R</t>
  </si>
  <si>
    <t>HF884773-P</t>
  </si>
  <si>
    <t>HF884596-M</t>
  </si>
  <si>
    <t>HF884597-L</t>
  </si>
  <si>
    <t>HF884916-M</t>
  </si>
  <si>
    <t>HF884917-L</t>
  </si>
  <si>
    <t>HF884534-U</t>
  </si>
  <si>
    <t>HF884535-T</t>
  </si>
  <si>
    <t>HF884296-R</t>
  </si>
  <si>
    <t>HF884297-P</t>
  </si>
  <si>
    <t>HF884052-H</t>
  </si>
  <si>
    <t>HF884053-G</t>
  </si>
  <si>
    <t>HF884184-D</t>
  </si>
  <si>
    <t>HF884185-C</t>
  </si>
  <si>
    <t>HF884974-L</t>
  </si>
  <si>
    <t>HF884975-K</t>
  </si>
  <si>
    <t>HF884934-N</t>
  </si>
  <si>
    <t>HF884935-M</t>
  </si>
  <si>
    <t>HF884798-H</t>
  </si>
  <si>
    <t>HF884799-G</t>
  </si>
  <si>
    <t>HF884808-6</t>
  </si>
  <si>
    <t>HF884809-5</t>
  </si>
  <si>
    <t>HF884966-4</t>
  </si>
  <si>
    <t>HF884967-3</t>
  </si>
  <si>
    <t>HF884490-W</t>
  </si>
  <si>
    <t>HF884491-V</t>
  </si>
  <si>
    <t>HF884582-B</t>
  </si>
  <si>
    <t>HF884583-A</t>
  </si>
  <si>
    <t>HF885314-E</t>
  </si>
  <si>
    <t>HF885315-D</t>
  </si>
  <si>
    <t>HF885290-0</t>
  </si>
  <si>
    <t>HF885291-E</t>
  </si>
  <si>
    <t>HF885292-D</t>
  </si>
  <si>
    <t>HF885293-C</t>
  </si>
  <si>
    <t>HF884714-T</t>
  </si>
  <si>
    <t>HF884715-R</t>
  </si>
  <si>
    <t>HF884496-N</t>
  </si>
  <si>
    <t>HF884497-M</t>
  </si>
  <si>
    <t>HF884880-A</t>
  </si>
  <si>
    <t>HF884881-9</t>
  </si>
  <si>
    <t>HF884622-D</t>
  </si>
  <si>
    <t>HF884623-C</t>
  </si>
  <si>
    <t>HF884340-2</t>
  </si>
  <si>
    <t>HF884341-1</t>
  </si>
  <si>
    <t>HF884024-2</t>
  </si>
  <si>
    <t>HF884025-1</t>
  </si>
  <si>
    <t>HF884176-U</t>
  </si>
  <si>
    <t>HF884177-T</t>
  </si>
  <si>
    <t>HF884769-3</t>
  </si>
  <si>
    <t>HF884768-4</t>
  </si>
  <si>
    <t>HF884792-P</t>
  </si>
  <si>
    <t>HF884793-N</t>
  </si>
  <si>
    <t>HF884838-K</t>
  </si>
  <si>
    <t>HF884839-J</t>
  </si>
  <si>
    <t>HF884854-N</t>
  </si>
  <si>
    <t>HF884855-M</t>
  </si>
  <si>
    <t>HF884782-9</t>
  </si>
  <si>
    <t>HF884783-8</t>
  </si>
  <si>
    <t>HF884650-W</t>
  </si>
  <si>
    <t>HF884651-V</t>
  </si>
  <si>
    <t>HF884556-P</t>
  </si>
  <si>
    <t>HF884557-N</t>
  </si>
  <si>
    <t>HF884518-P</t>
  </si>
  <si>
    <t>HF884519-N</t>
  </si>
  <si>
    <t>HF885310-3</t>
  </si>
  <si>
    <t>HF885311-2</t>
  </si>
  <si>
    <t>HF885324-W</t>
  </si>
  <si>
    <t>HF885325-V</t>
  </si>
  <si>
    <t>HF884616-R</t>
  </si>
  <si>
    <t>HF884617-P</t>
  </si>
  <si>
    <t>HF884532-W</t>
  </si>
  <si>
    <t>HF884533-V</t>
  </si>
  <si>
    <t>HF884950-T</t>
  </si>
  <si>
    <t>HF884951-R</t>
  </si>
  <si>
    <t>HF884664-9</t>
  </si>
  <si>
    <t>HF884665-8</t>
  </si>
  <si>
    <t>HF884202-3</t>
  </si>
  <si>
    <t>HF884203-2</t>
  </si>
  <si>
    <t>HF884054-F</t>
  </si>
  <si>
    <t>HF884055-Y</t>
  </si>
  <si>
    <t>HF884110-L</t>
  </si>
  <si>
    <t>HF884111-K</t>
  </si>
  <si>
    <t>HF884982-7</t>
  </si>
  <si>
    <t>HF884983-6</t>
  </si>
  <si>
    <t>HF884788-3</t>
  </si>
  <si>
    <t>HF884789-2</t>
  </si>
  <si>
    <t>HF883956-5</t>
  </si>
  <si>
    <t>HF883957-4</t>
  </si>
  <si>
    <t>HF885550-E</t>
  </si>
  <si>
    <t>HF885551-D</t>
  </si>
  <si>
    <t>HF885522-W</t>
  </si>
  <si>
    <t>HF885523-V</t>
  </si>
  <si>
    <t>HF885556-8</t>
  </si>
  <si>
    <t>HF885557-7</t>
  </si>
  <si>
    <t>HF884848-4</t>
  </si>
  <si>
    <t>HF884849-3</t>
  </si>
  <si>
    <t>HF884796-K</t>
  </si>
  <si>
    <t>HF884797-J</t>
  </si>
  <si>
    <t>HF884866-5</t>
  </si>
  <si>
    <t>HF884867-4</t>
  </si>
  <si>
    <t>HF884794-M</t>
  </si>
  <si>
    <t>HF884795-L</t>
  </si>
  <si>
    <t>HF884678-K</t>
  </si>
  <si>
    <t>HF884679-J</t>
  </si>
  <si>
    <t>HF884578-L</t>
  </si>
  <si>
    <t>HF884579-K</t>
  </si>
  <si>
    <t>HF884476-P</t>
  </si>
  <si>
    <t>HF884477-N</t>
  </si>
  <si>
    <t>HF885312-1</t>
  </si>
  <si>
    <t>HF885313-0</t>
  </si>
  <si>
    <t>HF885322-F</t>
  </si>
  <si>
    <t>HF885323-Y</t>
  </si>
  <si>
    <t>HF884618-N</t>
  </si>
  <si>
    <t>HF884619-M</t>
  </si>
  <si>
    <t>HF884530-F</t>
  </si>
  <si>
    <t>HF884531-Y</t>
  </si>
  <si>
    <t>HF884992-M</t>
  </si>
  <si>
    <t>HF884993-L</t>
  </si>
  <si>
    <t>HF884756-M</t>
  </si>
  <si>
    <t>HF884757-L</t>
  </si>
  <si>
    <t>HF884350-G</t>
  </si>
  <si>
    <t>HF884351-F</t>
  </si>
  <si>
    <t>HF884050-K</t>
  </si>
  <si>
    <t>HF884051-J</t>
  </si>
  <si>
    <t>HF884188-9</t>
  </si>
  <si>
    <t>HF884189-8</t>
  </si>
  <si>
    <t>HF884816-N</t>
  </si>
  <si>
    <t>HF884817-M</t>
  </si>
  <si>
    <t>HF884786-5</t>
  </si>
  <si>
    <t>HF884787-4</t>
  </si>
  <si>
    <t>HF884632-V</t>
  </si>
  <si>
    <t>HF884633-U</t>
  </si>
  <si>
    <t>HF885558-6</t>
  </si>
  <si>
    <t>HF885559-5</t>
  </si>
  <si>
    <t>HF885524-U</t>
  </si>
  <si>
    <t>HF885525-T</t>
  </si>
  <si>
    <t>HF884844-8</t>
  </si>
  <si>
    <t>HF884845-7</t>
  </si>
  <si>
    <t>HF884892-N</t>
  </si>
  <si>
    <t>HF884893-M</t>
  </si>
  <si>
    <t>HF884812-U</t>
  </si>
  <si>
    <t>HF884813-T</t>
  </si>
  <si>
    <t>HF884526-A</t>
  </si>
  <si>
    <t>HF884527-9</t>
  </si>
  <si>
    <t>HF884604-C</t>
  </si>
  <si>
    <t>HF884605-B</t>
  </si>
  <si>
    <t>HF885306-V</t>
  </si>
  <si>
    <t>HF885307-U</t>
  </si>
  <si>
    <t>HF884550-Y</t>
  </si>
  <si>
    <t>HF884551-W</t>
  </si>
  <si>
    <t>HF884570-W</t>
  </si>
  <si>
    <t>HF884571-V</t>
  </si>
  <si>
    <t>HF884952-P</t>
  </si>
  <si>
    <t>HF884953-N</t>
  </si>
  <si>
    <t>HF885394-A</t>
  </si>
  <si>
    <t>HF885395-9</t>
  </si>
  <si>
    <t>HF884022-4</t>
  </si>
  <si>
    <t>HF884023-3</t>
  </si>
  <si>
    <t>HF884146-D</t>
  </si>
  <si>
    <t>HF884147-C</t>
  </si>
  <si>
    <t>HF884698-J</t>
  </si>
  <si>
    <t>HF884699-H</t>
  </si>
  <si>
    <t>HF884178-R</t>
  </si>
  <si>
    <t>HF884179-P</t>
  </si>
  <si>
    <t>HF885586-M</t>
  </si>
  <si>
    <t>HF885587-L</t>
  </si>
  <si>
    <t>HF884542-D</t>
  </si>
  <si>
    <t>HF884543-C</t>
  </si>
  <si>
    <t>HF885304-Y</t>
  </si>
  <si>
    <t>HF885305-W</t>
  </si>
  <si>
    <t>HF885270-1</t>
  </si>
  <si>
    <t>HF885271-0</t>
  </si>
  <si>
    <t>HF884498-L</t>
  </si>
  <si>
    <t>HF884499-K</t>
  </si>
  <si>
    <t>HF884976-J</t>
  </si>
  <si>
    <t>HF884977-H</t>
  </si>
  <si>
    <t>HF884726-8</t>
  </si>
  <si>
    <t>HF884727-7</t>
  </si>
  <si>
    <t>HF884200-5</t>
  </si>
  <si>
    <t>HF884201-4</t>
  </si>
  <si>
    <t>HF884112-J</t>
  </si>
  <si>
    <t>HF884113-H</t>
  </si>
  <si>
    <t>HF884142-2</t>
  </si>
  <si>
    <t>HF884143-1</t>
  </si>
  <si>
    <t>HF884818-L</t>
  </si>
  <si>
    <t>HF884819-K</t>
  </si>
  <si>
    <t>HF883996-3</t>
  </si>
  <si>
    <t>HF883997-2</t>
  </si>
  <si>
    <t>HF884660-D</t>
  </si>
  <si>
    <t>HF884661-C</t>
  </si>
  <si>
    <t>HF885506-T</t>
  </si>
  <si>
    <t>HF885507-R</t>
  </si>
  <si>
    <t>HF885590-C</t>
  </si>
  <si>
    <t>HF885591-B</t>
  </si>
  <si>
    <t>HF885738-5</t>
  </si>
  <si>
    <t>HF885739-4</t>
  </si>
  <si>
    <t>HF884592-T</t>
  </si>
  <si>
    <t>HF884593-R</t>
  </si>
  <si>
    <t>HF884520-1</t>
  </si>
  <si>
    <t>HF884521-0</t>
  </si>
  <si>
    <t>HF885272-E</t>
  </si>
  <si>
    <t>HF885273-D</t>
  </si>
  <si>
    <t>HF884614-U</t>
  </si>
  <si>
    <t>HF884615-T</t>
  </si>
  <si>
    <t>HF884990-P</t>
  </si>
  <si>
    <t>HF884991-N</t>
  </si>
  <si>
    <t>HF884562-C</t>
  </si>
  <si>
    <t>HF884563-B</t>
  </si>
  <si>
    <t>HF884238-T</t>
  </si>
  <si>
    <t>HF884239-R</t>
  </si>
  <si>
    <t>HF884138-U</t>
  </si>
  <si>
    <t>HF884139-T</t>
  </si>
  <si>
    <t>HF884144-0</t>
  </si>
  <si>
    <t>HF884145-E</t>
  </si>
  <si>
    <t>HF884806-8</t>
  </si>
  <si>
    <t>HF884807-7</t>
  </si>
  <si>
    <t>HF884648-6</t>
  </si>
  <si>
    <t>HF884649-5</t>
  </si>
  <si>
    <t>HF884628-7</t>
  </si>
  <si>
    <t>HF884629-6</t>
  </si>
  <si>
    <t>HF885584-P</t>
  </si>
  <si>
    <t>HF885585-N</t>
  </si>
  <si>
    <t>HF885592-A</t>
  </si>
  <si>
    <t>HF885593-9</t>
  </si>
  <si>
    <t>HF884904-9</t>
  </si>
  <si>
    <t>HF884905-8</t>
  </si>
  <si>
    <t>HF884914-P</t>
  </si>
  <si>
    <t>HF884915-N</t>
  </si>
  <si>
    <t>HF884846-6</t>
  </si>
  <si>
    <t>HF884847-5</t>
  </si>
  <si>
    <t>HF884898-G</t>
  </si>
  <si>
    <t>HF884899-F</t>
  </si>
  <si>
    <t>HF884720-E</t>
  </si>
  <si>
    <t>HF884721-D</t>
  </si>
  <si>
    <t>HF884584-9</t>
  </si>
  <si>
    <t>HF884585-8</t>
  </si>
  <si>
    <t>HF884482-C</t>
  </si>
  <si>
    <t>HF884483-B</t>
  </si>
  <si>
    <t>HF885316-C</t>
  </si>
  <si>
    <t>HF885317-B</t>
  </si>
  <si>
    <t>HF885326-U</t>
  </si>
  <si>
    <t>HF885327-T</t>
  </si>
  <si>
    <t>HF884564-A</t>
  </si>
  <si>
    <t>HF884565-9</t>
  </si>
  <si>
    <t>HF884572-U</t>
  </si>
  <si>
    <t>HF884573-T</t>
  </si>
  <si>
    <t>HF884996-H</t>
  </si>
  <si>
    <t>HF884997-G</t>
  </si>
  <si>
    <t>HF884552-V</t>
  </si>
  <si>
    <t>HF884553-U</t>
  </si>
  <si>
    <t>HF884328-A</t>
  </si>
  <si>
    <t>HF884329-9</t>
  </si>
  <si>
    <t>HF884108-D</t>
  </si>
  <si>
    <t>HF884109-C</t>
  </si>
  <si>
    <t>HF884116-Y</t>
  </si>
  <si>
    <t>HF884117-W</t>
  </si>
  <si>
    <t>HF884830-V</t>
  </si>
  <si>
    <t>HF884831-U</t>
  </si>
  <si>
    <t>HF884644-A</t>
  </si>
  <si>
    <t>HF884645-9</t>
  </si>
  <si>
    <t>HF884046-E</t>
  </si>
  <si>
    <t>HF884047-D</t>
  </si>
  <si>
    <t>HF885512-E</t>
  </si>
  <si>
    <t>HF885513-D</t>
  </si>
  <si>
    <t>HF885514-C</t>
  </si>
  <si>
    <t>HF885515-B</t>
  </si>
  <si>
    <t>HF885740-V</t>
  </si>
  <si>
    <t>HF885741-U</t>
  </si>
  <si>
    <t>HF884928-4</t>
  </si>
  <si>
    <t>HF884929-3</t>
  </si>
  <si>
    <t>HF884780-B</t>
  </si>
  <si>
    <t>HF884781-A</t>
  </si>
  <si>
    <t>HF884868-3</t>
  </si>
  <si>
    <t>HF884869-2</t>
  </si>
  <si>
    <t>HF884790-T</t>
  </si>
  <si>
    <t>HF884791-R</t>
  </si>
  <si>
    <t>HF884722-C</t>
  </si>
  <si>
    <t>HF884723-B</t>
  </si>
  <si>
    <t>HF884576-N</t>
  </si>
  <si>
    <t>HF884577-M</t>
  </si>
  <si>
    <t>HF885282-W</t>
  </si>
  <si>
    <t>HF885283-V</t>
  </si>
  <si>
    <t>HF885288-N</t>
  </si>
  <si>
    <t>HF885289-M</t>
  </si>
  <si>
    <t>HF884594-P</t>
  </si>
  <si>
    <t>HF884595-N</t>
  </si>
  <si>
    <t>HF884528-8</t>
  </si>
  <si>
    <t>HF884529-7</t>
  </si>
  <si>
    <t>HF884984-5</t>
  </si>
  <si>
    <t>HF884985-4</t>
  </si>
  <si>
    <t>HF884580-D</t>
  </si>
  <si>
    <t>HF884581-C</t>
  </si>
  <si>
    <t>HF884326-C</t>
  </si>
  <si>
    <t>HF884327-B</t>
  </si>
  <si>
    <t>HF884182-0</t>
  </si>
  <si>
    <t>HF884183-E</t>
  </si>
  <si>
    <t>HF883938-4</t>
  </si>
  <si>
    <t>HF883939-3</t>
  </si>
  <si>
    <t>HF884896-J</t>
  </si>
  <si>
    <t>HF884897-H</t>
  </si>
  <si>
    <t>HF884686-6</t>
  </si>
  <si>
    <t>HF884687-5</t>
  </si>
  <si>
    <t>HF883958-3</t>
  </si>
  <si>
    <t>HF883959-2</t>
  </si>
  <si>
    <t>HF885526-R</t>
  </si>
  <si>
    <t>HF885527-P</t>
  </si>
  <si>
    <t>HF885588-K</t>
  </si>
  <si>
    <t>HF885589-J</t>
  </si>
  <si>
    <t>HF885750-C</t>
  </si>
  <si>
    <t>HF885751-B</t>
  </si>
  <si>
    <t>WJM_AE2|2</t>
  </si>
  <si>
    <t>HF885554-A</t>
  </si>
  <si>
    <t>HF885555-9</t>
  </si>
  <si>
    <t>HF884910-V</t>
  </si>
  <si>
    <t>HF884911-U</t>
  </si>
  <si>
    <t>HF884500-2</t>
  </si>
  <si>
    <t>HF884501-1</t>
  </si>
  <si>
    <t>HF884876-K</t>
  </si>
  <si>
    <t>HF884877-J</t>
  </si>
  <si>
    <t>HF885400-H</t>
  </si>
  <si>
    <t>HF885401-G</t>
  </si>
  <si>
    <t>HF885548-M</t>
  </si>
  <si>
    <t>HF885549-L</t>
  </si>
  <si>
    <t>HF884958-H</t>
  </si>
  <si>
    <t>HF884959-G</t>
  </si>
  <si>
    <t>HF884918-K</t>
  </si>
  <si>
    <t>HF884919-J</t>
  </si>
  <si>
    <t>HF884998-F</t>
  </si>
  <si>
    <t>HF884999-Y</t>
  </si>
  <si>
    <t>HF884964-6</t>
  </si>
  <si>
    <t>HF884965-5</t>
  </si>
  <si>
    <t>HF884978-G</t>
  </si>
  <si>
    <t>HF884979-F</t>
  </si>
  <si>
    <t>HF884926-6</t>
  </si>
  <si>
    <t>HF884927-5</t>
  </si>
  <si>
    <t>HF884962-8</t>
  </si>
  <si>
    <t>HF884963-7</t>
  </si>
  <si>
    <t>HF885410-2</t>
  </si>
  <si>
    <t>HF885411-1</t>
  </si>
  <si>
    <t>HF885810-D</t>
  </si>
  <si>
    <t>HF885811-C</t>
  </si>
  <si>
    <t>HF883216-E</t>
  </si>
  <si>
    <t>HF883217-D</t>
  </si>
  <si>
    <t>HF882522-0</t>
  </si>
  <si>
    <t>HF882523-E</t>
  </si>
  <si>
    <t>HF885406-U</t>
  </si>
  <si>
    <t>HF885407-T</t>
  </si>
  <si>
    <t>HF885824-P</t>
  </si>
  <si>
    <t>HF885825-N</t>
  </si>
  <si>
    <t>HF885842-R</t>
  </si>
  <si>
    <t>HF885843-P</t>
  </si>
  <si>
    <t>HF883974-6</t>
  </si>
  <si>
    <t>HF883975-5</t>
  </si>
  <si>
    <t>HF885582-T</t>
  </si>
  <si>
    <t>HF885583-R</t>
  </si>
  <si>
    <t>HF884884-6</t>
  </si>
  <si>
    <t>HF884885-5</t>
  </si>
  <si>
    <t>HF884922-A</t>
  </si>
  <si>
    <t>HF884923-9</t>
  </si>
  <si>
    <t>HF884754-P</t>
  </si>
  <si>
    <t>HF884755-N</t>
  </si>
  <si>
    <t>HF885332-0</t>
  </si>
  <si>
    <t>HF885333-E</t>
  </si>
  <si>
    <t>HF885828-K</t>
  </si>
  <si>
    <t>HF885829-J</t>
  </si>
  <si>
    <t>HF884028-D</t>
  </si>
  <si>
    <t>HF884029-C</t>
  </si>
  <si>
    <t>HF885552-C</t>
  </si>
  <si>
    <t>HF885553-B</t>
  </si>
  <si>
    <t>HF885002-K</t>
  </si>
  <si>
    <t>HF885003-J</t>
  </si>
  <si>
    <t>HF884878-H</t>
  </si>
  <si>
    <t>HF884879-G</t>
  </si>
  <si>
    <t>HF884862-9</t>
  </si>
  <si>
    <t>HF884863-8</t>
  </si>
  <si>
    <t>HF885356-A</t>
  </si>
  <si>
    <t>HF885357-9</t>
  </si>
  <si>
    <t>HF885744-P</t>
  </si>
  <si>
    <t>HF885745-N</t>
  </si>
  <si>
    <t>HF884994-K</t>
  </si>
  <si>
    <t>HF884995-J</t>
  </si>
  <si>
    <t>HF884960-A</t>
  </si>
  <si>
    <t>HF884961-9</t>
  </si>
  <si>
    <t>HF884908-5</t>
  </si>
  <si>
    <t>HF884909-4</t>
  </si>
  <si>
    <t>HF884970-R</t>
  </si>
  <si>
    <t>HF884971-P</t>
  </si>
  <si>
    <t>HF885378-7</t>
  </si>
  <si>
    <t>HF885379-6</t>
  </si>
  <si>
    <t>HF885804-R</t>
  </si>
  <si>
    <t>HF885805-P</t>
  </si>
  <si>
    <t>HF885736-7</t>
  </si>
  <si>
    <t>HF885737-6</t>
  </si>
  <si>
    <t>HF884716-P</t>
  </si>
  <si>
    <t>HF884717-N</t>
  </si>
  <si>
    <t>HF884956-K</t>
  </si>
  <si>
    <t>HF884957-J</t>
  </si>
  <si>
    <t>HF884924-8</t>
  </si>
  <si>
    <t>HF884925-7</t>
  </si>
  <si>
    <t>HF884824-9</t>
  </si>
  <si>
    <t>HF884825-8</t>
  </si>
  <si>
    <t>HF885398-6</t>
  </si>
  <si>
    <t>HF885399-5</t>
  </si>
  <si>
    <t>HF885840-U</t>
  </si>
  <si>
    <t>HF885841-T</t>
  </si>
  <si>
    <t>HF885594-8</t>
  </si>
  <si>
    <t>HF885595-7</t>
  </si>
  <si>
    <t>HF884980-9</t>
  </si>
  <si>
    <t>HF884981-8</t>
  </si>
  <si>
    <t>HF885746-M</t>
  </si>
  <si>
    <t>HF885747-L</t>
  </si>
  <si>
    <t>HF885000-M</t>
  </si>
  <si>
    <t>HF885001-L</t>
  </si>
  <si>
    <t>HF884912-T</t>
  </si>
  <si>
    <t>HF884913-R</t>
  </si>
  <si>
    <t>HF885748-K</t>
  </si>
  <si>
    <t>HF885749-J</t>
  </si>
  <si>
    <t>HF884986-3</t>
  </si>
  <si>
    <t>HF884987-2</t>
  </si>
  <si>
    <t>HF884888-2</t>
  </si>
  <si>
    <t>HF884889-1</t>
  </si>
  <si>
    <t>HF884942-9</t>
  </si>
  <si>
    <t>HF884943-8</t>
  </si>
  <si>
    <t>HF884968-2</t>
  </si>
  <si>
    <t>HF884969-1</t>
  </si>
  <si>
    <t>HF885334-D</t>
  </si>
  <si>
    <t>HF885335-C</t>
  </si>
  <si>
    <t>HF885868-H</t>
  </si>
  <si>
    <t>HF885869-G</t>
  </si>
  <si>
    <t>HF885742-T</t>
  </si>
  <si>
    <t>HF885743-R</t>
  </si>
  <si>
    <t>HF884948-3</t>
  </si>
  <si>
    <t>HF884949-2</t>
  </si>
  <si>
    <t>HF884940-B</t>
  </si>
  <si>
    <t>HF884941-A</t>
  </si>
  <si>
    <t>HF884882-8</t>
  </si>
  <si>
    <t>HF884883-7</t>
  </si>
  <si>
    <t>HF884932-R</t>
  </si>
  <si>
    <t>HF884933-P</t>
  </si>
  <si>
    <t>HF885330-2</t>
  </si>
  <si>
    <t>HF885331-1</t>
  </si>
  <si>
    <t>HF885871-9</t>
  </si>
  <si>
    <t>HF885870-A</t>
  </si>
  <si>
    <t>HF884376-R</t>
  </si>
  <si>
    <t>HF884377-P</t>
  </si>
  <si>
    <t>HF885490-D</t>
  </si>
  <si>
    <t>HF885491-C</t>
  </si>
  <si>
    <t>HF885402-F</t>
  </si>
  <si>
    <t>HF885403-Y</t>
  </si>
  <si>
    <t>HF885396-8</t>
  </si>
  <si>
    <t>HF885397-7</t>
  </si>
  <si>
    <t>HF884352-Y</t>
  </si>
  <si>
    <t>HF884353-W</t>
  </si>
  <si>
    <t>HF885470-E</t>
  </si>
  <si>
    <t>HF885471-D</t>
  </si>
  <si>
    <t>HF885404-W</t>
  </si>
  <si>
    <t>HF885405-V</t>
  </si>
  <si>
    <t>HF885336-B</t>
  </si>
  <si>
    <t>HF885337-A</t>
  </si>
  <si>
    <t>HF884938-J</t>
  </si>
  <si>
    <t>HF884939-H</t>
  </si>
  <si>
    <t>HF884946-5</t>
  </si>
  <si>
    <t>HF884947-4</t>
  </si>
  <si>
    <t>HF884536-R</t>
  </si>
  <si>
    <t>HF884537-P</t>
  </si>
  <si>
    <t>HF884560-E</t>
  </si>
  <si>
    <t>HF884561-D</t>
  </si>
  <si>
    <t>HF885358-8</t>
  </si>
  <si>
    <t>HF885359-7</t>
  </si>
  <si>
    <t>HF885838-4</t>
  </si>
  <si>
    <t>HF885839-3</t>
  </si>
  <si>
    <t>HF885734-9</t>
  </si>
  <si>
    <t>HF885735-8</t>
  </si>
  <si>
    <t>HF884954-M</t>
  </si>
  <si>
    <t>HF884955-L</t>
  </si>
  <si>
    <t>HF884886-4</t>
  </si>
  <si>
    <t>HF884887-3</t>
  </si>
  <si>
    <t>HF884920-C</t>
  </si>
  <si>
    <t>HF884921-B</t>
  </si>
  <si>
    <t>HF884944-7</t>
  </si>
  <si>
    <t>HF884945-6</t>
  </si>
  <si>
    <t>HF884828-5</t>
  </si>
  <si>
    <t>HF884829-4</t>
  </si>
  <si>
    <t>HF885340-G</t>
  </si>
  <si>
    <t>HF885341-F</t>
  </si>
  <si>
    <t>HF885830-C</t>
  </si>
  <si>
    <t>HF885831-B</t>
  </si>
  <si>
    <t>// This 3D file was created by FlowMaster(R), which is proprietary to Flow International Corporation. 96 16 56</t>
  </si>
  <si>
    <t>1,0.000000,0.000000,0.000000,0_x000D_</t>
  </si>
  <si>
    <t>2,0.000000,0.000000,0.000000,0_x000D_</t>
  </si>
  <si>
    <t>3,0.000000,0.000000,0.000000,0_x000D_</t>
  </si>
  <si>
    <t>4,0.000000,0.000000,0.000000,0_x000D_</t>
  </si>
  <si>
    <t>5,0.000000,0.000000,0.000000,0_x000D_</t>
  </si>
  <si>
    <t>6,0.000000,0.000000,0.000000,0_x000D_</t>
  </si>
  <si>
    <t>7,0.000000,0.000000,0.000000,0_x000D_</t>
  </si>
  <si>
    <t>8,0.000000,0.000000,0.000000,0_x000D_</t>
  </si>
  <si>
    <t>9,0.000000,0.000000,0.000000,0_x000D_</t>
  </si>
  <si>
    <t>10,0.000000,0.000000,0.000000,0_x000D_</t>
  </si>
  <si>
    <t>11,0.000000,0.000000,0.000000,0_x000D_</t>
  </si>
  <si>
    <t>12,0.000000,0.000000,0.000000,0_x000D_</t>
  </si>
  <si>
    <t>13,0.000000,0.000000,0.000000,0_x000D_</t>
  </si>
  <si>
    <t>14,0.000000,0.000000,0.000000,0_x000D_</t>
  </si>
  <si>
    <t>15,0.000000,0.000000,0.000000,0_x000D_</t>
  </si>
  <si>
    <t>16,0.000000,0.000000,0.000000,0_x000D_</t>
  </si>
  <si>
    <t>17,0.000000,0.000000,0.000000,0_x000D_</t>
  </si>
  <si>
    <t>18,0.000000,0.000000,0.000000,0_x000D_</t>
  </si>
  <si>
    <t>19,0.000000,0.000000,0.000000,0_x000D_</t>
  </si>
  <si>
    <t>20,0.000000,0.000000,0.000000,0_x000D_</t>
  </si>
  <si>
    <t>21,0.000000,0.000000,0.000000,0_x000D_</t>
  </si>
  <si>
    <t>22,0.000000,0.000000,0.000000,0_x000D_</t>
  </si>
  <si>
    <t>23,0.000000,0.000000,0.000000,0_x000D_</t>
  </si>
  <si>
    <t>24,0.000000,0.000000,0.000000,0_x000D_</t>
  </si>
  <si>
    <t>25,0.000000,0.000000,0.000000,0_x000D_</t>
  </si>
  <si>
    <t>26,0.000000,0.000000,0.000000,0_x000D_</t>
  </si>
  <si>
    <t>27,0.000000,0.000000,0.000000,0_x000D_</t>
  </si>
  <si>
    <t>28,0.000000,0.000000,0.000000,0_x000D_</t>
  </si>
  <si>
    <t>29,0.000000,0.000000,0.000000,0_x000D_</t>
  </si>
  <si>
    <t>30,0.000000,0.000000,0.000000,0_x000D_</t>
  </si>
  <si>
    <t>31,0.000000,0.000000,0.000000,0_x000D_</t>
  </si>
  <si>
    <t>32,0.000000,0.000000,0.000000,0_x000D_</t>
  </si>
  <si>
    <t>33,0.000000,0.000000,0.000000,0_x000D_</t>
  </si>
  <si>
    <t>34,0.000000,0.000000,0.000000,0_x000D_</t>
  </si>
  <si>
    <t>35,0.000000,0.000000,0.000000,0_x000D_</t>
  </si>
  <si>
    <t>36,0.000000,0.000000,0.000000,0_x000D_</t>
  </si>
  <si>
    <t>37,0.000000,0.000000,0.000000,0_x000D_</t>
  </si>
  <si>
    <t>38,0.000000,0.000000,0.000000,0_x000D_</t>
  </si>
  <si>
    <t>39,0.000000,0.000000,0.000000,0_x000D_</t>
  </si>
  <si>
    <t>40,0.000000,0.000000,0.000000,0_x000D_</t>
  </si>
  <si>
    <t>41,0.000000,0.000000,0.000000,0_x000D_</t>
  </si>
  <si>
    <t>42,0.000000,0.000000,0.000000,0_x000D_</t>
  </si>
  <si>
    <t>43,0.000000,0.000000,0.000000,0_x000D_</t>
  </si>
  <si>
    <t>44,0.000000,0.000000,0.000000,0_x000D_</t>
  </si>
  <si>
    <t>45,0.000000,0.000000,0.000000,0_x000D_</t>
  </si>
  <si>
    <t>46,0.000000,0.000000,0.000000,0_x000D_</t>
  </si>
  <si>
    <t>47,0.000000,0.000000,0.000000,0_x000D_</t>
  </si>
  <si>
    <t>48,0.000000,0.000000,0.000000,0_x000D_</t>
  </si>
  <si>
    <t>49,0.000000,0.000000,0.000000,0_x000D_</t>
  </si>
  <si>
    <t>50,0.000000,0.000000,0.000000,0_x000D_</t>
  </si>
  <si>
    <t>51,0.000000,0.000000,0.000000,0_x000D_</t>
  </si>
  <si>
    <t>52,0.000000,0.000000,0.000000,0_x000D_</t>
  </si>
  <si>
    <t>53,0.000000,0.000000,0.000000,0_x000D_</t>
  </si>
  <si>
    <t>54,0.000000,0.000000,0.000000,0_x000D_</t>
  </si>
  <si>
    <t>55,0.000000,0.000000,0.000000,0_x000D_</t>
  </si>
  <si>
    <t>56,0.000000,0.000000,0.000000,0_x000D_</t>
  </si>
  <si>
    <t>57,0.000000,0.000000,0.000000,0_x000D_</t>
  </si>
  <si>
    <t>58,0.000000,0.000000,0.000000,0_x000D_</t>
  </si>
  <si>
    <t>59,0.000000,0.000000,0.000000,0_x000D_</t>
  </si>
  <si>
    <t>60,0.000000,0.000000,0.000000,0_x000D_</t>
  </si>
  <si>
    <t>61,0.000000,0.000000,0.000000,0_x000D_</t>
  </si>
  <si>
    <t>62,0.000000,0.000000,0.000000,0_x000D_</t>
  </si>
  <si>
    <t>63,0.000000,0.000000,0.000000,0_x000D_</t>
  </si>
  <si>
    <t>64,0.000000,0.000000,0.000000,0_x000D_</t>
  </si>
  <si>
    <t>65,0.000000,0.000000,0.000000,0_x000D_</t>
  </si>
  <si>
    <t>66,0.000000,0.000000,0.000000,0_x000D_</t>
  </si>
  <si>
    <t>67,0.000000,0.000000,0.000000,0_x000D_</t>
  </si>
  <si>
    <t>68,0.000000,0.000000,0.000000,0_x000D_</t>
  </si>
  <si>
    <t>69,0.000000,0.000000,0.000000,0_x000D_</t>
  </si>
  <si>
    <t>70,0.000000,0.000000,0.000000,0_x000D_</t>
  </si>
  <si>
    <t>71,0.000000,0.000000,0.000000,0_x000D_</t>
  </si>
  <si>
    <t>72,0.000000,0.000000,0.000000,0_x000D_</t>
  </si>
  <si>
    <t>73,0.000000,0.000000,0.000000,0_x000D_</t>
  </si>
  <si>
    <t>74,0.000000,0.000000,0.000000,0_x000D_</t>
  </si>
  <si>
    <t>75,0.000000,0.000000,0.000000,0_x000D_</t>
  </si>
  <si>
    <t>76,0.000000,0.000000,0.000000,0_x000D_</t>
  </si>
  <si>
    <t>77,0.000000,0.000000,0.000000,0_x000D_</t>
  </si>
  <si>
    <t>78,0.000000,0.000000,0.000000,0_x000D_</t>
  </si>
  <si>
    <t>79,0.000000,0.000000,0.000000,0_x000D_</t>
  </si>
  <si>
    <t>80,0.000000,0.000000,0.000000,0_x000D_</t>
  </si>
  <si>
    <t>81,0.000000,0.000000,0.000000,0_x000D_</t>
  </si>
  <si>
    <t>82,0.000000,0.000000,0.000000,0_x000D_</t>
  </si>
  <si>
    <t>83,0.000000,0.000000,0.000000,0_x000D_</t>
  </si>
  <si>
    <t>84,0.000000,0.000000,0.000000,0_x000D_</t>
  </si>
  <si>
    <t>85,0.000000,0.000000,0.000000,0_x000D_</t>
  </si>
  <si>
    <t>86,0.000000,0.000000,0.000000,0_x000D_</t>
  </si>
  <si>
    <t>87,0.000000,0.000000,0.000000,0_x000D_</t>
  </si>
  <si>
    <t>88,0.000000,0.000000,0.000000,0_x000D_</t>
  </si>
  <si>
    <t>89,0.000000,0.000000,0.000000,0_x000D_</t>
  </si>
  <si>
    <t>90,0.000000,0.000000,0.000000,0_x000D_</t>
  </si>
  <si>
    <t>91,0.000000,0.000000,0.000000,0_x000D_</t>
  </si>
  <si>
    <t>92,0.000000,0.000000,0.000000,0_x000D_</t>
  </si>
  <si>
    <t>93,0.000000,0.000000,0.000000,0_x000D_</t>
  </si>
  <si>
    <t>94,0.000000,0.000000,0.000000,0_x000D_</t>
  </si>
  <si>
    <t>95,0.000000,0.000000,0.000000,0_x000D_</t>
  </si>
  <si>
    <t>96,0.000000,0.000000,0.000000,0_x000D_</t>
  </si>
  <si>
    <t>97,0.000000,0.000000,0.000000,0_x000D_</t>
  </si>
  <si>
    <t>98,0.000000,0.000000,0.000000,0_x000D_</t>
  </si>
  <si>
    <t>99,0.000000,0.000000,0.000000,0_x000D_</t>
  </si>
  <si>
    <t>100,0.000000,0.000000,0.000000,0_x000D_</t>
  </si>
  <si>
    <t>101,0.000000,0.000000,0.000000,0_x000D_</t>
  </si>
  <si>
    <t>102,0.000000,0.000000,0.000000,0_x000D_</t>
  </si>
  <si>
    <t>103,0.000000,0.000000,0.000000,0_x000D_</t>
  </si>
  <si>
    <t>104,0.000000,0.000000,0.000000,0_x000D_</t>
  </si>
  <si>
    <t>105,0.000000,0.000000,0.000000,0_x000D_</t>
  </si>
  <si>
    <t>106,0.000000,0.000000,0.000000,0_x000D_</t>
  </si>
  <si>
    <t>107,0.000000,0.000000,0.000000,0_x000D_</t>
  </si>
  <si>
    <t>214,0.000000,0.000000,0.000000,0_x000D_</t>
  </si>
  <si>
    <t>215,0.000000,0.000000,0.000000,0_x000D_</t>
  </si>
  <si>
    <t>216,0.000000,0.000000,0.000000,0_x000D_</t>
  </si>
  <si>
    <t>0_x000D_</t>
  </si>
  <si>
    <t>169,0.114722,-0.991669,0.193419,-0.989868</t>
  </si>
  <si>
    <t>170,0.114722,-0.991669,0.193419,-0.989868</t>
  </si>
  <si>
    <t>171,0.114722,-0.991268,0.193526,-0.989568</t>
  </si>
  <si>
    <t>172,0.130453,-0.991268,0.130453,-0.989568</t>
  </si>
  <si>
    <t>173,0.130453,-1.065947,0.130453,-1.017772</t>
  </si>
  <si>
    <t>174,0.130255,-1.066147,0.130858,-1.017772</t>
  </si>
  <si>
    <t>175,0.130423,-1.062546,0.130423,-1.021373</t>
  </si>
  <si>
    <t>182,0.114714,-1.016766,0.138220,-1.009868</t>
  </si>
  <si>
    <t>183,0.114714,-1.145369,0.036017,-1.146967</t>
  </si>
  <si>
    <t>184,0.114714,-1.145369,0.036017,-1.146967</t>
  </si>
  <si>
    <t>185,0.114714,-1.145669,0.036016,-1.147368</t>
  </si>
  <si>
    <t>186,0.130514,-1.145669,0.130514,-1.147368</t>
  </si>
  <si>
    <t>196,0.130415,-1.037469,0.138220,-1.079667</t>
  </si>
  <si>
    <t>202,0.134497,-1.073869,0.138280,-1.073869</t>
  </si>
  <si>
    <t>203,0.134490,-1.073867,0.138381,-1.073867</t>
  </si>
  <si>
    <t>212,0.114714,-1.358268,0.114714,-1.358268</t>
  </si>
  <si>
    <t>213,-0.157480,-1.358268,-0.157480,-1.358268</t>
  </si>
  <si>
    <t>116,0.144419,-1.008368,0.223219,-1.006567</t>
  </si>
  <si>
    <t>117,0.144419,-1.008368,0.223219,-1.006567</t>
  </si>
  <si>
    <t>118,0.144419,-1.007967,0.223219,-1.006267</t>
  </si>
  <si>
    <t>129,0.144423,-1.073567,0.167922,-1.066567</t>
  </si>
  <si>
    <t>130,0.144423,-1.162367,0.065722,-1.164066</t>
  </si>
  <si>
    <t>131,0.144423,-1.162367,0.065722,-1.164066</t>
  </si>
  <si>
    <t>132,0.144419,-1.162667,0.065722,-1.164467</t>
  </si>
  <si>
    <t>133,0.144423,-1.162667,0.144423,-1.164467</t>
  </si>
  <si>
    <t>143,0.160219,-1.097269,0.175817,-1.139367</t>
  </si>
  <si>
    <t>144,0.144518,-1.083167,0.144518,-1.098794</t>
  </si>
  <si>
    <t>145,0.144518,-1.083167,0.144518,-1.098794</t>
  </si>
  <si>
    <t>146,0.144419,-1.083167,0.144419,-1.098794</t>
  </si>
  <si>
    <t>159,0.010321,-0.072069,0.010321,-0.072069</t>
  </si>
  <si>
    <t>160,-0.033381,0.248432,-0.033381,0.248432</t>
  </si>
  <si>
    <t>60.691335, 1.791232, 0.622800, 0, 0, 0.0, 0.0, 1.000000</t>
  </si>
  <si>
    <t>60.691335, 1.791232, 0.111000, 0, 60, 0.0, 0.0, 1.000000</t>
  </si>
  <si>
    <t>60.673734, 1.850332, 0.111000, 0, 60, 0.0, 0.0, 1.000000</t>
  </si>
  <si>
    <t>60.673436, 1.929032, 0.111000, 0, 60, 0.0, 0.0, 1.000000</t>
  </si>
  <si>
    <t>60.659477, 5.551232, -2.928300, 0, 60, 0.0, 0.0, 1.000000</t>
  </si>
  <si>
    <t>60.659477, 5.555132, -2.928300, 0, 0, 0.0, 0.0, 1.000000</t>
  </si>
  <si>
    <t>60.659477, 5.555132, -2.416500, 0, 0, 0.0, 0.0, 1.000000</t>
  </si>
  <si>
    <t>60.661475, 8.759232, -2.410700, 0, 0, 0.0, 0.0, 1.000000</t>
  </si>
  <si>
    <t>52.281519, 16.129232, 0.516600, 0, 0, 0.0, 0.0, 1.000000</t>
  </si>
  <si>
    <t>52.281519, 15.864033, -2.534600, 0, 0, 0.0, 0.0, 1.000000</t>
  </si>
  <si>
    <t>52.281519, 16.129232, 0.004800, 0, 60, 0.0, 0.0, 1.000000</t>
  </si>
  <si>
    <t>52.281519, 15.864033, -3.046400, 0, 60, 0.0, 0.0, 1.000000</t>
  </si>
  <si>
    <t>52.439020, 16.129232, 0.004800, 0, 60, 0.0, 0.0, 1.000000</t>
  </si>
  <si>
    <t>52.439020, 15.864033, -3.046400, 0, 60, 0.0, 0.0, 1.000000</t>
  </si>
  <si>
    <t>54.584921, 15.931943, -3.046400, 0, 75, 0.0, 0.0, 1.000000</t>
  </si>
  <si>
    <t>60.197067, 15.379332, 0.004800, 0, 60, 0.0, 0.0, 1.000000</t>
  </si>
  <si>
    <t>60.196967, 15.375432, 0.004800, 0, 0, 0.0, 0.0, 1.000000</t>
  </si>
  <si>
    <t>60.196967, 15.375432, 0.516600, 0, 0, 0.0, 0.0, 1.000000</t>
  </si>
  <si>
    <t>59.080721, 18.051732, 0.516600, 0, 0, 0.0, 0.0, 1.000000</t>
  </si>
  <si>
    <t>59.104220, 16.988332, -2.534600, 0, 0, 0.0, 0.0, 1.000000</t>
  </si>
  <si>
    <t>60.864222, 18.021833, 0.516600, 0, 0, 0.0, 0.0, 1.000000</t>
  </si>
  <si>
    <t>60.864222, 18.287033, -2.534600, 0, 0, 0.0, 0.0, 1.000000</t>
  </si>
  <si>
    <t>60.864222, 18.021833, 0.004800, 0, 60, 0.0, 0.0, 1.000000</t>
  </si>
  <si>
    <t>60.864222, 18.287033, -3.046400, 0, 60, 0.0, 0.0, 1.000000</t>
  </si>
  <si>
    <t>60.706721, 18.021833, 0.004800, 0, 60, 0.0, 0.0, 1.000000</t>
  </si>
  <si>
    <t>60.706721, 18.287033, -3.046400, 0, 60, 0.0, 0.0, 1.000000</t>
  </si>
  <si>
    <t>59.080721, 18.021833, 0.004800, 0, 40, 0.0, 0.0, 1.000000</t>
  </si>
  <si>
    <t>59.080721, 18.287033, -3.046400, 0, 40, 0.0, 0.0, 1.000000</t>
  </si>
  <si>
    <t>54.080721, 16.099232, 0.516600, 0, 0, 0.0, 0.0, 1.000000</t>
  </si>
  <si>
    <t>54.096319, 17.127532, -2.534600, 0, 0, 0.0, 0.0, 1.000000</t>
  </si>
  <si>
    <t>52.360319, 16.418233, 0.516600, 0, 0, 0.0, 0.0, 1.000000</t>
  </si>
  <si>
    <t>52.360319, 16.402606, -2.534600, 0, 0, 0.0, 0.0, 1.000000</t>
  </si>
  <si>
    <t>52.360319, 16.418233, 0.004800, 0, 60, 0.0, 0.0, 1.000000</t>
  </si>
  <si>
    <t>52.360319, 16.402606, -3.046400, 0, 60, 0.0, 0.0, 1.000000</t>
  </si>
  <si>
    <t>52.439020, 16.418233, 0.004800, 0, 30, 0.0, 0.0, 1.000000</t>
  </si>
  <si>
    <t>52.439020, 16.402606, -3.046400, 0, 30, 0.0, 0.0, 1.000000</t>
  </si>
  <si>
    <t>52.868258, 16.418233, 0.004800, 1, 40, 52.868258, 16.497033, 0.004800, 0.0, 0.0, 1.000000</t>
  </si>
  <si>
    <t>52.946955, 16.496932, 0.004800, 0, 40, 0.0, 0.0, 1.000000</t>
  </si>
  <si>
    <t>52.946955, 17.018733, 0.004800, 1, 40, 53.025755, 17.018733, 0.004800, 0.0, 0.0, -1.000000</t>
  </si>
  <si>
    <t>53.025755, 17.097531, 0.004800, 0, 70, 0.0, 0.0, 1.000000</t>
  </si>
  <si>
    <t>60.080756, 17.097531, 0.004800, 1, 40, 60.080756, 17.176232, 0.004800, 0.0, 0.0, 1.000000</t>
  </si>
  <si>
    <t>60.159556, 17.176232, 0.004800, 0, 40, 0.0, 0.0, 1.000000</t>
  </si>
  <si>
    <t>60.964819, 37.903332, 0.516600, 0, 0, 0.0, 0.0, 1.000000</t>
  </si>
  <si>
    <t>60.964819, 37.903332, -2.534600, 0, 0, 0.0, 0.0, 1.000000</t>
  </si>
  <si>
    <t>HF885866-K</t>
  </si>
  <si>
    <t>HF885867-J</t>
  </si>
  <si>
    <t>HF885786-K</t>
  </si>
  <si>
    <t>HF885787-J</t>
  </si>
  <si>
    <t>HF885864-M</t>
  </si>
  <si>
    <t>HF885865-L</t>
  </si>
  <si>
    <t>HF885808-L</t>
  </si>
  <si>
    <t>HF885809-K</t>
  </si>
  <si>
    <t>HF885782-P</t>
  </si>
  <si>
    <t>HF885783-N</t>
  </si>
  <si>
    <t>HF885778-3</t>
  </si>
  <si>
    <t>HF885779-2</t>
  </si>
  <si>
    <t>HF885760-U</t>
  </si>
  <si>
    <t>HF885761-T</t>
  </si>
  <si>
    <t>HF887492-A</t>
  </si>
  <si>
    <t>HF887493-9</t>
  </si>
  <si>
    <t>HF884646-8</t>
  </si>
  <si>
    <t>HF884647-7</t>
  </si>
  <si>
    <t>HF885792-8</t>
  </si>
  <si>
    <t>HF885793-7</t>
  </si>
  <si>
    <t>HF885848-J</t>
  </si>
  <si>
    <t>HF885849-H</t>
  </si>
  <si>
    <t>HF887490-C</t>
  </si>
  <si>
    <t>HF887491-B</t>
  </si>
  <si>
    <t>HF885854-7</t>
  </si>
  <si>
    <t>HF885855-6</t>
  </si>
  <si>
    <t>HF887454-A</t>
  </si>
  <si>
    <t>HF887455-9</t>
  </si>
  <si>
    <t>HF885826-M</t>
  </si>
  <si>
    <t>HF885827-L</t>
  </si>
  <si>
    <t>HF885844-N</t>
  </si>
  <si>
    <t>HF885845-M</t>
  </si>
  <si>
    <t>HF887456-8</t>
  </si>
  <si>
    <t>HF887457-7</t>
  </si>
  <si>
    <t>HF885812-B</t>
  </si>
  <si>
    <t>HF885813-A</t>
  </si>
  <si>
    <t>HF887396-7</t>
  </si>
  <si>
    <t>HF887397-6</t>
  </si>
  <si>
    <t>HF885806-N</t>
  </si>
  <si>
    <t>HF885807-M</t>
  </si>
  <si>
    <t>HF885820-V</t>
  </si>
  <si>
    <t>HF885821-U</t>
  </si>
  <si>
    <t>HF883936-6</t>
  </si>
  <si>
    <t>HF883937-5</t>
  </si>
  <si>
    <t>HF885860-T</t>
  </si>
  <si>
    <t>HF885861-R</t>
  </si>
  <si>
    <t>AMP6-8</t>
  </si>
  <si>
    <t>HF879752-9</t>
  </si>
  <si>
    <t>E</t>
  </si>
  <si>
    <t>HF879753-8</t>
  </si>
  <si>
    <t>T T1_1</t>
  </si>
  <si>
    <t>T T1_2</t>
  </si>
  <si>
    <t>T T3_1</t>
  </si>
  <si>
    <t>T T3_2</t>
  </si>
  <si>
    <t>HF885352-E</t>
  </si>
  <si>
    <t>HF885353-D</t>
  </si>
  <si>
    <t>HF885386-P</t>
  </si>
  <si>
    <t>HF885387-N</t>
  </si>
  <si>
    <t>HF887390-D</t>
  </si>
  <si>
    <t>HF887391-C</t>
  </si>
  <si>
    <t>HF885638-6</t>
  </si>
  <si>
    <t>HF885639-5</t>
  </si>
  <si>
    <t>HF885338-9</t>
  </si>
  <si>
    <t>HF885339-8</t>
  </si>
  <si>
    <t>HF887392-B</t>
  </si>
  <si>
    <t>HF887393-A</t>
  </si>
  <si>
    <t>HF885376-9</t>
  </si>
  <si>
    <t>HF885377-8</t>
  </si>
  <si>
    <t>HF885652-B</t>
  </si>
  <si>
    <t>HF885653-A</t>
  </si>
  <si>
    <t>HF885626-P</t>
  </si>
  <si>
    <t>HF885627-N</t>
  </si>
  <si>
    <t>HF885712-C</t>
  </si>
  <si>
    <t>HF885713-B</t>
  </si>
  <si>
    <t>HF885732-B</t>
  </si>
  <si>
    <t>HF885733-A</t>
  </si>
  <si>
    <t>HF885370-0</t>
  </si>
  <si>
    <t>HF885371-E</t>
  </si>
  <si>
    <t>HF885784-M</t>
  </si>
  <si>
    <t>HF885785-L</t>
  </si>
  <si>
    <t>HF885714-A</t>
  </si>
  <si>
    <t>HF885715-9</t>
  </si>
  <si>
    <t>HF885790-A</t>
  </si>
  <si>
    <t>HF885791-9</t>
  </si>
  <si>
    <t>HF885614-B</t>
  </si>
  <si>
    <t>HF885615-A</t>
  </si>
  <si>
    <t>HF887324-V</t>
  </si>
  <si>
    <t>HF887325-U</t>
  </si>
  <si>
    <t>HF885296-9</t>
  </si>
  <si>
    <t>HF885297-8</t>
  </si>
  <si>
    <t>HF885368-N</t>
  </si>
  <si>
    <t>HF885369-M</t>
  </si>
  <si>
    <t>HF885768-J</t>
  </si>
  <si>
    <t>HF885769-H</t>
  </si>
  <si>
    <t>HF885628-M</t>
  </si>
  <si>
    <t>HF885629-L</t>
  </si>
  <si>
    <t>HF885754-8</t>
  </si>
  <si>
    <t>HF885755-7</t>
  </si>
  <si>
    <t>HF885518-8</t>
  </si>
  <si>
    <t>HF885519-7</t>
  </si>
  <si>
    <t>HF887254-C</t>
  </si>
  <si>
    <t>HF887255-B</t>
  </si>
  <si>
    <t>HF885274-C</t>
  </si>
  <si>
    <t>HF885275-B</t>
  </si>
  <si>
    <t>HF885372-D</t>
  </si>
  <si>
    <t>HF885373-C</t>
  </si>
  <si>
    <t>HF885640-W</t>
  </si>
  <si>
    <t>HF885641-V</t>
  </si>
  <si>
    <t>HF885798-2</t>
  </si>
  <si>
    <t>HF885799-1</t>
  </si>
  <si>
    <t>HF885630-E</t>
  </si>
  <si>
    <t>HF885631-D</t>
  </si>
  <si>
    <t>HF885796-4</t>
  </si>
  <si>
    <t>HF885797-3</t>
  </si>
  <si>
    <t>HF887488-K</t>
  </si>
  <si>
    <t>HF887489-J</t>
  </si>
  <si>
    <t>HF887286-P</t>
  </si>
  <si>
    <t>HF887287-N</t>
  </si>
  <si>
    <t>HF887272-D</t>
  </si>
  <si>
    <t>HF887273-C</t>
  </si>
  <si>
    <t>HF885300-J</t>
  </si>
  <si>
    <t>HF885301-H</t>
  </si>
  <si>
    <t>HF885374-B</t>
  </si>
  <si>
    <t>HF885375-A</t>
  </si>
  <si>
    <t>HF885658-5</t>
  </si>
  <si>
    <t>HF885659-4</t>
  </si>
  <si>
    <t>HF885872-8</t>
  </si>
  <si>
    <t>HF885873-7</t>
  </si>
  <si>
    <t>HF885646-N</t>
  </si>
  <si>
    <t>HF885647-M</t>
  </si>
  <si>
    <t>HF885770-B</t>
  </si>
  <si>
    <t>HF885771-A</t>
  </si>
  <si>
    <t>HF887414-C</t>
  </si>
  <si>
    <t>HF887415-B</t>
  </si>
  <si>
    <t>HF887276-9</t>
  </si>
  <si>
    <t>HF887277-8</t>
  </si>
  <si>
    <t>HF885360-F</t>
  </si>
  <si>
    <t>HF885361-Y</t>
  </si>
  <si>
    <t>HF885364-U</t>
  </si>
  <si>
    <t>HF885365-T</t>
  </si>
  <si>
    <t>HF885674-8</t>
  </si>
  <si>
    <t>HF885675-7</t>
  </si>
  <si>
    <t>HF887458-6</t>
  </si>
  <si>
    <t>HF887459-5</t>
  </si>
  <si>
    <t>HF885762-R</t>
  </si>
  <si>
    <t>HF885763-P</t>
  </si>
  <si>
    <t>HF885668-K</t>
  </si>
  <si>
    <t>HF885669-J</t>
  </si>
  <si>
    <t>HF887436-9</t>
  </si>
  <si>
    <t>HF887437-8</t>
  </si>
  <si>
    <t>HF887234-D</t>
  </si>
  <si>
    <t>HF887235-C</t>
  </si>
  <si>
    <t>HF887322-Y</t>
  </si>
  <si>
    <t>HF887323-W</t>
  </si>
  <si>
    <t>HF885342-Y</t>
  </si>
  <si>
    <t>HF885343-W</t>
  </si>
  <si>
    <t>HF885366-R</t>
  </si>
  <si>
    <t>HF885367-P</t>
  </si>
  <si>
    <t>HF885644-R</t>
  </si>
  <si>
    <t>HF885645-P</t>
  </si>
  <si>
    <t>HF887460-W</t>
  </si>
  <si>
    <t>HF887461-V</t>
  </si>
  <si>
    <t>HF885764-N</t>
  </si>
  <si>
    <t>HF885765-M</t>
  </si>
  <si>
    <t>HF885718-6</t>
  </si>
  <si>
    <t>HF885719-5</t>
  </si>
  <si>
    <t>HF887486-M</t>
  </si>
  <si>
    <t>HF887487-L</t>
  </si>
  <si>
    <t>HF887320-G</t>
  </si>
  <si>
    <t>HF887321-F</t>
  </si>
  <si>
    <t>HF885752-A</t>
  </si>
  <si>
    <t>HF885753-9</t>
  </si>
  <si>
    <t>HF885354-C</t>
  </si>
  <si>
    <t>HF885355-B</t>
  </si>
  <si>
    <t>HF885618-7</t>
  </si>
  <si>
    <t>HF885619-6</t>
  </si>
  <si>
    <t>HF885624-T</t>
  </si>
  <si>
    <t>HF885625-R</t>
  </si>
  <si>
    <t>HF885608-N</t>
  </si>
  <si>
    <t>HF885609-M</t>
  </si>
  <si>
    <t>HF885724-R</t>
  </si>
  <si>
    <t>HF885725-P</t>
  </si>
  <si>
    <t>HF885346-T</t>
  </si>
  <si>
    <t>HF885347-R</t>
  </si>
  <si>
    <t>HF885382-V</t>
  </si>
  <si>
    <t>HF885383-U</t>
  </si>
  <si>
    <t>HF885766-L</t>
  </si>
  <si>
    <t>HF885767-K</t>
  </si>
  <si>
    <t>HF885656-7</t>
  </si>
  <si>
    <t>HF885657-6</t>
  </si>
  <si>
    <t>HF885726-N</t>
  </si>
  <si>
    <t>HF885727-M</t>
  </si>
  <si>
    <t>HF885686-L</t>
  </si>
  <si>
    <t>HF885687-K</t>
  </si>
  <si>
    <t>HF885728-L</t>
  </si>
  <si>
    <t>HF885729-K</t>
  </si>
  <si>
    <t>HF885344-V</t>
  </si>
  <si>
    <t>HF885345-U</t>
  </si>
  <si>
    <t>HF885362-W</t>
  </si>
  <si>
    <t>HF885363-V</t>
  </si>
  <si>
    <t>HF885788-H</t>
  </si>
  <si>
    <t>HF885789-G</t>
  </si>
  <si>
    <t>HF885616-9</t>
  </si>
  <si>
    <t>HF885617-8</t>
  </si>
  <si>
    <t>HF885702-V</t>
  </si>
  <si>
    <t>HF885703-U</t>
  </si>
  <si>
    <t>HF887446-P</t>
  </si>
  <si>
    <t>HF887447-N</t>
  </si>
  <si>
    <t>HF885696-5</t>
  </si>
  <si>
    <t>HF885697-4</t>
  </si>
  <si>
    <t>HF885350-1</t>
  </si>
  <si>
    <t>HF885351-0</t>
  </si>
  <si>
    <t>HF885384-T</t>
  </si>
  <si>
    <t>HF885385-R</t>
  </si>
  <si>
    <t>HF885348-P</t>
  </si>
  <si>
    <t>HF885349-N</t>
  </si>
  <si>
    <t>HF885380-Y</t>
  </si>
  <si>
    <t>HF885381-W</t>
  </si>
  <si>
    <t>HF885772-9</t>
  </si>
  <si>
    <t>HF885773-8</t>
  </si>
  <si>
    <t>HF887394-9</t>
  </si>
  <si>
    <t>HF887395-8</t>
  </si>
  <si>
    <t>HF885662-T</t>
  </si>
  <si>
    <t>HF885663-R</t>
  </si>
  <si>
    <t>HF885648-L</t>
  </si>
  <si>
    <t>HF885649-K</t>
  </si>
  <si>
    <t>HF885710-E</t>
  </si>
  <si>
    <t>HF885711-D</t>
  </si>
  <si>
    <t>HF887292-C</t>
  </si>
  <si>
    <t>HF887293-B</t>
  </si>
  <si>
    <t>HF885780-T</t>
  </si>
  <si>
    <t>HF885781-R</t>
  </si>
  <si>
    <t>HF887426-R</t>
  </si>
  <si>
    <t>HF887427-P</t>
  </si>
  <si>
    <t>HF885620-Y</t>
  </si>
  <si>
    <t>HF885621-W</t>
  </si>
  <si>
    <t>HF885664-P</t>
  </si>
  <si>
    <t>HF885665-N</t>
  </si>
  <si>
    <t>HF885680-U</t>
  </si>
  <si>
    <t>HF885681-T</t>
  </si>
  <si>
    <t>HF887260-F</t>
  </si>
  <si>
    <t>HF887261-Y</t>
  </si>
  <si>
    <t>HF887270-0</t>
  </si>
  <si>
    <t>HF887271-E</t>
  </si>
  <si>
    <t>HF887556-7</t>
  </si>
  <si>
    <t>HF887557-6</t>
  </si>
  <si>
    <t>HF885682-R</t>
  </si>
  <si>
    <t>HF885683-P</t>
  </si>
  <si>
    <t>HF887560-V</t>
  </si>
  <si>
    <t>HF887561-U</t>
  </si>
  <si>
    <t>HF887256-A</t>
  </si>
  <si>
    <t>HF887257-9</t>
  </si>
  <si>
    <t>HF887536-8</t>
  </si>
  <si>
    <t>HF887537-7</t>
  </si>
  <si>
    <t>HF887544-R</t>
  </si>
  <si>
    <t>HF887545-P</t>
  </si>
  <si>
    <t>HF887518-7</t>
  </si>
  <si>
    <t>HF887519-6</t>
  </si>
  <si>
    <t>HF887756-5</t>
  </si>
  <si>
    <t>HF887757-4</t>
  </si>
  <si>
    <t>HF887650-C</t>
  </si>
  <si>
    <t>HF887651-B</t>
  </si>
  <si>
    <t>HF887500-F</t>
  </si>
  <si>
    <t>HF887501-Y</t>
  </si>
  <si>
    <t>HF887502-W</t>
  </si>
  <si>
    <t>HF887503-V</t>
  </si>
  <si>
    <t>HF887608-M</t>
  </si>
  <si>
    <t>HF887609-L</t>
  </si>
  <si>
    <t>HF887590-B</t>
  </si>
  <si>
    <t>HF887591-A</t>
  </si>
  <si>
    <t>HF887554-9</t>
  </si>
  <si>
    <t>HF887555-8</t>
  </si>
  <si>
    <t>HF887548-L</t>
  </si>
  <si>
    <t>HF887549-K</t>
  </si>
  <si>
    <t>HF887736-6</t>
  </si>
  <si>
    <t>HF887737-5</t>
  </si>
  <si>
    <t>HF887726-M</t>
  </si>
  <si>
    <t>HF887727-L</t>
  </si>
  <si>
    <t>HF887700-W</t>
  </si>
  <si>
    <t>HF887701-V</t>
  </si>
  <si>
    <t>HF887552-B</t>
  </si>
  <si>
    <t>HF887553-A</t>
  </si>
  <si>
    <t>HF887614-A</t>
  </si>
  <si>
    <t>HF887615-9</t>
  </si>
  <si>
    <t>HF887562-T</t>
  </si>
  <si>
    <t>HF887563-R</t>
  </si>
  <si>
    <t>HF887570-C</t>
  </si>
  <si>
    <t>HF887571-B</t>
  </si>
  <si>
    <t>HF887606-P</t>
  </si>
  <si>
    <t>HF887607-N</t>
  </si>
  <si>
    <t>HF887538-6</t>
  </si>
  <si>
    <t>HF887539-5</t>
  </si>
  <si>
    <t>HF887508-N</t>
  </si>
  <si>
    <t>HF887509-M</t>
  </si>
  <si>
    <t>HF887760-T</t>
  </si>
  <si>
    <t>HF887761-R</t>
  </si>
  <si>
    <t>HF887684-M</t>
  </si>
  <si>
    <t>HF887685-L</t>
  </si>
  <si>
    <t>HF887330-1</t>
  </si>
  <si>
    <t>HF887331-0</t>
  </si>
  <si>
    <t>HF887530-E</t>
  </si>
  <si>
    <t>HF887531-D</t>
  </si>
  <si>
    <t>HF887524-T</t>
  </si>
  <si>
    <t>HF887525-R</t>
  </si>
  <si>
    <t>HF887604-T</t>
  </si>
  <si>
    <t>HF887605-R</t>
  </si>
  <si>
    <t>HF887540-W</t>
  </si>
  <si>
    <t>HF887541-V</t>
  </si>
  <si>
    <t>HF887710-D</t>
  </si>
  <si>
    <t>HF887711-C</t>
  </si>
  <si>
    <t>HF887704-R</t>
  </si>
  <si>
    <t>HF887705-P</t>
  </si>
  <si>
    <t>HF887630-D</t>
  </si>
  <si>
    <t>HF887631-C</t>
  </si>
  <si>
    <t>HF887746-L</t>
  </si>
  <si>
    <t>HF887747-K</t>
  </si>
  <si>
    <t>HF887268-N</t>
  </si>
  <si>
    <t>HF887269-M</t>
  </si>
  <si>
    <t>HF887534-A</t>
  </si>
  <si>
    <t>HF887535-9</t>
  </si>
  <si>
    <t>HF887532-C</t>
  </si>
  <si>
    <t>HF887533-B</t>
  </si>
  <si>
    <t>HF887730-C</t>
  </si>
  <si>
    <t>HF887731-B</t>
  </si>
  <si>
    <t>HF887584-N</t>
  </si>
  <si>
    <t>HF887585-M</t>
  </si>
  <si>
    <t>HF887732-A</t>
  </si>
  <si>
    <t>HF887733-9</t>
  </si>
  <si>
    <t>HF887654-8</t>
  </si>
  <si>
    <t>HF887655-7</t>
  </si>
  <si>
    <t>HF887708-L</t>
  </si>
  <si>
    <t>HF887709-K</t>
  </si>
  <si>
    <t>HF887300-H</t>
  </si>
  <si>
    <t>HF887301-G</t>
  </si>
  <si>
    <t>HF887582-R</t>
  </si>
  <si>
    <t>HF887583-P</t>
  </si>
  <si>
    <t>HF887298-6</t>
  </si>
  <si>
    <t>HF887299-5</t>
  </si>
  <si>
    <t>HF887616-8</t>
  </si>
  <si>
    <t>HF887617-7</t>
  </si>
  <si>
    <t>HF887528-M</t>
  </si>
  <si>
    <t>HF887529-L</t>
  </si>
  <si>
    <t>HF887578-4</t>
  </si>
  <si>
    <t>HF887579-3</t>
  </si>
  <si>
    <t>HF887564-P</t>
  </si>
  <si>
    <t>HF887565-N</t>
  </si>
  <si>
    <t>HF887516-9</t>
  </si>
  <si>
    <t>HF887517-8</t>
  </si>
  <si>
    <t>HF887498-4</t>
  </si>
  <si>
    <t>HF887499-3</t>
  </si>
  <si>
    <t>HF887706-N</t>
  </si>
  <si>
    <t>HF887707-M</t>
  </si>
  <si>
    <t>HF887504-U</t>
  </si>
  <si>
    <t>HF887505-T</t>
  </si>
  <si>
    <t>HF887602-V</t>
  </si>
  <si>
    <t>HF887603-U</t>
  </si>
  <si>
    <t>HF887558-5</t>
  </si>
  <si>
    <t>HF887559-4</t>
  </si>
  <si>
    <t>HF887526-P</t>
  </si>
  <si>
    <t>HF887527-N</t>
  </si>
  <si>
    <t>HF887580-U</t>
  </si>
  <si>
    <t>HF887581-T</t>
  </si>
  <si>
    <t>HF887522-V</t>
  </si>
  <si>
    <t>HF887523-U</t>
  </si>
  <si>
    <t>HF887506-R</t>
  </si>
  <si>
    <t>HF887507-P</t>
  </si>
  <si>
    <t>HF887712-B</t>
  </si>
  <si>
    <t>HF887713-A</t>
  </si>
  <si>
    <t>HF887734-8</t>
  </si>
  <si>
    <t>HF887735-7</t>
  </si>
  <si>
    <t>HF887610-E</t>
  </si>
  <si>
    <t>HF887611-D</t>
  </si>
  <si>
    <t>HF887568-K</t>
  </si>
  <si>
    <t>HF887569-J</t>
  </si>
  <si>
    <t>HF887566-M</t>
  </si>
  <si>
    <t>HF887567-L</t>
  </si>
  <si>
    <t>HF887612-C</t>
  </si>
  <si>
    <t>HF887613-B</t>
  </si>
  <si>
    <t>161,0.129291,-1.089768,0.117480,-1.089768</t>
  </si>
  <si>
    <t>162,0.129291,-1.089768,0.117480,-1.089768</t>
  </si>
  <si>
    <t>163,0.108989,-1.148768,0.117480,-1.089768</t>
  </si>
  <si>
    <t>164,0.108890,-1.148768,0.117381,-1.089768</t>
  </si>
  <si>
    <t>165,0.097713,-1.013868,0.105592,-1.091668</t>
  </si>
  <si>
    <t>166,0.097713,-1.013868,0.105592,-1.091568</t>
  </si>
  <si>
    <t>167,0.097713,-1.013868,0.105592,-1.091568</t>
  </si>
  <si>
    <t>168,0.129512,-0.344468,0.137392,-0.422268</t>
  </si>
  <si>
    <t>176,0.125220,-1.073236,0.119818,-1.029235</t>
  </si>
  <si>
    <t>177,0.152291,-1.073236,0.183664,-1.019536</t>
  </si>
  <si>
    <t>178,0.152291,-1.073236,0.183664,-1.019536</t>
  </si>
  <si>
    <t>179,0.152291,-1.064868,0.183664,-1.057968</t>
  </si>
  <si>
    <t>180,0.152291,-1.064868,0.183664,-1.057968</t>
  </si>
  <si>
    <t>181,0.152291,-1.064868,0.183664,-1.057968</t>
  </si>
  <si>
    <t>187,0.130514,-1.082164,0.130415,-1.116790</t>
  </si>
  <si>
    <t>188,0.130522,-1.082164,0.129919,-1.116691</t>
  </si>
  <si>
    <t>189,0.126517,-1.082064,0.126418,-1.109389</t>
  </si>
  <si>
    <t>190,0.161925,-1.086975,0.161825,-1.125064</t>
  </si>
  <si>
    <t>191,0.120038,-1.086975,0.104518,-1.132563</t>
  </si>
  <si>
    <t>192,0.120038,-1.087176,0.104114,-1.132665</t>
  </si>
  <si>
    <t>193,0.122639,-1.051767,0.106715,-1.093867</t>
  </si>
  <si>
    <t>194,0.122639,-1.051668,0.106715,-1.093868</t>
  </si>
  <si>
    <t>195,0.122639,-1.051668,0.106715,-1.093868</t>
  </si>
  <si>
    <t>197,0.114821,-1.073968,0.114821,-1.085595</t>
  </si>
  <si>
    <t>198,0.114821,-1.073968,0.114821,-1.085595</t>
  </si>
  <si>
    <t>199,0.114722,-1.073968,0.114722,-1.085595</t>
  </si>
  <si>
    <t>200,0.134490,-1.073968,0.138380,-1.085595</t>
  </si>
  <si>
    <t>201,0.134497,-1.073968,0.138280,-1.085694</t>
  </si>
  <si>
    <t>204,0.138427,-1.073867,0.138418,-1.073867</t>
  </si>
  <si>
    <t>205,0.138336,-1.073869,0.138320,-1.073869</t>
  </si>
  <si>
    <t>206,0.138336,-1.077767,0.138320,-1.069968</t>
  </si>
  <si>
    <t>207,0.138434,-1.077767,0.138326,-1.069966</t>
  </si>
  <si>
    <t>208,0.116721,-1.077767,0.114722,-1.069966</t>
  </si>
  <si>
    <t>209,0.116820,-1.077767,0.114714,-1.069966</t>
  </si>
  <si>
    <t>210,0.114714,-1.069966,0.114714,-1.069966</t>
  </si>
  <si>
    <t>211,0.114714,-1.069966,0.114714,-1.069966</t>
  </si>
  <si>
    <t>HF887690-A</t>
  </si>
  <si>
    <t>HF887691-9</t>
  </si>
  <si>
    <t>HF887634-9</t>
  </si>
  <si>
    <t>HF887635-8</t>
  </si>
  <si>
    <t>HF887692-8</t>
  </si>
  <si>
    <t>HF887693-7</t>
  </si>
  <si>
    <t>HF887496-6</t>
  </si>
  <si>
    <t>HF887497-5</t>
  </si>
  <si>
    <t>HF887510-0</t>
  </si>
  <si>
    <t>HF887511-E</t>
  </si>
  <si>
    <t>HF887698-2</t>
  </si>
  <si>
    <t>HF887699-1</t>
  </si>
  <si>
    <t>HF887660-U</t>
  </si>
  <si>
    <t>HF887661-T</t>
  </si>
  <si>
    <t>HF887672-9</t>
  </si>
  <si>
    <t>HF887673-8</t>
  </si>
  <si>
    <t>HF887724-P</t>
  </si>
  <si>
    <t>HF887725-N</t>
  </si>
  <si>
    <t>HF887744-N</t>
  </si>
  <si>
    <t>HF887745-M</t>
  </si>
  <si>
    <t>HF885775-6</t>
  </si>
  <si>
    <t>HF885774-7</t>
  </si>
  <si>
    <t>HF885698-3</t>
  </si>
  <si>
    <t>HF885699-2</t>
  </si>
  <si>
    <t>HF885730-D</t>
  </si>
  <si>
    <t>HF885731-C</t>
  </si>
  <si>
    <t>HF885700-Y</t>
  </si>
  <si>
    <t>HF885701-W</t>
  </si>
  <si>
    <t>HF887546-N</t>
  </si>
  <si>
    <t>HF887547-M</t>
  </si>
  <si>
    <t>HF887586-L</t>
  </si>
  <si>
    <t>HF887587-K</t>
  </si>
  <si>
    <t>HF887520-Y</t>
  </si>
  <si>
    <t>HF887521-W</t>
  </si>
  <si>
    <t>HF887588-J</t>
  </si>
  <si>
    <t>GfE</t>
  </si>
  <si>
    <t>HF887748-J</t>
  </si>
  <si>
    <t>HF887749-H</t>
  </si>
  <si>
    <t>HF887430-0</t>
  </si>
  <si>
    <t>HF887431-E</t>
  </si>
  <si>
    <t>HF887738-4</t>
  </si>
  <si>
    <t>HF887739-3</t>
  </si>
  <si>
    <t>HF885706-P</t>
  </si>
  <si>
    <t>HF885707-N</t>
  </si>
  <si>
    <t>HF885642-U</t>
  </si>
  <si>
    <t>HF885643-T</t>
  </si>
  <si>
    <t>HF887308-R</t>
  </si>
  <si>
    <t>HF887309-P</t>
  </si>
  <si>
    <t>HF887856-4</t>
  </si>
  <si>
    <t>HF887857-3</t>
  </si>
  <si>
    <t>HF887758-3</t>
  </si>
  <si>
    <t>HF887759-2</t>
  </si>
  <si>
    <t>HF887428-N</t>
  </si>
  <si>
    <t>HF887429-M</t>
  </si>
  <si>
    <t>HF885694-7</t>
  </si>
  <si>
    <t>HF885695-6</t>
  </si>
  <si>
    <t>HF887688-H</t>
  </si>
  <si>
    <t>HF887689-G</t>
  </si>
  <si>
    <t>HF887656-6</t>
  </si>
  <si>
    <t>HF887657-5</t>
  </si>
  <si>
    <t>HF887352-D</t>
  </si>
  <si>
    <t>HF887353-C</t>
  </si>
  <si>
    <t>HF887466-N</t>
  </si>
  <si>
    <t>HF887467-M</t>
  </si>
  <si>
    <t>HF885670-C</t>
  </si>
  <si>
    <t>HF885671-B</t>
  </si>
  <si>
    <t>HF887310-2</t>
  </si>
  <si>
    <t>HF887311-1</t>
  </si>
  <si>
    <t>HF887894-4</t>
  </si>
  <si>
    <t>HF887895-3</t>
  </si>
  <si>
    <t>HF885650-D</t>
  </si>
  <si>
    <t>HF885651-C</t>
  </si>
  <si>
    <t>HF887702-U</t>
  </si>
  <si>
    <t>HF887703-T</t>
  </si>
  <si>
    <t>HF887668-J</t>
  </si>
  <si>
    <t>HF887669-H</t>
  </si>
  <si>
    <t>HF887384-R</t>
  </si>
  <si>
    <t>HF887385-P</t>
  </si>
  <si>
    <t>HF887432-D</t>
  </si>
  <si>
    <t>HF887433-C</t>
  </si>
  <si>
    <t>HF887314-D</t>
  </si>
  <si>
    <t>HF887315-C</t>
  </si>
  <si>
    <t>HF887266-R</t>
  </si>
  <si>
    <t>HF887267-P</t>
  </si>
  <si>
    <t>HF887282-V</t>
  </si>
  <si>
    <t>HF887283-U</t>
  </si>
  <si>
    <t>HF885520-F</t>
  </si>
  <si>
    <t>HF885521-Y</t>
  </si>
  <si>
    <t>HF887686-K</t>
  </si>
  <si>
    <t>HF887687-J</t>
  </si>
  <si>
    <t>HF887664-N</t>
  </si>
  <si>
    <t>HF887665-M</t>
  </si>
  <si>
    <t>HF887662-R</t>
  </si>
  <si>
    <t>HF887663-P</t>
  </si>
  <si>
    <t>HF885688-J</t>
  </si>
  <si>
    <t>HF885689-H</t>
  </si>
  <si>
    <t>HF885708-M</t>
  </si>
  <si>
    <t>HF885709-L</t>
  </si>
  <si>
    <t>HF887274-B</t>
  </si>
  <si>
    <t>HF887275-A</t>
  </si>
  <si>
    <t>HF888014-F</t>
  </si>
  <si>
    <t>HF888015-Y</t>
  </si>
  <si>
    <t>HF885622-V</t>
  </si>
  <si>
    <t>HF885623-U</t>
  </si>
  <si>
    <t>HF887840-T</t>
  </si>
  <si>
    <t>HF887841-R</t>
  </si>
  <si>
    <t>HF887628-L</t>
  </si>
  <si>
    <t>HF887629-K</t>
  </si>
  <si>
    <t>HF885684-N</t>
  </si>
  <si>
    <t>HF885685-M</t>
  </si>
  <si>
    <t>HF885722-U</t>
  </si>
  <si>
    <t>HF885723-T</t>
  </si>
  <si>
    <t>HF885704-T</t>
  </si>
  <si>
    <t>HF885705-R</t>
  </si>
  <si>
    <t>HF887896-2</t>
  </si>
  <si>
    <t>HF887897-1</t>
  </si>
  <si>
    <t>HF885676-6</t>
  </si>
  <si>
    <t>HF885677-5</t>
  </si>
  <si>
    <t>HF885716-8</t>
  </si>
  <si>
    <t>HF885717-7</t>
  </si>
  <si>
    <t>HF887740-U</t>
  </si>
  <si>
    <t>HF887741-T</t>
  </si>
  <si>
    <t>HF887512-D</t>
  </si>
  <si>
    <t>HF887513-C</t>
  </si>
  <si>
    <t>HF887464-R</t>
  </si>
  <si>
    <t>HF887465-P</t>
  </si>
  <si>
    <t>HF885720-W</t>
  </si>
  <si>
    <t>HF885721-V</t>
  </si>
  <si>
    <t>HF885632-C</t>
  </si>
  <si>
    <t>HF885633-B</t>
  </si>
  <si>
    <t>HF887882-M</t>
  </si>
  <si>
    <t>HF887883-L</t>
  </si>
  <si>
    <t>HF887514-B</t>
  </si>
  <si>
    <t>HF887515-A</t>
  </si>
  <si>
    <t>HF887694-6</t>
  </si>
  <si>
    <t>HF887695-5</t>
  </si>
  <si>
    <t>HF887382-U</t>
  </si>
  <si>
    <t>HF887383-T</t>
  </si>
  <si>
    <t>HF887762-P</t>
  </si>
  <si>
    <t>HF887763-N</t>
  </si>
  <si>
    <t>HF887718-5</t>
  </si>
  <si>
    <t>HF887719-4</t>
  </si>
  <si>
    <t>HF887386-N</t>
  </si>
  <si>
    <t>HF887387-M</t>
  </si>
  <si>
    <t>HF885672-A</t>
  </si>
  <si>
    <t>HF885673-9</t>
  </si>
  <si>
    <t>HF885690-B</t>
  </si>
  <si>
    <t>HF885691-A</t>
  </si>
  <si>
    <t>HF887670-B</t>
  </si>
  <si>
    <t>HF887671-A</t>
  </si>
  <si>
    <t>HF887696-4</t>
  </si>
  <si>
    <t>HF887697-3</t>
  </si>
  <si>
    <t>HF885516-A</t>
  </si>
  <si>
    <t>HF885517-9</t>
  </si>
  <si>
    <t>HF885678-4</t>
  </si>
  <si>
    <t>HF885679-3</t>
  </si>
  <si>
    <t>HF887682-P</t>
  </si>
  <si>
    <t>HF887683-N</t>
  </si>
  <si>
    <t>HF887652-A</t>
  </si>
  <si>
    <t>HF887653-9</t>
  </si>
  <si>
    <t>HF885634-A</t>
  </si>
  <si>
    <t>HF885635-9</t>
  </si>
  <si>
    <t>HF885612-D</t>
  </si>
  <si>
    <t>HF885613-C</t>
  </si>
  <si>
    <t>HF887242-Y</t>
  </si>
  <si>
    <t>HF887243-W</t>
  </si>
  <si>
    <t>HF879760-T</t>
  </si>
  <si>
    <t>HF879761-R</t>
  </si>
  <si>
    <t>HF879762-P</t>
  </si>
  <si>
    <t>HF879763-N</t>
  </si>
  <si>
    <t>HF881144-G</t>
  </si>
  <si>
    <t>HF881145-F</t>
  </si>
  <si>
    <t>HF881142-J</t>
  </si>
  <si>
    <t>HF881143-H</t>
  </si>
  <si>
    <t>HF879766-K</t>
  </si>
  <si>
    <t>HF879767-J</t>
  </si>
  <si>
    <t>HF887674-7</t>
  </si>
  <si>
    <t>HF887675-6</t>
  </si>
  <si>
    <t>HF887632-B</t>
  </si>
  <si>
    <t>HF887633-A</t>
  </si>
  <si>
    <t>HF887494-8</t>
  </si>
  <si>
    <t>HF887495-7</t>
  </si>
  <si>
    <t>HF887416-A</t>
  </si>
  <si>
    <t>HF887417-9</t>
  </si>
  <si>
    <t>HF887226-U</t>
  </si>
  <si>
    <t>HF887227-T</t>
  </si>
  <si>
    <t>HF887302-F</t>
  </si>
  <si>
    <t>HF887303-Y</t>
  </si>
  <si>
    <t>HF885660-V</t>
  </si>
  <si>
    <t>HF885661-U</t>
  </si>
  <si>
    <t>HF885636-8</t>
  </si>
  <si>
    <t>HF885637-7</t>
  </si>
  <si>
    <t>HF887589-H</t>
  </si>
  <si>
    <t>HF887742-R</t>
  </si>
  <si>
    <t>HF887743-P</t>
  </si>
  <si>
    <t>HF887658-4</t>
  </si>
  <si>
    <t>HF887659-3</t>
  </si>
  <si>
    <t>HF887452-C</t>
  </si>
  <si>
    <t>HF887453-B</t>
  </si>
  <si>
    <t>HF887404-V</t>
  </si>
  <si>
    <t>HF887405-U</t>
  </si>
  <si>
    <t>HF887304-W</t>
  </si>
  <si>
    <t>HF887305-V</t>
  </si>
  <si>
    <t>HF887246-T</t>
  </si>
  <si>
    <t>HF887247-R</t>
  </si>
  <si>
    <t>HF885666-M</t>
  </si>
  <si>
    <t>HF885667-L</t>
  </si>
  <si>
    <t>HF885610-0</t>
  </si>
  <si>
    <t>HF885611-E</t>
  </si>
  <si>
    <t>Solver complete</t>
  </si>
  <si>
    <t>Created on: 2019-09-04 at 09:09.</t>
  </si>
  <si>
    <t>108,0.168435,-1.034168,0.148750,-1.034168</t>
  </si>
  <si>
    <t>109,0.168435,-1.034168,0.148750,-1.034168</t>
  </si>
  <si>
    <t>110,0.150834,-1.093168,0.148750,-1.034168</t>
  </si>
  <si>
    <t>111,0.150536,-1.093168,0.148551,-1.034168</t>
  </si>
  <si>
    <t>112,0.136597,-0.958268,0.136577,-1.035968</t>
  </si>
  <si>
    <t>113,0.136498,-0.958168,0.136577,-1.035968</t>
  </si>
  <si>
    <t>114,0.136498,-0.958168,0.136577,-1.035968</t>
  </si>
  <si>
    <t>115,0.121396,-0.344468,0.121474,-0.422268</t>
  </si>
  <si>
    <t>119,0.164138,-1.037967,0.164138,-1.006267</t>
  </si>
  <si>
    <t>120,0.164138,-1.087246,0.164340,-1.045258</t>
  </si>
  <si>
    <t>121,0.164142,-1.087446,0.165443,-1.045459</t>
  </si>
  <si>
    <t>122,0.152319,-1.087545,0.152521,-1.060058</t>
  </si>
  <si>
    <t>123,0.147124,-1.082437,0.141623,-1.038473</t>
  </si>
  <si>
    <t>124,0.142666,-1.082437,0.181817,-1.028873</t>
  </si>
  <si>
    <t>125,0.142666,-1.082437,0.181817,-1.028873</t>
  </si>
  <si>
    <t>126,0.142666,-1.081968,0.181817,-1.074968</t>
  </si>
  <si>
    <t>127,0.142566,-1.081967,0.181817,-1.075068</t>
  </si>
  <si>
    <t>128,0.142566,-1.081967,0.181817,-1.075068</t>
  </si>
  <si>
    <t>134,0.144423,-1.087429,0.144423,-1.133826</t>
  </si>
  <si>
    <t>135,0.144518,-1.087428,0.143919,-1.133727</t>
  </si>
  <si>
    <t>136,0.140520,-1.087327,0.140421,-1.126527</t>
  </si>
  <si>
    <t>137,0.176020,-1.092237,0.175917,-1.134200</t>
  </si>
  <si>
    <t>138,0.141908,-1.092237,0.130249,-1.141801</t>
  </si>
  <si>
    <t>139,0.142011,-1.092438,0.130050,-1.141903</t>
  </si>
  <si>
    <t>140,0.144509,-1.068868,0.132553,-1.110967</t>
  </si>
  <si>
    <t>141,0.144509,-1.068767,0.132553,-1.110967</t>
  </si>
  <si>
    <t>142,0.144509,-1.068767,0.132553,-1.110967</t>
  </si>
  <si>
    <t>147,0.144557,-1.083167,0.152346,-1.098794</t>
  </si>
  <si>
    <t>148,0.144556,-1.083268,0.152345,-1.098895</t>
  </si>
  <si>
    <t>149,0.144556,-1.083068,0.152345,-1.083068</t>
  </si>
  <si>
    <t>150,0.144556,-1.083068,0.152345,-1.083068</t>
  </si>
  <si>
    <t>151,0.144458,-1.083068,0.144411,-1.083068</t>
  </si>
  <si>
    <t>152,0.144557,-1.083068,0.144510,-1.083068</t>
  </si>
  <si>
    <t>153,0.144557,-1.079095,0.144510,-1.075194</t>
  </si>
  <si>
    <t>154,0.144457,-1.079092,0.144410,-1.075194</t>
  </si>
  <si>
    <t>155,0.146417,-1.079092,0.144518,-1.075194</t>
  </si>
  <si>
    <t>156,0.146521,-1.079092,0.144423,-1.075194</t>
  </si>
  <si>
    <t>157,0.144423,-1.075194,0.144423,-1.075194</t>
  </si>
  <si>
    <t>158,0.144423,-1.075194,0.144423,-1.075194</t>
  </si>
  <si>
    <t>60.671650, 1.791232, -2.416500, 0, 0, 0.0, 0.0, 1.000000</t>
  </si>
  <si>
    <t>60.671650, 1.791232, -2.928300, 0, 60, 0.0, 0.0, 1.000000</t>
  </si>
  <si>
    <t>60.671451, 1.869932, -2.928300, 0, 60, 0.0, 0.0, 1.000000</t>
  </si>
  <si>
    <t>60.659497, 5.066832, 0.111000, 0, 60, 0.0, 0.0, 1.000000</t>
  </si>
  <si>
    <t>60.659398, 5.070832, 0.111000, 0, 0, 0.0, 0.0, 1.000000</t>
  </si>
  <si>
    <t>60.659398, 5.070832, 0.622800, 0, 0, 0.0, 0.0, 1.000000</t>
  </si>
  <si>
    <t>60.661397, 8.274832, 0.628600, 0, 0, 0.0, 0.0, 1.000000</t>
  </si>
  <si>
    <t>54.084640, 16.099232, 0.004800, 0, 40, 0.0, 0.0, 1.000000</t>
  </si>
  <si>
    <t>54.084640, 15.864033, -3.046400, 0, 40, 0.0, 0.0, 1.000000</t>
  </si>
  <si>
    <t>54.084640, 16.474255, 0.004800, 1, 40, 54.124438, 16.474653, 0.004800, 0.0, 0.0, -1.000000</t>
  </si>
  <si>
    <t>54.084842, 15.906642, -3.046400, 1, 40, 54.124640, 15.906942, -3.046400, 0.0, 0.0, -1.000000</t>
  </si>
  <si>
    <t>54.124042, 16.514254, 0.004800, 0, 40, 0.0, 0.0, 1.000000</t>
  </si>
  <si>
    <t>54.125343, 15.946542, -3.046400, 0, 40, 0.0, 0.0, 1.000000</t>
  </si>
  <si>
    <t>54.584719, 16.514155, 0.004800, 0, 75, 0.0, 0.0, 1.000000</t>
  </si>
  <si>
    <t>59.414122, 16.909764, 0.004800, 0, 40, 0.0, 0.0, 1.000000</t>
  </si>
  <si>
    <t>59.408621, 15.883328, -3.046400, 0, 40, 0.0, 0.0, 1.000000</t>
  </si>
  <si>
    <t>60.157665, 16.909764, 0.004800, 1, 40, 60.156468, 16.869162, 0.004800, 0.0, 0.0, -1.000000</t>
  </si>
  <si>
    <t>60.196816, 15.892928, -3.046400, 1, 40, 60.195619, 15.852427, -3.046400, 0.0, 0.0, -1.000000</t>
  </si>
  <si>
    <t>60.197067, 16.868063, 0.004800, 0, 40, 0.0, 0.0, 1.000000</t>
  </si>
  <si>
    <t>60.236218, 15.851227, -3.046400, 0, 40, 0.0, 0.0, 1.000000</t>
  </si>
  <si>
    <t>60.236218, 14.315932, -3.046400, 0, 60, 0.0, 0.0, 1.000000</t>
  </si>
  <si>
    <t>60.236218, 14.311932, -3.046400, 0, 0, 0.0, 0.0, 1.000000</t>
  </si>
  <si>
    <t>60.236218, 14.311932, -2.534600, 0, 0, 0.0, 0.0, 1.000000</t>
  </si>
  <si>
    <t>59.080721, 17.672772, 0.004800, 1, 40, 59.040923, 17.672371, 0.004800, 0.0, 0.0, -1.000000</t>
  </si>
  <si>
    <t>59.080721, 18.236074, -3.046400, 1, 40, 59.040923, 18.235673, -3.046400, 0.0, 0.0, -1.000000</t>
  </si>
  <si>
    <t>59.041418, 17.632672, 0.004800, 0, 40, 0.0, 0.0, 1.000000</t>
  </si>
  <si>
    <t>59.040819, 18.196073, -3.046400, 0, 40, 0.0, 0.0, 1.000000</t>
  </si>
  <si>
    <t>58.565020, 17.632773, 0.004800, 0, 75, 0.0, 0.0, 1.000000</t>
  </si>
  <si>
    <t>58.564921, 18.203273, -3.046400, 0, 75, 0.0, 0.0, 1.000000</t>
  </si>
  <si>
    <t>53.765822, 17.237362, 0.004800, 0, 40, 0.0, 0.0, 1.000000</t>
  </si>
  <si>
    <t>53.765719, 18.265700, -3.046400, 0, 40, 0.0, 0.0, 1.000000</t>
  </si>
  <si>
    <t>52.983709, 17.237362, 0.004800, 1, 40, 52.984907, 17.277863, 0.004800, 0.0, 0.0, -1.000000</t>
  </si>
  <si>
    <t>52.972050, 18.258099, -3.046400, 1, 40, 52.973248, 18.298699, -3.046400, 0.0, 0.0, -1.000000</t>
  </si>
  <si>
    <t>52.944410, 17.278862, 0.004800, 0, 40, 0.0, 0.0, 1.000000</t>
  </si>
  <si>
    <t>52.932449, 18.299698, -3.046400, 0, 40, 0.0, 0.0, 1.000000</t>
  </si>
  <si>
    <t>52.946908, 18.397431, 0.004800, 0, 60, 0.0, 0.0, 1.000000</t>
  </si>
  <si>
    <t>52.934952, 19.425732, -3.046400, 0, 60, 0.0, 0.0, 1.000000</t>
  </si>
  <si>
    <t>52.946908, 18.401433, 0.004800, 0, 0, 0.0, 0.0, 1.000000</t>
  </si>
  <si>
    <t>52.934952, 19.429633, -3.046400, 0, 0, 0.0, 0.0, 1.000000</t>
  </si>
  <si>
    <t>52.946908, 18.401433, 0.516600, 0, 0, 0.0, 0.0, 1.000000</t>
  </si>
  <si>
    <t>52.934952, 19.429633, -2.534600, 0, 0, 0.0, 0.0, 1.000000</t>
  </si>
  <si>
    <t>52.876047, 16.402606, -3.046400, 1, 40, 52.876047, 16.481406, -3.046400, 0.0, 0.0, 1.000000</t>
  </si>
  <si>
    <t>52.954744, 16.481305, -3.046400, 0, 40, 0.0, 0.0, 1.000000</t>
  </si>
  <si>
    <t>52.954744, 17.018733, -3.046400, 1, 40, 53.033544, 17.018733, -3.046400, 0.0, 0.0, -1.000000</t>
  </si>
  <si>
    <t>53.033544, 17.097531, -3.046400, 0, 70, 0.0, 0.0, 1.000000</t>
  </si>
  <si>
    <t>60.080709, 17.097531, -3.046400, 1, 40, 60.080709, 17.176232, -3.046400, 0.0, 0.0, 1.000000</t>
  </si>
  <si>
    <t>60.159509, 17.176232, -3.046400, 0, 40, 0.0, 0.0, 1.000000</t>
  </si>
  <si>
    <t>60.159556, 17.701905, 0.004800, 1, 40, 60.238357, 17.701905, 0.004800, 0.0, 0.0, -1.000000</t>
  </si>
  <si>
    <t>60.159509, 17.705806, -3.046400, 1, 40, 60.238310, 17.705806, -3.046400, 0.0, 0.0, -1.000000</t>
  </si>
  <si>
    <t>60.238257, 17.780607, 0.004800, 0, 30, 0.0, 0.0, 1.000000</t>
  </si>
  <si>
    <t>60.238210, 17.784505, -3.046400, 0, 30, 0.0, 0.0, 1.000000</t>
  </si>
  <si>
    <t>60.708719, 17.780607, 0.004800, 0, 60, 0.0, 0.0, 1.000000</t>
  </si>
  <si>
    <t>61.021719, 17.784505, -3.046400, 0, 60, 0.0, 0.0, 1.000000</t>
  </si>
  <si>
    <t>60.712721, 17.780607, 0.004800, 0, 60, 0.0, 0.0, 1.000000</t>
  </si>
  <si>
    <t>61.025622, 17.784505, -3.046400, 0, 60, 0.0, 0.0, 1.000000</t>
  </si>
  <si>
    <t>61.025622, 17.784505, 0.004800, 0, 0, 0.0, 0.0, 1.000000</t>
  </si>
  <si>
    <t>61.025622, 17.784505, -3.046400, 0, 0, 0.0, 0.0, 1.000000</t>
  </si>
  <si>
    <t>61.025622, 17.784505, 0.516600, 0, 0, 0.0, 0.0, 1.000000</t>
  </si>
  <si>
    <t>61.025622, 17.784505, -2.534600, 0, 0, 0.0, 0.0, 1.000000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</si>
</sst>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m/d/yy\ h:mm;@"/>
    <numFmt numFmtId="167" formatCode="0.0%"/>
    <numFmt numFmtId="168" formatCode="##0.000000"/>
    <numFmt numFmtId="169" formatCode="##0.0"/>
    <numFmt numFmtId="170" formatCode="##0"/>
  </numFmts>
  <fonts count="5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0"/>
      <name val="Calibri"/>
      <family val="2"/>
    </font>
    <font>
      <sz val="11"/>
      <color rgb="FF00B0F0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28"/>
      <color rgb="FFFF0000"/>
      <name val="Calibri"/>
      <family val="2"/>
      <scheme val="minor"/>
    </font>
    <font>
      <sz val="11"/>
      <color theme="1"/>
      <name val="Times New Roman"/>
      <family val="1"/>
    </font>
    <font>
      <sz val="28"/>
      <color rgb="FF0070C0"/>
      <name val="Calibri"/>
      <family val="2"/>
      <scheme val="minor"/>
    </font>
    <font>
      <sz val="28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Calibri"/>
      <family val="2"/>
    </font>
    <font>
      <sz val="28"/>
      <color theme="0"/>
      <name val="Calibri"/>
      <family val="2"/>
      <scheme val="minor"/>
    </font>
    <font>
      <sz val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name val="Calibri"/>
      <family val="2"/>
      <scheme val="minor"/>
    </font>
    <font>
      <sz val="26"/>
      <name val="Calibri"/>
      <family val="2"/>
      <scheme val="minor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indexed="9"/>
        <bgColor indexed="64"/>
      </patternFill>
    </fill>
  </fills>
  <borders count="1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 diagonalUp="1">
      <left/>
      <right style="thick">
        <color rgb="FFFF0000"/>
      </right>
      <top/>
      <bottom/>
      <diagonal style="thick">
        <color rgb="FFFF0000"/>
      </diagonal>
    </border>
    <border diagonalDown="1">
      <left style="thick">
        <color rgb="FFFF0000"/>
      </left>
      <right/>
      <top/>
      <bottom/>
      <diagonal style="thick">
        <color rgb="FFFF0000"/>
      </diagonal>
    </border>
    <border>
      <left/>
      <right/>
      <top style="thick">
        <color rgb="FFFF0000"/>
      </top>
      <bottom/>
      <diagonal/>
    </border>
    <border>
      <left/>
      <right/>
      <top/>
      <bottom style="thick">
        <color rgb="FFFF0000"/>
      </bottom>
      <diagonal/>
    </border>
    <border diagonalDown="1">
      <left/>
      <right style="thick">
        <color rgb="FFFF0000"/>
      </right>
      <top/>
      <bottom style="thick">
        <color rgb="FFFF0000"/>
      </bottom>
      <diagonal style="thick">
        <color rgb="FFFF0000"/>
      </diagonal>
    </border>
    <border diagonalUp="1">
      <left style="thick">
        <color rgb="FFFF0000"/>
      </left>
      <right/>
      <top/>
      <bottom style="thick">
        <color rgb="FFFF0000"/>
      </bottom>
      <diagonal style="thick">
        <color rgb="FFFF0000"/>
      </diagonal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/>
      <diagonal/>
    </border>
    <border diagonalUp="1">
      <left/>
      <right/>
      <top style="thick">
        <color indexed="64"/>
      </top>
      <bottom/>
      <diagonal style="thick">
        <color indexed="64"/>
      </diagonal>
    </border>
    <border diagonalUp="1">
      <left/>
      <right style="thick">
        <color theme="1"/>
      </right>
      <top style="thick">
        <color theme="1"/>
      </top>
      <bottom/>
      <diagonal style="thick">
        <color auto="1"/>
      </diagonal>
    </border>
    <border>
      <left/>
      <right/>
      <top style="thick">
        <color theme="1"/>
      </top>
      <bottom/>
      <diagonal/>
    </border>
    <border diagonalDown="1">
      <left style="thick">
        <color theme="1"/>
      </left>
      <right/>
      <top style="thick">
        <color theme="1"/>
      </top>
      <bottom/>
      <diagonal style="thick">
        <color auto="1"/>
      </diagonal>
    </border>
    <border diagonalDown="1">
      <left/>
      <right/>
      <top/>
      <bottom style="thick">
        <color indexed="64"/>
      </bottom>
      <diagonal style="thick">
        <color indexed="64"/>
      </diagonal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 diagonalDown="1">
      <left/>
      <right style="thick">
        <color theme="1"/>
      </right>
      <top/>
      <bottom/>
      <diagonal style="thick">
        <color auto="1"/>
      </diagonal>
    </border>
    <border diagonalUp="1">
      <left style="thick">
        <color theme="1"/>
      </left>
      <right/>
      <top/>
      <bottom/>
      <diagonal style="thick">
        <color auto="1"/>
      </diagonal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ck">
        <color auto="1"/>
      </left>
      <right/>
      <top/>
      <bottom/>
      <diagonal style="thick">
        <color auto="1"/>
      </diagonal>
    </border>
    <border diagonalUp="1">
      <left/>
      <right style="thick">
        <color auto="1"/>
      </right>
      <top/>
      <bottom/>
      <diagonal style="thick">
        <color auto="1"/>
      </diagonal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Up="1">
      <left/>
      <right/>
      <top style="thick">
        <color theme="1"/>
      </top>
      <bottom/>
      <diagonal style="thick">
        <color auto="1"/>
      </diagonal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 diagonalDown="1">
      <left/>
      <right/>
      <top/>
      <bottom/>
      <diagonal style="thick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/>
      <right/>
      <top style="thick">
        <color theme="1"/>
      </top>
      <bottom/>
      <diagonal style="thick">
        <color auto="1"/>
      </diagonal>
    </border>
    <border diagonalUp="1">
      <left/>
      <right/>
      <top/>
      <bottom/>
      <diagonal style="thick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rgb="FF00B0F0"/>
      </bottom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 diagonalUp="1">
      <left/>
      <right style="thick">
        <color rgb="FF00B0F0"/>
      </right>
      <top style="thick">
        <color rgb="FF00B0F0"/>
      </top>
      <bottom/>
      <diagonal style="thick">
        <color rgb="FF00B0F0"/>
      </diagonal>
    </border>
    <border>
      <left/>
      <right/>
      <top style="thick">
        <color rgb="FF00B0F0"/>
      </top>
      <bottom/>
      <diagonal/>
    </border>
    <border diagonalDown="1">
      <left style="thick">
        <color rgb="FF00B0F0"/>
      </left>
      <right/>
      <top style="thick">
        <color rgb="FF00B0F0"/>
      </top>
      <bottom/>
      <diagonal style="thick">
        <color rgb="FF00B0F0"/>
      </diagonal>
    </border>
    <border diagonalUp="1">
      <left/>
      <right/>
      <top style="thick">
        <color rgb="FF00B0F0"/>
      </top>
      <bottom/>
      <diagonal style="thick">
        <color rgb="FF00B0F0"/>
      </diagonal>
    </border>
    <border>
      <left style="thin">
        <color indexed="64"/>
      </left>
      <right/>
      <top style="thick">
        <color rgb="FF00B0F0"/>
      </top>
      <bottom/>
      <diagonal/>
    </border>
    <border>
      <left/>
      <right style="thin">
        <color indexed="64"/>
      </right>
      <top/>
      <bottom style="thick">
        <color rgb="FF00B0F0"/>
      </bottom>
      <diagonal/>
    </border>
    <border>
      <left style="thick">
        <color rgb="FF00B0F0"/>
      </left>
      <right/>
      <top/>
      <bottom style="thick">
        <color rgb="FF00B0F0"/>
      </bottom>
      <diagonal/>
    </border>
    <border diagonalDown="1">
      <left/>
      <right style="thick">
        <color rgb="FF00B0F0"/>
      </right>
      <top/>
      <bottom style="thick">
        <color rgb="FF00B0F0"/>
      </bottom>
      <diagonal style="thick">
        <color rgb="FF00B0F0"/>
      </diagonal>
    </border>
    <border diagonalUp="1">
      <left style="thick">
        <color rgb="FF00B0F0"/>
      </left>
      <right/>
      <top/>
      <bottom/>
      <diagonal style="thick">
        <color rgb="FF00B0F0"/>
      </diagonal>
    </border>
    <border diagonalDown="1">
      <left/>
      <right/>
      <top/>
      <bottom/>
      <diagonal style="thick">
        <color rgb="FF00B0F0"/>
      </diagonal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>
      <left style="thick">
        <color rgb="FF00B0F0"/>
      </left>
      <right/>
      <top/>
      <bottom style="thick">
        <color theme="1"/>
      </bottom>
      <diagonal style="thick">
        <color rgb="FF00B0F0"/>
      </diagonal>
    </border>
    <border diagonalDown="1">
      <left/>
      <right style="thick">
        <color rgb="FF00B0F0"/>
      </right>
      <top/>
      <bottom style="thick">
        <color theme="1"/>
      </bottom>
      <diagonal style="thick">
        <color rgb="FF00B0F0"/>
      </diagonal>
    </border>
    <border diagonalDown="1">
      <left/>
      <right/>
      <top/>
      <bottom style="thick">
        <color rgb="FFFF0000"/>
      </bottom>
      <diagonal style="thick">
        <color rgb="FFFF0000"/>
      </diagonal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00B0F0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B0F0"/>
      </left>
      <right/>
      <top/>
      <bottom style="thin">
        <color indexed="64"/>
      </bottom>
      <diagonal/>
    </border>
    <border diagonalUp="1">
      <left/>
      <right style="thick">
        <color rgb="FF00B0F0"/>
      </right>
      <top/>
      <bottom/>
      <diagonal style="thick">
        <color rgb="FF00B0F0"/>
      </diagonal>
    </border>
    <border diagonalUp="1">
      <left style="thick">
        <color rgb="FF00B0F0"/>
      </left>
      <right/>
      <top/>
      <bottom style="thick">
        <color rgb="FF00B0F0"/>
      </bottom>
      <diagonal style="thick">
        <color rgb="FF00B0F0"/>
      </diagonal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ck">
        <color rgb="FFFF0000"/>
      </left>
      <right/>
      <top style="thick">
        <color rgb="FFFF0000"/>
      </top>
      <bottom/>
      <diagonal style="thick">
        <color rgb="FFFF0000"/>
      </diagonal>
    </border>
    <border diagonalUp="1">
      <left/>
      <right/>
      <top style="thick">
        <color rgb="FFFF0000"/>
      </top>
      <bottom/>
      <diagonal style="thick">
        <color rgb="FFFF0000"/>
      </diagonal>
    </border>
    <border>
      <left/>
      <right style="thin">
        <color indexed="64"/>
      </right>
      <top style="thick">
        <color auto="1"/>
      </top>
      <bottom/>
      <diagonal/>
    </border>
    <border diagonalUp="1">
      <left style="thick">
        <color rgb="FFFF0000"/>
      </left>
      <right/>
      <top/>
      <bottom/>
      <diagonal style="thick">
        <color rgb="FFFF0000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 diagonalDown="1">
      <left style="thick">
        <color rgb="FF00B0F0"/>
      </left>
      <right/>
      <top/>
      <bottom/>
      <diagonal style="thick">
        <color rgb="FF00B0F0"/>
      </diagonal>
    </border>
    <border diagonalDown="1">
      <left style="thick">
        <color rgb="FFFF0000"/>
      </left>
      <right/>
      <top style="thick">
        <color auto="1"/>
      </top>
      <bottom/>
      <diagonal style="thick">
        <color rgb="FFFF0000"/>
      </diagonal>
    </border>
    <border diagonalUp="1">
      <left/>
      <right/>
      <top/>
      <bottom/>
      <diagonal style="thick">
        <color rgb="FFFF0000"/>
      </diagonal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 style="thick">
        <color rgb="FF00B0F0"/>
      </top>
      <bottom/>
      <diagonal style="thick">
        <color rgb="FF00B0F0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rgb="FFFF0000"/>
      </top>
      <bottom/>
      <diagonal/>
    </border>
    <border diagonalDown="1">
      <left/>
      <right/>
      <top/>
      <bottom/>
      <diagonal style="thick">
        <color rgb="FFFF0000"/>
      </diagonal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auto="1"/>
      </top>
      <bottom/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121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9" fontId="0" fillId="0" borderId="5" xfId="1" applyFont="1" applyBorder="1" applyAlignment="1">
      <alignment horizontal="center"/>
    </xf>
    <xf numFmtId="9" fontId="0" fillId="2" borderId="5" xfId="1" applyFont="1" applyFill="1" applyBorder="1" applyAlignment="1">
      <alignment horizontal="center"/>
    </xf>
    <xf numFmtId="9" fontId="0" fillId="0" borderId="0" xfId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0" fontId="7" fillId="0" borderId="0" xfId="0" applyFont="1"/>
    <xf numFmtId="0" fontId="0" fillId="6" borderId="0" xfId="0" applyFill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8" borderId="0" xfId="0" applyFill="1"/>
    <xf numFmtId="0" fontId="0" fillId="8" borderId="21" xfId="0" applyFill="1" applyBorder="1"/>
    <xf numFmtId="0" fontId="0" fillId="8" borderId="26" xfId="0" applyFill="1" applyBorder="1"/>
    <xf numFmtId="0" fontId="0" fillId="8" borderId="27" xfId="0" applyFill="1" applyBorder="1" applyAlignment="1">
      <alignment horizontal="center" vertical="center"/>
    </xf>
    <xf numFmtId="0" fontId="0" fillId="8" borderId="27" xfId="0" applyFill="1" applyBorder="1"/>
    <xf numFmtId="0" fontId="0" fillId="8" borderId="28" xfId="0" applyFill="1" applyBorder="1"/>
    <xf numFmtId="0" fontId="0" fillId="6" borderId="29" xfId="0" applyFill="1" applyBorder="1"/>
    <xf numFmtId="0" fontId="0" fillId="6" borderId="30" xfId="0" applyFill="1" applyBorder="1"/>
    <xf numFmtId="0" fontId="0" fillId="8" borderId="0" xfId="0" applyFill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3" borderId="0" xfId="0" applyFill="1"/>
    <xf numFmtId="0" fontId="0" fillId="8" borderId="31" xfId="0" applyFill="1" applyBorder="1"/>
    <xf numFmtId="0" fontId="0" fillId="8" borderId="32" xfId="0" applyFill="1" applyBorder="1"/>
    <xf numFmtId="0" fontId="0" fillId="6" borderId="34" xfId="0" applyFill="1" applyBorder="1"/>
    <xf numFmtId="0" fontId="0" fillId="6" borderId="35" xfId="0" applyFill="1" applyBorder="1"/>
    <xf numFmtId="0" fontId="0" fillId="6" borderId="40" xfId="0" applyFill="1" applyBorder="1"/>
    <xf numFmtId="0" fontId="0" fillId="6" borderId="43" xfId="0" applyFill="1" applyBorder="1"/>
    <xf numFmtId="0" fontId="0" fillId="6" borderId="27" xfId="0" applyFill="1" applyBorder="1"/>
    <xf numFmtId="0" fontId="8" fillId="4" borderId="36" xfId="2" applyNumberFormat="1" applyFont="1" applyFill="1" applyBorder="1" applyAlignment="1">
      <alignment horizontal="center" vertical="center"/>
    </xf>
    <xf numFmtId="0" fontId="7" fillId="0" borderId="37" xfId="0" quotePrefix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8" fillId="0" borderId="47" xfId="2" applyNumberFormat="1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8" fillId="4" borderId="50" xfId="2" applyNumberFormat="1" applyFont="1" applyFill="1" applyBorder="1" applyAlignment="1">
      <alignment horizontal="center" vertical="center"/>
    </xf>
    <xf numFmtId="0" fontId="7" fillId="0" borderId="5" xfId="0" quotePrefix="1" applyFont="1" applyBorder="1" applyAlignment="1">
      <alignment horizontal="center"/>
    </xf>
    <xf numFmtId="0" fontId="7" fillId="0" borderId="51" xfId="0" applyFont="1" applyBorder="1" applyAlignment="1">
      <alignment horizontal="center"/>
    </xf>
    <xf numFmtId="0" fontId="8" fillId="0" borderId="52" xfId="2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4" borderId="51" xfId="0" applyFont="1" applyFill="1" applyBorder="1" applyAlignment="1">
      <alignment horizontal="center"/>
    </xf>
    <xf numFmtId="0" fontId="0" fillId="6" borderId="31" xfId="0" applyFill="1" applyBorder="1"/>
    <xf numFmtId="165" fontId="0" fillId="6" borderId="0" xfId="0" applyNumberFormat="1" applyFill="1" applyAlignment="1">
      <alignment horizontal="center"/>
    </xf>
    <xf numFmtId="0" fontId="8" fillId="4" borderId="54" xfId="2" applyNumberFormat="1" applyFont="1" applyFill="1" applyBorder="1" applyAlignment="1">
      <alignment horizontal="center" vertical="center"/>
    </xf>
    <xf numFmtId="0" fontId="7" fillId="0" borderId="55" xfId="0" quotePrefix="1" applyFont="1" applyBorder="1" applyAlignment="1">
      <alignment horizontal="center"/>
    </xf>
    <xf numFmtId="0" fontId="7" fillId="0" borderId="56" xfId="0" applyFont="1" applyBorder="1" applyAlignment="1">
      <alignment horizontal="center"/>
    </xf>
    <xf numFmtId="1" fontId="8" fillId="0" borderId="37" xfId="2" applyNumberFormat="1" applyFont="1" applyBorder="1" applyAlignment="1">
      <alignment horizontal="center" vertical="center"/>
    </xf>
    <xf numFmtId="2" fontId="8" fillId="0" borderId="38" xfId="2" applyNumberFormat="1" applyFont="1" applyBorder="1" applyAlignment="1">
      <alignment horizontal="center" vertical="center"/>
    </xf>
    <xf numFmtId="0" fontId="7" fillId="0" borderId="36" xfId="0" applyFont="1" applyBorder="1" applyAlignment="1">
      <alignment horizontal="center"/>
    </xf>
    <xf numFmtId="2" fontId="8" fillId="0" borderId="37" xfId="2" applyNumberFormat="1" applyFont="1" applyBorder="1" applyAlignment="1">
      <alignment horizontal="center" vertical="center"/>
    </xf>
    <xf numFmtId="0" fontId="8" fillId="0" borderId="37" xfId="2" applyNumberFormat="1" applyFont="1" applyBorder="1" applyAlignment="1">
      <alignment horizontal="center" vertical="center"/>
    </xf>
    <xf numFmtId="165" fontId="9" fillId="10" borderId="38" xfId="0" applyNumberFormat="1" applyFont="1" applyFill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8" fillId="0" borderId="48" xfId="0" quotePrefix="1" applyFont="1" applyBorder="1" applyAlignment="1">
      <alignment horizontal="center" vertical="center"/>
    </xf>
    <xf numFmtId="1" fontId="8" fillId="0" borderId="5" xfId="2" applyNumberFormat="1" applyFont="1" applyBorder="1" applyAlignment="1">
      <alignment horizontal="center" vertical="center"/>
    </xf>
    <xf numFmtId="2" fontId="8" fillId="0" borderId="51" xfId="2" applyNumberFormat="1" applyFont="1" applyBorder="1" applyAlignment="1">
      <alignment horizontal="center" vertical="center"/>
    </xf>
    <xf numFmtId="2" fontId="8" fillId="0" borderId="5" xfId="2" applyNumberFormat="1" applyFont="1" applyBorder="1" applyAlignment="1">
      <alignment horizontal="center" vertical="center"/>
    </xf>
    <xf numFmtId="0" fontId="8" fillId="0" borderId="5" xfId="2" applyNumberFormat="1" applyFont="1" applyBorder="1" applyAlignment="1">
      <alignment horizontal="center" vertical="center"/>
    </xf>
    <xf numFmtId="165" fontId="9" fillId="5" borderId="51" xfId="0" applyNumberFormat="1" applyFont="1" applyFill="1" applyBorder="1" applyAlignment="1">
      <alignment horizontal="center"/>
    </xf>
    <xf numFmtId="0" fontId="8" fillId="0" borderId="7" xfId="0" quotePrefix="1" applyFont="1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165" fontId="9" fillId="10" borderId="51" xfId="0" applyNumberFormat="1" applyFont="1" applyFill="1" applyBorder="1" applyAlignment="1">
      <alignment horizontal="center"/>
    </xf>
    <xf numFmtId="0" fontId="0" fillId="6" borderId="58" xfId="0" applyFill="1" applyBorder="1"/>
    <xf numFmtId="0" fontId="0" fillId="6" borderId="59" xfId="0" applyFill="1" applyBorder="1"/>
    <xf numFmtId="1" fontId="8" fillId="0" borderId="55" xfId="2" applyNumberFormat="1" applyFont="1" applyBorder="1" applyAlignment="1">
      <alignment horizontal="center" vertical="center"/>
    </xf>
    <xf numFmtId="2" fontId="8" fillId="0" borderId="56" xfId="2" applyNumberFormat="1" applyFont="1" applyBorder="1" applyAlignment="1">
      <alignment horizontal="center" vertical="center"/>
    </xf>
    <xf numFmtId="0" fontId="7" fillId="0" borderId="41" xfId="0" applyFont="1" applyBorder="1" applyAlignment="1">
      <alignment horizontal="center"/>
    </xf>
    <xf numFmtId="2" fontId="8" fillId="0" borderId="2" xfId="2" applyNumberFormat="1" applyFont="1" applyBorder="1" applyAlignment="1">
      <alignment horizontal="center" vertical="center"/>
    </xf>
    <xf numFmtId="0" fontId="8" fillId="0" borderId="2" xfId="2" applyNumberFormat="1" applyFont="1" applyBorder="1" applyAlignment="1">
      <alignment horizontal="center" vertical="center"/>
    </xf>
    <xf numFmtId="165" fontId="9" fillId="5" borderId="42" xfId="0" applyNumberFormat="1" applyFont="1" applyFill="1" applyBorder="1" applyAlignment="1">
      <alignment horizontal="center"/>
    </xf>
    <xf numFmtId="0" fontId="8" fillId="0" borderId="60" xfId="2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8" fillId="0" borderId="3" xfId="0" quotePrefix="1" applyFont="1" applyBorder="1" applyAlignment="1">
      <alignment horizontal="center" vertical="center"/>
    </xf>
    <xf numFmtId="0" fontId="0" fillId="6" borderId="61" xfId="0" applyFill="1" applyBorder="1"/>
    <xf numFmtId="0" fontId="0" fillId="8" borderId="62" xfId="0" applyFill="1" applyBorder="1"/>
    <xf numFmtId="0" fontId="0" fillId="8" borderId="63" xfId="0" applyFill="1" applyBorder="1"/>
    <xf numFmtId="0" fontId="7" fillId="0" borderId="54" xfId="0" applyFont="1" applyBorder="1" applyAlignment="1">
      <alignment horizontal="center"/>
    </xf>
    <xf numFmtId="2" fontId="8" fillId="0" borderId="55" xfId="2" applyNumberFormat="1" applyFont="1" applyBorder="1" applyAlignment="1">
      <alignment horizontal="center" vertical="center"/>
    </xf>
    <xf numFmtId="165" fontId="9" fillId="5" borderId="56" xfId="0" applyNumberFormat="1" applyFont="1" applyFill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11" fillId="0" borderId="68" xfId="2" applyNumberFormat="1" applyFont="1" applyBorder="1" applyAlignment="1">
      <alignment horizontal="center" vertical="center"/>
    </xf>
    <xf numFmtId="0" fontId="11" fillId="0" borderId="69" xfId="2" applyNumberFormat="1" applyFont="1" applyBorder="1" applyAlignment="1">
      <alignment horizontal="center" vertical="center"/>
    </xf>
    <xf numFmtId="0" fontId="12" fillId="0" borderId="70" xfId="0" applyFont="1" applyBorder="1" applyAlignment="1">
      <alignment horizontal="center"/>
    </xf>
    <xf numFmtId="0" fontId="11" fillId="0" borderId="71" xfId="2" applyNumberFormat="1" applyFont="1" applyBorder="1" applyAlignment="1">
      <alignment horizontal="center" vertical="center"/>
    </xf>
    <xf numFmtId="0" fontId="12" fillId="0" borderId="74" xfId="0" applyFont="1" applyBorder="1" applyAlignment="1">
      <alignment horizontal="center"/>
    </xf>
    <xf numFmtId="0" fontId="0" fillId="6" borderId="62" xfId="0" applyFill="1" applyBorder="1"/>
    <xf numFmtId="2" fontId="7" fillId="7" borderId="50" xfId="0" applyNumberFormat="1" applyFont="1" applyFill="1" applyBorder="1" applyAlignment="1">
      <alignment horizontal="center" vertical="center"/>
    </xf>
    <xf numFmtId="2" fontId="7" fillId="7" borderId="5" xfId="0" applyNumberFormat="1" applyFont="1" applyFill="1" applyBorder="1" applyAlignment="1">
      <alignment horizontal="center" vertical="center"/>
    </xf>
    <xf numFmtId="2" fontId="7" fillId="7" borderId="51" xfId="0" applyNumberFormat="1" applyFont="1" applyFill="1" applyBorder="1" applyAlignment="1">
      <alignment horizontal="center" vertical="center"/>
    </xf>
    <xf numFmtId="0" fontId="0" fillId="6" borderId="75" xfId="0" applyFill="1" applyBorder="1"/>
    <xf numFmtId="0" fontId="0" fillId="6" borderId="76" xfId="0" applyFill="1" applyBorder="1"/>
    <xf numFmtId="0" fontId="0" fillId="6" borderId="76" xfId="0" applyFill="1" applyBorder="1" applyAlignment="1">
      <alignment horizontal="center"/>
    </xf>
    <xf numFmtId="0" fontId="0" fillId="6" borderId="77" xfId="0" applyFill="1" applyBorder="1"/>
    <xf numFmtId="0" fontId="0" fillId="6" borderId="78" xfId="0" applyFill="1" applyBorder="1"/>
    <xf numFmtId="0" fontId="0" fillId="6" borderId="79" xfId="0" applyFill="1" applyBorder="1"/>
    <xf numFmtId="0" fontId="7" fillId="0" borderId="50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0" fillId="6" borderId="80" xfId="0" applyFill="1" applyBorder="1"/>
    <xf numFmtId="0" fontId="0" fillId="6" borderId="81" xfId="0" applyFill="1" applyBorder="1"/>
    <xf numFmtId="0" fontId="0" fillId="6" borderId="82" xfId="0" applyFill="1" applyBorder="1"/>
    <xf numFmtId="0" fontId="0" fillId="6" borderId="83" xfId="0" applyFill="1" applyBorder="1"/>
    <xf numFmtId="0" fontId="0" fillId="6" borderId="84" xfId="0" applyFill="1" applyBorder="1"/>
    <xf numFmtId="0" fontId="0" fillId="6" borderId="12" xfId="0" applyFill="1" applyBorder="1"/>
    <xf numFmtId="0" fontId="7" fillId="0" borderId="5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0" fillId="6" borderId="88" xfId="0" applyFill="1" applyBorder="1"/>
    <xf numFmtId="0" fontId="0" fillId="8" borderId="88" xfId="0" applyFill="1" applyBorder="1"/>
    <xf numFmtId="0" fontId="0" fillId="9" borderId="36" xfId="0" applyFill="1" applyBorder="1" applyAlignment="1">
      <alignment horizontal="center" vertical="center"/>
    </xf>
    <xf numFmtId="0" fontId="0" fillId="9" borderId="37" xfId="0" applyFill="1" applyBorder="1" applyAlignment="1">
      <alignment horizontal="center" vertical="center"/>
    </xf>
    <xf numFmtId="0" fontId="0" fillId="9" borderId="89" xfId="0" applyFill="1" applyBorder="1" applyAlignment="1">
      <alignment horizontal="center" vertic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0" fillId="8" borderId="90" xfId="0" applyFill="1" applyBorder="1"/>
    <xf numFmtId="0" fontId="0" fillId="8" borderId="91" xfId="0" applyFill="1" applyBorder="1"/>
    <xf numFmtId="0" fontId="0" fillId="6" borderId="92" xfId="0" applyFill="1" applyBorder="1"/>
    <xf numFmtId="0" fontId="0" fillId="0" borderId="3" xfId="0" applyBorder="1" applyAlignment="1">
      <alignment horizontal="center" vertical="center"/>
    </xf>
    <xf numFmtId="0" fontId="0" fillId="8" borderId="95" xfId="0" applyFill="1" applyBorder="1"/>
    <xf numFmtId="0" fontId="0" fillId="0" borderId="37" xfId="0" quotePrefix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" xfId="0" quotePrefix="1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8" borderId="97" xfId="0" applyFill="1" applyBorder="1"/>
    <xf numFmtId="0" fontId="0" fillId="8" borderId="77" xfId="0" applyFill="1" applyBorder="1"/>
    <xf numFmtId="0" fontId="0" fillId="8" borderId="98" xfId="0" applyFill="1" applyBorder="1"/>
    <xf numFmtId="0" fontId="0" fillId="6" borderId="99" xfId="0" applyFill="1" applyBorder="1"/>
    <xf numFmtId="0" fontId="0" fillId="8" borderId="61" xfId="0" applyFill="1" applyBorder="1"/>
    <xf numFmtId="0" fontId="0" fillId="0" borderId="55" xfId="0" quotePrefix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6" borderId="63" xfId="0" applyFill="1" applyBorder="1"/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17" fillId="0" borderId="36" xfId="2" applyNumberFormat="1" applyFont="1" applyBorder="1" applyAlignment="1">
      <alignment horizontal="center" vertical="center"/>
    </xf>
    <xf numFmtId="2" fontId="2" fillId="0" borderId="38" xfId="3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2" fontId="17" fillId="0" borderId="37" xfId="2" applyNumberFormat="1" applyFont="1" applyBorder="1" applyAlignment="1">
      <alignment horizontal="center" vertical="center"/>
    </xf>
    <xf numFmtId="0" fontId="17" fillId="0" borderId="37" xfId="2" applyNumberFormat="1" applyFont="1" applyBorder="1" applyAlignment="1">
      <alignment horizontal="center" vertical="center"/>
    </xf>
    <xf numFmtId="0" fontId="0" fillId="0" borderId="10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2" xfId="0" applyBorder="1" applyAlignment="1">
      <alignment horizontal="center"/>
    </xf>
    <xf numFmtId="0" fontId="17" fillId="0" borderId="50" xfId="2" applyNumberFormat="1" applyFont="1" applyBorder="1" applyAlignment="1">
      <alignment horizontal="center" vertical="center"/>
    </xf>
    <xf numFmtId="2" fontId="2" fillId="0" borderId="51" xfId="3" applyNumberFormat="1" applyFont="1" applyBorder="1" applyAlignment="1">
      <alignment horizontal="center"/>
    </xf>
    <xf numFmtId="2" fontId="17" fillId="0" borderId="5" xfId="2" applyNumberFormat="1" applyFont="1" applyBorder="1" applyAlignment="1">
      <alignment horizontal="center" vertical="center"/>
    </xf>
    <xf numFmtId="0" fontId="17" fillId="0" borderId="5" xfId="2" applyNumberFormat="1" applyFont="1" applyBorder="1" applyAlignment="1">
      <alignment horizontal="center" vertical="center"/>
    </xf>
    <xf numFmtId="0" fontId="0" fillId="0" borderId="50" xfId="3" applyNumberFormat="1" applyFont="1" applyBorder="1" applyAlignment="1">
      <alignment horizontal="center"/>
    </xf>
    <xf numFmtId="0" fontId="0" fillId="0" borderId="5" xfId="3" applyNumberFormat="1" applyFont="1" applyBorder="1" applyAlignment="1">
      <alignment horizontal="center"/>
    </xf>
    <xf numFmtId="0" fontId="0" fillId="0" borderId="51" xfId="3" applyNumberFormat="1" applyFont="1" applyBorder="1" applyAlignment="1">
      <alignment horizontal="center"/>
    </xf>
    <xf numFmtId="0" fontId="0" fillId="6" borderId="103" xfId="0" applyFill="1" applyBorder="1"/>
    <xf numFmtId="0" fontId="0" fillId="6" borderId="104" xfId="0" applyFill="1" applyBorder="1"/>
    <xf numFmtId="0" fontId="0" fillId="8" borderId="16" xfId="0" applyFill="1" applyBorder="1"/>
    <xf numFmtId="2" fontId="2" fillId="0" borderId="56" xfId="3" applyNumberFormat="1" applyFont="1" applyBorder="1" applyAlignment="1">
      <alignment horizontal="center"/>
    </xf>
    <xf numFmtId="2" fontId="17" fillId="0" borderId="56" xfId="2" applyNumberFormat="1" applyFont="1" applyBorder="1" applyAlignment="1">
      <alignment horizontal="center" vertical="center"/>
    </xf>
    <xf numFmtId="2" fontId="17" fillId="0" borderId="55" xfId="2" applyNumberFormat="1" applyFont="1" applyBorder="1" applyAlignment="1">
      <alignment horizontal="center" vertical="center"/>
    </xf>
    <xf numFmtId="0" fontId="17" fillId="0" borderId="55" xfId="2" applyNumberFormat="1" applyFont="1" applyBorder="1" applyAlignment="1">
      <alignment horizontal="center" vertical="center"/>
    </xf>
    <xf numFmtId="0" fontId="0" fillId="8" borderId="106" xfId="0" applyFill="1" applyBorder="1"/>
    <xf numFmtId="2" fontId="17" fillId="0" borderId="8" xfId="2" applyNumberFormat="1" applyFont="1" applyBorder="1" applyAlignment="1">
      <alignment horizontal="center" vertical="center"/>
    </xf>
    <xf numFmtId="0" fontId="17" fillId="0" borderId="8" xfId="2" applyNumberFormat="1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8" borderId="11" xfId="0" applyFill="1" applyBorder="1"/>
    <xf numFmtId="0" fontId="0" fillId="0" borderId="108" xfId="0" applyBorder="1" applyAlignment="1">
      <alignment horizontal="center"/>
    </xf>
    <xf numFmtId="0" fontId="0" fillId="0" borderId="7" xfId="3" applyNumberFormat="1" applyFont="1" applyBorder="1" applyAlignment="1">
      <alignment horizontal="center"/>
    </xf>
    <xf numFmtId="0" fontId="0" fillId="0" borderId="108" xfId="3" applyNumberFormat="1" applyFont="1" applyBorder="1" applyAlignment="1">
      <alignment horizontal="center"/>
    </xf>
    <xf numFmtId="0" fontId="0" fillId="6" borderId="109" xfId="0" applyFill="1" applyBorder="1"/>
    <xf numFmtId="0" fontId="0" fillId="6" borderId="98" xfId="0" applyFill="1" applyBorder="1"/>
    <xf numFmtId="0" fontId="0" fillId="8" borderId="110" xfId="0" applyFill="1" applyBorder="1"/>
    <xf numFmtId="0" fontId="0" fillId="8" borderId="111" xfId="0" applyFill="1" applyBorder="1"/>
    <xf numFmtId="0" fontId="0" fillId="0" borderId="64" xfId="0" applyBorder="1" applyAlignment="1">
      <alignment horizontal="center"/>
    </xf>
    <xf numFmtId="0" fontId="0" fillId="0" borderId="87" xfId="0" applyBorder="1" applyAlignment="1">
      <alignment horizontal="center"/>
    </xf>
    <xf numFmtId="0" fontId="19" fillId="0" borderId="54" xfId="2" applyNumberFormat="1" applyFont="1" applyBorder="1" applyAlignment="1">
      <alignment horizontal="center" vertical="center"/>
    </xf>
    <xf numFmtId="0" fontId="19" fillId="0" borderId="55" xfId="2" applyNumberFormat="1" applyFont="1" applyBorder="1" applyAlignment="1">
      <alignment horizontal="center" vertical="center"/>
    </xf>
    <xf numFmtId="0" fontId="4" fillId="0" borderId="56" xfId="0" applyFont="1" applyBorder="1" applyAlignment="1">
      <alignment horizontal="center"/>
    </xf>
    <xf numFmtId="0" fontId="0" fillId="6" borderId="114" xfId="0" applyFill="1" applyBorder="1"/>
    <xf numFmtId="2" fontId="0" fillId="7" borderId="96" xfId="0" applyNumberFormat="1" applyFill="1" applyBorder="1" applyAlignment="1">
      <alignment horizontal="center" vertical="center"/>
    </xf>
    <xf numFmtId="2" fontId="0" fillId="7" borderId="4" xfId="0" applyNumberFormat="1" applyFill="1" applyBorder="1" applyAlignment="1">
      <alignment horizontal="center" vertical="center"/>
    </xf>
    <xf numFmtId="2" fontId="0" fillId="7" borderId="5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2" fillId="6" borderId="0" xfId="0" applyFont="1" applyFill="1"/>
    <xf numFmtId="0" fontId="0" fillId="9" borderId="2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5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2" fontId="0" fillId="7" borderId="33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6" borderId="0" xfId="0" applyFill="1" applyAlignment="1">
      <alignment vertical="center"/>
    </xf>
    <xf numFmtId="0" fontId="0" fillId="6" borderId="46" xfId="0" applyFill="1" applyBorder="1" applyAlignment="1">
      <alignment vertical="center"/>
    </xf>
    <xf numFmtId="0" fontId="0" fillId="6" borderId="27" xfId="0" applyFill="1" applyBorder="1" applyAlignment="1">
      <alignment vertical="center"/>
    </xf>
    <xf numFmtId="0" fontId="0" fillId="6" borderId="43" xfId="0" applyFill="1" applyBorder="1" applyAlignment="1">
      <alignment vertical="center"/>
    </xf>
    <xf numFmtId="0" fontId="0" fillId="8" borderId="31" xfId="0" applyFill="1" applyBorder="1" applyAlignment="1">
      <alignment vertical="center"/>
    </xf>
    <xf numFmtId="0" fontId="0" fillId="8" borderId="32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7" fillId="9" borderId="4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9" borderId="4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24" xfId="0" applyFill="1" applyBorder="1" applyAlignment="1">
      <alignment vertical="center"/>
    </xf>
    <xf numFmtId="0" fontId="0" fillId="6" borderId="40" xfId="0" applyFill="1" applyBorder="1" applyAlignment="1">
      <alignment vertical="center"/>
    </xf>
    <xf numFmtId="0" fontId="7" fillId="9" borderId="38" xfId="0" applyFont="1" applyFill="1" applyBorder="1" applyAlignment="1">
      <alignment horizontal="center" vertical="center"/>
    </xf>
    <xf numFmtId="0" fontId="7" fillId="9" borderId="37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/>
    </xf>
    <xf numFmtId="0" fontId="0" fillId="6" borderId="13" xfId="0" applyFill="1" applyBorder="1"/>
    <xf numFmtId="0" fontId="0" fillId="0" borderId="9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4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50" xfId="0" quotePrefix="1" applyBorder="1" applyAlignment="1">
      <alignment horizontal="center"/>
    </xf>
    <xf numFmtId="0" fontId="0" fillId="0" borderId="4" xfId="3" applyNumberFormat="1" applyFont="1" applyBorder="1" applyAlignment="1">
      <alignment horizontal="center"/>
    </xf>
    <xf numFmtId="0" fontId="7" fillId="0" borderId="51" xfId="0" quotePrefix="1" applyFont="1" applyBorder="1" applyAlignment="1">
      <alignment horizontal="center" vertical="center"/>
    </xf>
    <xf numFmtId="0" fontId="7" fillId="0" borderId="5" xfId="0" quotePrefix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7" fillId="0" borderId="94" xfId="0" applyFont="1" applyBorder="1" applyAlignment="1">
      <alignment horizontal="center"/>
    </xf>
    <xf numFmtId="0" fontId="7" fillId="0" borderId="89" xfId="0" applyFont="1" applyBorder="1" applyAlignment="1">
      <alignment horizontal="center"/>
    </xf>
    <xf numFmtId="0" fontId="8" fillId="0" borderId="54" xfId="0" quotePrefix="1" applyFont="1" applyBorder="1" applyAlignment="1">
      <alignment horizontal="center" vertical="center"/>
    </xf>
    <xf numFmtId="0" fontId="8" fillId="0" borderId="50" xfId="0" quotePrefix="1" applyFont="1" applyBorder="1" applyAlignment="1">
      <alignment horizontal="center" vertical="center"/>
    </xf>
    <xf numFmtId="0" fontId="8" fillId="0" borderId="101" xfId="0" quotePrefix="1" applyFont="1" applyBorder="1" applyAlignment="1">
      <alignment horizontal="center" vertical="center"/>
    </xf>
    <xf numFmtId="0" fontId="8" fillId="0" borderId="36" xfId="0" quotePrefix="1" applyFont="1" applyBorder="1" applyAlignment="1">
      <alignment horizontal="center" vertical="center"/>
    </xf>
    <xf numFmtId="0" fontId="0" fillId="0" borderId="50" xfId="0" quotePrefix="1" applyBorder="1" applyAlignment="1">
      <alignment horizontal="center" vertical="center"/>
    </xf>
    <xf numFmtId="0" fontId="0" fillId="0" borderId="41" xfId="0" quotePrefix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25" fillId="0" borderId="50" xfId="2" applyNumberFormat="1" applyFont="1" applyBorder="1" applyAlignment="1">
      <alignment horizontal="center" vertical="center"/>
    </xf>
    <xf numFmtId="0" fontId="25" fillId="0" borderId="36" xfId="2" applyNumberFormat="1" applyFont="1" applyBorder="1" applyAlignment="1">
      <alignment horizontal="center" vertical="center"/>
    </xf>
    <xf numFmtId="0" fontId="25" fillId="0" borderId="54" xfId="2" applyNumberFormat="1" applyFont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/>
    </xf>
    <xf numFmtId="167" fontId="0" fillId="2" borderId="5" xfId="0" applyNumberFormat="1" applyFill="1" applyBorder="1" applyAlignment="1">
      <alignment horizontal="center"/>
    </xf>
    <xf numFmtId="0" fontId="0" fillId="0" borderId="4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8" fillId="0" borderId="12" xfId="0" quotePrefix="1" applyFont="1" applyBorder="1" applyAlignment="1">
      <alignment horizontal="center" vertical="center"/>
    </xf>
    <xf numFmtId="0" fontId="7" fillId="0" borderId="53" xfId="0" applyFont="1" applyBorder="1" applyAlignment="1">
      <alignment horizontal="center"/>
    </xf>
    <xf numFmtId="0" fontId="7" fillId="0" borderId="115" xfId="0" applyFont="1" applyBorder="1" applyAlignment="1">
      <alignment horizontal="center"/>
    </xf>
    <xf numFmtId="0" fontId="7" fillId="0" borderId="116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7" xfId="2" applyNumberFormat="1" applyFont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7" fillId="4" borderId="56" xfId="0" applyFont="1" applyFill="1" applyBorder="1" applyAlignment="1">
      <alignment horizontal="center"/>
    </xf>
    <xf numFmtId="0" fontId="7" fillId="0" borderId="70" xfId="0" applyFont="1" applyBorder="1" applyAlignment="1">
      <alignment vertical="center" wrapText="1"/>
    </xf>
    <xf numFmtId="165" fontId="18" fillId="5" borderId="87" xfId="0" quotePrefix="1" applyNumberFormat="1" applyFont="1" applyFill="1" applyBorder="1" applyAlignment="1">
      <alignment horizontal="center" vertical="center"/>
    </xf>
    <xf numFmtId="165" fontId="18" fillId="5" borderId="108" xfId="0" quotePrefix="1" applyNumberFormat="1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1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180" wrapText="1"/>
    </xf>
    <xf numFmtId="14" fontId="24" fillId="6" borderId="0" xfId="0" applyNumberFormat="1" applyFont="1" applyFill="1" applyAlignment="1">
      <alignment vertical="center" wrapText="1"/>
    </xf>
    <xf numFmtId="0" fontId="0" fillId="6" borderId="74" xfId="0" applyFill="1" applyBorder="1" applyAlignment="1">
      <alignment horizontal="center" vertical="center"/>
    </xf>
    <xf numFmtId="0" fontId="0" fillId="6" borderId="112" xfId="0" applyFill="1" applyBorder="1" applyAlignment="1">
      <alignment horizontal="center" vertical="center"/>
    </xf>
    <xf numFmtId="0" fontId="0" fillId="6" borderId="73" xfId="0" applyFill="1" applyBorder="1" applyAlignment="1">
      <alignment horizontal="center" vertical="center"/>
    </xf>
    <xf numFmtId="0" fontId="13" fillId="6" borderId="72" xfId="0" applyFont="1" applyFill="1" applyBorder="1" applyAlignment="1">
      <alignment horizontal="center" vertical="center"/>
    </xf>
    <xf numFmtId="0" fontId="0" fillId="6" borderId="72" xfId="0" applyFill="1" applyBorder="1" applyAlignment="1">
      <alignment horizontal="center" vertical="center"/>
    </xf>
    <xf numFmtId="0" fontId="0" fillId="6" borderId="118" xfId="0" applyFill="1" applyBorder="1" applyAlignment="1">
      <alignment horizontal="center" vertical="center"/>
    </xf>
    <xf numFmtId="0" fontId="0" fillId="6" borderId="119" xfId="0" applyFill="1" applyBorder="1" applyAlignment="1">
      <alignment horizontal="center" vertical="center"/>
    </xf>
    <xf numFmtId="0" fontId="0" fillId="6" borderId="122" xfId="0" applyFill="1" applyBorder="1" applyAlignment="1">
      <alignment horizontal="center" vertical="center"/>
    </xf>
    <xf numFmtId="0" fontId="13" fillId="6" borderId="71" xfId="0" applyFont="1" applyFill="1" applyBorder="1" applyAlignment="1">
      <alignment horizontal="center" vertical="center"/>
    </xf>
    <xf numFmtId="0" fontId="26" fillId="8" borderId="0" xfId="0" applyFont="1" applyFill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90" wrapText="1"/>
    </xf>
    <xf numFmtId="164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0" fontId="27" fillId="6" borderId="5" xfId="0" applyFont="1" applyFill="1" applyBorder="1" applyAlignment="1">
      <alignment horizontal="center" vertical="center" wrapText="1"/>
    </xf>
    <xf numFmtId="164" fontId="8" fillId="0" borderId="54" xfId="2" applyNumberFormat="1" applyFont="1" applyBorder="1" applyAlignment="1">
      <alignment horizontal="center" vertical="center"/>
    </xf>
    <xf numFmtId="164" fontId="8" fillId="0" borderId="50" xfId="2" applyNumberFormat="1" applyFont="1" applyBorder="1" applyAlignment="1">
      <alignment horizontal="center" vertical="center"/>
    </xf>
    <xf numFmtId="164" fontId="8" fillId="0" borderId="36" xfId="2" applyNumberFormat="1" applyFont="1" applyBorder="1" applyAlignment="1">
      <alignment horizontal="center" vertical="center"/>
    </xf>
    <xf numFmtId="164" fontId="17" fillId="0" borderId="54" xfId="2" applyNumberFormat="1" applyFont="1" applyBorder="1" applyAlignment="1">
      <alignment horizontal="center" vertical="center"/>
    </xf>
    <xf numFmtId="164" fontId="17" fillId="0" borderId="50" xfId="2" applyNumberFormat="1" applyFont="1" applyBorder="1" applyAlignment="1">
      <alignment horizontal="center" vertical="center"/>
    </xf>
    <xf numFmtId="164" fontId="17" fillId="0" borderId="36" xfId="2" applyNumberFormat="1" applyFont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164" fontId="0" fillId="14" borderId="5" xfId="0" applyNumberFormat="1" applyFill="1" applyBorder="1" applyAlignment="1">
      <alignment horizontal="center" vertical="center"/>
    </xf>
    <xf numFmtId="0" fontId="0" fillId="3" borderId="27" xfId="0" applyFill="1" applyBorder="1"/>
    <xf numFmtId="0" fontId="0" fillId="6" borderId="7" xfId="0" applyFill="1" applyBorder="1" applyAlignment="1">
      <alignment horizontal="center"/>
    </xf>
    <xf numFmtId="0" fontId="4" fillId="6" borderId="74" xfId="0" applyFont="1" applyFill="1" applyBorder="1" applyAlignment="1">
      <alignment horizontal="center"/>
    </xf>
    <xf numFmtId="0" fontId="0" fillId="6" borderId="51" xfId="0" quotePrefix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5" xfId="0" quotePrefix="1" applyFill="1" applyBorder="1" applyAlignment="1">
      <alignment horizontal="center"/>
    </xf>
    <xf numFmtId="0" fontId="0" fillId="6" borderId="7" xfId="0" quotePrefix="1" applyFill="1" applyBorder="1" applyAlignment="1">
      <alignment horizontal="center"/>
    </xf>
    <xf numFmtId="0" fontId="0" fillId="6" borderId="51" xfId="0" applyFill="1" applyBorder="1" applyAlignment="1">
      <alignment horizontal="center"/>
    </xf>
    <xf numFmtId="0" fontId="0" fillId="6" borderId="50" xfId="0" applyFill="1" applyBorder="1" applyAlignment="1">
      <alignment horizontal="center"/>
    </xf>
    <xf numFmtId="0" fontId="0" fillId="6" borderId="51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/>
    </xf>
    <xf numFmtId="0" fontId="0" fillId="6" borderId="73" xfId="0" applyFill="1" applyBorder="1"/>
    <xf numFmtId="0" fontId="0" fillId="6" borderId="0" xfId="0" applyFill="1" applyAlignment="1">
      <alignment horizontal="center"/>
    </xf>
    <xf numFmtId="0" fontId="0" fillId="6" borderId="72" xfId="0" applyFill="1" applyBorder="1"/>
    <xf numFmtId="0" fontId="19" fillId="6" borderId="113" xfId="2" applyNumberFormat="1" applyFont="1" applyFill="1" applyBorder="1" applyAlignment="1">
      <alignment horizontal="center" vertical="center"/>
    </xf>
    <xf numFmtId="0" fontId="4" fillId="6" borderId="0" xfId="0" applyFont="1" applyFill="1"/>
    <xf numFmtId="0" fontId="17" fillId="6" borderId="85" xfId="2" applyNumberFormat="1" applyFont="1" applyFill="1" applyBorder="1" applyAlignment="1">
      <alignment horizontal="center" vertical="center"/>
    </xf>
    <xf numFmtId="0" fontId="17" fillId="6" borderId="96" xfId="2" applyNumberFormat="1" applyFont="1" applyFill="1" applyBorder="1" applyAlignment="1">
      <alignment horizontal="center" vertical="center"/>
    </xf>
    <xf numFmtId="0" fontId="17" fillId="6" borderId="100" xfId="2" applyNumberFormat="1" applyFont="1" applyFill="1" applyBorder="1" applyAlignment="1">
      <alignment horizontal="center" vertical="center"/>
    </xf>
    <xf numFmtId="0" fontId="17" fillId="6" borderId="52" xfId="2" applyNumberFormat="1" applyFont="1" applyFill="1" applyBorder="1" applyAlignment="1">
      <alignment horizontal="center" vertical="center"/>
    </xf>
    <xf numFmtId="0" fontId="17" fillId="6" borderId="47" xfId="2" applyNumberFormat="1" applyFont="1" applyFill="1" applyBorder="1" applyAlignment="1">
      <alignment horizontal="center" vertical="center"/>
    </xf>
    <xf numFmtId="0" fontId="17" fillId="6" borderId="57" xfId="2" applyNumberFormat="1" applyFont="1" applyFill="1" applyBorder="1" applyAlignment="1">
      <alignment horizontal="center" vertical="center"/>
    </xf>
    <xf numFmtId="0" fontId="0" fillId="6" borderId="88" xfId="0" applyFill="1" applyBorder="1" applyAlignment="1">
      <alignment horizontal="center"/>
    </xf>
    <xf numFmtId="0" fontId="0" fillId="8" borderId="125" xfId="0" applyFill="1" applyBorder="1"/>
    <xf numFmtId="0" fontId="0" fillId="8" borderId="28" xfId="0" applyFill="1" applyBorder="1" applyAlignment="1">
      <alignment horizontal="center" vertical="center"/>
    </xf>
    <xf numFmtId="0" fontId="0" fillId="6" borderId="126" xfId="0" applyFill="1" applyBorder="1"/>
    <xf numFmtId="0" fontId="0" fillId="8" borderId="127" xfId="0" applyFill="1" applyBorder="1"/>
    <xf numFmtId="0" fontId="13" fillId="6" borderId="27" xfId="0" applyFont="1" applyFill="1" applyBorder="1" applyAlignment="1">
      <alignment horizontal="center" vertical="center"/>
    </xf>
    <xf numFmtId="164" fontId="6" fillId="10" borderId="108" xfId="0" applyNumberFormat="1" applyFont="1" applyFill="1" applyBorder="1" applyAlignment="1">
      <alignment horizontal="center"/>
    </xf>
    <xf numFmtId="164" fontId="6" fillId="10" borderId="39" xfId="0" applyNumberFormat="1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15" borderId="36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5" borderId="48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7" fillId="6" borderId="38" xfId="0" applyFont="1" applyFill="1" applyBorder="1" applyAlignment="1">
      <alignment horizontal="center"/>
    </xf>
    <xf numFmtId="0" fontId="7" fillId="6" borderId="37" xfId="0" applyFont="1" applyFill="1" applyBorder="1" applyAlignment="1">
      <alignment horizontal="center"/>
    </xf>
    <xf numFmtId="0" fontId="7" fillId="6" borderId="36" xfId="0" applyFont="1" applyFill="1" applyBorder="1" applyAlignment="1">
      <alignment horizontal="center"/>
    </xf>
    <xf numFmtId="0" fontId="7" fillId="6" borderId="48" xfId="0" applyFont="1" applyFill="1" applyBorder="1" applyAlignment="1">
      <alignment horizontal="center"/>
    </xf>
    <xf numFmtId="0" fontId="7" fillId="0" borderId="36" xfId="0" applyFont="1" applyBorder="1" applyAlignment="1">
      <alignment horizontal="center" vertical="center"/>
    </xf>
    <xf numFmtId="1" fontId="8" fillId="0" borderId="69" xfId="2" applyNumberFormat="1" applyFont="1" applyBorder="1" applyAlignment="1">
      <alignment horizontal="center" vertical="center"/>
    </xf>
    <xf numFmtId="0" fontId="8" fillId="0" borderId="68" xfId="2" applyNumberFormat="1" applyFont="1" applyBorder="1" applyAlignment="1">
      <alignment horizontal="center" vertical="center"/>
    </xf>
    <xf numFmtId="0" fontId="7" fillId="6" borderId="0" xfId="0" applyFont="1" applyFill="1"/>
    <xf numFmtId="2" fontId="8" fillId="6" borderId="56" xfId="2" applyNumberFormat="1" applyFont="1" applyFill="1" applyBorder="1" applyAlignment="1">
      <alignment horizontal="center" vertical="center"/>
    </xf>
    <xf numFmtId="1" fontId="8" fillId="6" borderId="55" xfId="2" applyNumberFormat="1" applyFont="1" applyFill="1" applyBorder="1" applyAlignment="1">
      <alignment horizontal="center" vertical="center"/>
    </xf>
    <xf numFmtId="0" fontId="25" fillId="6" borderId="54" xfId="2" applyNumberFormat="1" applyFont="1" applyFill="1" applyBorder="1" applyAlignment="1">
      <alignment horizontal="center" vertical="center"/>
    </xf>
    <xf numFmtId="2" fontId="8" fillId="6" borderId="38" xfId="2" applyNumberFormat="1" applyFont="1" applyFill="1" applyBorder="1" applyAlignment="1">
      <alignment horizontal="center" vertical="center"/>
    </xf>
    <xf numFmtId="1" fontId="8" fillId="6" borderId="37" xfId="2" applyNumberFormat="1" applyFont="1" applyFill="1" applyBorder="1" applyAlignment="1">
      <alignment horizontal="center" vertical="center"/>
    </xf>
    <xf numFmtId="0" fontId="25" fillId="6" borderId="36" xfId="2" applyNumberFormat="1" applyFont="1" applyFill="1" applyBorder="1" applyAlignment="1">
      <alignment horizontal="center" vertical="center"/>
    </xf>
    <xf numFmtId="0" fontId="8" fillId="6" borderId="36" xfId="2" applyNumberFormat="1" applyFont="1" applyFill="1" applyBorder="1" applyAlignment="1">
      <alignment horizontal="center" vertical="center"/>
    </xf>
    <xf numFmtId="0" fontId="7" fillId="6" borderId="0" xfId="0" applyFont="1" applyFill="1" applyAlignment="1">
      <alignment vertical="center"/>
    </xf>
    <xf numFmtId="0" fontId="12" fillId="6" borderId="0" xfId="0" applyFont="1" applyFill="1"/>
    <xf numFmtId="0" fontId="8" fillId="6" borderId="0" xfId="2" applyNumberFormat="1" applyFont="1" applyFill="1" applyAlignment="1">
      <alignment horizontal="center" vertical="center"/>
    </xf>
    <xf numFmtId="2" fontId="8" fillId="6" borderId="0" xfId="2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7" fillId="6" borderId="73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72" xfId="0" applyFon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/>
    </xf>
    <xf numFmtId="0" fontId="17" fillId="15" borderId="41" xfId="2" applyNumberFormat="1" applyFont="1" applyFill="1" applyBorder="1" applyAlignment="1">
      <alignment horizontal="center" vertical="center"/>
    </xf>
    <xf numFmtId="0" fontId="17" fillId="15" borderId="50" xfId="2" applyNumberFormat="1" applyFont="1" applyFill="1" applyBorder="1" applyAlignment="1">
      <alignment horizontal="center" vertical="center"/>
    </xf>
    <xf numFmtId="0" fontId="17" fillId="15" borderId="36" xfId="2" applyNumberFormat="1" applyFont="1" applyFill="1" applyBorder="1" applyAlignment="1">
      <alignment horizontal="center" vertical="center"/>
    </xf>
    <xf numFmtId="0" fontId="3" fillId="6" borderId="0" xfId="0" applyFont="1" applyFill="1"/>
    <xf numFmtId="0" fontId="28" fillId="6" borderId="0" xfId="0" applyFont="1" applyFill="1"/>
    <xf numFmtId="0" fontId="0" fillId="3" borderId="88" xfId="0" applyFill="1" applyBorder="1"/>
    <xf numFmtId="0" fontId="0" fillId="3" borderId="88" xfId="0" applyFill="1" applyBorder="1" applyAlignment="1">
      <alignment horizontal="center"/>
    </xf>
    <xf numFmtId="0" fontId="15" fillId="6" borderId="0" xfId="0" applyFont="1" applyFill="1" applyAlignment="1">
      <alignment horizontal="center" vertical="center"/>
    </xf>
    <xf numFmtId="0" fontId="7" fillId="6" borderId="73" xfId="0" applyFont="1" applyFill="1" applyBorder="1"/>
    <xf numFmtId="0" fontId="7" fillId="6" borderId="118" xfId="0" applyFont="1" applyFill="1" applyBorder="1"/>
    <xf numFmtId="0" fontId="7" fillId="6" borderId="119" xfId="0" applyFont="1" applyFill="1" applyBorder="1"/>
    <xf numFmtId="0" fontId="7" fillId="6" borderId="122" xfId="0" applyFont="1" applyFill="1" applyBorder="1"/>
    <xf numFmtId="22" fontId="0" fillId="0" borderId="0" xfId="0" applyNumberFormat="1"/>
    <xf numFmtId="0" fontId="0" fillId="0" borderId="101" xfId="0" quotePrefix="1" applyBorder="1" applyAlignment="1">
      <alignment horizontal="center" vertical="center"/>
    </xf>
    <xf numFmtId="0" fontId="0" fillId="9" borderId="56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54" xfId="0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24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vertical="center"/>
    </xf>
    <xf numFmtId="164" fontId="2" fillId="10" borderId="5" xfId="0" applyNumberFormat="1" applyFont="1" applyFill="1" applyBorder="1" applyAlignment="1">
      <alignment horizontal="center"/>
    </xf>
    <xf numFmtId="0" fontId="2" fillId="10" borderId="5" xfId="0" applyFont="1" applyFill="1" applyBorder="1" applyAlignment="1">
      <alignment horizontal="center"/>
    </xf>
    <xf numFmtId="2" fontId="2" fillId="16" borderId="0" xfId="0" applyNumberFormat="1" applyFont="1" applyFill="1"/>
    <xf numFmtId="2" fontId="2" fillId="2" borderId="0" xfId="0" applyNumberFormat="1" applyFont="1" applyFill="1"/>
    <xf numFmtId="0" fontId="13" fillId="6" borderId="88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0" fillId="6" borderId="74" xfId="0" applyFill="1" applyBorder="1"/>
    <xf numFmtId="0" fontId="0" fillId="6" borderId="112" xfId="0" applyFill="1" applyBorder="1"/>
    <xf numFmtId="0" fontId="13" fillId="6" borderId="112" xfId="0" applyFont="1" applyFill="1" applyBorder="1" applyAlignment="1">
      <alignment horizontal="center" vertical="center"/>
    </xf>
    <xf numFmtId="0" fontId="15" fillId="6" borderId="112" xfId="0" applyFont="1" applyFill="1" applyBorder="1" applyAlignment="1">
      <alignment horizontal="center" vertical="center"/>
    </xf>
    <xf numFmtId="0" fontId="0" fillId="0" borderId="112" xfId="0" applyBorder="1"/>
    <xf numFmtId="14" fontId="24" fillId="6" borderId="112" xfId="0" applyNumberFormat="1" applyFont="1" applyFill="1" applyBorder="1" applyAlignment="1">
      <alignment vertical="center" wrapText="1"/>
    </xf>
    <xf numFmtId="14" fontId="24" fillId="6" borderId="71" xfId="0" applyNumberFormat="1" applyFont="1" applyFill="1" applyBorder="1" applyAlignment="1">
      <alignment vertical="center" wrapText="1"/>
    </xf>
    <xf numFmtId="0" fontId="0" fillId="6" borderId="72" xfId="0" applyFill="1" applyBorder="1" applyAlignment="1">
      <alignment vertical="center"/>
    </xf>
    <xf numFmtId="0" fontId="0" fillId="6" borderId="119" xfId="0" applyFill="1" applyBorder="1"/>
    <xf numFmtId="0" fontId="0" fillId="6" borderId="122" xfId="0" applyFill="1" applyBorder="1"/>
    <xf numFmtId="0" fontId="0" fillId="6" borderId="71" xfId="0" applyFill="1" applyBorder="1"/>
    <xf numFmtId="0" fontId="20" fillId="6" borderId="0" xfId="0" applyFont="1" applyFill="1" applyAlignment="1">
      <alignment vertical="center"/>
    </xf>
    <xf numFmtId="0" fontId="0" fillId="6" borderId="118" xfId="0" applyFill="1" applyBorder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4" fillId="6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 vertical="center"/>
    </xf>
    <xf numFmtId="166" fontId="0" fillId="6" borderId="0" xfId="0" applyNumberFormat="1" applyFill="1"/>
    <xf numFmtId="166" fontId="2" fillId="6" borderId="0" xfId="0" applyNumberFormat="1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6" borderId="7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85" xfId="0" applyFill="1" applyBorder="1" applyAlignment="1">
      <alignment horizontal="center"/>
    </xf>
    <xf numFmtId="0" fontId="13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4" borderId="37" xfId="0" applyFont="1" applyFill="1" applyBorder="1" applyAlignment="1">
      <alignment horizontal="center"/>
    </xf>
    <xf numFmtId="165" fontId="8" fillId="0" borderId="55" xfId="2" applyNumberFormat="1" applyFont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56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94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17" fillId="5" borderId="60" xfId="2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5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7" fillId="5" borderId="52" xfId="2" applyNumberFormat="1" applyFont="1" applyFill="1" applyBorder="1" applyAlignment="1">
      <alignment horizontal="center" vertical="center"/>
    </xf>
    <xf numFmtId="0" fontId="0" fillId="5" borderId="67" xfId="0" applyFill="1" applyBorder="1" applyAlignment="1">
      <alignment horizontal="center"/>
    </xf>
    <xf numFmtId="0" fontId="0" fillId="5" borderId="66" xfId="0" quotePrefix="1" applyFill="1" applyBorder="1" applyAlignment="1">
      <alignment horizontal="center"/>
    </xf>
    <xf numFmtId="0" fontId="17" fillId="5" borderId="65" xfId="2" applyNumberFormat="1" applyFont="1" applyFill="1" applyBorder="1" applyAlignment="1">
      <alignment horizontal="center" vertical="center"/>
    </xf>
    <xf numFmtId="0" fontId="0" fillId="5" borderId="55" xfId="0" quotePrefix="1" applyFill="1" applyBorder="1" applyAlignment="1">
      <alignment horizontal="center"/>
    </xf>
    <xf numFmtId="0" fontId="17" fillId="5" borderId="54" xfId="2" applyNumberFormat="1" applyFont="1" applyFill="1" applyBorder="1" applyAlignment="1">
      <alignment horizontal="center" vertical="center"/>
    </xf>
    <xf numFmtId="0" fontId="0" fillId="5" borderId="5" xfId="0" quotePrefix="1" applyFill="1" applyBorder="1" applyAlignment="1">
      <alignment horizontal="center"/>
    </xf>
    <xf numFmtId="0" fontId="17" fillId="5" borderId="50" xfId="2" applyNumberFormat="1" applyFont="1" applyFill="1" applyBorder="1" applyAlignment="1">
      <alignment horizontal="center" vertical="center"/>
    </xf>
    <xf numFmtId="0" fontId="0" fillId="0" borderId="129" xfId="0" applyFont="1" applyBorder="1" applyAlignment="1">
      <alignment horizontal="center" vertical="center"/>
    </xf>
    <xf numFmtId="0" fontId="0" fillId="0" borderId="130" xfId="0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18" borderId="122" xfId="0" applyFill="1" applyBorder="1"/>
    <xf numFmtId="0" fontId="0" fillId="18" borderId="119" xfId="0" applyFill="1" applyBorder="1"/>
    <xf numFmtId="0" fontId="0" fillId="18" borderId="119" xfId="0" applyFill="1" applyBorder="1" applyAlignment="1">
      <alignment horizontal="center"/>
    </xf>
    <xf numFmtId="0" fontId="0" fillId="18" borderId="72" xfId="0" applyFill="1" applyBorder="1"/>
    <xf numFmtId="0" fontId="0" fillId="18" borderId="0" xfId="0" applyFill="1" applyBorder="1"/>
    <xf numFmtId="0" fontId="0" fillId="18" borderId="0" xfId="0" applyFill="1" applyBorder="1" applyAlignment="1">
      <alignment horizontal="center"/>
    </xf>
    <xf numFmtId="0" fontId="0" fillId="18" borderId="71" xfId="0" applyFill="1" applyBorder="1"/>
    <xf numFmtId="0" fontId="0" fillId="18" borderId="112" xfId="0" applyFill="1" applyBorder="1"/>
    <xf numFmtId="0" fontId="0" fillId="18" borderId="112" xfId="0" applyFill="1" applyBorder="1" applyAlignment="1">
      <alignment horizontal="center"/>
    </xf>
    <xf numFmtId="0" fontId="0" fillId="6" borderId="122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6" borderId="72" xfId="0" applyFill="1" applyBorder="1" applyAlignment="1">
      <alignment horizontal="center"/>
    </xf>
    <xf numFmtId="0" fontId="0" fillId="19" borderId="115" xfId="0" applyFill="1" applyBorder="1" applyAlignment="1">
      <alignment horizontal="center"/>
    </xf>
    <xf numFmtId="0" fontId="0" fillId="6" borderId="0" xfId="0" applyFill="1" applyProtection="1"/>
    <xf numFmtId="0" fontId="0" fillId="6" borderId="121" xfId="0" applyFill="1" applyBorder="1" applyAlignment="1">
      <alignment horizontal="center"/>
    </xf>
    <xf numFmtId="0" fontId="0" fillId="19" borderId="37" xfId="0" applyFill="1" applyBorder="1" applyAlignment="1">
      <alignment horizontal="center"/>
    </xf>
    <xf numFmtId="0" fontId="0" fillId="6" borderId="96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6" fillId="6" borderId="0" xfId="0" applyFont="1" applyFill="1"/>
    <xf numFmtId="0" fontId="0" fillId="19" borderId="122" xfId="0" applyFill="1" applyBorder="1"/>
    <xf numFmtId="0" fontId="6" fillId="19" borderId="72" xfId="0" applyFont="1" applyFill="1" applyBorder="1"/>
    <xf numFmtId="0" fontId="0" fillId="19" borderId="55" xfId="0" applyFill="1" applyBorder="1" applyAlignment="1">
      <alignment horizontal="center"/>
    </xf>
    <xf numFmtId="0" fontId="6" fillId="19" borderId="71" xfId="0" applyFont="1" applyFill="1" applyBorder="1" applyAlignment="1"/>
    <xf numFmtId="0" fontId="0" fillId="6" borderId="33" xfId="0" applyFill="1" applyBorder="1"/>
    <xf numFmtId="0" fontId="0" fillId="17" borderId="122" xfId="0" applyFill="1" applyBorder="1"/>
    <xf numFmtId="0" fontId="0" fillId="6" borderId="100" xfId="0" applyFill="1" applyBorder="1" applyAlignment="1">
      <alignment horizontal="center"/>
    </xf>
    <xf numFmtId="0" fontId="0" fillId="19" borderId="8" xfId="0" applyFill="1" applyBorder="1" applyAlignment="1">
      <alignment horizontal="center"/>
    </xf>
    <xf numFmtId="0" fontId="0" fillId="6" borderId="11" xfId="0" applyFill="1" applyBorder="1"/>
    <xf numFmtId="0" fontId="0" fillId="17" borderId="71" xfId="0" applyFill="1" applyBorder="1" applyAlignment="1"/>
    <xf numFmtId="0" fontId="0" fillId="6" borderId="0" xfId="0" applyFill="1" applyBorder="1"/>
    <xf numFmtId="0" fontId="0" fillId="19" borderId="69" xfId="0" applyFill="1" applyBorder="1" applyAlignment="1">
      <alignment horizontal="center"/>
    </xf>
    <xf numFmtId="0" fontId="0" fillId="19" borderId="72" xfId="0" applyFill="1" applyBorder="1"/>
    <xf numFmtId="0" fontId="0" fillId="17" borderId="72" xfId="0" applyFill="1" applyBorder="1" applyAlignment="1">
      <alignment horizontal="center"/>
    </xf>
    <xf numFmtId="0" fontId="0" fillId="6" borderId="0" xfId="0" applyFill="1" applyBorder="1" applyProtection="1"/>
    <xf numFmtId="0" fontId="0" fillId="6" borderId="120" xfId="0" applyFill="1" applyBorder="1"/>
    <xf numFmtId="0" fontId="0" fillId="17" borderId="71" xfId="0" applyFill="1" applyBorder="1" applyAlignment="1">
      <alignment horizontal="center"/>
    </xf>
    <xf numFmtId="0" fontId="0" fillId="19" borderId="72" xfId="0" applyFill="1" applyBorder="1" applyAlignment="1">
      <alignment horizontal="center"/>
    </xf>
    <xf numFmtId="0" fontId="4" fillId="19" borderId="73" xfId="0" applyFont="1" applyFill="1" applyBorder="1" applyAlignment="1">
      <alignment horizontal="center"/>
    </xf>
    <xf numFmtId="0" fontId="0" fillId="6" borderId="135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6" borderId="10" xfId="0" applyFill="1" applyBorder="1"/>
    <xf numFmtId="0" fontId="0" fillId="19" borderId="71" xfId="0" applyFill="1" applyBorder="1" applyAlignment="1"/>
    <xf numFmtId="0" fontId="36" fillId="19" borderId="0" xfId="0" applyFont="1" applyFill="1" applyBorder="1" applyAlignment="1">
      <alignment horizontal="center"/>
    </xf>
    <xf numFmtId="0" fontId="0" fillId="19" borderId="0" xfId="0" applyFill="1" applyBorder="1"/>
    <xf numFmtId="0" fontId="0" fillId="19" borderId="73" xfId="0" applyFill="1" applyBorder="1"/>
    <xf numFmtId="0" fontId="6" fillId="6" borderId="0" xfId="0" applyFont="1" applyFill="1" applyAlignment="1">
      <alignment horizontal="left"/>
    </xf>
    <xf numFmtId="0" fontId="0" fillId="17" borderId="71" xfId="0" applyFill="1" applyBorder="1"/>
    <xf numFmtId="0" fontId="4" fillId="6" borderId="0" xfId="0" applyFont="1" applyFill="1" applyBorder="1" applyAlignment="1"/>
    <xf numFmtId="0" fontId="0" fillId="19" borderId="72" xfId="0" applyFill="1" applyBorder="1" applyAlignment="1">
      <alignment vertical="center"/>
    </xf>
    <xf numFmtId="0" fontId="0" fillId="19" borderId="0" xfId="0" applyFill="1" applyBorder="1" applyAlignment="1">
      <alignment vertical="center"/>
    </xf>
    <xf numFmtId="0" fontId="0" fillId="0" borderId="0" xfId="0" applyBorder="1"/>
    <xf numFmtId="0" fontId="0" fillId="19" borderId="71" xfId="0" applyFill="1" applyBorder="1" applyAlignment="1">
      <alignment vertical="center"/>
    </xf>
    <xf numFmtId="0" fontId="0" fillId="19" borderId="112" xfId="0" applyFill="1" applyBorder="1" applyAlignment="1">
      <alignment vertical="center"/>
    </xf>
    <xf numFmtId="0" fontId="31" fillId="6" borderId="0" xfId="0" applyFont="1" applyFill="1" applyAlignment="1">
      <alignment wrapText="1"/>
    </xf>
    <xf numFmtId="0" fontId="0" fillId="6" borderId="0" xfId="0" applyFill="1" applyBorder="1" applyAlignment="1">
      <alignment vertical="center" wrapText="1"/>
    </xf>
    <xf numFmtId="0" fontId="0" fillId="6" borderId="0" xfId="0" applyFill="1" applyAlignment="1"/>
    <xf numFmtId="0" fontId="0" fillId="0" borderId="0" xfId="0" applyAlignment="1">
      <alignment horizontal="left"/>
    </xf>
    <xf numFmtId="0" fontId="39" fillId="0" borderId="0" xfId="0" applyFont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0" borderId="122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3" xfId="0" applyBorder="1" applyAlignment="1">
      <alignment horizontal="center"/>
    </xf>
    <xf numFmtId="0" fontId="39" fillId="0" borderId="0" xfId="0" applyFont="1"/>
    <xf numFmtId="0" fontId="0" fillId="0" borderId="0" xfId="0" applyAlignment="1">
      <alignment horizontal="right"/>
    </xf>
    <xf numFmtId="0" fontId="0" fillId="20" borderId="0" xfId="0" applyFill="1" applyBorder="1" applyAlignment="1">
      <alignment horizontal="center"/>
    </xf>
    <xf numFmtId="0" fontId="0" fillId="20" borderId="7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/>
    <xf numFmtId="0" fontId="39" fillId="0" borderId="0" xfId="0" applyFont="1" applyAlignment="1">
      <alignment horizontal="left" vertical="top"/>
    </xf>
    <xf numFmtId="0" fontId="0" fillId="22" borderId="119" xfId="0" applyFill="1" applyBorder="1" applyAlignment="1">
      <alignment horizontal="center"/>
    </xf>
    <xf numFmtId="0" fontId="0" fillId="0" borderId="119" xfId="0" applyBorder="1"/>
    <xf numFmtId="0" fontId="0" fillId="22" borderId="0" xfId="0" applyFill="1" applyBorder="1" applyAlignment="1">
      <alignment horizontal="center"/>
    </xf>
    <xf numFmtId="0" fontId="0" fillId="0" borderId="119" xfId="0" applyFill="1" applyBorder="1" applyAlignment="1"/>
    <xf numFmtId="0" fontId="0" fillId="0" borderId="118" xfId="0" applyFill="1" applyBorder="1" applyAlignment="1"/>
    <xf numFmtId="0" fontId="0" fillId="0" borderId="0" xfId="0" applyFill="1" applyBorder="1" applyAlignment="1"/>
    <xf numFmtId="0" fontId="0" fillId="0" borderId="73" xfId="0" applyFill="1" applyBorder="1" applyAlignment="1"/>
    <xf numFmtId="0" fontId="0" fillId="0" borderId="72" xfId="0" applyFill="1" applyBorder="1" applyAlignment="1">
      <alignment horizontal="center"/>
    </xf>
    <xf numFmtId="0" fontId="0" fillId="0" borderId="0" xfId="0" applyBorder="1" applyAlignment="1"/>
    <xf numFmtId="0" fontId="0" fillId="0" borderId="73" xfId="0" applyBorder="1" applyAlignment="1"/>
    <xf numFmtId="0" fontId="0" fillId="0" borderId="0" xfId="0" applyBorder="1" applyAlignment="1">
      <alignment horizontal="center" vertical="center"/>
    </xf>
    <xf numFmtId="0" fontId="0" fillId="0" borderId="119" xfId="0" applyFill="1" applyBorder="1" applyAlignment="1">
      <alignment horizontal="center"/>
    </xf>
    <xf numFmtId="0" fontId="0" fillId="0" borderId="118" xfId="0" applyBorder="1"/>
    <xf numFmtId="0" fontId="4" fillId="0" borderId="0" xfId="0" applyFont="1" applyBorder="1" applyAlignment="1"/>
    <xf numFmtId="0" fontId="40" fillId="0" borderId="72" xfId="0" applyFont="1" applyBorder="1"/>
    <xf numFmtId="0" fontId="40" fillId="0" borderId="0" xfId="0" applyFont="1" applyBorder="1"/>
    <xf numFmtId="0" fontId="0" fillId="0" borderId="0" xfId="0" applyBorder="1" applyAlignment="1">
      <alignment wrapText="1"/>
    </xf>
    <xf numFmtId="0" fontId="0" fillId="0" borderId="73" xfId="0" applyBorder="1" applyAlignment="1">
      <alignment wrapText="1"/>
    </xf>
    <xf numFmtId="0" fontId="4" fillId="0" borderId="112" xfId="0" applyFont="1" applyBorder="1" applyAlignment="1">
      <alignment vertical="center" wrapText="1"/>
    </xf>
    <xf numFmtId="0" fontId="0" fillId="0" borderId="74" xfId="0" applyBorder="1"/>
    <xf numFmtId="49" fontId="0" fillId="0" borderId="0" xfId="0" applyNumberFormat="1"/>
    <xf numFmtId="168" fontId="0" fillId="0" borderId="0" xfId="0" applyNumberFormat="1"/>
    <xf numFmtId="169" fontId="0" fillId="0" borderId="0" xfId="0" applyNumberFormat="1"/>
    <xf numFmtId="168" fontId="0" fillId="0" borderId="0" xfId="0" applyNumberFormat="1" applyAlignment="1">
      <alignment horizontal="right"/>
    </xf>
    <xf numFmtId="170" fontId="0" fillId="0" borderId="0" xfId="0" applyNumberFormat="1"/>
    <xf numFmtId="0" fontId="0" fillId="8" borderId="0" xfId="0" applyFill="1" applyBorder="1"/>
    <xf numFmtId="0" fontId="0" fillId="8" borderId="0" xfId="0" applyFill="1" applyBorder="1" applyAlignment="1">
      <alignment horizontal="center" vertical="center"/>
    </xf>
    <xf numFmtId="0" fontId="0" fillId="6" borderId="137" xfId="0" applyFill="1" applyBorder="1"/>
    <xf numFmtId="0" fontId="0" fillId="6" borderId="46" xfId="0" applyFill="1" applyBorder="1"/>
    <xf numFmtId="0" fontId="0" fillId="6" borderId="28" xfId="0" applyFill="1" applyBorder="1"/>
    <xf numFmtId="0" fontId="0" fillId="6" borderId="3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6" borderId="45" xfId="0" applyFill="1" applyBorder="1"/>
    <xf numFmtId="165" fontId="0" fillId="6" borderId="0" xfId="0" applyNumberFormat="1" applyFill="1" applyBorder="1" applyAlignment="1">
      <alignment horizontal="center"/>
    </xf>
    <xf numFmtId="0" fontId="0" fillId="6" borderId="0" xfId="0" applyFill="1" applyBorder="1" applyAlignment="1"/>
    <xf numFmtId="0" fontId="0" fillId="8" borderId="0" xfId="0" applyFill="1" applyBorder="1" applyAlignment="1"/>
    <xf numFmtId="0" fontId="5" fillId="6" borderId="0" xfId="0" applyFont="1" applyFill="1" applyBorder="1" applyAlignment="1">
      <alignment horizontal="center"/>
    </xf>
    <xf numFmtId="0" fontId="0" fillId="6" borderId="105" xfId="0" applyFill="1" applyBorder="1"/>
    <xf numFmtId="0" fontId="0" fillId="8" borderId="92" xfId="0" applyFill="1" applyBorder="1"/>
    <xf numFmtId="165" fontId="0" fillId="8" borderId="0" xfId="0" applyNumberForma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2" fillId="6" borderId="0" xfId="0" applyFont="1" applyFill="1" applyBorder="1"/>
    <xf numFmtId="0" fontId="16" fillId="6" borderId="0" xfId="0" applyFont="1" applyFill="1" applyBorder="1" applyAlignment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6" borderId="0" xfId="0" applyFont="1" applyFill="1" applyBorder="1" applyAlignment="1">
      <alignment vertical="center"/>
    </xf>
    <xf numFmtId="0" fontId="20" fillId="6" borderId="0" xfId="0" applyFont="1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43" fillId="0" borderId="0" xfId="4" applyAlignment="1">
      <alignment horizontal="left"/>
    </xf>
    <xf numFmtId="0" fontId="43" fillId="0" borderId="0" xfId="4"/>
    <xf numFmtId="0" fontId="0" fillId="0" borderId="0" xfId="0" applyAlignment="1">
      <alignment horizontal="left" vertical="center"/>
    </xf>
    <xf numFmtId="0" fontId="0" fillId="0" borderId="131" xfId="0" applyFont="1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14" borderId="5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6" borderId="7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6" borderId="0" xfId="0" applyFont="1" applyFill="1" applyBorder="1" applyAlignment="1">
      <alignment vertical="center"/>
    </xf>
    <xf numFmtId="0" fontId="6" fillId="17" borderId="71" xfId="0" applyFont="1" applyFill="1" applyBorder="1" applyAlignment="1"/>
    <xf numFmtId="0" fontId="6" fillId="17" borderId="72" xfId="0" applyFont="1" applyFill="1" applyBorder="1"/>
    <xf numFmtId="0" fontId="2" fillId="17" borderId="73" xfId="0" applyFont="1" applyFill="1" applyBorder="1" applyAlignment="1">
      <alignment horizontal="right" wrapText="1"/>
    </xf>
    <xf numFmtId="0" fontId="0" fillId="6" borderId="36" xfId="0" applyFill="1" applyBorder="1" applyAlignment="1">
      <alignment horizontal="center"/>
    </xf>
    <xf numFmtId="0" fontId="0" fillId="0" borderId="131" xfId="0" applyFont="1" applyBorder="1" applyAlignment="1">
      <alignment horizontal="center" vertical="center"/>
    </xf>
    <xf numFmtId="2" fontId="0" fillId="0" borderId="0" xfId="0" applyNumberFormat="1"/>
    <xf numFmtId="0" fontId="0" fillId="17" borderId="71" xfId="0" applyFill="1" applyBorder="1" applyAlignment="1">
      <alignment vertical="center"/>
    </xf>
    <xf numFmtId="0" fontId="0" fillId="17" borderId="72" xfId="0" applyFill="1" applyBorder="1" applyAlignment="1">
      <alignment vertical="center"/>
    </xf>
    <xf numFmtId="0" fontId="17" fillId="17" borderId="71" xfId="0" applyFont="1" applyFill="1" applyBorder="1" applyAlignment="1">
      <alignment horizontal="left" vertical="center" wrapText="1"/>
    </xf>
    <xf numFmtId="0" fontId="17" fillId="17" borderId="122" xfId="0" applyFont="1" applyFill="1" applyBorder="1" applyAlignment="1">
      <alignment horizontal="left" vertical="center" wrapText="1"/>
    </xf>
    <xf numFmtId="22" fontId="6" fillId="17" borderId="72" xfId="0" applyNumberFormat="1" applyFont="1" applyFill="1" applyBorder="1"/>
    <xf numFmtId="0" fontId="0" fillId="6" borderId="112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26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6" borderId="0" xfId="0" applyFont="1" applyFill="1" applyBorder="1" applyAlignment="1">
      <alignment horizontal="center"/>
    </xf>
    <xf numFmtId="0" fontId="2" fillId="6" borderId="0" xfId="0" applyFont="1" applyFill="1" applyBorder="1" applyAlignment="1">
      <alignment wrapText="1"/>
    </xf>
    <xf numFmtId="0" fontId="2" fillId="0" borderId="0" xfId="0" applyFont="1" applyAlignment="1">
      <alignment horizontal="center"/>
    </xf>
    <xf numFmtId="0" fontId="0" fillId="6" borderId="33" xfId="0" applyFill="1" applyBorder="1" applyAlignment="1">
      <alignment horizontal="center" vertical="center"/>
    </xf>
    <xf numFmtId="0" fontId="0" fillId="6" borderId="71" xfId="0" applyFill="1" applyBorder="1" applyAlignment="1">
      <alignment horizontal="center"/>
    </xf>
    <xf numFmtId="0" fontId="2" fillId="6" borderId="0" xfId="0" applyFont="1" applyFill="1" applyBorder="1" applyAlignment="1"/>
    <xf numFmtId="0" fontId="2" fillId="18" borderId="73" xfId="0" applyFont="1" applyFill="1" applyBorder="1" applyAlignment="1">
      <alignment horizontal="center"/>
    </xf>
    <xf numFmtId="0" fontId="2" fillId="18" borderId="72" xfId="0" applyFont="1" applyFill="1" applyBorder="1" applyAlignment="1">
      <alignment horizontal="center"/>
    </xf>
    <xf numFmtId="0" fontId="49" fillId="18" borderId="73" xfId="0" applyFont="1" applyFill="1" applyBorder="1" applyAlignment="1">
      <alignment vertical="top"/>
    </xf>
    <xf numFmtId="0" fontId="49" fillId="18" borderId="72" xfId="0" applyFont="1" applyFill="1" applyBorder="1" applyAlignment="1">
      <alignment vertical="top"/>
    </xf>
    <xf numFmtId="0" fontId="51" fillId="6" borderId="5" xfId="0" applyFont="1" applyFill="1" applyBorder="1" applyAlignment="1">
      <alignment horizontal="center" vertical="center" textRotation="90" wrapText="1"/>
    </xf>
    <xf numFmtId="0" fontId="32" fillId="6" borderId="5" xfId="0" applyFont="1" applyFill="1" applyBorder="1" applyAlignment="1">
      <alignment horizontal="center" vertical="center"/>
    </xf>
    <xf numFmtId="0" fontId="30" fillId="6" borderId="55" xfId="0" applyFont="1" applyFill="1" applyBorder="1" applyAlignment="1">
      <alignment horizontal="center" vertical="center"/>
    </xf>
    <xf numFmtId="0" fontId="30" fillId="6" borderId="54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 textRotation="90"/>
    </xf>
    <xf numFmtId="0" fontId="32" fillId="6" borderId="37" xfId="0" applyFont="1" applyFill="1" applyBorder="1" applyAlignment="1">
      <alignment horizontal="center" vertical="center"/>
    </xf>
    <xf numFmtId="0" fontId="32" fillId="6" borderId="36" xfId="0" applyFont="1" applyFill="1" applyBorder="1" applyAlignment="1">
      <alignment horizontal="center" vertical="center" textRotation="90"/>
    </xf>
    <xf numFmtId="0" fontId="51" fillId="6" borderId="5" xfId="0" applyFont="1" applyFill="1" applyBorder="1" applyAlignment="1">
      <alignment vertical="center" wrapText="1"/>
    </xf>
    <xf numFmtId="22" fontId="47" fillId="17" borderId="0" xfId="0" applyNumberFormat="1" applyFont="1" applyFill="1" applyBorder="1" applyAlignment="1" applyProtection="1">
      <alignment horizontal="center"/>
      <protection locked="0"/>
    </xf>
    <xf numFmtId="166" fontId="2" fillId="17" borderId="0" xfId="0" quotePrefix="1" applyNumberFormat="1" applyFont="1" applyFill="1" applyBorder="1" applyAlignment="1">
      <alignment horizontal="center"/>
    </xf>
    <xf numFmtId="0" fontId="2" fillId="17" borderId="0" xfId="0" applyFont="1" applyFill="1" applyBorder="1" applyAlignment="1">
      <alignment horizontal="center"/>
    </xf>
    <xf numFmtId="0" fontId="2" fillId="17" borderId="11" xfId="0" applyFont="1" applyFill="1" applyBorder="1"/>
    <xf numFmtId="0" fontId="2" fillId="17" borderId="10" xfId="0" applyFont="1" applyFill="1" applyBorder="1"/>
    <xf numFmtId="0" fontId="0" fillId="19" borderId="112" xfId="0" applyFill="1" applyBorder="1"/>
    <xf numFmtId="0" fontId="0" fillId="19" borderId="119" xfId="0" applyFill="1" applyBorder="1"/>
    <xf numFmtId="0" fontId="2" fillId="17" borderId="0" xfId="0" applyFont="1" applyFill="1" applyBorder="1"/>
    <xf numFmtId="0" fontId="2" fillId="6" borderId="112" xfId="0" applyFont="1" applyFill="1" applyBorder="1" applyAlignment="1">
      <alignment horizontal="center"/>
    </xf>
    <xf numFmtId="0" fontId="0" fillId="6" borderId="73" xfId="0" applyFill="1" applyBorder="1" applyAlignment="1"/>
    <xf numFmtId="0" fontId="48" fillId="6" borderId="0" xfId="0" applyFont="1" applyFill="1" applyBorder="1" applyAlignment="1">
      <alignment horizontal="center" wrapText="1"/>
    </xf>
    <xf numFmtId="0" fontId="2" fillId="6" borderId="73" xfId="0" applyFont="1" applyFill="1" applyBorder="1"/>
    <xf numFmtId="0" fontId="2" fillId="6" borderId="118" xfId="0" applyFont="1" applyFill="1" applyBorder="1"/>
    <xf numFmtId="0" fontId="2" fillId="6" borderId="119" xfId="0" applyFont="1" applyFill="1" applyBorder="1" applyAlignment="1">
      <alignment horizontal="center"/>
    </xf>
    <xf numFmtId="2" fontId="0" fillId="17" borderId="5" xfId="0" applyNumberFormat="1" applyFill="1" applyBorder="1" applyAlignment="1">
      <alignment horizontal="center"/>
    </xf>
    <xf numFmtId="0" fontId="0" fillId="17" borderId="73" xfId="0" applyFill="1" applyBorder="1"/>
    <xf numFmtId="0" fontId="0" fillId="17" borderId="0" xfId="0" applyFill="1" applyBorder="1"/>
    <xf numFmtId="0" fontId="36" fillId="17" borderId="0" xfId="0" applyFont="1" applyFill="1" applyBorder="1" applyAlignment="1">
      <alignment horizontal="center"/>
    </xf>
    <xf numFmtId="0" fontId="5" fillId="6" borderId="0" xfId="0" applyFont="1" applyFill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2" fillId="17" borderId="73" xfId="0" applyFont="1" applyFill="1" applyBorder="1" applyAlignment="1">
      <alignment horizontal="right" vertical="center" wrapText="1"/>
    </xf>
    <xf numFmtId="0" fontId="2" fillId="6" borderId="0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66" fontId="0" fillId="6" borderId="5" xfId="0" applyNumberFormat="1" applyFill="1" applyBorder="1" applyAlignment="1">
      <alignment horizontal="center"/>
    </xf>
    <xf numFmtId="0" fontId="2" fillId="6" borderId="0" xfId="0" applyFont="1" applyFill="1" applyBorder="1" applyAlignment="1">
      <alignment horizontal="center" wrapText="1"/>
    </xf>
    <xf numFmtId="0" fontId="0" fillId="17" borderId="69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37" xfId="0" applyFill="1" applyBorder="1" applyAlignment="1">
      <alignment horizontal="center" vertical="center"/>
    </xf>
    <xf numFmtId="0" fontId="0" fillId="17" borderId="115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132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44" fillId="19" borderId="0" xfId="0" applyFont="1" applyFill="1" applyBorder="1" applyAlignment="1"/>
    <xf numFmtId="0" fontId="44" fillId="19" borderId="119" xfId="0" applyFont="1" applyFill="1" applyBorder="1" applyAlignment="1"/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39" fillId="0" borderId="5" xfId="0" applyFont="1" applyBorder="1" applyAlignment="1">
      <alignment horizontal="center"/>
    </xf>
    <xf numFmtId="0" fontId="39" fillId="0" borderId="5" xfId="0" applyFont="1" applyBorder="1" applyAlignment="1">
      <alignment horizontal="left"/>
    </xf>
    <xf numFmtId="0" fontId="43" fillId="0" borderId="5" xfId="4" applyBorder="1" applyAlignment="1"/>
    <xf numFmtId="0" fontId="0" fillId="0" borderId="5" xfId="0" applyBorder="1" applyAlignment="1"/>
    <xf numFmtId="2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left"/>
    </xf>
    <xf numFmtId="0" fontId="43" fillId="0" borderId="5" xfId="4" applyBorder="1" applyAlignment="1">
      <alignment horizontal="left"/>
    </xf>
    <xf numFmtId="0" fontId="0" fillId="0" borderId="5" xfId="0" applyBorder="1"/>
    <xf numFmtId="0" fontId="0" fillId="22" borderId="134" xfId="0" applyFill="1" applyBorder="1" applyAlignment="1">
      <alignment horizontal="center"/>
    </xf>
    <xf numFmtId="0" fontId="0" fillId="22" borderId="117" xfId="0" applyFill="1" applyBorder="1" applyAlignment="1">
      <alignment horizontal="center"/>
    </xf>
    <xf numFmtId="0" fontId="0" fillId="22" borderId="133" xfId="0" applyFill="1" applyBorder="1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66" fontId="2" fillId="6" borderId="5" xfId="0" applyNumberFormat="1" applyFont="1" applyFill="1" applyBorder="1" applyAlignment="1">
      <alignment horizontal="center" vertical="center"/>
    </xf>
    <xf numFmtId="166" fontId="2" fillId="6" borderId="0" xfId="0" applyNumberFormat="1" applyFont="1" applyFill="1" applyBorder="1" applyAlignment="1">
      <alignment horizontal="center" vertical="center"/>
    </xf>
    <xf numFmtId="16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31" xfId="0" applyNumberFormat="1" applyFont="1" applyBorder="1" applyAlignment="1">
      <alignment horizontal="left" vertical="center"/>
    </xf>
    <xf numFmtId="0" fontId="40" fillId="0" borderId="72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6" borderId="0" xfId="0" quotePrefix="1" applyFill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2" fillId="6" borderId="5" xfId="0" applyNumberFormat="1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19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4" fillId="0" borderId="136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0" fontId="4" fillId="0" borderId="113" xfId="0" applyFont="1" applyBorder="1" applyAlignment="1">
      <alignment horizontal="center"/>
    </xf>
    <xf numFmtId="0" fontId="40" fillId="0" borderId="73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" fillId="0" borderId="74" xfId="0" applyFont="1" applyBorder="1" applyAlignment="1">
      <alignment horizontal="center" wrapText="1"/>
    </xf>
    <xf numFmtId="0" fontId="4" fillId="0" borderId="112" xfId="0" applyFont="1" applyBorder="1" applyAlignment="1">
      <alignment horizontal="center" wrapText="1"/>
    </xf>
    <xf numFmtId="0" fontId="4" fillId="0" borderId="71" xfId="0" applyFont="1" applyBorder="1" applyAlignment="1">
      <alignment horizontal="center" wrapText="1"/>
    </xf>
    <xf numFmtId="0" fontId="0" fillId="14" borderId="5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32" fillId="18" borderId="74" xfId="0" applyFont="1" applyFill="1" applyBorder="1" applyAlignment="1">
      <alignment horizontal="center" vertical="center"/>
    </xf>
    <xf numFmtId="0" fontId="32" fillId="18" borderId="112" xfId="0" applyFont="1" applyFill="1" applyBorder="1" applyAlignment="1">
      <alignment horizontal="center" vertical="center"/>
    </xf>
    <xf numFmtId="0" fontId="32" fillId="18" borderId="73" xfId="0" applyFont="1" applyFill="1" applyBorder="1" applyAlignment="1">
      <alignment horizontal="center" vertical="center"/>
    </xf>
    <xf numFmtId="0" fontId="32" fillId="18" borderId="0" xfId="0" applyFont="1" applyFill="1" applyBorder="1" applyAlignment="1">
      <alignment horizontal="center" vertical="center"/>
    </xf>
    <xf numFmtId="0" fontId="32" fillId="18" borderId="118" xfId="0" applyFont="1" applyFill="1" applyBorder="1" applyAlignment="1">
      <alignment horizontal="center" vertical="center"/>
    </xf>
    <xf numFmtId="0" fontId="32" fillId="18" borderId="119" xfId="0" applyFont="1" applyFill="1" applyBorder="1" applyAlignment="1">
      <alignment horizontal="center" vertical="center"/>
    </xf>
    <xf numFmtId="0" fontId="0" fillId="6" borderId="74" xfId="0" applyFill="1" applyBorder="1" applyAlignment="1">
      <alignment horizontal="center"/>
    </xf>
    <xf numFmtId="0" fontId="0" fillId="6" borderId="112" xfId="0" applyFill="1" applyBorder="1" applyAlignment="1">
      <alignment horizontal="center"/>
    </xf>
    <xf numFmtId="0" fontId="4" fillId="0" borderId="112" xfId="0" applyFont="1" applyBorder="1" applyAlignment="1">
      <alignment horizontal="center"/>
    </xf>
    <xf numFmtId="0" fontId="0" fillId="6" borderId="73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12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34" xfId="0" applyFill="1" applyBorder="1" applyAlignment="1">
      <alignment horizontal="center" vertical="center"/>
    </xf>
    <xf numFmtId="0" fontId="0" fillId="6" borderId="117" xfId="0" applyFill="1" applyBorder="1" applyAlignment="1">
      <alignment horizontal="center" vertical="center"/>
    </xf>
    <xf numFmtId="0" fontId="0" fillId="6" borderId="133" xfId="0" applyFill="1" applyBorder="1" applyAlignment="1">
      <alignment horizontal="center" vertical="center"/>
    </xf>
    <xf numFmtId="0" fontId="0" fillId="6" borderId="86" xfId="0" applyFill="1" applyBorder="1" applyAlignment="1">
      <alignment horizontal="center"/>
    </xf>
    <xf numFmtId="0" fontId="21" fillId="19" borderId="74" xfId="0" applyFont="1" applyFill="1" applyBorder="1" applyAlignment="1">
      <alignment horizontal="center" vertical="center"/>
    </xf>
    <xf numFmtId="0" fontId="21" fillId="19" borderId="112" xfId="0" applyFont="1" applyFill="1" applyBorder="1" applyAlignment="1">
      <alignment horizontal="center" vertical="center"/>
    </xf>
    <xf numFmtId="0" fontId="21" fillId="19" borderId="73" xfId="0" applyFont="1" applyFill="1" applyBorder="1" applyAlignment="1">
      <alignment horizontal="center" vertical="center"/>
    </xf>
    <xf numFmtId="0" fontId="21" fillId="19" borderId="0" xfId="0" applyFont="1" applyFill="1" applyBorder="1" applyAlignment="1">
      <alignment horizontal="center" vertical="center"/>
    </xf>
    <xf numFmtId="0" fontId="0" fillId="6" borderId="118" xfId="0" applyFill="1" applyBorder="1" applyAlignment="1">
      <alignment horizontal="center"/>
    </xf>
    <xf numFmtId="0" fontId="0" fillId="6" borderId="119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120" xfId="0" applyFill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21" fillId="17" borderId="74" xfId="0" applyFont="1" applyFill="1" applyBorder="1" applyAlignment="1">
      <alignment horizontal="left" vertical="center"/>
    </xf>
    <xf numFmtId="0" fontId="21" fillId="17" borderId="112" xfId="0" applyFont="1" applyFill="1" applyBorder="1" applyAlignment="1">
      <alignment horizontal="left" vertical="center"/>
    </xf>
    <xf numFmtId="0" fontId="21" fillId="17" borderId="71" xfId="0" applyFont="1" applyFill="1" applyBorder="1" applyAlignment="1">
      <alignment horizontal="left" vertical="center"/>
    </xf>
    <xf numFmtId="0" fontId="21" fillId="17" borderId="73" xfId="0" applyFont="1" applyFill="1" applyBorder="1" applyAlignment="1">
      <alignment horizontal="left" vertical="center"/>
    </xf>
    <xf numFmtId="0" fontId="21" fillId="17" borderId="0" xfId="0" applyFont="1" applyFill="1" applyBorder="1" applyAlignment="1">
      <alignment horizontal="left" vertical="center"/>
    </xf>
    <xf numFmtId="0" fontId="21" fillId="17" borderId="72" xfId="0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/>
    </xf>
    <xf numFmtId="0" fontId="30" fillId="19" borderId="134" xfId="0" applyFont="1" applyFill="1" applyBorder="1" applyAlignment="1">
      <alignment horizontal="center" vertical="center"/>
    </xf>
    <xf numFmtId="0" fontId="30" fillId="19" borderId="133" xfId="0" applyFont="1" applyFill="1" applyBorder="1" applyAlignment="1">
      <alignment horizontal="center" vertical="center"/>
    </xf>
    <xf numFmtId="0" fontId="0" fillId="19" borderId="74" xfId="0" applyFill="1" applyBorder="1" applyAlignment="1">
      <alignment horizontal="left" vertical="center" wrapText="1"/>
    </xf>
    <xf numFmtId="0" fontId="0" fillId="19" borderId="118" xfId="0" applyFill="1" applyBorder="1" applyAlignment="1">
      <alignment horizontal="left" vertical="center" wrapText="1"/>
    </xf>
    <xf numFmtId="0" fontId="2" fillId="17" borderId="107" xfId="0" applyFont="1" applyFill="1" applyBorder="1" applyAlignment="1">
      <alignment horizontal="right" vertical="center" wrapText="1"/>
    </xf>
    <xf numFmtId="0" fontId="2" fillId="17" borderId="139" xfId="0" applyFont="1" applyFill="1" applyBorder="1" applyAlignment="1">
      <alignment horizontal="right" vertical="center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11" xfId="0" applyFont="1" applyFill="1" applyBorder="1" applyAlignment="1">
      <alignment horizontal="center" vertical="top" wrapText="1"/>
    </xf>
    <xf numFmtId="0" fontId="2" fillId="6" borderId="100" xfId="0" applyFont="1" applyFill="1" applyBorder="1" applyAlignment="1">
      <alignment horizontal="center" vertical="top" wrapText="1"/>
    </xf>
    <xf numFmtId="0" fontId="2" fillId="6" borderId="12" xfId="0" applyFont="1" applyFill="1" applyBorder="1" applyAlignment="1">
      <alignment horizontal="center" vertical="top" wrapText="1"/>
    </xf>
    <xf numFmtId="0" fontId="2" fillId="6" borderId="0" xfId="0" applyFont="1" applyFill="1" applyBorder="1" applyAlignment="1">
      <alignment horizontal="center" vertical="top" wrapText="1"/>
    </xf>
    <xf numFmtId="0" fontId="2" fillId="6" borderId="72" xfId="0" applyFont="1" applyFill="1" applyBorder="1" applyAlignment="1">
      <alignment horizontal="center" vertical="top" wrapText="1"/>
    </xf>
    <xf numFmtId="0" fontId="2" fillId="6" borderId="140" xfId="0" applyFont="1" applyFill="1" applyBorder="1" applyAlignment="1">
      <alignment horizontal="center" vertical="top" wrapText="1"/>
    </xf>
    <xf numFmtId="0" fontId="2" fillId="6" borderId="119" xfId="0" applyFont="1" applyFill="1" applyBorder="1" applyAlignment="1">
      <alignment horizontal="center" vertical="top" wrapText="1"/>
    </xf>
    <xf numFmtId="0" fontId="2" fillId="6" borderId="122" xfId="0" applyFont="1" applyFill="1" applyBorder="1" applyAlignment="1">
      <alignment horizontal="center" vertical="top" wrapText="1"/>
    </xf>
    <xf numFmtId="0" fontId="0" fillId="6" borderId="9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6" fillId="17" borderId="73" xfId="0" applyFont="1" applyFill="1" applyBorder="1" applyAlignment="1">
      <alignment horizontal="center" vertical="center" wrapText="1"/>
    </xf>
    <xf numFmtId="0" fontId="6" fillId="17" borderId="0" xfId="0" applyFont="1" applyFill="1" applyBorder="1" applyAlignment="1">
      <alignment horizontal="center" vertical="center" wrapText="1"/>
    </xf>
    <xf numFmtId="0" fontId="6" fillId="17" borderId="118" xfId="0" applyFont="1" applyFill="1" applyBorder="1" applyAlignment="1">
      <alignment horizontal="center" vertical="center" wrapText="1"/>
    </xf>
    <xf numFmtId="0" fontId="6" fillId="17" borderId="119" xfId="0" applyFont="1" applyFill="1" applyBorder="1" applyAlignment="1">
      <alignment horizontal="center" vertical="center" wrapText="1"/>
    </xf>
    <xf numFmtId="0" fontId="30" fillId="17" borderId="134" xfId="0" applyFont="1" applyFill="1" applyBorder="1" applyAlignment="1">
      <alignment horizontal="center" vertical="center"/>
    </xf>
    <xf numFmtId="0" fontId="30" fillId="17" borderId="117" xfId="0" applyFont="1" applyFill="1" applyBorder="1" applyAlignment="1">
      <alignment horizontal="center" vertical="center"/>
    </xf>
    <xf numFmtId="0" fontId="30" fillId="17" borderId="133" xfId="0" applyFont="1" applyFill="1" applyBorder="1" applyAlignment="1">
      <alignment horizontal="center" vertical="center"/>
    </xf>
    <xf numFmtId="0" fontId="49" fillId="18" borderId="74" xfId="0" applyFont="1" applyFill="1" applyBorder="1" applyAlignment="1">
      <alignment horizontal="center" vertical="center"/>
    </xf>
    <xf numFmtId="0" fontId="49" fillId="18" borderId="71" xfId="0" applyFont="1" applyFill="1" applyBorder="1" applyAlignment="1">
      <alignment horizontal="center" vertical="center"/>
    </xf>
    <xf numFmtId="0" fontId="49" fillId="18" borderId="73" xfId="0" applyFont="1" applyFill="1" applyBorder="1" applyAlignment="1">
      <alignment horizontal="center" vertical="center"/>
    </xf>
    <xf numFmtId="0" fontId="49" fillId="18" borderId="72" xfId="0" applyFont="1" applyFill="1" applyBorder="1" applyAlignment="1">
      <alignment horizontal="center" vertical="center"/>
    </xf>
    <xf numFmtId="0" fontId="21" fillId="2" borderId="134" xfId="0" applyFont="1" applyFill="1" applyBorder="1" applyAlignment="1">
      <alignment horizontal="center" vertical="center" textRotation="90"/>
    </xf>
    <xf numFmtId="0" fontId="21" fillId="2" borderId="117" xfId="0" applyFont="1" applyFill="1" applyBorder="1" applyAlignment="1">
      <alignment horizontal="center" vertical="center" textRotation="90"/>
    </xf>
    <xf numFmtId="0" fontId="21" fillId="2" borderId="133" xfId="0" applyFont="1" applyFill="1" applyBorder="1" applyAlignment="1">
      <alignment horizontal="center" vertical="center" textRotation="90"/>
    </xf>
    <xf numFmtId="0" fontId="51" fillId="18" borderId="73" xfId="0" applyFont="1" applyFill="1" applyBorder="1" applyAlignment="1">
      <alignment horizontal="left" vertical="center" textRotation="90"/>
    </xf>
    <xf numFmtId="0" fontId="51" fillId="18" borderId="72" xfId="0" applyFont="1" applyFill="1" applyBorder="1" applyAlignment="1">
      <alignment horizontal="left" vertical="center" textRotation="90"/>
    </xf>
    <xf numFmtId="0" fontId="51" fillId="18" borderId="118" xfId="0" applyFont="1" applyFill="1" applyBorder="1" applyAlignment="1">
      <alignment horizontal="left" vertical="center" textRotation="90"/>
    </xf>
    <xf numFmtId="0" fontId="51" fillId="18" borderId="122" xfId="0" applyFont="1" applyFill="1" applyBorder="1" applyAlignment="1">
      <alignment horizontal="left" vertical="center" textRotation="90"/>
    </xf>
    <xf numFmtId="0" fontId="0" fillId="17" borderId="73" xfId="0" applyFill="1" applyBorder="1" applyAlignment="1">
      <alignment horizontal="left" vertical="center"/>
    </xf>
    <xf numFmtId="0" fontId="0" fillId="17" borderId="118" xfId="0" applyFill="1" applyBorder="1" applyAlignment="1">
      <alignment horizontal="left" vertical="center"/>
    </xf>
    <xf numFmtId="22" fontId="0" fillId="17" borderId="72" xfId="0" applyNumberFormat="1" applyFill="1" applyBorder="1" applyAlignment="1">
      <alignment horizontal="center" vertical="center"/>
    </xf>
    <xf numFmtId="0" fontId="0" fillId="17" borderId="122" xfId="0" applyFill="1" applyBorder="1" applyAlignment="1">
      <alignment horizontal="center" vertical="center"/>
    </xf>
    <xf numFmtId="0" fontId="1" fillId="17" borderId="87" xfId="0" applyFont="1" applyFill="1" applyBorder="1" applyAlignment="1">
      <alignment horizontal="center" wrapText="1"/>
    </xf>
    <xf numFmtId="0" fontId="1" fillId="17" borderId="86" xfId="0" applyFont="1" applyFill="1" applyBorder="1" applyAlignment="1">
      <alignment horizontal="center" wrapText="1"/>
    </xf>
    <xf numFmtId="0" fontId="2" fillId="17" borderId="73" xfId="0" applyFont="1" applyFill="1" applyBorder="1" applyAlignment="1">
      <alignment horizontal="right" vertical="center" wrapText="1"/>
    </xf>
    <xf numFmtId="0" fontId="6" fillId="17" borderId="139" xfId="0" applyFont="1" applyFill="1" applyBorder="1" applyAlignment="1">
      <alignment horizontal="center" wrapText="1"/>
    </xf>
    <xf numFmtId="0" fontId="6" fillId="17" borderId="10" xfId="0" applyFont="1" applyFill="1" applyBorder="1" applyAlignment="1">
      <alignment horizontal="center" wrapText="1"/>
    </xf>
    <xf numFmtId="0" fontId="30" fillId="17" borderId="74" xfId="0" applyFont="1" applyFill="1" applyBorder="1" applyAlignment="1">
      <alignment horizontal="center" vertical="center"/>
    </xf>
    <xf numFmtId="0" fontId="30" fillId="17" borderId="73" xfId="0" applyFont="1" applyFill="1" applyBorder="1" applyAlignment="1">
      <alignment horizontal="center" vertical="center"/>
    </xf>
    <xf numFmtId="0" fontId="30" fillId="17" borderId="118" xfId="0" applyFont="1" applyFill="1" applyBorder="1" applyAlignment="1">
      <alignment horizontal="center" vertical="center"/>
    </xf>
    <xf numFmtId="0" fontId="0" fillId="17" borderId="74" xfId="0" applyFill="1" applyBorder="1" applyAlignment="1">
      <alignment horizontal="left" vertical="center"/>
    </xf>
    <xf numFmtId="0" fontId="0" fillId="17" borderId="74" xfId="0" applyFill="1" applyBorder="1" applyAlignment="1">
      <alignment horizontal="left" vertical="center" wrapText="1"/>
    </xf>
    <xf numFmtId="0" fontId="0" fillId="17" borderId="73" xfId="0" applyFill="1" applyBorder="1" applyAlignment="1">
      <alignment horizontal="left" vertical="center" wrapText="1"/>
    </xf>
    <xf numFmtId="0" fontId="0" fillId="17" borderId="118" xfId="0" applyFill="1" applyBorder="1" applyAlignment="1">
      <alignment horizontal="left" vertical="center" wrapText="1"/>
    </xf>
    <xf numFmtId="0" fontId="0" fillId="19" borderId="74" xfId="0" applyFill="1" applyBorder="1" applyAlignment="1">
      <alignment horizontal="left" vertical="center"/>
    </xf>
    <xf numFmtId="0" fontId="0" fillId="19" borderId="73" xfId="0" applyFill="1" applyBorder="1" applyAlignment="1">
      <alignment horizontal="left" vertical="center"/>
    </xf>
    <xf numFmtId="0" fontId="30" fillId="19" borderId="74" xfId="0" applyFont="1" applyFill="1" applyBorder="1" applyAlignment="1">
      <alignment horizontal="center" vertical="center"/>
    </xf>
    <xf numFmtId="0" fontId="30" fillId="19" borderId="73" xfId="0" applyFont="1" applyFill="1" applyBorder="1" applyAlignment="1">
      <alignment horizontal="center" vertical="center"/>
    </xf>
    <xf numFmtId="0" fontId="30" fillId="19" borderId="118" xfId="0" applyFont="1" applyFill="1" applyBorder="1" applyAlignment="1">
      <alignment horizontal="center" vertical="center"/>
    </xf>
    <xf numFmtId="0" fontId="0" fillId="19" borderId="71" xfId="0" applyFill="1" applyBorder="1" applyAlignment="1">
      <alignment horizontal="left" vertical="center" wrapText="1"/>
    </xf>
    <xf numFmtId="0" fontId="0" fillId="19" borderId="122" xfId="0" applyFill="1" applyBorder="1" applyAlignment="1">
      <alignment horizontal="left" vertical="center" wrapText="1"/>
    </xf>
    <xf numFmtId="0" fontId="30" fillId="19" borderId="117" xfId="0" applyFont="1" applyFill="1" applyBorder="1" applyAlignment="1">
      <alignment horizontal="center" vertical="center"/>
    </xf>
    <xf numFmtId="0" fontId="0" fillId="23" borderId="112" xfId="0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0" fontId="45" fillId="19" borderId="73" xfId="0" applyFont="1" applyFill="1" applyBorder="1" applyAlignment="1">
      <alignment horizontal="center" wrapText="1"/>
    </xf>
    <xf numFmtId="0" fontId="45" fillId="19" borderId="118" xfId="0" applyFont="1" applyFill="1" applyBorder="1" applyAlignment="1">
      <alignment horizontal="center" wrapText="1"/>
    </xf>
    <xf numFmtId="0" fontId="4" fillId="19" borderId="74" xfId="0" applyFont="1" applyFill="1" applyBorder="1" applyAlignment="1">
      <alignment horizontal="left" vertical="center" wrapText="1"/>
    </xf>
    <xf numFmtId="0" fontId="0" fillId="19" borderId="73" xfId="0" applyFill="1" applyBorder="1" applyAlignment="1">
      <alignment horizontal="left" vertical="center" wrapText="1"/>
    </xf>
    <xf numFmtId="0" fontId="44" fillId="19" borderId="73" xfId="0" applyFont="1" applyFill="1" applyBorder="1" applyAlignment="1">
      <alignment horizontal="left" vertical="top" wrapText="1"/>
    </xf>
    <xf numFmtId="0" fontId="44" fillId="19" borderId="118" xfId="0" applyFont="1" applyFill="1" applyBorder="1" applyAlignment="1">
      <alignment horizontal="left" vertical="top" wrapText="1"/>
    </xf>
    <xf numFmtId="0" fontId="28" fillId="6" borderId="112" xfId="0" applyFont="1" applyFill="1" applyBorder="1" applyAlignment="1">
      <alignment horizontal="center"/>
    </xf>
    <xf numFmtId="0" fontId="28" fillId="6" borderId="0" xfId="0" applyFont="1" applyFill="1" applyBorder="1" applyAlignment="1">
      <alignment horizontal="center"/>
    </xf>
    <xf numFmtId="0" fontId="17" fillId="6" borderId="73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72" xfId="0" applyFont="1" applyFill="1" applyBorder="1" applyAlignment="1">
      <alignment horizontal="left" vertical="center" wrapText="1"/>
    </xf>
    <xf numFmtId="0" fontId="17" fillId="6" borderId="118" xfId="0" applyFont="1" applyFill="1" applyBorder="1" applyAlignment="1">
      <alignment horizontal="left" vertical="center" wrapText="1"/>
    </xf>
    <xf numFmtId="0" fontId="17" fillId="6" borderId="119" xfId="0" applyFont="1" applyFill="1" applyBorder="1" applyAlignment="1">
      <alignment horizontal="left" vertical="center" wrapText="1"/>
    </xf>
    <xf numFmtId="0" fontId="17" fillId="6" borderId="122" xfId="0" applyFont="1" applyFill="1" applyBorder="1" applyAlignment="1">
      <alignment horizontal="left" vertical="center" wrapText="1"/>
    </xf>
    <xf numFmtId="0" fontId="33" fillId="6" borderId="74" xfId="0" applyFont="1" applyFill="1" applyBorder="1" applyAlignment="1">
      <alignment horizontal="center" vertical="center"/>
    </xf>
    <xf numFmtId="0" fontId="33" fillId="6" borderId="112" xfId="0" applyFont="1" applyFill="1" applyBorder="1" applyAlignment="1">
      <alignment horizontal="center" vertical="center"/>
    </xf>
    <xf numFmtId="0" fontId="33" fillId="6" borderId="71" xfId="0" applyFont="1" applyFill="1" applyBorder="1" applyAlignment="1">
      <alignment horizontal="center" vertical="center"/>
    </xf>
    <xf numFmtId="0" fontId="33" fillId="6" borderId="73" xfId="0" applyFont="1" applyFill="1" applyBorder="1" applyAlignment="1">
      <alignment horizontal="center" vertical="center"/>
    </xf>
    <xf numFmtId="0" fontId="33" fillId="6" borderId="0" xfId="0" applyFont="1" applyFill="1" applyBorder="1" applyAlignment="1">
      <alignment horizontal="center" vertical="center"/>
    </xf>
    <xf numFmtId="0" fontId="33" fillId="6" borderId="72" xfId="0" applyFont="1" applyFill="1" applyBorder="1" applyAlignment="1">
      <alignment horizontal="center" vertical="center"/>
    </xf>
    <xf numFmtId="0" fontId="17" fillId="17" borderId="74" xfId="0" applyFont="1" applyFill="1" applyBorder="1" applyAlignment="1">
      <alignment horizontal="left" vertical="center" wrapText="1"/>
    </xf>
    <xf numFmtId="0" fontId="17" fillId="17" borderId="118" xfId="0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19" borderId="112" xfId="0" applyFill="1" applyBorder="1" applyAlignment="1">
      <alignment horizontal="left" vertical="center"/>
    </xf>
    <xf numFmtId="0" fontId="0" fillId="19" borderId="0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11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32" fillId="6" borderId="51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2" fillId="6" borderId="38" xfId="0" applyFont="1" applyFill="1" applyBorder="1" applyAlignment="1">
      <alignment horizontal="center" vertical="center"/>
    </xf>
    <xf numFmtId="0" fontId="32" fillId="6" borderId="37" xfId="0" applyFont="1" applyFill="1" applyBorder="1" applyAlignment="1">
      <alignment horizontal="center" vertical="center"/>
    </xf>
    <xf numFmtId="0" fontId="30" fillId="6" borderId="87" xfId="0" applyFont="1" applyFill="1" applyBorder="1" applyAlignment="1">
      <alignment horizontal="center" vertical="center"/>
    </xf>
    <xf numFmtId="0" fontId="30" fillId="6" borderId="86" xfId="0" applyFont="1" applyFill="1" applyBorder="1" applyAlignment="1">
      <alignment horizontal="center" vertical="center"/>
    </xf>
    <xf numFmtId="0" fontId="30" fillId="6" borderId="94" xfId="0" applyFont="1" applyFill="1" applyBorder="1" applyAlignment="1">
      <alignment horizontal="center" vertical="center"/>
    </xf>
    <xf numFmtId="0" fontId="51" fillId="6" borderId="5" xfId="0" applyFont="1" applyFill="1" applyBorder="1" applyAlignment="1">
      <alignment horizontal="center" vertical="center" wrapText="1"/>
    </xf>
    <xf numFmtId="0" fontId="0" fillId="9" borderId="5" xfId="0" applyFill="1" applyBorder="1" applyAlignment="1" applyProtection="1">
      <alignment horizontal="center" vertical="center" textRotation="90"/>
      <protection locked="0"/>
    </xf>
    <xf numFmtId="0" fontId="27" fillId="24" borderId="5" xfId="0" applyFont="1" applyFill="1" applyBorder="1" applyAlignment="1">
      <alignment horizontal="center" vertical="center" textRotation="90" wrapText="1"/>
    </xf>
    <xf numFmtId="0" fontId="27" fillId="9" borderId="5" xfId="0" applyFont="1" applyFill="1" applyBorder="1" applyAlignment="1">
      <alignment horizontal="center" vertical="center" textRotation="90" wrapText="1"/>
    </xf>
    <xf numFmtId="0" fontId="0" fillId="9" borderId="5" xfId="0" applyFill="1" applyBorder="1" applyAlignment="1" applyProtection="1">
      <alignment horizontal="center" vertical="center" textRotation="180"/>
      <protection locked="0"/>
    </xf>
    <xf numFmtId="0" fontId="23" fillId="24" borderId="5" xfId="0" applyFont="1" applyFill="1" applyBorder="1" applyAlignment="1">
      <alignment horizontal="center" vertical="center" textRotation="90" wrapText="1"/>
    </xf>
    <xf numFmtId="0" fontId="23" fillId="9" borderId="5" xfId="0" applyFont="1" applyFill="1" applyBorder="1" applyAlignment="1">
      <alignment horizontal="center" vertical="center" textRotation="90" wrapText="1"/>
    </xf>
    <xf numFmtId="0" fontId="26" fillId="8" borderId="0" xfId="0" applyFont="1" applyFill="1" applyAlignment="1">
      <alignment horizontal="center" vertical="center"/>
    </xf>
    <xf numFmtId="0" fontId="0" fillId="24" borderId="9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textRotation="90" wrapText="1"/>
    </xf>
    <xf numFmtId="0" fontId="0" fillId="9" borderId="3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20" fillId="6" borderId="112" xfId="0" applyFont="1" applyFill="1" applyBorder="1" applyAlignment="1">
      <alignment horizontal="center" vertical="center"/>
    </xf>
    <xf numFmtId="0" fontId="50" fillId="6" borderId="0" xfId="0" applyFont="1" applyFill="1" applyBorder="1" applyAlignment="1">
      <alignment horizontal="center" vertical="center"/>
    </xf>
    <xf numFmtId="0" fontId="2" fillId="24" borderId="5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>
      <alignment horizontal="center" vertical="center" wrapText="1"/>
    </xf>
    <xf numFmtId="0" fontId="0" fillId="9" borderId="5" xfId="0" applyFill="1" applyBorder="1" applyAlignment="1" applyProtection="1">
      <alignment horizontal="center" vertical="center"/>
      <protection locked="0"/>
    </xf>
    <xf numFmtId="0" fontId="2" fillId="9" borderId="5" xfId="0" applyFont="1" applyFill="1" applyBorder="1" applyAlignment="1">
      <alignment horizontal="center" vertical="center"/>
    </xf>
    <xf numFmtId="0" fontId="0" fillId="24" borderId="5" xfId="0" applyFill="1" applyBorder="1" applyAlignment="1">
      <alignment horizontal="center" vertical="center" textRotation="180" wrapText="1"/>
    </xf>
    <xf numFmtId="0" fontId="0" fillId="9" borderId="5" xfId="0" applyFill="1" applyBorder="1" applyAlignment="1">
      <alignment horizontal="center" vertical="center" textRotation="180"/>
    </xf>
    <xf numFmtId="14" fontId="24" fillId="6" borderId="0" xfId="0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24" borderId="9" xfId="0" applyFill="1" applyBorder="1" applyAlignment="1">
      <alignment horizontal="center" vertical="center" textRotation="180" wrapText="1"/>
    </xf>
    <xf numFmtId="0" fontId="0" fillId="9" borderId="6" xfId="0" applyFill="1" applyBorder="1" applyAlignment="1">
      <alignment horizontal="center" vertical="center" textRotation="180" wrapText="1"/>
    </xf>
    <xf numFmtId="0" fontId="0" fillId="9" borderId="3" xfId="0" applyFill="1" applyBorder="1" applyAlignment="1">
      <alignment horizontal="center" vertical="center" textRotation="180" wrapText="1"/>
    </xf>
    <xf numFmtId="0" fontId="0" fillId="9" borderId="1" xfId="0" applyFill="1" applyBorder="1" applyAlignment="1">
      <alignment horizontal="center" vertical="center" textRotation="180" wrapText="1"/>
    </xf>
    <xf numFmtId="0" fontId="2" fillId="6" borderId="0" xfId="0" applyFont="1" applyFill="1" applyBorder="1" applyAlignment="1">
      <alignment horizontal="center" vertical="center"/>
    </xf>
    <xf numFmtId="0" fontId="2" fillId="12" borderId="5" xfId="0" applyFont="1" applyFill="1" applyBorder="1" applyAlignment="1" applyProtection="1">
      <alignment horizontal="center" vertical="center"/>
      <protection locked="0"/>
    </xf>
    <xf numFmtId="0" fontId="52" fillId="6" borderId="0" xfId="0" applyFont="1" applyFill="1" applyBorder="1" applyAlignment="1">
      <alignment horizontal="center" vertical="center"/>
    </xf>
    <xf numFmtId="0" fontId="27" fillId="24" borderId="5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 textRotation="180"/>
    </xf>
    <xf numFmtId="0" fontId="2" fillId="10" borderId="5" xfId="0" applyFont="1" applyFill="1" applyBorder="1" applyAlignment="1">
      <alignment horizontal="center" vertical="center" wrapText="1"/>
    </xf>
    <xf numFmtId="0" fontId="27" fillId="10" borderId="5" xfId="0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textRotation="90"/>
    </xf>
    <xf numFmtId="0" fontId="46" fillId="6" borderId="0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 textRotation="90" wrapText="1"/>
    </xf>
    <xf numFmtId="0" fontId="23" fillId="10" borderId="6" xfId="0" applyFont="1" applyFill="1" applyBorder="1" applyAlignment="1">
      <alignment horizontal="center" vertical="center" textRotation="90" wrapText="1"/>
    </xf>
    <xf numFmtId="0" fontId="23" fillId="10" borderId="3" xfId="0" applyFont="1" applyFill="1" applyBorder="1" applyAlignment="1">
      <alignment horizontal="center" vertical="center" textRotation="90" wrapText="1"/>
    </xf>
    <xf numFmtId="0" fontId="23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 textRotation="180"/>
    </xf>
    <xf numFmtId="0" fontId="0" fillId="10" borderId="6" xfId="0" applyFill="1" applyBorder="1" applyAlignment="1">
      <alignment horizontal="center" vertical="center" textRotation="180" wrapText="1"/>
    </xf>
    <xf numFmtId="0" fontId="0" fillId="10" borderId="3" xfId="0" applyFill="1" applyBorder="1" applyAlignment="1">
      <alignment horizontal="center" vertical="center" textRotation="180" wrapText="1"/>
    </xf>
    <xf numFmtId="0" fontId="0" fillId="10" borderId="1" xfId="0" applyFill="1" applyBorder="1" applyAlignment="1">
      <alignment horizontal="center" vertical="center" textRotation="180" wrapText="1"/>
    </xf>
    <xf numFmtId="0" fontId="0" fillId="6" borderId="42" xfId="0" applyFill="1" applyBorder="1" applyAlignment="1">
      <alignment horizontal="center"/>
    </xf>
    <xf numFmtId="0" fontId="0" fillId="6" borderId="41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2" fillId="12" borderId="108" xfId="0" applyFont="1" applyFill="1" applyBorder="1" applyAlignment="1">
      <alignment horizontal="center" vertical="center"/>
    </xf>
    <xf numFmtId="0" fontId="2" fillId="12" borderId="33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166" fontId="2" fillId="6" borderId="5" xfId="0" applyNumberFormat="1" applyFont="1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30" fillId="6" borderId="1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13" borderId="5" xfId="0" applyFont="1" applyFill="1" applyBorder="1" applyAlignment="1">
      <alignment horizontal="center"/>
    </xf>
    <xf numFmtId="0" fontId="2" fillId="13" borderId="7" xfId="0" applyFont="1" applyFill="1" applyBorder="1" applyAlignment="1">
      <alignment horizontal="center" vertical="center"/>
    </xf>
    <xf numFmtId="0" fontId="2" fillId="13" borderId="33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/>
    </xf>
    <xf numFmtId="166" fontId="2" fillId="13" borderId="5" xfId="0" applyNumberFormat="1" applyFont="1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87" xfId="0" applyFill="1" applyBorder="1" applyAlignment="1">
      <alignment horizontal="center"/>
    </xf>
    <xf numFmtId="0" fontId="0" fillId="6" borderId="71" xfId="0" applyFill="1" applyBorder="1" applyAlignment="1">
      <alignment horizontal="center"/>
    </xf>
    <xf numFmtId="0" fontId="9" fillId="3" borderId="74" xfId="0" applyFont="1" applyFill="1" applyBorder="1" applyAlignment="1">
      <alignment horizontal="center" vertical="center"/>
    </xf>
    <xf numFmtId="0" fontId="9" fillId="3" borderId="112" xfId="0" applyFont="1" applyFill="1" applyBorder="1" applyAlignment="1">
      <alignment horizontal="center" vertical="center"/>
    </xf>
    <xf numFmtId="0" fontId="6" fillId="3" borderId="73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13" borderId="7" xfId="0" applyFont="1" applyFill="1" applyBorder="1" applyAlignment="1">
      <alignment horizontal="center"/>
    </xf>
    <xf numFmtId="0" fontId="2" fillId="13" borderId="33" xfId="0" applyFont="1" applyFill="1" applyBorder="1" applyAlignment="1">
      <alignment horizontal="center"/>
    </xf>
    <xf numFmtId="0" fontId="2" fillId="13" borderId="4" xfId="0" applyFont="1" applyFill="1" applyBorder="1" applyAlignment="1">
      <alignment horizontal="center"/>
    </xf>
    <xf numFmtId="0" fontId="13" fillId="6" borderId="112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8" fillId="6" borderId="10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left" vertical="center" wrapText="1"/>
    </xf>
    <xf numFmtId="0" fontId="9" fillId="3" borderId="0" xfId="0" applyFont="1" applyFill="1" applyAlignment="1">
      <alignment horizontal="left" vertical="center"/>
    </xf>
    <xf numFmtId="0" fontId="9" fillId="3" borderId="12" xfId="0" applyFont="1" applyFill="1" applyBorder="1" applyAlignment="1">
      <alignment horizontal="left" vertical="center"/>
    </xf>
    <xf numFmtId="166" fontId="0" fillId="6" borderId="48" xfId="0" applyNumberFormat="1" applyFill="1" applyBorder="1" applyAlignment="1">
      <alignment horizontal="center"/>
    </xf>
    <xf numFmtId="166" fontId="0" fillId="6" borderId="120" xfId="0" applyNumberFormat="1" applyFill="1" applyBorder="1" applyAlignment="1">
      <alignment horizontal="center"/>
    </xf>
    <xf numFmtId="0" fontId="9" fillId="3" borderId="73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118" xfId="0" applyFont="1" applyFill="1" applyBorder="1" applyAlignment="1">
      <alignment horizontal="center" vertical="center"/>
    </xf>
    <xf numFmtId="0" fontId="9" fillId="3" borderId="119" xfId="0" applyFont="1" applyFill="1" applyBorder="1" applyAlignment="1">
      <alignment horizontal="center" vertical="center"/>
    </xf>
    <xf numFmtId="166" fontId="0" fillId="6" borderId="5" xfId="0" applyNumberFormat="1" applyFill="1" applyBorder="1" applyAlignment="1">
      <alignment horizontal="center"/>
    </xf>
    <xf numFmtId="165" fontId="0" fillId="7" borderId="93" xfId="0" applyNumberFormat="1" applyFill="1" applyBorder="1" applyAlignment="1">
      <alignment horizontal="center"/>
    </xf>
    <xf numFmtId="0" fontId="0" fillId="0" borderId="42" xfId="0" applyBorder="1" applyAlignment="1">
      <alignment horizontal="center" vertical="center" textRotation="90"/>
    </xf>
    <xf numFmtId="0" fontId="0" fillId="0" borderId="39" xfId="0" applyBorder="1" applyAlignment="1">
      <alignment horizontal="center" vertical="center" textRotation="90"/>
    </xf>
    <xf numFmtId="0" fontId="11" fillId="6" borderId="67" xfId="2" applyNumberFormat="1" applyFont="1" applyFill="1" applyBorder="1" applyAlignment="1">
      <alignment horizontal="center" vertical="center"/>
    </xf>
    <xf numFmtId="0" fontId="11" fillId="6" borderId="66" xfId="2" applyNumberFormat="1" applyFont="1" applyFill="1" applyBorder="1" applyAlignment="1">
      <alignment horizontal="center" vertical="center"/>
    </xf>
    <xf numFmtId="0" fontId="11" fillId="6" borderId="65" xfId="2" applyNumberFormat="1" applyFont="1" applyFill="1" applyBorder="1" applyAlignment="1">
      <alignment horizontal="center" vertical="center"/>
    </xf>
    <xf numFmtId="0" fontId="11" fillId="0" borderId="67" xfId="2" applyNumberFormat="1" applyFont="1" applyBorder="1" applyAlignment="1">
      <alignment horizontal="center" vertical="center"/>
    </xf>
    <xf numFmtId="0" fontId="11" fillId="0" borderId="66" xfId="2" applyNumberFormat="1" applyFont="1" applyBorder="1" applyAlignment="1">
      <alignment horizontal="center" vertical="center"/>
    </xf>
    <xf numFmtId="0" fontId="11" fillId="0" borderId="65" xfId="2" applyNumberFormat="1" applyFont="1" applyBorder="1" applyAlignment="1">
      <alignment horizontal="center" vertical="center"/>
    </xf>
    <xf numFmtId="0" fontId="10" fillId="6" borderId="7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9" fillId="0" borderId="67" xfId="2" applyNumberFormat="1" applyFont="1" applyBorder="1" applyAlignment="1">
      <alignment horizontal="center" vertical="center"/>
    </xf>
    <xf numFmtId="0" fontId="19" fillId="0" borderId="66" xfId="2" applyNumberFormat="1" applyFont="1" applyBorder="1" applyAlignment="1">
      <alignment horizontal="center" vertical="center"/>
    </xf>
    <xf numFmtId="0" fontId="19" fillId="0" borderId="65" xfId="2" applyNumberFormat="1" applyFont="1" applyBorder="1" applyAlignment="1">
      <alignment horizontal="center" vertical="center"/>
    </xf>
    <xf numFmtId="0" fontId="0" fillId="0" borderId="70" xfId="0" applyBorder="1" applyAlignment="1">
      <alignment horizontal="center" vertical="center" textRotation="90"/>
    </xf>
    <xf numFmtId="0" fontId="0" fillId="0" borderId="53" xfId="0" applyBorder="1" applyAlignment="1">
      <alignment horizontal="center" vertical="center" textRotation="90"/>
    </xf>
    <xf numFmtId="0" fontId="0" fillId="0" borderId="49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0" fontId="0" fillId="0" borderId="102" xfId="0" applyBorder="1" applyAlignment="1">
      <alignment horizontal="center" vertical="center" textRotation="90"/>
    </xf>
    <xf numFmtId="0" fontId="0" fillId="0" borderId="38" xfId="0" applyBorder="1" applyAlignment="1">
      <alignment horizontal="center" vertical="center" textRotation="90"/>
    </xf>
    <xf numFmtId="164" fontId="6" fillId="10" borderId="7" xfId="0" applyNumberFormat="1" applyFont="1" applyFill="1" applyBorder="1" applyAlignment="1">
      <alignment horizontal="center"/>
    </xf>
    <xf numFmtId="0" fontId="6" fillId="10" borderId="4" xfId="0" applyFont="1" applyFill="1" applyBorder="1" applyAlignment="1">
      <alignment horizontal="center"/>
    </xf>
    <xf numFmtId="0" fontId="0" fillId="0" borderId="56" xfId="0" applyBorder="1" applyAlignment="1">
      <alignment horizontal="center" textRotation="90"/>
    </xf>
    <xf numFmtId="0" fontId="0" fillId="0" borderId="38" xfId="0" applyBorder="1" applyAlignment="1">
      <alignment horizontal="center" textRotation="90"/>
    </xf>
    <xf numFmtId="0" fontId="7" fillId="0" borderId="70" xfId="0" applyFont="1" applyBorder="1" applyAlignment="1">
      <alignment horizontal="center" vertical="center" textRotation="90" wrapText="1"/>
    </xf>
    <xf numFmtId="0" fontId="7" fillId="0" borderId="53" xfId="0" applyFont="1" applyBorder="1" applyAlignment="1">
      <alignment horizontal="center" vertical="center" textRotation="90"/>
    </xf>
    <xf numFmtId="0" fontId="7" fillId="0" borderId="49" xfId="0" applyFont="1" applyBorder="1" applyAlignment="1">
      <alignment horizontal="center" vertical="center" textRotation="90"/>
    </xf>
    <xf numFmtId="0" fontId="7" fillId="0" borderId="42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 textRotation="90" wrapText="1"/>
    </xf>
    <xf numFmtId="0" fontId="7" fillId="0" borderId="38" xfId="0" applyFont="1" applyBorder="1" applyAlignment="1">
      <alignment horizontal="center" vertical="center" textRotation="90" wrapText="1"/>
    </xf>
    <xf numFmtId="2" fontId="6" fillId="10" borderId="7" xfId="0" applyNumberFormat="1" applyFont="1" applyFill="1" applyBorder="1" applyAlignment="1">
      <alignment horizontal="center"/>
    </xf>
    <xf numFmtId="2" fontId="6" fillId="10" borderId="4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 wrapText="1"/>
    </xf>
    <xf numFmtId="0" fontId="0" fillId="6" borderId="44" xfId="0" applyFill="1" applyBorder="1" applyAlignment="1">
      <alignment horizontal="center"/>
    </xf>
    <xf numFmtId="0" fontId="0" fillId="7" borderId="115" xfId="0" applyFill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0" fillId="6" borderId="9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0" fontId="0" fillId="6" borderId="3" xfId="0" applyFill="1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7" borderId="7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12" borderId="5" xfId="0" applyFill="1" applyBorder="1" applyAlignment="1">
      <alignment horizontal="center" vertical="center"/>
    </xf>
    <xf numFmtId="0" fontId="0" fillId="12" borderId="50" xfId="0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6" borderId="64" xfId="0" applyFill="1" applyBorder="1" applyAlignment="1">
      <alignment horizontal="center"/>
    </xf>
    <xf numFmtId="166" fontId="0" fillId="6" borderId="7" xfId="0" applyNumberFormat="1" applyFill="1" applyBorder="1" applyAlignment="1">
      <alignment horizontal="center"/>
    </xf>
    <xf numFmtId="166" fontId="0" fillId="6" borderId="33" xfId="0" applyNumberFormat="1" applyFill="1" applyBorder="1" applyAlignment="1">
      <alignment horizontal="center"/>
    </xf>
    <xf numFmtId="165" fontId="6" fillId="5" borderId="7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/>
    </xf>
    <xf numFmtId="164" fontId="6" fillId="10" borderId="96" xfId="0" applyNumberFormat="1" applyFont="1" applyFill="1" applyBorder="1" applyAlignment="1">
      <alignment horizontal="center"/>
    </xf>
    <xf numFmtId="0" fontId="22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2" fillId="6" borderId="5" xfId="0" applyFont="1" applyFill="1" applyBorder="1" applyAlignment="1">
      <alignment horizontal="center" wrapText="1"/>
    </xf>
    <xf numFmtId="0" fontId="0" fillId="7" borderId="93" xfId="0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6" fillId="3" borderId="118" xfId="0" applyFont="1" applyFill="1" applyBorder="1" applyAlignment="1">
      <alignment horizontal="left"/>
    </xf>
    <xf numFmtId="0" fontId="6" fillId="3" borderId="0" xfId="0" applyFont="1" applyFill="1" applyAlignment="1">
      <alignment horizontal="left"/>
    </xf>
    <xf numFmtId="0" fontId="6" fillId="3" borderId="122" xfId="0" applyFont="1" applyFill="1" applyBorder="1" applyAlignment="1">
      <alignment horizontal="left"/>
    </xf>
    <xf numFmtId="0" fontId="6" fillId="3" borderId="119" xfId="0" applyFont="1" applyFill="1" applyBorder="1" applyAlignment="1">
      <alignment horizontal="left"/>
    </xf>
    <xf numFmtId="0" fontId="0" fillId="0" borderId="51" xfId="0" applyBorder="1" applyAlignment="1">
      <alignment horizontal="center" vertical="center"/>
    </xf>
    <xf numFmtId="164" fontId="6" fillId="5" borderId="48" xfId="0" applyNumberFormat="1" applyFont="1" applyFill="1" applyBorder="1" applyAlignment="1">
      <alignment horizontal="center"/>
    </xf>
    <xf numFmtId="164" fontId="6" fillId="5" borderId="89" xfId="0" applyNumberFormat="1" applyFont="1" applyFill="1" applyBorder="1" applyAlignment="1">
      <alignment horizontal="center"/>
    </xf>
    <xf numFmtId="164" fontId="6" fillId="10" borderId="48" xfId="0" applyNumberFormat="1" applyFont="1" applyFill="1" applyBorder="1" applyAlignment="1">
      <alignment horizontal="center"/>
    </xf>
    <xf numFmtId="164" fontId="6" fillId="10" borderId="121" xfId="0" applyNumberFormat="1" applyFont="1" applyFill="1" applyBorder="1" applyAlignment="1">
      <alignment horizontal="center"/>
    </xf>
    <xf numFmtId="164" fontId="6" fillId="5" borderId="7" xfId="0" applyNumberFormat="1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0" fontId="21" fillId="8" borderId="0" xfId="0" applyFont="1" applyFill="1" applyAlignment="1">
      <alignment horizontal="center" vertical="center"/>
    </xf>
    <xf numFmtId="0" fontId="0" fillId="7" borderId="123" xfId="0" applyFill="1" applyBorder="1" applyAlignment="1">
      <alignment horizontal="center"/>
    </xf>
    <xf numFmtId="0" fontId="0" fillId="7" borderId="124" xfId="0" applyFill="1" applyBorder="1" applyAlignment="1">
      <alignment horizontal="center"/>
    </xf>
    <xf numFmtId="164" fontId="2" fillId="13" borderId="7" xfId="0" applyNumberFormat="1" applyFont="1" applyFill="1" applyBorder="1" applyAlignment="1">
      <alignment horizontal="center"/>
    </xf>
    <xf numFmtId="164" fontId="2" fillId="13" borderId="4" xfId="0" applyNumberFormat="1" applyFont="1" applyFill="1" applyBorder="1" applyAlignment="1">
      <alignment horizontal="center"/>
    </xf>
    <xf numFmtId="0" fontId="0" fillId="6" borderId="128" xfId="0" applyFill="1" applyBorder="1" applyAlignment="1">
      <alignment horizontal="center"/>
    </xf>
    <xf numFmtId="164" fontId="6" fillId="5" borderId="64" xfId="0" applyNumberFormat="1" applyFont="1" applyFill="1" applyBorder="1" applyAlignment="1">
      <alignment horizontal="center"/>
    </xf>
    <xf numFmtId="164" fontId="6" fillId="5" borderId="94" xfId="0" applyNumberFormat="1" applyFont="1" applyFill="1" applyBorder="1" applyAlignment="1">
      <alignment horizontal="center"/>
    </xf>
    <xf numFmtId="164" fontId="6" fillId="10" borderId="64" xfId="0" applyNumberFormat="1" applyFont="1" applyFill="1" applyBorder="1" applyAlignment="1">
      <alignment horizontal="center"/>
    </xf>
    <xf numFmtId="164" fontId="6" fillId="10" borderId="85" xfId="0" applyNumberFormat="1" applyFont="1" applyFill="1" applyBorder="1" applyAlignment="1">
      <alignment horizontal="center"/>
    </xf>
    <xf numFmtId="164" fontId="2" fillId="13" borderId="64" xfId="0" applyNumberFormat="1" applyFont="1" applyFill="1" applyBorder="1" applyAlignment="1">
      <alignment horizontal="center"/>
    </xf>
    <xf numFmtId="164" fontId="2" fillId="13" borderId="85" xfId="0" applyNumberFormat="1" applyFont="1" applyFill="1" applyBorder="1" applyAlignment="1">
      <alignment horizontal="center"/>
    </xf>
    <xf numFmtId="164" fontId="2" fillId="13" borderId="96" xfId="0" applyNumberFormat="1" applyFont="1" applyFill="1" applyBorder="1" applyAlignment="1">
      <alignment horizontal="center"/>
    </xf>
    <xf numFmtId="0" fontId="6" fillId="3" borderId="73" xfId="0" applyFont="1" applyFill="1" applyBorder="1" applyAlignment="1">
      <alignment horizontal="left"/>
    </xf>
    <xf numFmtId="0" fontId="6" fillId="3" borderId="72" xfId="0" applyFont="1" applyFill="1" applyBorder="1" applyAlignment="1">
      <alignment horizontal="left"/>
    </xf>
    <xf numFmtId="2" fontId="6" fillId="5" borderId="5" xfId="0" applyNumberFormat="1" applyFont="1" applyFill="1" applyBorder="1" applyAlignment="1">
      <alignment horizontal="center"/>
    </xf>
    <xf numFmtId="0" fontId="0" fillId="0" borderId="108" xfId="0" applyBorder="1" applyAlignment="1">
      <alignment horizontal="center" vertical="center"/>
    </xf>
    <xf numFmtId="0" fontId="5" fillId="6" borderId="5" xfId="0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29" fillId="5" borderId="73" xfId="0" applyFont="1" applyFill="1" applyBorder="1" applyAlignment="1">
      <alignment horizontal="left"/>
    </xf>
    <xf numFmtId="0" fontId="29" fillId="5" borderId="0" xfId="0" applyFont="1" applyFill="1" applyAlignment="1">
      <alignment horizontal="left"/>
    </xf>
    <xf numFmtId="0" fontId="6" fillId="11" borderId="5" xfId="0" applyFont="1" applyFill="1" applyBorder="1" applyAlignment="1">
      <alignment horizontal="center" vertical="center"/>
    </xf>
    <xf numFmtId="0" fontId="6" fillId="11" borderId="50" xfId="0" applyFont="1" applyFill="1" applyBorder="1" applyAlignment="1">
      <alignment horizontal="center" vertical="center"/>
    </xf>
    <xf numFmtId="0" fontId="6" fillId="11" borderId="37" xfId="0" applyFont="1" applyFill="1" applyBorder="1" applyAlignment="1">
      <alignment horizontal="center" vertical="center"/>
    </xf>
    <xf numFmtId="0" fontId="6" fillId="11" borderId="36" xfId="0" applyFont="1" applyFill="1" applyBorder="1" applyAlignment="1">
      <alignment horizontal="center" vertical="center"/>
    </xf>
    <xf numFmtId="0" fontId="2" fillId="6" borderId="5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9" borderId="50" xfId="0" applyFont="1" applyFill="1" applyBorder="1" applyAlignment="1">
      <alignment horizontal="center" vertical="center"/>
    </xf>
    <xf numFmtId="0" fontId="6" fillId="15" borderId="51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6" fillId="15" borderId="7" xfId="0" applyFont="1" applyFill="1" applyBorder="1" applyAlignment="1">
      <alignment horizontal="center" vertical="center"/>
    </xf>
    <xf numFmtId="0" fontId="6" fillId="15" borderId="96" xfId="0" applyFont="1" applyFill="1" applyBorder="1" applyAlignment="1">
      <alignment horizontal="center" vertical="center"/>
    </xf>
    <xf numFmtId="16" fontId="6" fillId="15" borderId="5" xfId="0" quotePrefix="1" applyNumberFormat="1" applyFont="1" applyFill="1" applyBorder="1" applyAlignment="1">
      <alignment horizontal="center" vertical="center"/>
    </xf>
    <xf numFmtId="0" fontId="16" fillId="6" borderId="112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 wrapText="1"/>
    </xf>
    <xf numFmtId="0" fontId="2" fillId="6" borderId="2" xfId="0" applyFont="1" applyFill="1" applyBorder="1" applyAlignment="1">
      <alignment horizontal="center"/>
    </xf>
    <xf numFmtId="0" fontId="24" fillId="6" borderId="72" xfId="0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wrapText="1"/>
    </xf>
    <xf numFmtId="0" fontId="23" fillId="6" borderId="5" xfId="0" applyFont="1" applyFill="1" applyBorder="1" applyAlignment="1">
      <alignment horizontal="center"/>
    </xf>
    <xf numFmtId="165" fontId="0" fillId="7" borderId="5" xfId="0" applyNumberFormat="1" applyFill="1" applyBorder="1" applyAlignment="1">
      <alignment horizontal="center"/>
    </xf>
    <xf numFmtId="0" fontId="23" fillId="6" borderId="9" xfId="0" applyFont="1" applyFill="1" applyBorder="1" applyAlignment="1">
      <alignment horizontal="center" wrapText="1"/>
    </xf>
    <xf numFmtId="0" fontId="23" fillId="6" borderId="11" xfId="0" applyFont="1" applyFill="1" applyBorder="1" applyAlignment="1">
      <alignment horizontal="center"/>
    </xf>
    <xf numFmtId="0" fontId="23" fillId="6" borderId="6" xfId="0" applyFont="1" applyFill="1" applyBorder="1" applyAlignment="1">
      <alignment horizontal="center"/>
    </xf>
    <xf numFmtId="0" fontId="23" fillId="6" borderId="3" xfId="0" applyFont="1" applyFill="1" applyBorder="1" applyAlignment="1">
      <alignment horizontal="center"/>
    </xf>
    <xf numFmtId="0" fontId="23" fillId="6" borderId="10" xfId="0" applyFont="1" applyFill="1" applyBorder="1" applyAlignment="1">
      <alignment horizontal="center"/>
    </xf>
    <xf numFmtId="0" fontId="23" fillId="6" borderId="1" xfId="0" applyFont="1" applyFill="1" applyBorder="1" applyAlignment="1">
      <alignment horizontal="center"/>
    </xf>
    <xf numFmtId="165" fontId="0" fillId="7" borderId="46" xfId="0" applyNumberFormat="1" applyFill="1" applyBorder="1" applyAlignment="1">
      <alignment horizontal="center"/>
    </xf>
    <xf numFmtId="165" fontId="0" fillId="7" borderId="27" xfId="0" applyNumberFormat="1" applyFill="1" applyBorder="1" applyAlignment="1">
      <alignment horizontal="center"/>
    </xf>
    <xf numFmtId="165" fontId="0" fillId="7" borderId="45" xfId="0" applyNumberFormat="1" applyFill="1" applyBorder="1" applyAlignment="1">
      <alignment horizontal="center"/>
    </xf>
    <xf numFmtId="0" fontId="0" fillId="6" borderId="46" xfId="0" applyFill="1" applyBorder="1" applyAlignment="1">
      <alignment horizontal="center" wrapText="1"/>
    </xf>
    <xf numFmtId="0" fontId="0" fillId="6" borderId="45" xfId="0" applyFill="1" applyBorder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14" fillId="9" borderId="51" xfId="0" applyFont="1" applyFill="1" applyBorder="1" applyAlignment="1">
      <alignment horizontal="center" vertical="center"/>
    </xf>
    <xf numFmtId="16" fontId="0" fillId="4" borderId="5" xfId="0" quotePrefix="1" applyNumberFormat="1" applyFill="1" applyBorder="1" applyAlignment="1">
      <alignment horizontal="center" vertical="center"/>
    </xf>
    <xf numFmtId="0" fontId="14" fillId="10" borderId="51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0" borderId="50" xfId="0" applyFont="1" applyFill="1" applyBorder="1" applyAlignment="1">
      <alignment horizontal="center" vertical="center"/>
    </xf>
    <xf numFmtId="0" fontId="6" fillId="11" borderId="51" xfId="0" applyFont="1" applyFill="1" applyBorder="1" applyAlignment="1">
      <alignment horizontal="center" vertical="center" wrapText="1"/>
    </xf>
    <xf numFmtId="0" fontId="6" fillId="11" borderId="38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6" fillId="3" borderId="74" xfId="0" applyFont="1" applyFill="1" applyBorder="1" applyAlignment="1">
      <alignment horizontal="left"/>
    </xf>
    <xf numFmtId="0" fontId="6" fillId="3" borderId="112" xfId="0" applyFont="1" applyFill="1" applyBorder="1" applyAlignment="1">
      <alignment horizontal="left"/>
    </xf>
    <xf numFmtId="0" fontId="6" fillId="3" borderId="71" xfId="0" applyFont="1" applyFill="1" applyBorder="1" applyAlignment="1">
      <alignment horizontal="left"/>
    </xf>
    <xf numFmtId="0" fontId="7" fillId="0" borderId="56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7" fillId="0" borderId="54" xfId="0" applyFont="1" applyBorder="1" applyAlignment="1">
      <alignment horizontal="center"/>
    </xf>
    <xf numFmtId="0" fontId="7" fillId="0" borderId="87" xfId="0" applyFont="1" applyBorder="1" applyAlignment="1">
      <alignment horizontal="center"/>
    </xf>
    <xf numFmtId="0" fontId="7" fillId="0" borderId="86" xfId="0" applyFont="1" applyBorder="1" applyAlignment="1">
      <alignment horizontal="center"/>
    </xf>
    <xf numFmtId="0" fontId="7" fillId="0" borderId="85" xfId="0" applyFont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0" fillId="6" borderId="5" xfId="0" applyFill="1" applyBorder="1" applyAlignment="1">
      <alignment horizontal="center" vertical="center" wrapText="1"/>
    </xf>
    <xf numFmtId="0" fontId="0" fillId="6" borderId="44" xfId="0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/>
    </xf>
    <xf numFmtId="0" fontId="0" fillId="0" borderId="56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7" fillId="0" borderId="56" xfId="0" applyFont="1" applyBorder="1" applyAlignment="1">
      <alignment horizontal="center" vertical="center" textRotation="90" wrapText="1"/>
    </xf>
    <xf numFmtId="14" fontId="24" fillId="6" borderId="72" xfId="0" applyNumberFormat="1" applyFont="1" applyFill="1" applyBorder="1" applyAlignment="1">
      <alignment horizontal="center" vertical="center" wrapText="1"/>
    </xf>
    <xf numFmtId="165" fontId="6" fillId="10" borderId="5" xfId="0" applyNumberFormat="1" applyFont="1" applyFill="1" applyBorder="1" applyAlignment="1">
      <alignment horizontal="center"/>
    </xf>
    <xf numFmtId="165" fontId="6" fillId="10" borderId="7" xfId="0" applyNumberFormat="1" applyFont="1" applyFill="1" applyBorder="1" applyAlignment="1">
      <alignment horizontal="center"/>
    </xf>
    <xf numFmtId="165" fontId="6" fillId="10" borderId="4" xfId="0" applyNumberFormat="1" applyFont="1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165" fontId="6" fillId="5" borderId="5" xfId="0" applyNumberFormat="1" applyFont="1" applyFill="1" applyBorder="1" applyAlignment="1">
      <alignment horizontal="center"/>
    </xf>
    <xf numFmtId="2" fontId="6" fillId="5" borderId="5" xfId="0" applyNumberFormat="1" applyFont="1" applyFill="1" applyBorder="1" applyAlignment="1">
      <alignment horizontal="center" vertical="center"/>
    </xf>
    <xf numFmtId="0" fontId="22" fillId="6" borderId="88" xfId="0" applyFont="1" applyFill="1" applyBorder="1" applyAlignment="1">
      <alignment horizontal="center" vertical="center"/>
    </xf>
    <xf numFmtId="0" fontId="22" fillId="6" borderId="105" xfId="0" applyFont="1" applyFill="1" applyBorder="1" applyAlignment="1">
      <alignment horizontal="center" vertical="center"/>
    </xf>
    <xf numFmtId="0" fontId="0" fillId="17" borderId="112" xfId="0" applyFill="1" applyBorder="1" applyAlignment="1">
      <alignment horizontal="left" vertical="center"/>
    </xf>
    <xf numFmtId="0" fontId="0" fillId="17" borderId="119" xfId="0" applyFill="1" applyBorder="1" applyAlignment="1">
      <alignment horizontal="left" vertical="center"/>
    </xf>
    <xf numFmtId="0" fontId="31" fillId="6" borderId="73" xfId="0" applyFont="1" applyFill="1" applyBorder="1" applyAlignment="1">
      <alignment horizontal="center" vertical="center" wrapText="1"/>
    </xf>
    <xf numFmtId="0" fontId="31" fillId="6" borderId="0" xfId="0" applyFont="1" applyFill="1" applyBorder="1" applyAlignment="1">
      <alignment horizontal="center" vertical="center" wrapText="1"/>
    </xf>
    <xf numFmtId="0" fontId="31" fillId="6" borderId="72" xfId="0" applyFont="1" applyFill="1" applyBorder="1" applyAlignment="1">
      <alignment horizontal="center" vertical="center" wrapText="1"/>
    </xf>
    <xf numFmtId="0" fontId="0" fillId="19" borderId="119" xfId="0" applyFill="1" applyBorder="1" applyAlignment="1">
      <alignment horizontal="left" vertical="center"/>
    </xf>
    <xf numFmtId="0" fontId="0" fillId="19" borderId="112" xfId="0" applyFill="1" applyBorder="1" applyAlignment="1">
      <alignment horizontal="center" vertical="center"/>
    </xf>
    <xf numFmtId="0" fontId="0" fillId="19" borderId="71" xfId="0" applyFill="1" applyBorder="1" applyAlignment="1">
      <alignment horizontal="center" vertical="center"/>
    </xf>
    <xf numFmtId="0" fontId="0" fillId="19" borderId="73" xfId="0" applyFill="1" applyBorder="1" applyAlignment="1">
      <alignment horizontal="center" vertical="center"/>
    </xf>
    <xf numFmtId="0" fontId="0" fillId="19" borderId="0" xfId="0" applyFill="1" applyBorder="1" applyAlignment="1">
      <alignment horizontal="center" vertical="center"/>
    </xf>
    <xf numFmtId="0" fontId="0" fillId="19" borderId="72" xfId="0" applyFill="1" applyBorder="1" applyAlignment="1">
      <alignment horizontal="center" vertical="center"/>
    </xf>
    <xf numFmtId="0" fontId="0" fillId="17" borderId="71" xfId="0" applyFill="1" applyBorder="1" applyAlignment="1">
      <alignment horizontal="left" vertical="center"/>
    </xf>
    <xf numFmtId="0" fontId="0" fillId="17" borderId="72" xfId="0" applyFill="1" applyBorder="1" applyAlignment="1">
      <alignment horizontal="left" vertical="center"/>
    </xf>
    <xf numFmtId="0" fontId="0" fillId="17" borderId="122" xfId="0" applyFill="1" applyBorder="1" applyAlignment="1">
      <alignment horizontal="left" vertical="center"/>
    </xf>
    <xf numFmtId="0" fontId="0" fillId="0" borderId="0" xfId="0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72" xfId="0" applyFont="1" applyBorder="1" applyAlignment="1">
      <alignment horizontal="center" wrapText="1"/>
    </xf>
    <xf numFmtId="0" fontId="4" fillId="0" borderId="112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4" fillId="21" borderId="0" xfId="0" applyFont="1" applyFill="1" applyAlignment="1">
      <alignment horizontal="center" vertical="center" wrapText="1"/>
    </xf>
    <xf numFmtId="0" fontId="43" fillId="0" borderId="0" xfId="4" applyAlignment="1">
      <alignment horizontal="left"/>
    </xf>
    <xf numFmtId="0" fontId="0" fillId="0" borderId="0" xfId="0" applyAlignment="1">
      <alignment horizontal="center"/>
    </xf>
    <xf numFmtId="0" fontId="2" fillId="6" borderId="12" xfId="0" applyFont="1" applyFill="1" applyBorder="1" applyAlignment="1">
      <alignment horizontal="center" wrapText="1"/>
    </xf>
    <xf numFmtId="0" fontId="2" fillId="6" borderId="0" xfId="0" applyFont="1" applyFill="1" applyBorder="1" applyAlignment="1">
      <alignment horizontal="center" wrapText="1"/>
    </xf>
    <xf numFmtId="0" fontId="0" fillId="7" borderId="12" xfId="0" applyFill="1" applyBorder="1" applyAlignment="1"/>
    <xf numFmtId="0" fontId="0" fillId="7" borderId="0" xfId="0" applyFill="1" applyBorder="1" applyAlignment="1"/>
    <xf numFmtId="0" fontId="21" fillId="8" borderId="0" xfId="0" applyFont="1" applyFill="1" applyBorder="1" applyAlignment="1">
      <alignment horizontal="center"/>
    </xf>
    <xf numFmtId="0" fontId="6" fillId="10" borderId="7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9" fillId="3" borderId="46" xfId="0" applyFont="1" applyFill="1" applyBorder="1" applyAlignment="1">
      <alignment horizontal="center" vertical="center"/>
    </xf>
    <xf numFmtId="0" fontId="9" fillId="3" borderId="27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13" fillId="6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14" fontId="20" fillId="6" borderId="0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 vertical="center" wrapText="1"/>
    </xf>
    <xf numFmtId="0" fontId="0" fillId="6" borderId="44" xfId="0" applyFont="1" applyFill="1" applyBorder="1" applyAlignment="1">
      <alignment horizontal="center" vertical="center" wrapText="1"/>
    </xf>
    <xf numFmtId="14" fontId="24" fillId="6" borderId="0" xfId="0" applyNumberFormat="1" applyFont="1" applyFill="1" applyBorder="1" applyAlignment="1">
      <alignment horizontal="center" vertical="center" wrapText="1"/>
    </xf>
  </cellXfs>
  <cellStyles count="5">
    <cellStyle name="Comma" xfId="2" builtinId="3"/>
    <cellStyle name="Currency" xfId="3" builtinId="4"/>
    <cellStyle name="Hyperlink" xfId="4" builtinId="8"/>
    <cellStyle name="Normal" xfId="0" builtinId="0"/>
    <cellStyle name="Percent" xfId="1" builtinId="5"/>
  </cellStyles>
  <dxfs count="37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</dxf>
    <dxf>
      <font>
        <color rgb="FF00B050"/>
      </font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\ h:mm;@"/>
      <alignment horizontal="center" vertical="bottom" textRotation="0" wrapText="0" indent="0" justifyLastLine="0" shrinkToFit="0" readingOrder="0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'AA-4'!$F$9:$F$9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5-4FCD-9DEB-42D8BA5E0F73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0B5-4FCD-9DEB-42D8BA5E0F73}"/>
              </c:ext>
            </c:extLst>
          </c:dPt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('AA-4'!$F$4,'AA-4'!$F$4)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B5-4FCD-9DEB-42D8BA5E0F73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B5-4FCD-9DEB-42D8BA5E0F73}"/>
              </c:ext>
            </c:extLst>
          </c:dPt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('AA-4'!$F$5,'AA-4'!$F$5)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B5-4FCD-9DEB-42D8BA5E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87704"/>
        <c:axId val="338450088"/>
      </c:scatterChart>
      <c:valAx>
        <c:axId val="208187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50088"/>
        <c:crosses val="autoZero"/>
        <c:crossBetween val="midCat"/>
      </c:valAx>
      <c:valAx>
        <c:axId val="3384500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187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'AA-4'!$G$9:$G$9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4413-ACA3-CF95BF9C225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('AA-4'!$G$4,'AA-4'!$G$4)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C-4413-ACA3-CF95BF9C225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('AA-4'!$G$5,'AA-4'!$G$5)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C-4413-ACA3-CF95BF9C2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82832"/>
        <c:axId val="339390168"/>
      </c:scatterChart>
      <c:valAx>
        <c:axId val="20898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390168"/>
        <c:crosses val="autoZero"/>
        <c:crossBetween val="midCat"/>
      </c:valAx>
      <c:valAx>
        <c:axId val="3393901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8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'AA-4'!$H$9:$H$9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0-4112-8D36-58318599871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('AA-4'!$H$4,'AA-4'!$H$4)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D0-4112-8D36-58318599871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('AA-4'!$H$5,'AA-4'!$H$5)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D0-4112-8D36-583185998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68104"/>
        <c:axId val="209568496"/>
      </c:scatterChart>
      <c:valAx>
        <c:axId val="209568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68496"/>
        <c:crosses val="autoZero"/>
        <c:crossBetween val="midCat"/>
      </c:valAx>
      <c:valAx>
        <c:axId val="2095684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68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'AA-4'!$I$9:$I$9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6-42CA-93B8-4E22E72089B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('AA-4'!$I$4,'AA-4'!$I$4)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A6-42CA-93B8-4E22E72089B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('AA-4'!$I$5,'AA-4'!$I$5)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A6-42CA-93B8-4E22E7208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0848"/>
        <c:axId val="206491016"/>
      </c:scatterChart>
      <c:valAx>
        <c:axId val="20957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91016"/>
        <c:crosses val="autoZero"/>
        <c:crossBetween val="midCat"/>
      </c:valAx>
      <c:valAx>
        <c:axId val="2064910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'AA-4'!$J$9:$J$9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D-4441-A6F2-9F22B184701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('AA-4'!$J$4,'AA-4'!$J$4)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D-4441-A6F2-9F22B184701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('AA-4'!$J$5,'AA-4'!$J$5)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CD-4441-A6F2-9F22B1847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08160"/>
        <c:axId val="368008552"/>
      </c:scatterChart>
      <c:valAx>
        <c:axId val="36800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08552"/>
        <c:crosses val="autoZero"/>
        <c:crossBetween val="midCat"/>
      </c:valAx>
      <c:valAx>
        <c:axId val="3680085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0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'AA-4'!$K$9:$K$9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4-4CFA-BAF1-0EFBBDAE0AA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('AA-4'!$K$4,'AA-4'!$K$4)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4-4CFA-BAF1-0EFBBDAE0AA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('AA-4'!$K$5,'AA-4'!$K$5)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4-4CFA-BAF1-0EFBBDAE0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09336"/>
        <c:axId val="368009728"/>
      </c:scatterChart>
      <c:valAx>
        <c:axId val="36800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09728"/>
        <c:crosses val="autoZero"/>
        <c:crossBetween val="midCat"/>
      </c:valAx>
      <c:valAx>
        <c:axId val="3680097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0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'AA-4'!$L$9:$L$9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4-4E29-A116-C9BD5B01900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('AA-4'!$L$4,'AA-4'!$L$4)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24-4E29-A116-C9BD5B01900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('AA-4'!$L$5,'AA-4'!$L$5)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24-4E29-A116-C9BD5B019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10512"/>
        <c:axId val="368010904"/>
      </c:scatterChart>
      <c:valAx>
        <c:axId val="36801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10904"/>
        <c:crosses val="autoZero"/>
        <c:crossBetween val="midCat"/>
      </c:valAx>
      <c:valAx>
        <c:axId val="3680109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1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'AA-4'!$M$9:$M$9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2-4846-8EEB-25B42F061D8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('AA-4'!$M$4,'AA-4'!$M$4)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72-4846-8EEB-25B42F061D8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('AA-4'!$M$5,'AA-4'!$M$5)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72-4846-8EEB-25B42F061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07768"/>
        <c:axId val="368431304"/>
      </c:scatterChart>
      <c:valAx>
        <c:axId val="36800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1304"/>
        <c:crosses val="autoZero"/>
        <c:crossBetween val="midCat"/>
      </c:valAx>
      <c:valAx>
        <c:axId val="3684313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0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'AA-4'!$N$9:$N$9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8-47ED-A330-21DC0C0B950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('AA-4'!$N$4,'AA-4'!$N$4)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38-47ED-A330-21DC0C0B950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('AA-4'!$N$5,'AA-4'!$N$5)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38-47ED-A330-21DC0C0B9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32088"/>
        <c:axId val="368432480"/>
      </c:scatterChart>
      <c:valAx>
        <c:axId val="36843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2480"/>
        <c:crosses val="autoZero"/>
        <c:crossBetween val="midCat"/>
      </c:valAx>
      <c:valAx>
        <c:axId val="368432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'AA-4'!$O$9:$O$9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F-407D-B255-29A321F3E29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('AA-4'!$O$4,'AA-4'!$O$4)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F-407D-B255-29A321F3E29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('AA-4'!$O$5,'AA-4'!$O$5)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6F-407D-B255-29A321F3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33264"/>
        <c:axId val="368433656"/>
      </c:scatterChart>
      <c:valAx>
        <c:axId val="36843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3656"/>
        <c:crosses val="autoZero"/>
        <c:crossBetween val="midCat"/>
      </c:valAx>
      <c:valAx>
        <c:axId val="368433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'AA-4'!$R$9:$R$9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A4-4822-A94B-5A779C50F1F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('AA-4'!$R$4,'AA-4'!$R$4)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A4-4822-A94B-5A779C50F1F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('AA-4'!$R$5,'AA-4'!$R$5)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A4-4822-A94B-5A779C50F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34440"/>
        <c:axId val="209570456"/>
      </c:scatterChart>
      <c:valAx>
        <c:axId val="36843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70456"/>
        <c:crosses val="autoZero"/>
        <c:crossBetween val="midCat"/>
      </c:valAx>
      <c:valAx>
        <c:axId val="2095704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4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'AA-4'!$S$9:$S$9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B-4954-9EC6-511E489A649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('AA-4'!$S$4,'AA-4'!$S$4)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8B-4954-9EC6-511E489A649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('AA-4'!$S$5,'AA-4'!$S$5)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8B-4954-9EC6-511E489A6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69672"/>
        <c:axId val="209569280"/>
      </c:scatterChart>
      <c:valAx>
        <c:axId val="20956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69280"/>
        <c:crosses val="autoZero"/>
        <c:crossBetween val="midCat"/>
      </c:valAx>
      <c:valAx>
        <c:axId val="2095692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6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'AA-4'!$T$9:$T$9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65-43C4-85EF-5F42EB1FCCE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('AA-4'!$T$4,'AA-4'!$T$4)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65-43C4-85EF-5F42EB1FCCE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('AA-4'!$T$5,'AA-4'!$T$5)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65-43C4-85EF-5F42EB1FC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85928"/>
        <c:axId val="368586320"/>
      </c:scatterChart>
      <c:valAx>
        <c:axId val="36858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86320"/>
        <c:crosses val="autoZero"/>
        <c:crossBetween val="midCat"/>
      </c:valAx>
      <c:valAx>
        <c:axId val="3685863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8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'AA-4'!$U$9:$U$9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6-4A3D-8B2F-C2863646C97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('AA-4'!$U$4,'AA-4'!$U$4)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B6-4A3D-8B2F-C2863646C97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('AA-4'!$U$5,'AA-4'!$U$5)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B6-4A3D-8B2F-C2863646C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87104"/>
        <c:axId val="368879992"/>
      </c:scatterChart>
      <c:valAx>
        <c:axId val="36858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79992"/>
        <c:crosses val="autoZero"/>
        <c:crossBetween val="midCat"/>
      </c:valAx>
      <c:valAx>
        <c:axId val="3688799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8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'AA-4'!$AB$9:$AB$9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2-4088-9D5F-427775FE2C3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('AA-4'!$AB$4,'AA-4'!$AB$4)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2-4088-9D5F-427775FE2C3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('AA-4'!$AB$5,'AA-4'!$AB$5)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32-4088-9D5F-427775FE2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80776"/>
        <c:axId val="368881168"/>
      </c:scatterChart>
      <c:valAx>
        <c:axId val="3688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81168"/>
        <c:crosses val="autoZero"/>
        <c:crossBetween val="midCat"/>
      </c:valAx>
      <c:valAx>
        <c:axId val="3688811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'AA-4'!$AC$9:$AC$9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26-4819-9715-4C2D7209A7B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('AA-4'!$AC$4,'AA-4'!$AC$4)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26-4819-9715-4C2D7209A7B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('AA-4'!$AC$5,'AA-4'!$AC$5)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26-4819-9715-4C2D7209A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81952"/>
        <c:axId val="368882344"/>
      </c:scatterChart>
      <c:valAx>
        <c:axId val="36888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82344"/>
        <c:crosses val="autoZero"/>
        <c:crossBetween val="midCat"/>
      </c:valAx>
      <c:valAx>
        <c:axId val="3688823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8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'AA-4'!$AD$9:$AD$9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7-4B97-87FE-990CF963297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('AA-4'!$AD$4,'AA-4'!$AD$4)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57-4B97-87FE-990CF963297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('AA-4'!$AD$5,'AA-4'!$AD$5)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57-4B97-87FE-990CF9632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883128"/>
        <c:axId val="368883520"/>
      </c:scatterChart>
      <c:valAx>
        <c:axId val="368883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83520"/>
        <c:crosses val="autoZero"/>
        <c:crossBetween val="midCat"/>
      </c:valAx>
      <c:valAx>
        <c:axId val="368883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83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'AA-4'!$AE$9:$AE$9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8-425E-9FEC-E37EFAB494B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('AA-4'!$AE$4,'AA-4'!$AE$4)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88-425E-9FEC-E37EFAB494B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('AA-4'!$AE$5,'AA-4'!$AE$5)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88-425E-9FEC-E37EFAB49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40864"/>
        <c:axId val="368141256"/>
      </c:scatterChart>
      <c:valAx>
        <c:axId val="36814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41256"/>
        <c:crosses val="autoZero"/>
        <c:crossBetween val="midCat"/>
      </c:valAx>
      <c:valAx>
        <c:axId val="3681412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4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'AA-4'!$AF$9:$AF$9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4-4F28-B0A4-0633649EA12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('AA-4'!$AF$4,'AA-4'!$AF$4)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4-4F28-B0A4-0633649EA12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('AA-4'!$AF$5,'AA-4'!$AF$5)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F4-4F28-B0A4-0633649EA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41648"/>
        <c:axId val="368998784"/>
      </c:scatterChart>
      <c:valAx>
        <c:axId val="36814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98784"/>
        <c:crosses val="autoZero"/>
        <c:crossBetween val="midCat"/>
      </c:valAx>
      <c:valAx>
        <c:axId val="3689987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4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'AA-4'!$AG$9:$AG$9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A-4158-8814-F3F9E380572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('AA-4'!$AG$4,'AA-4'!$AG$4)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8A-4158-8814-F3F9E380572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('AA-4'!$AG$5,'AA-4'!$AG$5)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8A-4158-8814-F3F9E380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999568"/>
        <c:axId val="368999960"/>
      </c:scatterChart>
      <c:valAx>
        <c:axId val="36899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99960"/>
        <c:crosses val="autoZero"/>
        <c:crossBetween val="midCat"/>
      </c:valAx>
      <c:valAx>
        <c:axId val="3689999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9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'AA-4'!$AH$9:$AH$9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CF-47A3-8833-46B8E857FC0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('AA-4'!$AH$4,'AA-4'!$AH$4)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CF-47A3-8833-46B8E857FC0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('AA-4'!$AH$5,'AA-4'!$AH$5)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CF-47A3-8833-46B8E857F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00744"/>
        <c:axId val="369001136"/>
      </c:scatterChart>
      <c:valAx>
        <c:axId val="36900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01136"/>
        <c:crosses val="autoZero"/>
        <c:crossBetween val="midCat"/>
      </c:valAx>
      <c:valAx>
        <c:axId val="3690011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0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'AA-4'!$AI$8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'AA-4'!$C$9:$C$9</c:f>
              <c:numCache>
                <c:formatCode>m/d/yy\ h:mm;@</c:formatCode>
                <c:ptCount val="1"/>
              </c:numCache>
            </c:numRef>
          </c:xVal>
          <c:yVal>
            <c:numRef>
              <c:f>'AA-4'!$AI$9:$AI$9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B8-4BF8-8AA2-3D75838FF09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('AA-4'!$AI$4,'AA-4'!$AI$4)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B8-4BF8-8AA2-3D75838FF09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('AA-4'!$C$1,'AA-4'!$C$2)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('AA-4'!$AI$5,'AA-4'!$AI$5)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B8-4BF8-8AA2-3D75838FF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01920"/>
        <c:axId val="369002312"/>
      </c:scatterChart>
      <c:valAx>
        <c:axId val="3690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02312"/>
        <c:crosses val="autoZero"/>
        <c:crossBetween val="midCat"/>
      </c:valAx>
      <c:valAx>
        <c:axId val="3690023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'AMP1-2'!$F$9:$F$107</c:f>
              <c:numCache>
                <c:formatCode>General</c:formatCode>
                <c:ptCount val="99"/>
                <c:pt idx="0">
                  <c:v>41.146000000000001</c:v>
                </c:pt>
                <c:pt idx="2">
                  <c:v>40.898000000000003</c:v>
                </c:pt>
                <c:pt idx="4">
                  <c:v>40.997999999999998</c:v>
                </c:pt>
                <c:pt idx="6">
                  <c:v>41.006</c:v>
                </c:pt>
                <c:pt idx="8">
                  <c:v>40.997</c:v>
                </c:pt>
                <c:pt idx="10">
                  <c:v>41.01</c:v>
                </c:pt>
                <c:pt idx="12">
                  <c:v>41.012999999999998</c:v>
                </c:pt>
                <c:pt idx="14">
                  <c:v>40.96</c:v>
                </c:pt>
                <c:pt idx="16">
                  <c:v>40.951000000000001</c:v>
                </c:pt>
                <c:pt idx="18">
                  <c:v>40.884999999999998</c:v>
                </c:pt>
                <c:pt idx="20">
                  <c:v>40.938000000000002</c:v>
                </c:pt>
                <c:pt idx="22">
                  <c:v>40.962000000000003</c:v>
                </c:pt>
                <c:pt idx="24">
                  <c:v>40.999000000000002</c:v>
                </c:pt>
                <c:pt idx="26">
                  <c:v>40.932000000000002</c:v>
                </c:pt>
                <c:pt idx="28">
                  <c:v>41.011000000000003</c:v>
                </c:pt>
                <c:pt idx="30">
                  <c:v>40.902000000000001</c:v>
                </c:pt>
                <c:pt idx="32">
                  <c:v>40.823</c:v>
                </c:pt>
                <c:pt idx="34">
                  <c:v>40.902000000000001</c:v>
                </c:pt>
                <c:pt idx="36">
                  <c:v>41.009</c:v>
                </c:pt>
                <c:pt idx="38">
                  <c:v>41</c:v>
                </c:pt>
                <c:pt idx="40">
                  <c:v>40.917999999999999</c:v>
                </c:pt>
                <c:pt idx="42">
                  <c:v>40.804000000000002</c:v>
                </c:pt>
                <c:pt idx="44">
                  <c:v>40.954000000000001</c:v>
                </c:pt>
                <c:pt idx="46">
                  <c:v>40.905999999999999</c:v>
                </c:pt>
                <c:pt idx="48">
                  <c:v>40.831000000000003</c:v>
                </c:pt>
                <c:pt idx="50">
                  <c:v>40.823999999999998</c:v>
                </c:pt>
                <c:pt idx="52">
                  <c:v>40.723999999999997</c:v>
                </c:pt>
                <c:pt idx="54">
                  <c:v>41.054000000000002</c:v>
                </c:pt>
                <c:pt idx="55">
                  <c:v>41.197000000000003</c:v>
                </c:pt>
                <c:pt idx="57">
                  <c:v>41.075000000000003</c:v>
                </c:pt>
                <c:pt idx="59">
                  <c:v>41.151000000000003</c:v>
                </c:pt>
                <c:pt idx="61">
                  <c:v>41.206000000000003</c:v>
                </c:pt>
                <c:pt idx="63">
                  <c:v>41.176000000000002</c:v>
                </c:pt>
                <c:pt idx="65">
                  <c:v>41.051000000000002</c:v>
                </c:pt>
                <c:pt idx="67">
                  <c:v>40.911000000000001</c:v>
                </c:pt>
                <c:pt idx="69">
                  <c:v>41.11</c:v>
                </c:pt>
                <c:pt idx="71">
                  <c:v>40.963000000000001</c:v>
                </c:pt>
                <c:pt idx="73">
                  <c:v>40.927</c:v>
                </c:pt>
                <c:pt idx="75">
                  <c:v>41.067999999999998</c:v>
                </c:pt>
                <c:pt idx="77">
                  <c:v>40.914000000000001</c:v>
                </c:pt>
                <c:pt idx="79">
                  <c:v>40.972000000000001</c:v>
                </c:pt>
                <c:pt idx="81">
                  <c:v>40.984999999999999</c:v>
                </c:pt>
                <c:pt idx="83">
                  <c:v>41.119</c:v>
                </c:pt>
                <c:pt idx="85">
                  <c:v>41.192999999999998</c:v>
                </c:pt>
                <c:pt idx="87">
                  <c:v>41.234000000000002</c:v>
                </c:pt>
                <c:pt idx="89">
                  <c:v>41.165999999999997</c:v>
                </c:pt>
                <c:pt idx="91">
                  <c:v>40.996000000000002</c:v>
                </c:pt>
                <c:pt idx="93">
                  <c:v>41.128999999999998</c:v>
                </c:pt>
                <c:pt idx="95">
                  <c:v>41.219000000000001</c:v>
                </c:pt>
                <c:pt idx="97">
                  <c:v>41.085999999999999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8-4443-A7BA-94F13349C7D2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3B8-4443-A7BA-94F13349C7D2}"/>
              </c:ext>
            </c:extLst>
          </c:dPt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('AMP1-2'!$F$4,'AMP1-2'!$F$4)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8-4443-A7BA-94F13349C7D2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3B8-4443-A7BA-94F13349C7D2}"/>
              </c:ext>
            </c:extLst>
          </c:dPt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('AMP1-2'!$F$5,'AMP1-2'!$F$5)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B8-4443-A7BA-94F13349C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742840"/>
        <c:axId val="367743232"/>
      </c:scatterChart>
      <c:valAx>
        <c:axId val="367742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43232"/>
        <c:crosses val="autoZero"/>
        <c:crossBetween val="midCat"/>
      </c:valAx>
      <c:valAx>
        <c:axId val="3677432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4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'AMP1-2'!$G$9:$G$107</c:f>
              <c:numCache>
                <c:formatCode>General</c:formatCode>
                <c:ptCount val="99"/>
                <c:pt idx="0">
                  <c:v>41.136000000000003</c:v>
                </c:pt>
                <c:pt idx="2">
                  <c:v>41.046999999999997</c:v>
                </c:pt>
                <c:pt idx="4">
                  <c:v>41.174999999999997</c:v>
                </c:pt>
                <c:pt idx="6">
                  <c:v>41.087000000000003</c:v>
                </c:pt>
                <c:pt idx="8">
                  <c:v>40.863</c:v>
                </c:pt>
                <c:pt idx="10">
                  <c:v>41.267000000000003</c:v>
                </c:pt>
                <c:pt idx="12">
                  <c:v>41.103000000000002</c:v>
                </c:pt>
                <c:pt idx="14">
                  <c:v>41.134</c:v>
                </c:pt>
                <c:pt idx="16">
                  <c:v>41.064999999999998</c:v>
                </c:pt>
                <c:pt idx="18">
                  <c:v>40.920999999999999</c:v>
                </c:pt>
                <c:pt idx="20">
                  <c:v>41.066000000000003</c:v>
                </c:pt>
                <c:pt idx="22">
                  <c:v>41.134</c:v>
                </c:pt>
                <c:pt idx="24">
                  <c:v>40.987000000000002</c:v>
                </c:pt>
                <c:pt idx="26">
                  <c:v>41.011000000000003</c:v>
                </c:pt>
                <c:pt idx="28">
                  <c:v>40.994999999999997</c:v>
                </c:pt>
                <c:pt idx="30">
                  <c:v>40.843000000000004</c:v>
                </c:pt>
                <c:pt idx="32">
                  <c:v>40.738999999999997</c:v>
                </c:pt>
                <c:pt idx="34">
                  <c:v>40.923000000000002</c:v>
                </c:pt>
                <c:pt idx="36">
                  <c:v>40.942999999999998</c:v>
                </c:pt>
                <c:pt idx="38">
                  <c:v>40.926000000000002</c:v>
                </c:pt>
                <c:pt idx="40">
                  <c:v>40.859000000000002</c:v>
                </c:pt>
                <c:pt idx="42">
                  <c:v>40.707999999999998</c:v>
                </c:pt>
                <c:pt idx="44">
                  <c:v>40.783000000000001</c:v>
                </c:pt>
                <c:pt idx="46">
                  <c:v>40.854999999999997</c:v>
                </c:pt>
                <c:pt idx="48">
                  <c:v>40.720999999999997</c:v>
                </c:pt>
                <c:pt idx="50">
                  <c:v>40.896000000000001</c:v>
                </c:pt>
                <c:pt idx="52">
                  <c:v>40.448</c:v>
                </c:pt>
                <c:pt idx="54">
                  <c:v>41.075000000000003</c:v>
                </c:pt>
                <c:pt idx="55">
                  <c:v>41.143000000000001</c:v>
                </c:pt>
                <c:pt idx="57">
                  <c:v>40.978000000000002</c:v>
                </c:pt>
                <c:pt idx="59">
                  <c:v>41.170999999999999</c:v>
                </c:pt>
                <c:pt idx="61">
                  <c:v>41.122</c:v>
                </c:pt>
                <c:pt idx="63">
                  <c:v>41.064999999999998</c:v>
                </c:pt>
                <c:pt idx="65">
                  <c:v>41.084000000000003</c:v>
                </c:pt>
                <c:pt idx="67">
                  <c:v>40.9</c:v>
                </c:pt>
                <c:pt idx="69">
                  <c:v>41.006</c:v>
                </c:pt>
                <c:pt idx="71">
                  <c:v>40.831000000000003</c:v>
                </c:pt>
                <c:pt idx="73">
                  <c:v>40.811999999999998</c:v>
                </c:pt>
                <c:pt idx="75">
                  <c:v>40.97</c:v>
                </c:pt>
                <c:pt idx="77">
                  <c:v>40.822000000000003</c:v>
                </c:pt>
                <c:pt idx="79">
                  <c:v>40.731000000000002</c:v>
                </c:pt>
                <c:pt idx="81">
                  <c:v>40.862000000000002</c:v>
                </c:pt>
                <c:pt idx="83">
                  <c:v>41.045999999999999</c:v>
                </c:pt>
                <c:pt idx="85">
                  <c:v>41.164999999999999</c:v>
                </c:pt>
                <c:pt idx="87">
                  <c:v>41.146999999999998</c:v>
                </c:pt>
                <c:pt idx="89">
                  <c:v>41.78</c:v>
                </c:pt>
                <c:pt idx="91">
                  <c:v>41.064999999999998</c:v>
                </c:pt>
                <c:pt idx="93">
                  <c:v>41.137</c:v>
                </c:pt>
                <c:pt idx="95">
                  <c:v>41.179000000000002</c:v>
                </c:pt>
                <c:pt idx="97">
                  <c:v>41.218000000000004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3-41A8-9C9A-72E351D892B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('AMP1-2'!$G$4,'AMP1-2'!$G$4)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3-41A8-9C9A-72E351D892B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('AMP1-2'!$G$5,'AMP1-2'!$G$5)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F3-41A8-9C9A-72E351D89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744016"/>
        <c:axId val="367744408"/>
      </c:scatterChart>
      <c:valAx>
        <c:axId val="36774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44408"/>
        <c:crosses val="autoZero"/>
        <c:crossBetween val="midCat"/>
      </c:valAx>
      <c:valAx>
        <c:axId val="3677444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4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'AMP1-2'!$H$9:$H$107</c:f>
              <c:numCache>
                <c:formatCode>General</c:formatCode>
                <c:ptCount val="99"/>
                <c:pt idx="0">
                  <c:v>155.87799999999999</c:v>
                </c:pt>
                <c:pt idx="1">
                  <c:v>155.78700000000001</c:v>
                </c:pt>
                <c:pt idx="2">
                  <c:v>155.965</c:v>
                </c:pt>
                <c:pt idx="3">
                  <c:v>156.084</c:v>
                </c:pt>
                <c:pt idx="4">
                  <c:v>155.94300000000001</c:v>
                </c:pt>
                <c:pt idx="5">
                  <c:v>155.929</c:v>
                </c:pt>
                <c:pt idx="6">
                  <c:v>155.93199999999999</c:v>
                </c:pt>
                <c:pt idx="7">
                  <c:v>155.85900000000001</c:v>
                </c:pt>
                <c:pt idx="8">
                  <c:v>155.995</c:v>
                </c:pt>
                <c:pt idx="9">
                  <c:v>155.91399999999999</c:v>
                </c:pt>
                <c:pt idx="10">
                  <c:v>156.01300000000001</c:v>
                </c:pt>
                <c:pt idx="11">
                  <c:v>155.917</c:v>
                </c:pt>
                <c:pt idx="12">
                  <c:v>156.00399999999999</c:v>
                </c:pt>
                <c:pt idx="13">
                  <c:v>155.941</c:v>
                </c:pt>
                <c:pt idx="14">
                  <c:v>156.018</c:v>
                </c:pt>
                <c:pt idx="15">
                  <c:v>155.93799999999999</c:v>
                </c:pt>
                <c:pt idx="16">
                  <c:v>156.06</c:v>
                </c:pt>
                <c:pt idx="17">
                  <c:v>155.922</c:v>
                </c:pt>
                <c:pt idx="18">
                  <c:v>156.03399999999999</c:v>
                </c:pt>
                <c:pt idx="19">
                  <c:v>156.036</c:v>
                </c:pt>
                <c:pt idx="20">
                  <c:v>155.977</c:v>
                </c:pt>
                <c:pt idx="21">
                  <c:v>155.923</c:v>
                </c:pt>
                <c:pt idx="22">
                  <c:v>156.03800000000001</c:v>
                </c:pt>
                <c:pt idx="23">
                  <c:v>156.00299999999999</c:v>
                </c:pt>
                <c:pt idx="24">
                  <c:v>155.96700000000001</c:v>
                </c:pt>
                <c:pt idx="25">
                  <c:v>155.941</c:v>
                </c:pt>
                <c:pt idx="26">
                  <c:v>156.017</c:v>
                </c:pt>
                <c:pt idx="27">
                  <c:v>155.97</c:v>
                </c:pt>
                <c:pt idx="28">
                  <c:v>156.02099999999999</c:v>
                </c:pt>
                <c:pt idx="29">
                  <c:v>155.91300000000001</c:v>
                </c:pt>
                <c:pt idx="30">
                  <c:v>155.98599999999999</c:v>
                </c:pt>
                <c:pt idx="31">
                  <c:v>156.01</c:v>
                </c:pt>
                <c:pt idx="32">
                  <c:v>156.02799999999999</c:v>
                </c:pt>
                <c:pt idx="33">
                  <c:v>156.01499999999999</c:v>
                </c:pt>
                <c:pt idx="34">
                  <c:v>156.09800000000001</c:v>
                </c:pt>
                <c:pt idx="35">
                  <c:v>156.024</c:v>
                </c:pt>
                <c:pt idx="36">
                  <c:v>156.113</c:v>
                </c:pt>
                <c:pt idx="37">
                  <c:v>156.077</c:v>
                </c:pt>
                <c:pt idx="38">
                  <c:v>155.952</c:v>
                </c:pt>
                <c:pt idx="39">
                  <c:v>155.96</c:v>
                </c:pt>
                <c:pt idx="40">
                  <c:v>156.15700000000001</c:v>
                </c:pt>
                <c:pt idx="41">
                  <c:v>156.08199999999999</c:v>
                </c:pt>
                <c:pt idx="42">
                  <c:v>156.13999999999999</c:v>
                </c:pt>
                <c:pt idx="43">
                  <c:v>156.04900000000001</c:v>
                </c:pt>
                <c:pt idx="44">
                  <c:v>156.184</c:v>
                </c:pt>
                <c:pt idx="45">
                  <c:v>156.09200000000001</c:v>
                </c:pt>
                <c:pt idx="46">
                  <c:v>156.11099999999999</c:v>
                </c:pt>
                <c:pt idx="47">
                  <c:v>156.072</c:v>
                </c:pt>
                <c:pt idx="48">
                  <c:v>156.036</c:v>
                </c:pt>
                <c:pt idx="49">
                  <c:v>156.05699999999999</c:v>
                </c:pt>
                <c:pt idx="50">
                  <c:v>156.20400000000001</c:v>
                </c:pt>
                <c:pt idx="51">
                  <c:v>156.197</c:v>
                </c:pt>
                <c:pt idx="52">
                  <c:v>156.239</c:v>
                </c:pt>
                <c:pt idx="53">
                  <c:v>156.22300000000001</c:v>
                </c:pt>
                <c:pt idx="54">
                  <c:v>155.84700000000001</c:v>
                </c:pt>
                <c:pt idx="55">
                  <c:v>155.76900000000001</c:v>
                </c:pt>
                <c:pt idx="56">
                  <c:v>155.66800000000001</c:v>
                </c:pt>
                <c:pt idx="57">
                  <c:v>155.9</c:v>
                </c:pt>
                <c:pt idx="58">
                  <c:v>155.852</c:v>
                </c:pt>
                <c:pt idx="59">
                  <c:v>155.869</c:v>
                </c:pt>
                <c:pt idx="60">
                  <c:v>155.83799999999999</c:v>
                </c:pt>
                <c:pt idx="61">
                  <c:v>155.87200000000001</c:v>
                </c:pt>
                <c:pt idx="62">
                  <c:v>155.779</c:v>
                </c:pt>
                <c:pt idx="63">
                  <c:v>155.81100000000001</c:v>
                </c:pt>
                <c:pt idx="64">
                  <c:v>155.797</c:v>
                </c:pt>
                <c:pt idx="65">
                  <c:v>155.928</c:v>
                </c:pt>
                <c:pt idx="66">
                  <c:v>155.88300000000001</c:v>
                </c:pt>
                <c:pt idx="67">
                  <c:v>155.92599999999999</c:v>
                </c:pt>
                <c:pt idx="68">
                  <c:v>155.87100000000001</c:v>
                </c:pt>
                <c:pt idx="69">
                  <c:v>155.96299999999999</c:v>
                </c:pt>
                <c:pt idx="70">
                  <c:v>155.94300000000001</c:v>
                </c:pt>
                <c:pt idx="71">
                  <c:v>155.90600000000001</c:v>
                </c:pt>
                <c:pt idx="72">
                  <c:v>156.08000000000001</c:v>
                </c:pt>
                <c:pt idx="73">
                  <c:v>156.03399999999999</c:v>
                </c:pt>
                <c:pt idx="74">
                  <c:v>155.99600000000001</c:v>
                </c:pt>
                <c:pt idx="75">
                  <c:v>155.99299999999999</c:v>
                </c:pt>
                <c:pt idx="76">
                  <c:v>155.97</c:v>
                </c:pt>
                <c:pt idx="77">
                  <c:v>156.066</c:v>
                </c:pt>
                <c:pt idx="78">
                  <c:v>156.02099999999999</c:v>
                </c:pt>
                <c:pt idx="79">
                  <c:v>156.05099999999999</c:v>
                </c:pt>
                <c:pt idx="80">
                  <c:v>156.01400000000001</c:v>
                </c:pt>
                <c:pt idx="81">
                  <c:v>156.03399999999999</c:v>
                </c:pt>
                <c:pt idx="82">
                  <c:v>156.017</c:v>
                </c:pt>
                <c:pt idx="83">
                  <c:v>155.97499999999999</c:v>
                </c:pt>
                <c:pt idx="84">
                  <c:v>155.994</c:v>
                </c:pt>
                <c:pt idx="85">
                  <c:v>155.86699999999999</c:v>
                </c:pt>
                <c:pt idx="86">
                  <c:v>155.84200000000001</c:v>
                </c:pt>
                <c:pt idx="87">
                  <c:v>155.84700000000001</c:v>
                </c:pt>
                <c:pt idx="88">
                  <c:v>155.839</c:v>
                </c:pt>
                <c:pt idx="89">
                  <c:v>155.881</c:v>
                </c:pt>
                <c:pt idx="90">
                  <c:v>155.85</c:v>
                </c:pt>
                <c:pt idx="91">
                  <c:v>155.898</c:v>
                </c:pt>
                <c:pt idx="92">
                  <c:v>155.791</c:v>
                </c:pt>
                <c:pt idx="93">
                  <c:v>155.75</c:v>
                </c:pt>
                <c:pt idx="94">
                  <c:v>155.83099999999999</c:v>
                </c:pt>
                <c:pt idx="95">
                  <c:v>155.82400000000001</c:v>
                </c:pt>
                <c:pt idx="96">
                  <c:v>155.84299999999999</c:v>
                </c:pt>
                <c:pt idx="97">
                  <c:v>155.94499999999999</c:v>
                </c:pt>
                <c:pt idx="98">
                  <c:v>155.88399999999999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F0-480C-A126-768403F03C2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('AMP1-2'!$H$4,'AMP1-2'!$H$4)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F0-480C-A126-768403F03C2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('AMP1-2'!$H$5,'AMP1-2'!$H$5)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F0-480C-A126-768403F03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745192"/>
        <c:axId val="381538976"/>
      </c:scatterChart>
      <c:valAx>
        <c:axId val="36774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38976"/>
        <c:crosses val="autoZero"/>
        <c:crossBetween val="midCat"/>
      </c:valAx>
      <c:valAx>
        <c:axId val="3815389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4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'AMP1-2'!$I$9:$I$107</c:f>
              <c:numCache>
                <c:formatCode>General</c:formatCode>
                <c:ptCount val="99"/>
                <c:pt idx="0">
                  <c:v>155.90600000000001</c:v>
                </c:pt>
                <c:pt idx="1">
                  <c:v>155.88300000000001</c:v>
                </c:pt>
                <c:pt idx="2">
                  <c:v>155.91800000000001</c:v>
                </c:pt>
                <c:pt idx="3">
                  <c:v>156.11699999999999</c:v>
                </c:pt>
                <c:pt idx="4">
                  <c:v>155.93100000000001</c:v>
                </c:pt>
                <c:pt idx="5">
                  <c:v>155.95699999999999</c:v>
                </c:pt>
                <c:pt idx="6">
                  <c:v>155.93799999999999</c:v>
                </c:pt>
                <c:pt idx="7">
                  <c:v>155.922</c:v>
                </c:pt>
                <c:pt idx="8">
                  <c:v>155.959</c:v>
                </c:pt>
                <c:pt idx="9">
                  <c:v>155.95500000000001</c:v>
                </c:pt>
                <c:pt idx="10">
                  <c:v>156.00200000000001</c:v>
                </c:pt>
                <c:pt idx="11">
                  <c:v>155.941</c:v>
                </c:pt>
                <c:pt idx="12">
                  <c:v>156.00399999999999</c:v>
                </c:pt>
                <c:pt idx="13">
                  <c:v>155.95599999999999</c:v>
                </c:pt>
                <c:pt idx="14">
                  <c:v>156.02500000000001</c:v>
                </c:pt>
                <c:pt idx="15">
                  <c:v>155.96799999999999</c:v>
                </c:pt>
                <c:pt idx="16">
                  <c:v>156.04</c:v>
                </c:pt>
                <c:pt idx="17">
                  <c:v>155.976</c:v>
                </c:pt>
                <c:pt idx="18">
                  <c:v>156.071</c:v>
                </c:pt>
                <c:pt idx="19">
                  <c:v>156.054</c:v>
                </c:pt>
                <c:pt idx="20">
                  <c:v>155.97300000000001</c:v>
                </c:pt>
                <c:pt idx="21">
                  <c:v>155.965</c:v>
                </c:pt>
                <c:pt idx="22">
                  <c:v>156.04499999999999</c:v>
                </c:pt>
                <c:pt idx="23">
                  <c:v>156.01599999999999</c:v>
                </c:pt>
                <c:pt idx="24">
                  <c:v>156.02000000000001</c:v>
                </c:pt>
                <c:pt idx="25">
                  <c:v>155.97900000000001</c:v>
                </c:pt>
                <c:pt idx="26">
                  <c:v>156.06899999999999</c:v>
                </c:pt>
                <c:pt idx="27">
                  <c:v>156.00700000000001</c:v>
                </c:pt>
                <c:pt idx="28">
                  <c:v>156.047</c:v>
                </c:pt>
                <c:pt idx="29">
                  <c:v>155.98400000000001</c:v>
                </c:pt>
                <c:pt idx="30">
                  <c:v>156.089</c:v>
                </c:pt>
                <c:pt idx="31">
                  <c:v>156</c:v>
                </c:pt>
                <c:pt idx="32">
                  <c:v>156.143</c:v>
                </c:pt>
                <c:pt idx="33">
                  <c:v>156.00800000000001</c:v>
                </c:pt>
                <c:pt idx="34">
                  <c:v>156.107</c:v>
                </c:pt>
                <c:pt idx="35">
                  <c:v>156.05199999999999</c:v>
                </c:pt>
                <c:pt idx="36">
                  <c:v>156.13300000000001</c:v>
                </c:pt>
                <c:pt idx="37">
                  <c:v>156.10900000000001</c:v>
                </c:pt>
                <c:pt idx="38">
                  <c:v>156.08000000000001</c:v>
                </c:pt>
                <c:pt idx="39">
                  <c:v>155.97399999999999</c:v>
                </c:pt>
                <c:pt idx="40">
                  <c:v>156.18899999999999</c:v>
                </c:pt>
                <c:pt idx="41">
                  <c:v>156.11000000000001</c:v>
                </c:pt>
                <c:pt idx="42">
                  <c:v>156.24600000000001</c:v>
                </c:pt>
                <c:pt idx="43">
                  <c:v>156.071</c:v>
                </c:pt>
                <c:pt idx="44">
                  <c:v>156.21799999999999</c:v>
                </c:pt>
                <c:pt idx="45">
                  <c:v>156.13300000000001</c:v>
                </c:pt>
                <c:pt idx="46">
                  <c:v>156.13800000000001</c:v>
                </c:pt>
                <c:pt idx="47">
                  <c:v>156.191</c:v>
                </c:pt>
                <c:pt idx="48">
                  <c:v>156.143</c:v>
                </c:pt>
                <c:pt idx="49">
                  <c:v>156.06899999999999</c:v>
                </c:pt>
                <c:pt idx="50">
                  <c:v>156.239</c:v>
                </c:pt>
                <c:pt idx="51">
                  <c:v>156.17699999999999</c:v>
                </c:pt>
                <c:pt idx="52">
                  <c:v>156.26499999999999</c:v>
                </c:pt>
                <c:pt idx="53">
                  <c:v>156.238</c:v>
                </c:pt>
                <c:pt idx="54">
                  <c:v>155.83000000000001</c:v>
                </c:pt>
                <c:pt idx="55">
                  <c:v>155.82400000000001</c:v>
                </c:pt>
                <c:pt idx="56">
                  <c:v>155.672</c:v>
                </c:pt>
                <c:pt idx="57">
                  <c:v>155.93899999999999</c:v>
                </c:pt>
                <c:pt idx="58">
                  <c:v>155.797</c:v>
                </c:pt>
                <c:pt idx="59">
                  <c:v>155.88900000000001</c:v>
                </c:pt>
                <c:pt idx="60">
                  <c:v>155.898</c:v>
                </c:pt>
                <c:pt idx="61">
                  <c:v>155.89599999999999</c:v>
                </c:pt>
                <c:pt idx="62">
                  <c:v>155.79400000000001</c:v>
                </c:pt>
                <c:pt idx="63">
                  <c:v>155.78700000000001</c:v>
                </c:pt>
                <c:pt idx="64">
                  <c:v>155.946</c:v>
                </c:pt>
                <c:pt idx="65">
                  <c:v>156.01300000000001</c:v>
                </c:pt>
                <c:pt idx="66">
                  <c:v>155.89500000000001</c:v>
                </c:pt>
                <c:pt idx="67">
                  <c:v>156.04900000000001</c:v>
                </c:pt>
                <c:pt idx="68">
                  <c:v>155.85599999999999</c:v>
                </c:pt>
                <c:pt idx="69">
                  <c:v>156.029</c:v>
                </c:pt>
                <c:pt idx="70">
                  <c:v>155.93600000000001</c:v>
                </c:pt>
                <c:pt idx="71">
                  <c:v>156.024</c:v>
                </c:pt>
                <c:pt idx="72">
                  <c:v>155.99799999999999</c:v>
                </c:pt>
                <c:pt idx="73">
                  <c:v>156.06200000000001</c:v>
                </c:pt>
                <c:pt idx="74">
                  <c:v>155.94</c:v>
                </c:pt>
                <c:pt idx="75">
                  <c:v>156.09399999999999</c:v>
                </c:pt>
                <c:pt idx="76">
                  <c:v>155.93700000000001</c:v>
                </c:pt>
                <c:pt idx="77">
                  <c:v>156.184</c:v>
                </c:pt>
                <c:pt idx="78">
                  <c:v>156.006</c:v>
                </c:pt>
                <c:pt idx="79">
                  <c:v>156.13800000000001</c:v>
                </c:pt>
                <c:pt idx="80">
                  <c:v>155.97499999999999</c:v>
                </c:pt>
                <c:pt idx="81">
                  <c:v>156.15</c:v>
                </c:pt>
                <c:pt idx="82">
                  <c:v>155.965</c:v>
                </c:pt>
                <c:pt idx="83">
                  <c:v>155.90600000000001</c:v>
                </c:pt>
                <c:pt idx="84">
                  <c:v>156.09800000000001</c:v>
                </c:pt>
                <c:pt idx="85">
                  <c:v>155.869</c:v>
                </c:pt>
                <c:pt idx="86">
                  <c:v>155.82400000000001</c:v>
                </c:pt>
                <c:pt idx="87">
                  <c:v>155.80099999999999</c:v>
                </c:pt>
                <c:pt idx="88">
                  <c:v>155.857</c:v>
                </c:pt>
                <c:pt idx="89">
                  <c:v>155.84200000000001</c:v>
                </c:pt>
                <c:pt idx="90">
                  <c:v>155.85300000000001</c:v>
                </c:pt>
                <c:pt idx="91">
                  <c:v>155.88900000000001</c:v>
                </c:pt>
                <c:pt idx="92">
                  <c:v>155.744</c:v>
                </c:pt>
                <c:pt idx="93">
                  <c:v>155.82400000000001</c:v>
                </c:pt>
                <c:pt idx="94">
                  <c:v>155.833</c:v>
                </c:pt>
                <c:pt idx="95">
                  <c:v>155.85</c:v>
                </c:pt>
                <c:pt idx="96">
                  <c:v>155.92400000000001</c:v>
                </c:pt>
                <c:pt idx="97">
                  <c:v>155.804</c:v>
                </c:pt>
                <c:pt idx="98">
                  <c:v>156.07900000000001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7AC-B56A-20EF6D872D7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('AMP1-2'!$I$4,'AMP1-2'!$I$4)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7AC-B56A-20EF6D872D7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('AMP1-2'!$I$5,'AMP1-2'!$I$5)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7AC-B56A-20EF6D87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39760"/>
        <c:axId val="381540152"/>
      </c:scatterChart>
      <c:valAx>
        <c:axId val="38153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40152"/>
        <c:crosses val="autoZero"/>
        <c:crossBetween val="midCat"/>
      </c:valAx>
      <c:valAx>
        <c:axId val="3815401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3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'AMP1-2'!$J$9:$J$107</c:f>
              <c:numCache>
                <c:formatCode>General</c:formatCode>
                <c:ptCount val="99"/>
                <c:pt idx="1">
                  <c:v>168.74299999999999</c:v>
                </c:pt>
                <c:pt idx="3">
                  <c:v>168.75299999999999</c:v>
                </c:pt>
                <c:pt idx="5">
                  <c:v>168.614</c:v>
                </c:pt>
                <c:pt idx="7">
                  <c:v>168.65299999999999</c:v>
                </c:pt>
                <c:pt idx="9">
                  <c:v>168.63399999999999</c:v>
                </c:pt>
                <c:pt idx="11">
                  <c:v>168.72800000000001</c:v>
                </c:pt>
                <c:pt idx="13">
                  <c:v>168.72499999999999</c:v>
                </c:pt>
                <c:pt idx="15">
                  <c:v>168.68600000000001</c:v>
                </c:pt>
                <c:pt idx="17">
                  <c:v>168.69200000000001</c:v>
                </c:pt>
                <c:pt idx="19">
                  <c:v>168.66399999999999</c:v>
                </c:pt>
                <c:pt idx="21">
                  <c:v>168.65600000000001</c:v>
                </c:pt>
                <c:pt idx="23">
                  <c:v>168.69399999999999</c:v>
                </c:pt>
                <c:pt idx="25">
                  <c:v>168.702</c:v>
                </c:pt>
                <c:pt idx="27">
                  <c:v>168.69399999999999</c:v>
                </c:pt>
                <c:pt idx="29">
                  <c:v>168.666</c:v>
                </c:pt>
                <c:pt idx="31">
                  <c:v>168.625</c:v>
                </c:pt>
                <c:pt idx="33">
                  <c:v>168.667</c:v>
                </c:pt>
                <c:pt idx="35">
                  <c:v>168.6</c:v>
                </c:pt>
                <c:pt idx="37">
                  <c:v>168.86199999999999</c:v>
                </c:pt>
                <c:pt idx="39">
                  <c:v>168.643</c:v>
                </c:pt>
                <c:pt idx="41">
                  <c:v>168.71899999999999</c:v>
                </c:pt>
                <c:pt idx="43">
                  <c:v>168.637</c:v>
                </c:pt>
                <c:pt idx="45">
                  <c:v>168.809</c:v>
                </c:pt>
                <c:pt idx="47">
                  <c:v>168.81</c:v>
                </c:pt>
                <c:pt idx="49">
                  <c:v>168.67400000000001</c:v>
                </c:pt>
                <c:pt idx="51">
                  <c:v>168.709</c:v>
                </c:pt>
                <c:pt idx="53">
                  <c:v>168.744</c:v>
                </c:pt>
                <c:pt idx="56">
                  <c:v>168.709</c:v>
                </c:pt>
                <c:pt idx="58">
                  <c:v>168.673</c:v>
                </c:pt>
                <c:pt idx="60">
                  <c:v>168.81299999999999</c:v>
                </c:pt>
                <c:pt idx="62">
                  <c:v>168.78100000000001</c:v>
                </c:pt>
                <c:pt idx="64">
                  <c:v>168.7</c:v>
                </c:pt>
                <c:pt idx="66">
                  <c:v>168.65600000000001</c:v>
                </c:pt>
                <c:pt idx="68">
                  <c:v>168.56899999999999</c:v>
                </c:pt>
                <c:pt idx="70">
                  <c:v>168.71299999999999</c:v>
                </c:pt>
                <c:pt idx="72">
                  <c:v>168.62200000000001</c:v>
                </c:pt>
                <c:pt idx="74">
                  <c:v>168.60900000000001</c:v>
                </c:pt>
                <c:pt idx="76">
                  <c:v>168.74100000000001</c:v>
                </c:pt>
                <c:pt idx="78">
                  <c:v>168.69900000000001</c:v>
                </c:pt>
                <c:pt idx="80">
                  <c:v>168.685</c:v>
                </c:pt>
                <c:pt idx="82">
                  <c:v>168.67500000000001</c:v>
                </c:pt>
                <c:pt idx="84">
                  <c:v>168.74799999999999</c:v>
                </c:pt>
                <c:pt idx="86">
                  <c:v>168.755</c:v>
                </c:pt>
                <c:pt idx="88">
                  <c:v>168.74100000000001</c:v>
                </c:pt>
                <c:pt idx="90">
                  <c:v>168.73099999999999</c:v>
                </c:pt>
                <c:pt idx="92">
                  <c:v>168.62899999999999</c:v>
                </c:pt>
                <c:pt idx="94">
                  <c:v>168.70400000000001</c:v>
                </c:pt>
                <c:pt idx="96">
                  <c:v>168.70699999999999</c:v>
                </c:pt>
                <c:pt idx="98">
                  <c:v>168.71199999999999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D-4E25-93B9-692D16C88C3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('AMP1-2'!$J$4,'AMP1-2'!$J$4)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8D-4E25-93B9-692D16C88C3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('AMP1-2'!$J$5,'AMP1-2'!$J$5)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8D-4E25-93B9-692D16C8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40936"/>
        <c:axId val="381541328"/>
      </c:scatterChart>
      <c:valAx>
        <c:axId val="38154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41328"/>
        <c:crosses val="autoZero"/>
        <c:crossBetween val="midCat"/>
      </c:valAx>
      <c:valAx>
        <c:axId val="3815413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40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'AMP1-2'!$K$9:$K$107</c:f>
              <c:numCache>
                <c:formatCode>General</c:formatCode>
                <c:ptCount val="99"/>
                <c:pt idx="1">
                  <c:v>168.72499999999999</c:v>
                </c:pt>
                <c:pt idx="3">
                  <c:v>168.71600000000001</c:v>
                </c:pt>
                <c:pt idx="5">
                  <c:v>168.66200000000001</c:v>
                </c:pt>
                <c:pt idx="7">
                  <c:v>168.72300000000001</c:v>
                </c:pt>
                <c:pt idx="9">
                  <c:v>168.77500000000001</c:v>
                </c:pt>
                <c:pt idx="11">
                  <c:v>168.68</c:v>
                </c:pt>
                <c:pt idx="13">
                  <c:v>168.75700000000001</c:v>
                </c:pt>
                <c:pt idx="15">
                  <c:v>168.59399999999999</c:v>
                </c:pt>
                <c:pt idx="17">
                  <c:v>168.78200000000001</c:v>
                </c:pt>
                <c:pt idx="19">
                  <c:v>168.70599999999999</c:v>
                </c:pt>
                <c:pt idx="21">
                  <c:v>168.72800000000001</c:v>
                </c:pt>
                <c:pt idx="23">
                  <c:v>168.88300000000001</c:v>
                </c:pt>
                <c:pt idx="25">
                  <c:v>168.73500000000001</c:v>
                </c:pt>
                <c:pt idx="27">
                  <c:v>168.59800000000001</c:v>
                </c:pt>
                <c:pt idx="29">
                  <c:v>168.67699999999999</c:v>
                </c:pt>
                <c:pt idx="31">
                  <c:v>168.554</c:v>
                </c:pt>
                <c:pt idx="33">
                  <c:v>168.459</c:v>
                </c:pt>
                <c:pt idx="35">
                  <c:v>168.53800000000001</c:v>
                </c:pt>
                <c:pt idx="37">
                  <c:v>168.67400000000001</c:v>
                </c:pt>
                <c:pt idx="39">
                  <c:v>168.58099999999999</c:v>
                </c:pt>
                <c:pt idx="41">
                  <c:v>168.63900000000001</c:v>
                </c:pt>
                <c:pt idx="43">
                  <c:v>168.48099999999999</c:v>
                </c:pt>
                <c:pt idx="45">
                  <c:v>168.566</c:v>
                </c:pt>
                <c:pt idx="47">
                  <c:v>168.642</c:v>
                </c:pt>
                <c:pt idx="49">
                  <c:v>169.07599999999999</c:v>
                </c:pt>
                <c:pt idx="51">
                  <c:v>168.57</c:v>
                </c:pt>
                <c:pt idx="53">
                  <c:v>168.62</c:v>
                </c:pt>
                <c:pt idx="56">
                  <c:v>168.512</c:v>
                </c:pt>
                <c:pt idx="58">
                  <c:v>168.624</c:v>
                </c:pt>
                <c:pt idx="60">
                  <c:v>168.887</c:v>
                </c:pt>
                <c:pt idx="62">
                  <c:v>168.572</c:v>
                </c:pt>
                <c:pt idx="64">
                  <c:v>168.441</c:v>
                </c:pt>
                <c:pt idx="66">
                  <c:v>168.499</c:v>
                </c:pt>
                <c:pt idx="68">
                  <c:v>168.48099999999999</c:v>
                </c:pt>
                <c:pt idx="70">
                  <c:v>168.48099999999999</c:v>
                </c:pt>
                <c:pt idx="72">
                  <c:v>168.6</c:v>
                </c:pt>
                <c:pt idx="74">
                  <c:v>168.59299999999999</c:v>
                </c:pt>
                <c:pt idx="76">
                  <c:v>168.411</c:v>
                </c:pt>
                <c:pt idx="78">
                  <c:v>168.447</c:v>
                </c:pt>
                <c:pt idx="80">
                  <c:v>168.61099999999999</c:v>
                </c:pt>
                <c:pt idx="82">
                  <c:v>168.29</c:v>
                </c:pt>
                <c:pt idx="84">
                  <c:v>168.39500000000001</c:v>
                </c:pt>
                <c:pt idx="86">
                  <c:v>168.81</c:v>
                </c:pt>
                <c:pt idx="88">
                  <c:v>168.744</c:v>
                </c:pt>
                <c:pt idx="90">
                  <c:v>168.77</c:v>
                </c:pt>
                <c:pt idx="92">
                  <c:v>168.518</c:v>
                </c:pt>
                <c:pt idx="94">
                  <c:v>168.636</c:v>
                </c:pt>
                <c:pt idx="96">
                  <c:v>168.696</c:v>
                </c:pt>
                <c:pt idx="98">
                  <c:v>168.52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2-4170-A4F0-99DDD5915C0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('AMP1-2'!$K$4,'AMP1-2'!$K$4)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D2-4170-A4F0-99DDD5915C0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('AMP1-2'!$K$5,'AMP1-2'!$K$5)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D2-4170-A4F0-99DDD5915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42112"/>
        <c:axId val="381542504"/>
      </c:scatterChart>
      <c:valAx>
        <c:axId val="3815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42504"/>
        <c:crosses val="autoZero"/>
        <c:crossBetween val="midCat"/>
      </c:valAx>
      <c:valAx>
        <c:axId val="3815425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4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'AMP1-2'!$L$9:$L$107</c:f>
              <c:numCache>
                <c:formatCode>General</c:formatCode>
                <c:ptCount val="99"/>
                <c:pt idx="0">
                  <c:v>155.79400000000001</c:v>
                </c:pt>
                <c:pt idx="1">
                  <c:v>155.90799999999999</c:v>
                </c:pt>
                <c:pt idx="2">
                  <c:v>155.94900000000001</c:v>
                </c:pt>
                <c:pt idx="3">
                  <c:v>156.197</c:v>
                </c:pt>
                <c:pt idx="4">
                  <c:v>155.929</c:v>
                </c:pt>
                <c:pt idx="5">
                  <c:v>156.02500000000001</c:v>
                </c:pt>
                <c:pt idx="6">
                  <c:v>155.93600000000001</c:v>
                </c:pt>
                <c:pt idx="7">
                  <c:v>155.95599999999999</c:v>
                </c:pt>
                <c:pt idx="8">
                  <c:v>155.92099999999999</c:v>
                </c:pt>
                <c:pt idx="9">
                  <c:v>155.994</c:v>
                </c:pt>
                <c:pt idx="10">
                  <c:v>155.983</c:v>
                </c:pt>
                <c:pt idx="11">
                  <c:v>156.01400000000001</c:v>
                </c:pt>
                <c:pt idx="12">
                  <c:v>155.95699999999999</c:v>
                </c:pt>
                <c:pt idx="13">
                  <c:v>156.006</c:v>
                </c:pt>
                <c:pt idx="14">
                  <c:v>155.98099999999999</c:v>
                </c:pt>
                <c:pt idx="15">
                  <c:v>156.04900000000001</c:v>
                </c:pt>
                <c:pt idx="16">
                  <c:v>156.00899999999999</c:v>
                </c:pt>
                <c:pt idx="17">
                  <c:v>156.03399999999999</c:v>
                </c:pt>
                <c:pt idx="18">
                  <c:v>156.06899999999999</c:v>
                </c:pt>
                <c:pt idx="19">
                  <c:v>156.13399999999999</c:v>
                </c:pt>
                <c:pt idx="20">
                  <c:v>155.93</c:v>
                </c:pt>
                <c:pt idx="21">
                  <c:v>156.047</c:v>
                </c:pt>
                <c:pt idx="22">
                  <c:v>155.958</c:v>
                </c:pt>
                <c:pt idx="23">
                  <c:v>156.096</c:v>
                </c:pt>
                <c:pt idx="24">
                  <c:v>155.95099999999999</c:v>
                </c:pt>
                <c:pt idx="25">
                  <c:v>156.03100000000001</c:v>
                </c:pt>
                <c:pt idx="26">
                  <c:v>156.02699999999999</c:v>
                </c:pt>
                <c:pt idx="27">
                  <c:v>156.096</c:v>
                </c:pt>
                <c:pt idx="28">
                  <c:v>155.94900000000001</c:v>
                </c:pt>
                <c:pt idx="29">
                  <c:v>156.07499999999999</c:v>
                </c:pt>
                <c:pt idx="30">
                  <c:v>156.00399999999999</c:v>
                </c:pt>
                <c:pt idx="31">
                  <c:v>156.04599999999999</c:v>
                </c:pt>
                <c:pt idx="32">
                  <c:v>156.023</c:v>
                </c:pt>
                <c:pt idx="33">
                  <c:v>156.042</c:v>
                </c:pt>
                <c:pt idx="34">
                  <c:v>156.06899999999999</c:v>
                </c:pt>
                <c:pt idx="35">
                  <c:v>156.09100000000001</c:v>
                </c:pt>
                <c:pt idx="36">
                  <c:v>156.119</c:v>
                </c:pt>
                <c:pt idx="37">
                  <c:v>156.18</c:v>
                </c:pt>
                <c:pt idx="38">
                  <c:v>155.97900000000001</c:v>
                </c:pt>
                <c:pt idx="39">
                  <c:v>156.012</c:v>
                </c:pt>
                <c:pt idx="40">
                  <c:v>156.101</c:v>
                </c:pt>
                <c:pt idx="41">
                  <c:v>156.19200000000001</c:v>
                </c:pt>
                <c:pt idx="42">
                  <c:v>156.119</c:v>
                </c:pt>
                <c:pt idx="43">
                  <c:v>156.15</c:v>
                </c:pt>
                <c:pt idx="44">
                  <c:v>156.172</c:v>
                </c:pt>
                <c:pt idx="45">
                  <c:v>156.214</c:v>
                </c:pt>
                <c:pt idx="46">
                  <c:v>156.09</c:v>
                </c:pt>
                <c:pt idx="47">
                  <c:v>156.202</c:v>
                </c:pt>
                <c:pt idx="48">
                  <c:v>156.084</c:v>
                </c:pt>
                <c:pt idx="49">
                  <c:v>156.172</c:v>
                </c:pt>
                <c:pt idx="50">
                  <c:v>156.208</c:v>
                </c:pt>
                <c:pt idx="51">
                  <c:v>156.22800000000001</c:v>
                </c:pt>
                <c:pt idx="52">
                  <c:v>156.28100000000001</c:v>
                </c:pt>
                <c:pt idx="53">
                  <c:v>156.44399999999999</c:v>
                </c:pt>
                <c:pt idx="54">
                  <c:v>155.82599999999999</c:v>
                </c:pt>
                <c:pt idx="55">
                  <c:v>155.714</c:v>
                </c:pt>
                <c:pt idx="56">
                  <c:v>155.77500000000001</c:v>
                </c:pt>
                <c:pt idx="57">
                  <c:v>155.86799999999999</c:v>
                </c:pt>
                <c:pt idx="58">
                  <c:v>155.922</c:v>
                </c:pt>
                <c:pt idx="59">
                  <c:v>155.833</c:v>
                </c:pt>
                <c:pt idx="60">
                  <c:v>155.94</c:v>
                </c:pt>
                <c:pt idx="61">
                  <c:v>155.84800000000001</c:v>
                </c:pt>
                <c:pt idx="62">
                  <c:v>155.86799999999999</c:v>
                </c:pt>
                <c:pt idx="63">
                  <c:v>155.83600000000001</c:v>
                </c:pt>
                <c:pt idx="64">
                  <c:v>155.886</c:v>
                </c:pt>
                <c:pt idx="65">
                  <c:v>155.92099999999999</c:v>
                </c:pt>
                <c:pt idx="66">
                  <c:v>156.029</c:v>
                </c:pt>
                <c:pt idx="67">
                  <c:v>155.90199999999999</c:v>
                </c:pt>
                <c:pt idx="68">
                  <c:v>155.952</c:v>
                </c:pt>
                <c:pt idx="69">
                  <c:v>155.93199999999999</c:v>
                </c:pt>
                <c:pt idx="70">
                  <c:v>155.994</c:v>
                </c:pt>
                <c:pt idx="71">
                  <c:v>155.90299999999999</c:v>
                </c:pt>
                <c:pt idx="72">
                  <c:v>156.06399999999999</c:v>
                </c:pt>
                <c:pt idx="73">
                  <c:v>156.011</c:v>
                </c:pt>
                <c:pt idx="74">
                  <c:v>156.05600000000001</c:v>
                </c:pt>
                <c:pt idx="75">
                  <c:v>155.97399999999999</c:v>
                </c:pt>
                <c:pt idx="76">
                  <c:v>156.02199999999999</c:v>
                </c:pt>
                <c:pt idx="77">
                  <c:v>156.078</c:v>
                </c:pt>
                <c:pt idx="78">
                  <c:v>156.15600000000001</c:v>
                </c:pt>
                <c:pt idx="79">
                  <c:v>156.00800000000001</c:v>
                </c:pt>
                <c:pt idx="80">
                  <c:v>156.09399999999999</c:v>
                </c:pt>
                <c:pt idx="81">
                  <c:v>156.00200000000001</c:v>
                </c:pt>
                <c:pt idx="82">
                  <c:v>156.029</c:v>
                </c:pt>
                <c:pt idx="83">
                  <c:v>155.965</c:v>
                </c:pt>
                <c:pt idx="84">
                  <c:v>156.03700000000001</c:v>
                </c:pt>
                <c:pt idx="85">
                  <c:v>155.84399999999999</c:v>
                </c:pt>
                <c:pt idx="86">
                  <c:v>155.911</c:v>
                </c:pt>
                <c:pt idx="87">
                  <c:v>155.803</c:v>
                </c:pt>
                <c:pt idx="88">
                  <c:v>155.91999999999999</c:v>
                </c:pt>
                <c:pt idx="89">
                  <c:v>155.82400000000001</c:v>
                </c:pt>
                <c:pt idx="90">
                  <c:v>155.88800000000001</c:v>
                </c:pt>
                <c:pt idx="91">
                  <c:v>155.89699999999999</c:v>
                </c:pt>
                <c:pt idx="92">
                  <c:v>155.958</c:v>
                </c:pt>
                <c:pt idx="93">
                  <c:v>155.804</c:v>
                </c:pt>
                <c:pt idx="94">
                  <c:v>155.91300000000001</c:v>
                </c:pt>
                <c:pt idx="95">
                  <c:v>155.81899999999999</c:v>
                </c:pt>
                <c:pt idx="96">
                  <c:v>155.893</c:v>
                </c:pt>
                <c:pt idx="97">
                  <c:v>155.88499999999999</c:v>
                </c:pt>
                <c:pt idx="98">
                  <c:v>155.97200000000001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F-451E-831D-17BDEE025A1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('AMP1-2'!$L$4,'AMP1-2'!$L$4)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9F-451E-831D-17BDEE025A1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('AMP1-2'!$L$5,'AMP1-2'!$L$5)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9F-451E-831D-17BDEE025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19376"/>
        <c:axId val="377219768"/>
      </c:scatterChart>
      <c:valAx>
        <c:axId val="37721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19768"/>
        <c:crosses val="autoZero"/>
        <c:crossBetween val="midCat"/>
      </c:valAx>
      <c:valAx>
        <c:axId val="3772197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1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'AMP1-2'!$M$9:$M$107</c:f>
              <c:numCache>
                <c:formatCode>General</c:formatCode>
                <c:ptCount val="99"/>
                <c:pt idx="0">
                  <c:v>155.62100000000001</c:v>
                </c:pt>
                <c:pt idx="1">
                  <c:v>155.69900000000001</c:v>
                </c:pt>
                <c:pt idx="2">
                  <c:v>155.61699999999999</c:v>
                </c:pt>
                <c:pt idx="3">
                  <c:v>155.93</c:v>
                </c:pt>
                <c:pt idx="4">
                  <c:v>155.63200000000001</c:v>
                </c:pt>
                <c:pt idx="5">
                  <c:v>155.77099999999999</c:v>
                </c:pt>
                <c:pt idx="6">
                  <c:v>155.661</c:v>
                </c:pt>
                <c:pt idx="7">
                  <c:v>155.70500000000001</c:v>
                </c:pt>
                <c:pt idx="8">
                  <c:v>155.66499999999999</c:v>
                </c:pt>
                <c:pt idx="9">
                  <c:v>155.768</c:v>
                </c:pt>
                <c:pt idx="10">
                  <c:v>155.727</c:v>
                </c:pt>
                <c:pt idx="11">
                  <c:v>155.78200000000001</c:v>
                </c:pt>
                <c:pt idx="12">
                  <c:v>155.684</c:v>
                </c:pt>
                <c:pt idx="13">
                  <c:v>155.751</c:v>
                </c:pt>
                <c:pt idx="14">
                  <c:v>155.69499999999999</c:v>
                </c:pt>
                <c:pt idx="15">
                  <c:v>155.79</c:v>
                </c:pt>
                <c:pt idx="16">
                  <c:v>155.73400000000001</c:v>
                </c:pt>
                <c:pt idx="17">
                  <c:v>155.803</c:v>
                </c:pt>
                <c:pt idx="18">
                  <c:v>155.81800000000001</c:v>
                </c:pt>
                <c:pt idx="19">
                  <c:v>155.87100000000001</c:v>
                </c:pt>
                <c:pt idx="20">
                  <c:v>155.69499999999999</c:v>
                </c:pt>
                <c:pt idx="21">
                  <c:v>155.77099999999999</c:v>
                </c:pt>
                <c:pt idx="22">
                  <c:v>155.72200000000001</c:v>
                </c:pt>
                <c:pt idx="23">
                  <c:v>155.834</c:v>
                </c:pt>
                <c:pt idx="24">
                  <c:v>155.71100000000001</c:v>
                </c:pt>
                <c:pt idx="25">
                  <c:v>155.768</c:v>
                </c:pt>
                <c:pt idx="26">
                  <c:v>155.76599999999999</c:v>
                </c:pt>
                <c:pt idx="27">
                  <c:v>155.779</c:v>
                </c:pt>
                <c:pt idx="28">
                  <c:v>155.73599999999999</c:v>
                </c:pt>
                <c:pt idx="29">
                  <c:v>155.74299999999999</c:v>
                </c:pt>
                <c:pt idx="30">
                  <c:v>155.77699999999999</c:v>
                </c:pt>
                <c:pt idx="31">
                  <c:v>155.72800000000001</c:v>
                </c:pt>
                <c:pt idx="32">
                  <c:v>155.82900000000001</c:v>
                </c:pt>
                <c:pt idx="33">
                  <c:v>155.69399999999999</c:v>
                </c:pt>
                <c:pt idx="34">
                  <c:v>155.87</c:v>
                </c:pt>
                <c:pt idx="35">
                  <c:v>155.762</c:v>
                </c:pt>
                <c:pt idx="36">
                  <c:v>155.881</c:v>
                </c:pt>
                <c:pt idx="37">
                  <c:v>155.93100000000001</c:v>
                </c:pt>
                <c:pt idx="38">
                  <c:v>155.81899999999999</c:v>
                </c:pt>
                <c:pt idx="39">
                  <c:v>155.63300000000001</c:v>
                </c:pt>
                <c:pt idx="40">
                  <c:v>155.85499999999999</c:v>
                </c:pt>
                <c:pt idx="41">
                  <c:v>155.83099999999999</c:v>
                </c:pt>
                <c:pt idx="42">
                  <c:v>155.935</c:v>
                </c:pt>
                <c:pt idx="43">
                  <c:v>155.76599999999999</c:v>
                </c:pt>
                <c:pt idx="44">
                  <c:v>155.929</c:v>
                </c:pt>
                <c:pt idx="45">
                  <c:v>155.87200000000001</c:v>
                </c:pt>
                <c:pt idx="46">
                  <c:v>155.821</c:v>
                </c:pt>
                <c:pt idx="47">
                  <c:v>155.88900000000001</c:v>
                </c:pt>
                <c:pt idx="48">
                  <c:v>155.90600000000001</c:v>
                </c:pt>
                <c:pt idx="49">
                  <c:v>155.749</c:v>
                </c:pt>
                <c:pt idx="50">
                  <c:v>155.99700000000001</c:v>
                </c:pt>
                <c:pt idx="51">
                  <c:v>155.87899999999999</c:v>
                </c:pt>
                <c:pt idx="52">
                  <c:v>156.02099999999999</c:v>
                </c:pt>
                <c:pt idx="53">
                  <c:v>156.053</c:v>
                </c:pt>
                <c:pt idx="54">
                  <c:v>155.58500000000001</c:v>
                </c:pt>
                <c:pt idx="55">
                  <c:v>155.505</c:v>
                </c:pt>
                <c:pt idx="56">
                  <c:v>155.51</c:v>
                </c:pt>
                <c:pt idx="57">
                  <c:v>155.62200000000001</c:v>
                </c:pt>
                <c:pt idx="58">
                  <c:v>155.63300000000001</c:v>
                </c:pt>
                <c:pt idx="59">
                  <c:v>155.63</c:v>
                </c:pt>
                <c:pt idx="60">
                  <c:v>155.70099999999999</c:v>
                </c:pt>
                <c:pt idx="61">
                  <c:v>155.61799999999999</c:v>
                </c:pt>
                <c:pt idx="62">
                  <c:v>155.62899999999999</c:v>
                </c:pt>
                <c:pt idx="63">
                  <c:v>155.53299999999999</c:v>
                </c:pt>
                <c:pt idx="64">
                  <c:v>155.72800000000001</c:v>
                </c:pt>
                <c:pt idx="65">
                  <c:v>155.77500000000001</c:v>
                </c:pt>
                <c:pt idx="66">
                  <c:v>155.72</c:v>
                </c:pt>
                <c:pt idx="67">
                  <c:v>155.74600000000001</c:v>
                </c:pt>
                <c:pt idx="68">
                  <c:v>155.648</c:v>
                </c:pt>
                <c:pt idx="69">
                  <c:v>155.727</c:v>
                </c:pt>
                <c:pt idx="70">
                  <c:v>155.773</c:v>
                </c:pt>
                <c:pt idx="71">
                  <c:v>155.71799999999999</c:v>
                </c:pt>
                <c:pt idx="72">
                  <c:v>155.76</c:v>
                </c:pt>
                <c:pt idx="73">
                  <c:v>155.81200000000001</c:v>
                </c:pt>
                <c:pt idx="74">
                  <c:v>155.70699999999999</c:v>
                </c:pt>
                <c:pt idx="75">
                  <c:v>155.83199999999999</c:v>
                </c:pt>
                <c:pt idx="76">
                  <c:v>155.68299999999999</c:v>
                </c:pt>
                <c:pt idx="77">
                  <c:v>155.92699999999999</c:v>
                </c:pt>
                <c:pt idx="78">
                  <c:v>155.80600000000001</c:v>
                </c:pt>
                <c:pt idx="79">
                  <c:v>155.81899999999999</c:v>
                </c:pt>
                <c:pt idx="80">
                  <c:v>155.715</c:v>
                </c:pt>
                <c:pt idx="81">
                  <c:v>155.87799999999999</c:v>
                </c:pt>
                <c:pt idx="82">
                  <c:v>155.608</c:v>
                </c:pt>
                <c:pt idx="83">
                  <c:v>155.57</c:v>
                </c:pt>
                <c:pt idx="84">
                  <c:v>155.84399999999999</c:v>
                </c:pt>
                <c:pt idx="85">
                  <c:v>155.56399999999999</c:v>
                </c:pt>
                <c:pt idx="86">
                  <c:v>155.68899999999999</c:v>
                </c:pt>
                <c:pt idx="87">
                  <c:v>155.54599999999999</c:v>
                </c:pt>
                <c:pt idx="88">
                  <c:v>155.66</c:v>
                </c:pt>
                <c:pt idx="89">
                  <c:v>155.53299999999999</c:v>
                </c:pt>
                <c:pt idx="90">
                  <c:v>155.649</c:v>
                </c:pt>
                <c:pt idx="91">
                  <c:v>155.642</c:v>
                </c:pt>
                <c:pt idx="92">
                  <c:v>155.655</c:v>
                </c:pt>
                <c:pt idx="93">
                  <c:v>155.61199999999999</c:v>
                </c:pt>
                <c:pt idx="94">
                  <c:v>155.63999999999999</c:v>
                </c:pt>
                <c:pt idx="95">
                  <c:v>155.58600000000001</c:v>
                </c:pt>
                <c:pt idx="96">
                  <c:v>155.70400000000001</c:v>
                </c:pt>
                <c:pt idx="97">
                  <c:v>155.46199999999999</c:v>
                </c:pt>
                <c:pt idx="98">
                  <c:v>155.90899999999999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F-438E-B646-BE77182A3BB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('AMP1-2'!$M$4,'AMP1-2'!$M$4)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4F-438E-B646-BE77182A3BB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('AMP1-2'!$M$5,'AMP1-2'!$M$5)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4F-438E-B646-BE77182A3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20552"/>
        <c:axId val="377220944"/>
      </c:scatterChart>
      <c:valAx>
        <c:axId val="37722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0944"/>
        <c:crosses val="autoZero"/>
        <c:crossBetween val="midCat"/>
      </c:valAx>
      <c:valAx>
        <c:axId val="3772209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'AMP1-2'!$N$9:$N$107</c:f>
              <c:numCache>
                <c:formatCode>General</c:formatCode>
                <c:ptCount val="99"/>
                <c:pt idx="0">
                  <c:v>27.462</c:v>
                </c:pt>
                <c:pt idx="1">
                  <c:v>27.318000000000001</c:v>
                </c:pt>
                <c:pt idx="2">
                  <c:v>27.315999999999999</c:v>
                </c:pt>
                <c:pt idx="3">
                  <c:v>27.068999999999999</c:v>
                </c:pt>
                <c:pt idx="4">
                  <c:v>27.398</c:v>
                </c:pt>
                <c:pt idx="5">
                  <c:v>27.228999999999999</c:v>
                </c:pt>
                <c:pt idx="6">
                  <c:v>27.379000000000001</c:v>
                </c:pt>
                <c:pt idx="7">
                  <c:v>27.335999999999999</c:v>
                </c:pt>
                <c:pt idx="8">
                  <c:v>27.376000000000001</c:v>
                </c:pt>
                <c:pt idx="9">
                  <c:v>27.28</c:v>
                </c:pt>
                <c:pt idx="10">
                  <c:v>27.262</c:v>
                </c:pt>
                <c:pt idx="11">
                  <c:v>27.273</c:v>
                </c:pt>
                <c:pt idx="12">
                  <c:v>27.34</c:v>
                </c:pt>
                <c:pt idx="13">
                  <c:v>27.259</c:v>
                </c:pt>
                <c:pt idx="14">
                  <c:v>27.273</c:v>
                </c:pt>
                <c:pt idx="15">
                  <c:v>27.233000000000001</c:v>
                </c:pt>
                <c:pt idx="16">
                  <c:v>27.283999999999999</c:v>
                </c:pt>
                <c:pt idx="17">
                  <c:v>27.222000000000001</c:v>
                </c:pt>
                <c:pt idx="18">
                  <c:v>27.216000000000001</c:v>
                </c:pt>
                <c:pt idx="19">
                  <c:v>27.207000000000001</c:v>
                </c:pt>
                <c:pt idx="20">
                  <c:v>27.367000000000001</c:v>
                </c:pt>
                <c:pt idx="21">
                  <c:v>27.227</c:v>
                </c:pt>
                <c:pt idx="22">
                  <c:v>27.315000000000001</c:v>
                </c:pt>
                <c:pt idx="23">
                  <c:v>27.132999999999999</c:v>
                </c:pt>
                <c:pt idx="24">
                  <c:v>27.355</c:v>
                </c:pt>
                <c:pt idx="25">
                  <c:v>27.24</c:v>
                </c:pt>
                <c:pt idx="26">
                  <c:v>27.276</c:v>
                </c:pt>
                <c:pt idx="27">
                  <c:v>27.202000000000002</c:v>
                </c:pt>
                <c:pt idx="28">
                  <c:v>27.376999999999999</c:v>
                </c:pt>
                <c:pt idx="29">
                  <c:v>27.199000000000002</c:v>
                </c:pt>
                <c:pt idx="30">
                  <c:v>27.245999999999999</c:v>
                </c:pt>
                <c:pt idx="31">
                  <c:v>27.207000000000001</c:v>
                </c:pt>
                <c:pt idx="32">
                  <c:v>27.234999999999999</c:v>
                </c:pt>
                <c:pt idx="33">
                  <c:v>27.228999999999999</c:v>
                </c:pt>
                <c:pt idx="34">
                  <c:v>27.244</c:v>
                </c:pt>
                <c:pt idx="35">
                  <c:v>27.155999999999999</c:v>
                </c:pt>
                <c:pt idx="36">
                  <c:v>27.204999999999998</c:v>
                </c:pt>
                <c:pt idx="37">
                  <c:v>27.087</c:v>
                </c:pt>
                <c:pt idx="38">
                  <c:v>27.286000000000001</c:v>
                </c:pt>
                <c:pt idx="39">
                  <c:v>27.28</c:v>
                </c:pt>
                <c:pt idx="40">
                  <c:v>27.183</c:v>
                </c:pt>
                <c:pt idx="41">
                  <c:v>27.073</c:v>
                </c:pt>
                <c:pt idx="42">
                  <c:v>27.16</c:v>
                </c:pt>
                <c:pt idx="43">
                  <c:v>27.135999999999999</c:v>
                </c:pt>
                <c:pt idx="44">
                  <c:v>27.138000000000002</c:v>
                </c:pt>
                <c:pt idx="45">
                  <c:v>27.062999999999999</c:v>
                </c:pt>
                <c:pt idx="46">
                  <c:v>27.18</c:v>
                </c:pt>
                <c:pt idx="47">
                  <c:v>27.081</c:v>
                </c:pt>
                <c:pt idx="48">
                  <c:v>27.204000000000001</c:v>
                </c:pt>
                <c:pt idx="49">
                  <c:v>27.14</c:v>
                </c:pt>
                <c:pt idx="50">
                  <c:v>27.035</c:v>
                </c:pt>
                <c:pt idx="51">
                  <c:v>27.030999999999999</c:v>
                </c:pt>
                <c:pt idx="52">
                  <c:v>26.965</c:v>
                </c:pt>
                <c:pt idx="53">
                  <c:v>26.940999999999999</c:v>
                </c:pt>
                <c:pt idx="54">
                  <c:v>27.49</c:v>
                </c:pt>
                <c:pt idx="55">
                  <c:v>27.547000000000001</c:v>
                </c:pt>
                <c:pt idx="56">
                  <c:v>27.466999999999999</c:v>
                </c:pt>
                <c:pt idx="57">
                  <c:v>27.454999999999998</c:v>
                </c:pt>
                <c:pt idx="58">
                  <c:v>27.327999999999999</c:v>
                </c:pt>
                <c:pt idx="59">
                  <c:v>27.425000000000001</c:v>
                </c:pt>
                <c:pt idx="60">
                  <c:v>27.359000000000002</c:v>
                </c:pt>
                <c:pt idx="61">
                  <c:v>27.425000000000001</c:v>
                </c:pt>
                <c:pt idx="62">
                  <c:v>27.382999999999999</c:v>
                </c:pt>
                <c:pt idx="63">
                  <c:v>27.454000000000001</c:v>
                </c:pt>
                <c:pt idx="64">
                  <c:v>27.376999999999999</c:v>
                </c:pt>
                <c:pt idx="65">
                  <c:v>27.364999999999998</c:v>
                </c:pt>
                <c:pt idx="66">
                  <c:v>27.306999999999999</c:v>
                </c:pt>
                <c:pt idx="67">
                  <c:v>27.359000000000002</c:v>
                </c:pt>
                <c:pt idx="68">
                  <c:v>27.364000000000001</c:v>
                </c:pt>
                <c:pt idx="69">
                  <c:v>27.385999999999999</c:v>
                </c:pt>
                <c:pt idx="70">
                  <c:v>27.268000000000001</c:v>
                </c:pt>
                <c:pt idx="71">
                  <c:v>27.37</c:v>
                </c:pt>
                <c:pt idx="72">
                  <c:v>27.212</c:v>
                </c:pt>
                <c:pt idx="73">
                  <c:v>27.260999999999999</c:v>
                </c:pt>
                <c:pt idx="74">
                  <c:v>27.241</c:v>
                </c:pt>
                <c:pt idx="75">
                  <c:v>27.364000000000001</c:v>
                </c:pt>
                <c:pt idx="76">
                  <c:v>27.245999999999999</c:v>
                </c:pt>
                <c:pt idx="77">
                  <c:v>27.268000000000001</c:v>
                </c:pt>
                <c:pt idx="78">
                  <c:v>27.163</c:v>
                </c:pt>
                <c:pt idx="79">
                  <c:v>27.303999999999998</c:v>
                </c:pt>
                <c:pt idx="80">
                  <c:v>27.145</c:v>
                </c:pt>
                <c:pt idx="81">
                  <c:v>27.309000000000001</c:v>
                </c:pt>
                <c:pt idx="82">
                  <c:v>27.248000000000001</c:v>
                </c:pt>
                <c:pt idx="83">
                  <c:v>27.327999999999999</c:v>
                </c:pt>
                <c:pt idx="84">
                  <c:v>27.22</c:v>
                </c:pt>
                <c:pt idx="85">
                  <c:v>27.420999999999999</c:v>
                </c:pt>
                <c:pt idx="86">
                  <c:v>27.344000000000001</c:v>
                </c:pt>
                <c:pt idx="87">
                  <c:v>27.488</c:v>
                </c:pt>
                <c:pt idx="88">
                  <c:v>27.347999999999999</c:v>
                </c:pt>
                <c:pt idx="89">
                  <c:v>27.459</c:v>
                </c:pt>
                <c:pt idx="90">
                  <c:v>27.364999999999998</c:v>
                </c:pt>
                <c:pt idx="91">
                  <c:v>27.404</c:v>
                </c:pt>
                <c:pt idx="92">
                  <c:v>27.356999999999999</c:v>
                </c:pt>
                <c:pt idx="93">
                  <c:v>27.486999999999998</c:v>
                </c:pt>
                <c:pt idx="94">
                  <c:v>27.390999999999998</c:v>
                </c:pt>
                <c:pt idx="95">
                  <c:v>27.428000000000001</c:v>
                </c:pt>
                <c:pt idx="96">
                  <c:v>27.384</c:v>
                </c:pt>
                <c:pt idx="97">
                  <c:v>27.379000000000001</c:v>
                </c:pt>
                <c:pt idx="98">
                  <c:v>27.289000000000001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94-4C7C-9EEF-726E555145F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('AMP1-2'!$N$4,'AMP1-2'!$N$4)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94-4C7C-9EEF-726E555145F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('AMP1-2'!$N$5,'AMP1-2'!$N$5)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94-4C7C-9EEF-726E55514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21728"/>
        <c:axId val="377222120"/>
      </c:scatterChart>
      <c:valAx>
        <c:axId val="37722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2120"/>
        <c:crosses val="autoZero"/>
        <c:crossBetween val="midCat"/>
      </c:valAx>
      <c:valAx>
        <c:axId val="377222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2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'AMP1-2'!$O$9:$O$107</c:f>
              <c:numCache>
                <c:formatCode>General</c:formatCode>
                <c:ptCount val="99"/>
                <c:pt idx="0">
                  <c:v>27.643000000000001</c:v>
                </c:pt>
                <c:pt idx="1">
                  <c:v>27.321999999999999</c:v>
                </c:pt>
                <c:pt idx="2">
                  <c:v>27.606000000000002</c:v>
                </c:pt>
                <c:pt idx="3">
                  <c:v>27.123000000000001</c:v>
                </c:pt>
                <c:pt idx="4">
                  <c:v>27.611999999999998</c:v>
                </c:pt>
                <c:pt idx="5">
                  <c:v>27.286000000000001</c:v>
                </c:pt>
                <c:pt idx="6">
                  <c:v>27.577999999999999</c:v>
                </c:pt>
                <c:pt idx="7">
                  <c:v>27.373999999999999</c:v>
                </c:pt>
                <c:pt idx="8">
                  <c:v>27.571999999999999</c:v>
                </c:pt>
                <c:pt idx="9">
                  <c:v>27.338999999999999</c:v>
                </c:pt>
                <c:pt idx="10">
                  <c:v>27.527000000000001</c:v>
                </c:pt>
                <c:pt idx="11">
                  <c:v>27.355</c:v>
                </c:pt>
                <c:pt idx="12">
                  <c:v>27.55</c:v>
                </c:pt>
                <c:pt idx="13">
                  <c:v>27.332000000000001</c:v>
                </c:pt>
                <c:pt idx="14">
                  <c:v>27.49</c:v>
                </c:pt>
                <c:pt idx="15">
                  <c:v>27.289000000000001</c:v>
                </c:pt>
                <c:pt idx="16">
                  <c:v>27.5</c:v>
                </c:pt>
                <c:pt idx="17">
                  <c:v>27.263000000000002</c:v>
                </c:pt>
                <c:pt idx="18">
                  <c:v>27.440999999999999</c:v>
                </c:pt>
                <c:pt idx="19">
                  <c:v>27.260999999999999</c:v>
                </c:pt>
                <c:pt idx="20">
                  <c:v>27.564</c:v>
                </c:pt>
                <c:pt idx="21">
                  <c:v>27.297999999999998</c:v>
                </c:pt>
                <c:pt idx="22">
                  <c:v>27.495999999999999</c:v>
                </c:pt>
                <c:pt idx="23">
                  <c:v>27.234000000000002</c:v>
                </c:pt>
                <c:pt idx="24">
                  <c:v>27.491</c:v>
                </c:pt>
                <c:pt idx="25">
                  <c:v>27.318000000000001</c:v>
                </c:pt>
                <c:pt idx="26">
                  <c:v>27.448</c:v>
                </c:pt>
                <c:pt idx="27">
                  <c:v>27.285</c:v>
                </c:pt>
                <c:pt idx="28">
                  <c:v>27.544</c:v>
                </c:pt>
                <c:pt idx="29">
                  <c:v>27.3</c:v>
                </c:pt>
                <c:pt idx="30">
                  <c:v>27.39</c:v>
                </c:pt>
                <c:pt idx="31">
                  <c:v>27.321000000000002</c:v>
                </c:pt>
                <c:pt idx="32">
                  <c:v>27.385999999999999</c:v>
                </c:pt>
                <c:pt idx="33">
                  <c:v>27.327999999999999</c:v>
                </c:pt>
                <c:pt idx="34">
                  <c:v>27.36</c:v>
                </c:pt>
                <c:pt idx="35">
                  <c:v>27.298999999999999</c:v>
                </c:pt>
                <c:pt idx="36">
                  <c:v>27.396000000000001</c:v>
                </c:pt>
                <c:pt idx="37">
                  <c:v>27.228000000000002</c:v>
                </c:pt>
                <c:pt idx="38">
                  <c:v>27.439</c:v>
                </c:pt>
                <c:pt idx="39">
                  <c:v>27.437000000000001</c:v>
                </c:pt>
                <c:pt idx="40">
                  <c:v>27.35</c:v>
                </c:pt>
                <c:pt idx="41">
                  <c:v>27.23</c:v>
                </c:pt>
                <c:pt idx="42">
                  <c:v>27.295000000000002</c:v>
                </c:pt>
                <c:pt idx="43">
                  <c:v>27.28</c:v>
                </c:pt>
                <c:pt idx="44">
                  <c:v>27.326000000000001</c:v>
                </c:pt>
                <c:pt idx="45">
                  <c:v>27.170999999999999</c:v>
                </c:pt>
                <c:pt idx="46">
                  <c:v>27.378</c:v>
                </c:pt>
                <c:pt idx="47">
                  <c:v>27.157</c:v>
                </c:pt>
                <c:pt idx="48">
                  <c:v>27.33</c:v>
                </c:pt>
                <c:pt idx="49">
                  <c:v>27.311</c:v>
                </c:pt>
                <c:pt idx="50">
                  <c:v>27.219000000000001</c:v>
                </c:pt>
                <c:pt idx="51">
                  <c:v>27.241</c:v>
                </c:pt>
                <c:pt idx="52">
                  <c:v>27.236999999999998</c:v>
                </c:pt>
                <c:pt idx="53">
                  <c:v>27.082000000000001</c:v>
                </c:pt>
                <c:pt idx="54">
                  <c:v>27.63</c:v>
                </c:pt>
                <c:pt idx="55">
                  <c:v>27.686</c:v>
                </c:pt>
                <c:pt idx="56">
                  <c:v>27.581</c:v>
                </c:pt>
                <c:pt idx="57">
                  <c:v>27.606000000000002</c:v>
                </c:pt>
                <c:pt idx="58">
                  <c:v>27.491</c:v>
                </c:pt>
                <c:pt idx="59">
                  <c:v>27.62</c:v>
                </c:pt>
                <c:pt idx="60">
                  <c:v>27.440999999999999</c:v>
                </c:pt>
                <c:pt idx="61">
                  <c:v>27.597999999999999</c:v>
                </c:pt>
                <c:pt idx="62">
                  <c:v>27.466999999999999</c:v>
                </c:pt>
                <c:pt idx="63">
                  <c:v>27.699000000000002</c:v>
                </c:pt>
                <c:pt idx="64">
                  <c:v>27.375</c:v>
                </c:pt>
                <c:pt idx="65">
                  <c:v>27.475999999999999</c:v>
                </c:pt>
                <c:pt idx="66">
                  <c:v>27.449000000000002</c:v>
                </c:pt>
                <c:pt idx="67">
                  <c:v>27.466000000000001</c:v>
                </c:pt>
                <c:pt idx="68">
                  <c:v>27.498000000000001</c:v>
                </c:pt>
                <c:pt idx="69">
                  <c:v>27.504000000000001</c:v>
                </c:pt>
                <c:pt idx="70">
                  <c:v>27.39</c:v>
                </c:pt>
                <c:pt idx="71">
                  <c:v>27.509</c:v>
                </c:pt>
                <c:pt idx="72">
                  <c:v>27.37</c:v>
                </c:pt>
                <c:pt idx="73">
                  <c:v>27.423999999999999</c:v>
                </c:pt>
                <c:pt idx="74">
                  <c:v>27.463000000000001</c:v>
                </c:pt>
                <c:pt idx="75">
                  <c:v>27.456</c:v>
                </c:pt>
                <c:pt idx="76">
                  <c:v>27.45</c:v>
                </c:pt>
                <c:pt idx="77">
                  <c:v>27.36</c:v>
                </c:pt>
                <c:pt idx="78">
                  <c:v>27.349</c:v>
                </c:pt>
                <c:pt idx="79">
                  <c:v>27.431999999999999</c:v>
                </c:pt>
                <c:pt idx="80">
                  <c:v>27.300999999999998</c:v>
                </c:pt>
                <c:pt idx="81">
                  <c:v>27.385999999999999</c:v>
                </c:pt>
                <c:pt idx="82">
                  <c:v>27.513999999999999</c:v>
                </c:pt>
                <c:pt idx="83">
                  <c:v>27.692</c:v>
                </c:pt>
                <c:pt idx="84">
                  <c:v>27.256</c:v>
                </c:pt>
                <c:pt idx="85">
                  <c:v>27.658999999999999</c:v>
                </c:pt>
                <c:pt idx="86">
                  <c:v>27.388999999999999</c:v>
                </c:pt>
                <c:pt idx="87">
                  <c:v>27.718</c:v>
                </c:pt>
                <c:pt idx="88">
                  <c:v>27.402000000000001</c:v>
                </c:pt>
                <c:pt idx="89">
                  <c:v>27.704999999999998</c:v>
                </c:pt>
                <c:pt idx="90">
                  <c:v>27.416</c:v>
                </c:pt>
                <c:pt idx="91">
                  <c:v>27.648</c:v>
                </c:pt>
                <c:pt idx="92">
                  <c:v>27.477</c:v>
                </c:pt>
                <c:pt idx="93">
                  <c:v>27.664999999999999</c:v>
                </c:pt>
                <c:pt idx="94">
                  <c:v>27.484999999999999</c:v>
                </c:pt>
                <c:pt idx="95">
                  <c:v>27.667000000000002</c:v>
                </c:pt>
                <c:pt idx="96">
                  <c:v>27.428000000000001</c:v>
                </c:pt>
                <c:pt idx="97">
                  <c:v>27.754000000000001</c:v>
                </c:pt>
                <c:pt idx="98">
                  <c:v>27.201000000000001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70-4277-A81D-4188F064581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('AMP1-2'!$O$4,'AMP1-2'!$O$4)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70-4277-A81D-4188F064581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('AMP1-2'!$O$5,'AMP1-2'!$O$5)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70-4277-A81D-4188F0645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98704"/>
        <c:axId val="381999096"/>
      </c:scatterChart>
      <c:valAx>
        <c:axId val="38199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999096"/>
        <c:crosses val="autoZero"/>
        <c:crossBetween val="midCat"/>
      </c:valAx>
      <c:valAx>
        <c:axId val="3819990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99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'AMP1-2'!$R$9:$R$107</c:f>
              <c:numCache>
                <c:formatCode>General</c:formatCode>
                <c:ptCount val="99"/>
                <c:pt idx="0">
                  <c:v>17.524000000000001</c:v>
                </c:pt>
                <c:pt idx="1">
                  <c:v>17.187999999999999</c:v>
                </c:pt>
                <c:pt idx="2">
                  <c:v>17.608000000000001</c:v>
                </c:pt>
                <c:pt idx="3">
                  <c:v>17.21</c:v>
                </c:pt>
                <c:pt idx="4">
                  <c:v>17.597000000000001</c:v>
                </c:pt>
                <c:pt idx="5">
                  <c:v>17.204000000000001</c:v>
                </c:pt>
                <c:pt idx="6">
                  <c:v>17.556000000000001</c:v>
                </c:pt>
                <c:pt idx="7">
                  <c:v>17.209</c:v>
                </c:pt>
                <c:pt idx="8">
                  <c:v>17.588000000000001</c:v>
                </c:pt>
                <c:pt idx="9">
                  <c:v>17.181000000000001</c:v>
                </c:pt>
                <c:pt idx="10">
                  <c:v>17.558</c:v>
                </c:pt>
                <c:pt idx="11">
                  <c:v>17.198</c:v>
                </c:pt>
                <c:pt idx="12">
                  <c:v>17.544</c:v>
                </c:pt>
                <c:pt idx="13">
                  <c:v>17.173999999999999</c:v>
                </c:pt>
                <c:pt idx="14">
                  <c:v>17.541</c:v>
                </c:pt>
                <c:pt idx="15">
                  <c:v>17.170000000000002</c:v>
                </c:pt>
                <c:pt idx="16">
                  <c:v>17.609000000000002</c:v>
                </c:pt>
                <c:pt idx="17">
                  <c:v>17.183</c:v>
                </c:pt>
                <c:pt idx="18">
                  <c:v>17.550999999999998</c:v>
                </c:pt>
                <c:pt idx="19">
                  <c:v>17.170000000000002</c:v>
                </c:pt>
                <c:pt idx="20">
                  <c:v>17.603000000000002</c:v>
                </c:pt>
                <c:pt idx="21">
                  <c:v>17.170000000000002</c:v>
                </c:pt>
                <c:pt idx="22">
                  <c:v>17.588000000000001</c:v>
                </c:pt>
                <c:pt idx="23">
                  <c:v>17.169</c:v>
                </c:pt>
                <c:pt idx="24">
                  <c:v>17.542999999999999</c:v>
                </c:pt>
                <c:pt idx="25">
                  <c:v>17.170999999999999</c:v>
                </c:pt>
                <c:pt idx="26">
                  <c:v>17.582000000000001</c:v>
                </c:pt>
                <c:pt idx="27">
                  <c:v>17.195</c:v>
                </c:pt>
                <c:pt idx="28">
                  <c:v>17.564</c:v>
                </c:pt>
                <c:pt idx="29">
                  <c:v>17.173999999999999</c:v>
                </c:pt>
                <c:pt idx="30">
                  <c:v>17.573</c:v>
                </c:pt>
                <c:pt idx="31">
                  <c:v>17.143000000000001</c:v>
                </c:pt>
                <c:pt idx="32">
                  <c:v>17.588999999999999</c:v>
                </c:pt>
                <c:pt idx="33">
                  <c:v>17.148</c:v>
                </c:pt>
                <c:pt idx="34">
                  <c:v>17.579000000000001</c:v>
                </c:pt>
                <c:pt idx="35">
                  <c:v>17.151</c:v>
                </c:pt>
                <c:pt idx="36">
                  <c:v>17.588999999999999</c:v>
                </c:pt>
                <c:pt idx="37">
                  <c:v>17.181999999999999</c:v>
                </c:pt>
                <c:pt idx="38">
                  <c:v>17.559000000000001</c:v>
                </c:pt>
                <c:pt idx="39">
                  <c:v>17.138000000000002</c:v>
                </c:pt>
                <c:pt idx="40">
                  <c:v>17.625</c:v>
                </c:pt>
                <c:pt idx="41">
                  <c:v>17.167999999999999</c:v>
                </c:pt>
                <c:pt idx="42">
                  <c:v>17.611999999999998</c:v>
                </c:pt>
                <c:pt idx="43">
                  <c:v>17.178999999999998</c:v>
                </c:pt>
                <c:pt idx="44">
                  <c:v>17.631</c:v>
                </c:pt>
                <c:pt idx="45">
                  <c:v>17.219000000000001</c:v>
                </c:pt>
                <c:pt idx="46">
                  <c:v>17.594999999999999</c:v>
                </c:pt>
                <c:pt idx="47">
                  <c:v>17.181000000000001</c:v>
                </c:pt>
                <c:pt idx="48">
                  <c:v>17.587</c:v>
                </c:pt>
                <c:pt idx="49">
                  <c:v>17.178000000000001</c:v>
                </c:pt>
                <c:pt idx="50">
                  <c:v>17.573</c:v>
                </c:pt>
                <c:pt idx="51">
                  <c:v>17.177</c:v>
                </c:pt>
                <c:pt idx="52">
                  <c:v>17.594000000000001</c:v>
                </c:pt>
                <c:pt idx="53">
                  <c:v>17.148</c:v>
                </c:pt>
                <c:pt idx="54">
                  <c:v>17.600000000000001</c:v>
                </c:pt>
                <c:pt idx="55">
                  <c:v>17.555</c:v>
                </c:pt>
                <c:pt idx="56">
                  <c:v>17.163</c:v>
                </c:pt>
                <c:pt idx="57">
                  <c:v>17.596</c:v>
                </c:pt>
                <c:pt idx="58">
                  <c:v>17.178999999999998</c:v>
                </c:pt>
                <c:pt idx="59">
                  <c:v>17.579000000000001</c:v>
                </c:pt>
                <c:pt idx="60">
                  <c:v>17.152000000000001</c:v>
                </c:pt>
                <c:pt idx="61">
                  <c:v>17.579999999999998</c:v>
                </c:pt>
                <c:pt idx="62">
                  <c:v>17.138999999999999</c:v>
                </c:pt>
                <c:pt idx="63">
                  <c:v>17.587</c:v>
                </c:pt>
                <c:pt idx="64">
                  <c:v>17.146000000000001</c:v>
                </c:pt>
                <c:pt idx="65">
                  <c:v>17.591000000000001</c:v>
                </c:pt>
                <c:pt idx="66">
                  <c:v>17.111000000000001</c:v>
                </c:pt>
                <c:pt idx="67">
                  <c:v>17.594999999999999</c:v>
                </c:pt>
                <c:pt idx="68">
                  <c:v>17.192</c:v>
                </c:pt>
                <c:pt idx="69">
                  <c:v>17.623999999999999</c:v>
                </c:pt>
                <c:pt idx="70">
                  <c:v>17.177</c:v>
                </c:pt>
                <c:pt idx="71">
                  <c:v>17.591999999999999</c:v>
                </c:pt>
                <c:pt idx="72">
                  <c:v>17.193000000000001</c:v>
                </c:pt>
                <c:pt idx="73">
                  <c:v>17.558</c:v>
                </c:pt>
                <c:pt idx="74">
                  <c:v>17.186</c:v>
                </c:pt>
                <c:pt idx="75">
                  <c:v>17.588999999999999</c:v>
                </c:pt>
                <c:pt idx="76">
                  <c:v>17.173999999999999</c:v>
                </c:pt>
                <c:pt idx="77">
                  <c:v>17.553000000000001</c:v>
                </c:pt>
                <c:pt idx="78">
                  <c:v>17.167000000000002</c:v>
                </c:pt>
                <c:pt idx="79">
                  <c:v>17.597000000000001</c:v>
                </c:pt>
                <c:pt idx="80">
                  <c:v>17.164000000000001</c:v>
                </c:pt>
                <c:pt idx="81">
                  <c:v>17.568000000000001</c:v>
                </c:pt>
                <c:pt idx="82">
                  <c:v>17.097000000000001</c:v>
                </c:pt>
                <c:pt idx="83">
                  <c:v>17.555</c:v>
                </c:pt>
                <c:pt idx="84">
                  <c:v>17.163</c:v>
                </c:pt>
                <c:pt idx="85">
                  <c:v>17.542000000000002</c:v>
                </c:pt>
                <c:pt idx="86">
                  <c:v>17.183</c:v>
                </c:pt>
                <c:pt idx="87">
                  <c:v>17.579000000000001</c:v>
                </c:pt>
                <c:pt idx="88">
                  <c:v>17.158000000000001</c:v>
                </c:pt>
                <c:pt idx="89">
                  <c:v>17.527000000000001</c:v>
                </c:pt>
                <c:pt idx="90">
                  <c:v>17.196000000000002</c:v>
                </c:pt>
                <c:pt idx="91">
                  <c:v>17.565999999999999</c:v>
                </c:pt>
                <c:pt idx="92">
                  <c:v>17.143999999999998</c:v>
                </c:pt>
                <c:pt idx="93">
                  <c:v>17.587</c:v>
                </c:pt>
                <c:pt idx="94">
                  <c:v>17.16</c:v>
                </c:pt>
                <c:pt idx="95">
                  <c:v>17.594999999999999</c:v>
                </c:pt>
                <c:pt idx="96">
                  <c:v>17.172000000000001</c:v>
                </c:pt>
                <c:pt idx="97">
                  <c:v>17.536000000000001</c:v>
                </c:pt>
                <c:pt idx="98">
                  <c:v>17.192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5-45E1-8538-62406623EE8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('AMP1-2'!$R$4,'AMP1-2'!$R$4)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95-45E1-8538-62406623EE8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('AMP1-2'!$R$5,'AMP1-2'!$R$5)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95-45E1-8538-62406623E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99880"/>
        <c:axId val="382000272"/>
      </c:scatterChart>
      <c:valAx>
        <c:axId val="38199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00272"/>
        <c:crosses val="autoZero"/>
        <c:crossBetween val="midCat"/>
      </c:valAx>
      <c:valAx>
        <c:axId val="3820002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99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'AMP1-2'!$S$9:$S$107</c:f>
              <c:numCache>
                <c:formatCode>General</c:formatCode>
                <c:ptCount val="99"/>
                <c:pt idx="0">
                  <c:v>17.469000000000001</c:v>
                </c:pt>
                <c:pt idx="1">
                  <c:v>17.358000000000001</c:v>
                </c:pt>
                <c:pt idx="2">
                  <c:v>17.707999999999998</c:v>
                </c:pt>
                <c:pt idx="3">
                  <c:v>17.251999999999999</c:v>
                </c:pt>
                <c:pt idx="4">
                  <c:v>17.428999999999998</c:v>
                </c:pt>
                <c:pt idx="5">
                  <c:v>17.361999999999998</c:v>
                </c:pt>
                <c:pt idx="6">
                  <c:v>17.582999999999998</c:v>
                </c:pt>
                <c:pt idx="7">
                  <c:v>17.363</c:v>
                </c:pt>
                <c:pt idx="8">
                  <c:v>17.504999999999999</c:v>
                </c:pt>
                <c:pt idx="9">
                  <c:v>17.385000000000002</c:v>
                </c:pt>
                <c:pt idx="10">
                  <c:v>17.321000000000002</c:v>
                </c:pt>
                <c:pt idx="11">
                  <c:v>17.315999999999999</c:v>
                </c:pt>
                <c:pt idx="12">
                  <c:v>17.442</c:v>
                </c:pt>
                <c:pt idx="13">
                  <c:v>17.312999999999999</c:v>
                </c:pt>
                <c:pt idx="14">
                  <c:v>17.399000000000001</c:v>
                </c:pt>
                <c:pt idx="15">
                  <c:v>17.257000000000001</c:v>
                </c:pt>
                <c:pt idx="16">
                  <c:v>17.452000000000002</c:v>
                </c:pt>
                <c:pt idx="17">
                  <c:v>17.268000000000001</c:v>
                </c:pt>
                <c:pt idx="18">
                  <c:v>17.395</c:v>
                </c:pt>
                <c:pt idx="19">
                  <c:v>17.262</c:v>
                </c:pt>
                <c:pt idx="20">
                  <c:v>17.523</c:v>
                </c:pt>
                <c:pt idx="21">
                  <c:v>17.300999999999998</c:v>
                </c:pt>
                <c:pt idx="22">
                  <c:v>17.510999999999999</c:v>
                </c:pt>
                <c:pt idx="23">
                  <c:v>17.236999999999998</c:v>
                </c:pt>
                <c:pt idx="24">
                  <c:v>17.395</c:v>
                </c:pt>
                <c:pt idx="25">
                  <c:v>17.331</c:v>
                </c:pt>
                <c:pt idx="26">
                  <c:v>17.451000000000001</c:v>
                </c:pt>
                <c:pt idx="27">
                  <c:v>17.382999999999999</c:v>
                </c:pt>
                <c:pt idx="28">
                  <c:v>17.469000000000001</c:v>
                </c:pt>
                <c:pt idx="29">
                  <c:v>17.324000000000002</c:v>
                </c:pt>
                <c:pt idx="30">
                  <c:v>17.352</c:v>
                </c:pt>
                <c:pt idx="31">
                  <c:v>17.32</c:v>
                </c:pt>
                <c:pt idx="32">
                  <c:v>17.428000000000001</c:v>
                </c:pt>
                <c:pt idx="33">
                  <c:v>17.193000000000001</c:v>
                </c:pt>
                <c:pt idx="34">
                  <c:v>17.443000000000001</c:v>
                </c:pt>
                <c:pt idx="35">
                  <c:v>17.263000000000002</c:v>
                </c:pt>
                <c:pt idx="36">
                  <c:v>17.443000000000001</c:v>
                </c:pt>
                <c:pt idx="37">
                  <c:v>17.151</c:v>
                </c:pt>
                <c:pt idx="38">
                  <c:v>17.452000000000002</c:v>
                </c:pt>
                <c:pt idx="39">
                  <c:v>17.334</c:v>
                </c:pt>
                <c:pt idx="40">
                  <c:v>17.356999999999999</c:v>
                </c:pt>
                <c:pt idx="41">
                  <c:v>17.239000000000001</c:v>
                </c:pt>
                <c:pt idx="42">
                  <c:v>17.498000000000001</c:v>
                </c:pt>
                <c:pt idx="43">
                  <c:v>17.283999999999999</c:v>
                </c:pt>
                <c:pt idx="44">
                  <c:v>17.311</c:v>
                </c:pt>
                <c:pt idx="45">
                  <c:v>17.283000000000001</c:v>
                </c:pt>
                <c:pt idx="46">
                  <c:v>17.417999999999999</c:v>
                </c:pt>
                <c:pt idx="47">
                  <c:v>17.187000000000001</c:v>
                </c:pt>
                <c:pt idx="48">
                  <c:v>17.497</c:v>
                </c:pt>
                <c:pt idx="49">
                  <c:v>17.254999999999999</c:v>
                </c:pt>
                <c:pt idx="50">
                  <c:v>17.350000000000001</c:v>
                </c:pt>
                <c:pt idx="51">
                  <c:v>17.122</c:v>
                </c:pt>
                <c:pt idx="52">
                  <c:v>17.376999999999999</c:v>
                </c:pt>
                <c:pt idx="53">
                  <c:v>17.123999999999999</c:v>
                </c:pt>
                <c:pt idx="54">
                  <c:v>17.384</c:v>
                </c:pt>
                <c:pt idx="55">
                  <c:v>17.655999999999999</c:v>
                </c:pt>
                <c:pt idx="56">
                  <c:v>17.341999999999999</c:v>
                </c:pt>
                <c:pt idx="57">
                  <c:v>17.542999999999999</c:v>
                </c:pt>
                <c:pt idx="58">
                  <c:v>17.39</c:v>
                </c:pt>
                <c:pt idx="59">
                  <c:v>17.492000000000001</c:v>
                </c:pt>
                <c:pt idx="60">
                  <c:v>17.419</c:v>
                </c:pt>
                <c:pt idx="61">
                  <c:v>17.593</c:v>
                </c:pt>
                <c:pt idx="62">
                  <c:v>17.297000000000001</c:v>
                </c:pt>
                <c:pt idx="63">
                  <c:v>17.536999999999999</c:v>
                </c:pt>
                <c:pt idx="64">
                  <c:v>17.334</c:v>
                </c:pt>
                <c:pt idx="65">
                  <c:v>17.484999999999999</c:v>
                </c:pt>
                <c:pt idx="66">
                  <c:v>17.332999999999998</c:v>
                </c:pt>
                <c:pt idx="67">
                  <c:v>17.54</c:v>
                </c:pt>
                <c:pt idx="68">
                  <c:v>17.451000000000001</c:v>
                </c:pt>
                <c:pt idx="69">
                  <c:v>17.533999999999999</c:v>
                </c:pt>
                <c:pt idx="70">
                  <c:v>17.279</c:v>
                </c:pt>
                <c:pt idx="71">
                  <c:v>17.460999999999999</c:v>
                </c:pt>
                <c:pt idx="72">
                  <c:v>17.375</c:v>
                </c:pt>
                <c:pt idx="73">
                  <c:v>17.452000000000002</c:v>
                </c:pt>
                <c:pt idx="74">
                  <c:v>17.38</c:v>
                </c:pt>
                <c:pt idx="75">
                  <c:v>17.414999999999999</c:v>
                </c:pt>
                <c:pt idx="76">
                  <c:v>17.303000000000001</c:v>
                </c:pt>
                <c:pt idx="77">
                  <c:v>17.411000000000001</c:v>
                </c:pt>
                <c:pt idx="78">
                  <c:v>17.329999999999998</c:v>
                </c:pt>
                <c:pt idx="79">
                  <c:v>17.524000000000001</c:v>
                </c:pt>
                <c:pt idx="80">
                  <c:v>17.183</c:v>
                </c:pt>
                <c:pt idx="81">
                  <c:v>17.463999999999999</c:v>
                </c:pt>
                <c:pt idx="82">
                  <c:v>17.198</c:v>
                </c:pt>
                <c:pt idx="83">
                  <c:v>17.509</c:v>
                </c:pt>
                <c:pt idx="84">
                  <c:v>17.219000000000001</c:v>
                </c:pt>
                <c:pt idx="85">
                  <c:v>17.405000000000001</c:v>
                </c:pt>
                <c:pt idx="86">
                  <c:v>17.417000000000002</c:v>
                </c:pt>
                <c:pt idx="87">
                  <c:v>17.466999999999999</c:v>
                </c:pt>
                <c:pt idx="88">
                  <c:v>17.41</c:v>
                </c:pt>
                <c:pt idx="89">
                  <c:v>17.478000000000002</c:v>
                </c:pt>
                <c:pt idx="90">
                  <c:v>17.454999999999998</c:v>
                </c:pt>
                <c:pt idx="91">
                  <c:v>17.504999999999999</c:v>
                </c:pt>
                <c:pt idx="92">
                  <c:v>17.369</c:v>
                </c:pt>
                <c:pt idx="93">
                  <c:v>17.457000000000001</c:v>
                </c:pt>
                <c:pt idx="94">
                  <c:v>17.439</c:v>
                </c:pt>
                <c:pt idx="95">
                  <c:v>17.486000000000001</c:v>
                </c:pt>
                <c:pt idx="96">
                  <c:v>17.504999999999999</c:v>
                </c:pt>
                <c:pt idx="97">
                  <c:v>17.379000000000001</c:v>
                </c:pt>
                <c:pt idx="98">
                  <c:v>17.373000000000001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B-4B0F-863E-51FDD8B6381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('AMP1-2'!$S$4,'AMP1-2'!$S$4)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3B-4B0F-863E-51FDD8B6381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('AMP1-2'!$S$5,'AMP1-2'!$S$5)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3B-4B0F-863E-51FDD8B63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001056"/>
        <c:axId val="382001448"/>
      </c:scatterChart>
      <c:valAx>
        <c:axId val="38200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01448"/>
        <c:crosses val="autoZero"/>
        <c:crossBetween val="midCat"/>
      </c:valAx>
      <c:valAx>
        <c:axId val="3820014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0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'AMP1-2'!$T$9:$T$107</c:f>
              <c:numCache>
                <c:formatCode>General</c:formatCode>
                <c:ptCount val="99"/>
                <c:pt idx="0">
                  <c:v>34.216000000000001</c:v>
                </c:pt>
                <c:pt idx="1">
                  <c:v>36.808</c:v>
                </c:pt>
                <c:pt idx="2">
                  <c:v>33.896999999999998</c:v>
                </c:pt>
                <c:pt idx="3">
                  <c:v>34.598999999999997</c:v>
                </c:pt>
                <c:pt idx="4">
                  <c:v>34.22</c:v>
                </c:pt>
                <c:pt idx="5">
                  <c:v>35.17</c:v>
                </c:pt>
                <c:pt idx="6">
                  <c:v>34.177999999999997</c:v>
                </c:pt>
                <c:pt idx="7">
                  <c:v>37.289000000000001</c:v>
                </c:pt>
                <c:pt idx="8">
                  <c:v>33.985999999999997</c:v>
                </c:pt>
                <c:pt idx="9">
                  <c:v>37.228000000000002</c:v>
                </c:pt>
                <c:pt idx="10">
                  <c:v>34.109000000000002</c:v>
                </c:pt>
                <c:pt idx="11">
                  <c:v>37.594000000000001</c:v>
                </c:pt>
                <c:pt idx="12">
                  <c:v>34.079000000000001</c:v>
                </c:pt>
                <c:pt idx="13">
                  <c:v>37.805</c:v>
                </c:pt>
                <c:pt idx="14">
                  <c:v>33.936999999999998</c:v>
                </c:pt>
                <c:pt idx="15">
                  <c:v>35.689</c:v>
                </c:pt>
                <c:pt idx="16">
                  <c:v>34.03</c:v>
                </c:pt>
                <c:pt idx="17">
                  <c:v>37.960999999999999</c:v>
                </c:pt>
                <c:pt idx="18">
                  <c:v>33.987000000000002</c:v>
                </c:pt>
                <c:pt idx="19">
                  <c:v>33.363999999999997</c:v>
                </c:pt>
                <c:pt idx="20">
                  <c:v>34.067999999999998</c:v>
                </c:pt>
                <c:pt idx="21">
                  <c:v>38.325000000000003</c:v>
                </c:pt>
                <c:pt idx="22">
                  <c:v>33.878999999999998</c:v>
                </c:pt>
                <c:pt idx="23">
                  <c:v>37.061999999999998</c:v>
                </c:pt>
                <c:pt idx="24">
                  <c:v>34.081000000000003</c:v>
                </c:pt>
                <c:pt idx="25">
                  <c:v>36.975000000000001</c:v>
                </c:pt>
                <c:pt idx="26">
                  <c:v>34.012999999999998</c:v>
                </c:pt>
                <c:pt idx="27">
                  <c:v>37.154000000000003</c:v>
                </c:pt>
                <c:pt idx="28">
                  <c:v>34.031999999999996</c:v>
                </c:pt>
                <c:pt idx="29">
                  <c:v>36.628</c:v>
                </c:pt>
                <c:pt idx="30">
                  <c:v>34.15</c:v>
                </c:pt>
                <c:pt idx="31">
                  <c:v>34.192</c:v>
                </c:pt>
                <c:pt idx="32">
                  <c:v>33.576000000000001</c:v>
                </c:pt>
                <c:pt idx="33">
                  <c:v>34.764000000000003</c:v>
                </c:pt>
                <c:pt idx="34">
                  <c:v>33.984999999999999</c:v>
                </c:pt>
                <c:pt idx="35">
                  <c:v>37.020000000000003</c:v>
                </c:pt>
                <c:pt idx="36">
                  <c:v>33.853000000000002</c:v>
                </c:pt>
                <c:pt idx="37">
                  <c:v>36.685000000000002</c:v>
                </c:pt>
                <c:pt idx="38">
                  <c:v>33.588000000000001</c:v>
                </c:pt>
                <c:pt idx="39">
                  <c:v>38.356999999999999</c:v>
                </c:pt>
                <c:pt idx="40">
                  <c:v>33.808999999999997</c:v>
                </c:pt>
                <c:pt idx="41">
                  <c:v>35.186</c:v>
                </c:pt>
                <c:pt idx="42">
                  <c:v>33.981999999999999</c:v>
                </c:pt>
                <c:pt idx="43">
                  <c:v>36.317</c:v>
                </c:pt>
                <c:pt idx="44">
                  <c:v>33.921999999999997</c:v>
                </c:pt>
                <c:pt idx="45">
                  <c:v>36.26</c:v>
                </c:pt>
                <c:pt idx="46">
                  <c:v>33.850999999999999</c:v>
                </c:pt>
                <c:pt idx="47">
                  <c:v>37.494</c:v>
                </c:pt>
                <c:pt idx="48">
                  <c:v>33.966999999999999</c:v>
                </c:pt>
                <c:pt idx="49">
                  <c:v>35.795999999999999</c:v>
                </c:pt>
                <c:pt idx="50">
                  <c:v>33.880000000000003</c:v>
                </c:pt>
                <c:pt idx="51">
                  <c:v>35.384999999999998</c:v>
                </c:pt>
                <c:pt idx="52">
                  <c:v>33.954999999999998</c:v>
                </c:pt>
                <c:pt idx="53">
                  <c:v>37.539000000000001</c:v>
                </c:pt>
                <c:pt idx="54">
                  <c:v>34.139000000000003</c:v>
                </c:pt>
                <c:pt idx="55">
                  <c:v>34.247</c:v>
                </c:pt>
                <c:pt idx="56">
                  <c:v>38.573</c:v>
                </c:pt>
                <c:pt idx="57">
                  <c:v>34.174999999999997</c:v>
                </c:pt>
                <c:pt idx="58">
                  <c:v>34.594999999999999</c:v>
                </c:pt>
                <c:pt idx="59">
                  <c:v>34.222999999999999</c:v>
                </c:pt>
                <c:pt idx="60">
                  <c:v>36.348999999999997</c:v>
                </c:pt>
                <c:pt idx="61">
                  <c:v>34.185000000000002</c:v>
                </c:pt>
                <c:pt idx="62">
                  <c:v>36.844999999999999</c:v>
                </c:pt>
                <c:pt idx="63">
                  <c:v>34.417000000000002</c:v>
                </c:pt>
                <c:pt idx="64">
                  <c:v>36.728999999999999</c:v>
                </c:pt>
                <c:pt idx="65">
                  <c:v>34.28</c:v>
                </c:pt>
                <c:pt idx="66">
                  <c:v>35.183</c:v>
                </c:pt>
                <c:pt idx="67">
                  <c:v>34.003999999999998</c:v>
                </c:pt>
                <c:pt idx="68">
                  <c:v>38.049999999999997</c:v>
                </c:pt>
                <c:pt idx="69">
                  <c:v>34.134</c:v>
                </c:pt>
                <c:pt idx="70">
                  <c:v>35.645000000000003</c:v>
                </c:pt>
                <c:pt idx="71">
                  <c:v>33.987000000000002</c:v>
                </c:pt>
                <c:pt idx="72">
                  <c:v>32.499000000000002</c:v>
                </c:pt>
                <c:pt idx="73">
                  <c:v>34.075000000000003</c:v>
                </c:pt>
                <c:pt idx="74">
                  <c:v>38.018999999999998</c:v>
                </c:pt>
                <c:pt idx="75">
                  <c:v>34.043999999999997</c:v>
                </c:pt>
                <c:pt idx="76">
                  <c:v>37.749000000000002</c:v>
                </c:pt>
                <c:pt idx="77">
                  <c:v>33.966999999999999</c:v>
                </c:pt>
                <c:pt idx="78">
                  <c:v>37.722000000000001</c:v>
                </c:pt>
                <c:pt idx="79">
                  <c:v>34.037999999999997</c:v>
                </c:pt>
                <c:pt idx="80">
                  <c:v>38.450000000000003</c:v>
                </c:pt>
                <c:pt idx="81">
                  <c:v>33.862000000000002</c:v>
                </c:pt>
                <c:pt idx="82">
                  <c:v>36.866999999999997</c:v>
                </c:pt>
                <c:pt idx="83">
                  <c:v>34.628</c:v>
                </c:pt>
                <c:pt idx="84">
                  <c:v>35.930999999999997</c:v>
                </c:pt>
                <c:pt idx="85">
                  <c:v>33.935000000000002</c:v>
                </c:pt>
                <c:pt idx="86">
                  <c:v>35.488</c:v>
                </c:pt>
                <c:pt idx="87">
                  <c:v>34.229999999999997</c:v>
                </c:pt>
                <c:pt idx="88">
                  <c:v>36.098999999999997</c:v>
                </c:pt>
                <c:pt idx="89">
                  <c:v>33.912999999999997</c:v>
                </c:pt>
                <c:pt idx="90">
                  <c:v>38.335000000000001</c:v>
                </c:pt>
                <c:pt idx="91">
                  <c:v>33.963999999999999</c:v>
                </c:pt>
                <c:pt idx="92">
                  <c:v>36.759</c:v>
                </c:pt>
                <c:pt idx="93">
                  <c:v>34.119</c:v>
                </c:pt>
                <c:pt idx="94">
                  <c:v>35.530999999999999</c:v>
                </c:pt>
                <c:pt idx="95">
                  <c:v>34.252000000000002</c:v>
                </c:pt>
                <c:pt idx="96">
                  <c:v>35.375</c:v>
                </c:pt>
                <c:pt idx="97">
                  <c:v>34.534999999999997</c:v>
                </c:pt>
                <c:pt idx="98">
                  <c:v>36.947000000000003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38-4969-91D7-7F3FEE802A6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('AMP1-2'!$T$4,'AMP1-2'!$T$4)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38-4969-91D7-7F3FEE802A6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('AMP1-2'!$T$5,'AMP1-2'!$T$5)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38-4969-91D7-7F3FEE802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002232"/>
        <c:axId val="381304936"/>
      </c:scatterChart>
      <c:valAx>
        <c:axId val="382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4936"/>
        <c:crosses val="autoZero"/>
        <c:crossBetween val="midCat"/>
      </c:valAx>
      <c:valAx>
        <c:axId val="3813049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0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'AMP1-2'!$U$9:$U$107</c:f>
              <c:numCache>
                <c:formatCode>General</c:formatCode>
                <c:ptCount val="99"/>
                <c:pt idx="0">
                  <c:v>34.448</c:v>
                </c:pt>
                <c:pt idx="1">
                  <c:v>38.572000000000003</c:v>
                </c:pt>
                <c:pt idx="2">
                  <c:v>34.472000000000001</c:v>
                </c:pt>
                <c:pt idx="3">
                  <c:v>35.762</c:v>
                </c:pt>
                <c:pt idx="4">
                  <c:v>34.395000000000003</c:v>
                </c:pt>
                <c:pt idx="5">
                  <c:v>37.615000000000002</c:v>
                </c:pt>
                <c:pt idx="6">
                  <c:v>34.390999999999998</c:v>
                </c:pt>
                <c:pt idx="7">
                  <c:v>38.078000000000003</c:v>
                </c:pt>
                <c:pt idx="8">
                  <c:v>34.531999999999996</c:v>
                </c:pt>
                <c:pt idx="9">
                  <c:v>38.720999999999997</c:v>
                </c:pt>
                <c:pt idx="10">
                  <c:v>34.482999999999997</c:v>
                </c:pt>
                <c:pt idx="11">
                  <c:v>39.029000000000003</c:v>
                </c:pt>
                <c:pt idx="12">
                  <c:v>34.415999999999997</c:v>
                </c:pt>
                <c:pt idx="13">
                  <c:v>38.685000000000002</c:v>
                </c:pt>
                <c:pt idx="14">
                  <c:v>34.450000000000003</c:v>
                </c:pt>
                <c:pt idx="15">
                  <c:v>36.326000000000001</c:v>
                </c:pt>
                <c:pt idx="16">
                  <c:v>34.365000000000002</c:v>
                </c:pt>
                <c:pt idx="17">
                  <c:v>39.887999999999998</c:v>
                </c:pt>
                <c:pt idx="18">
                  <c:v>34.494</c:v>
                </c:pt>
                <c:pt idx="19">
                  <c:v>35.729999999999997</c:v>
                </c:pt>
                <c:pt idx="20">
                  <c:v>34.384</c:v>
                </c:pt>
                <c:pt idx="21">
                  <c:v>38.987000000000002</c:v>
                </c:pt>
                <c:pt idx="22">
                  <c:v>34.348999999999997</c:v>
                </c:pt>
                <c:pt idx="23">
                  <c:v>37.151000000000003</c:v>
                </c:pt>
                <c:pt idx="24">
                  <c:v>34.433</c:v>
                </c:pt>
                <c:pt idx="25">
                  <c:v>36.588999999999999</c:v>
                </c:pt>
                <c:pt idx="26">
                  <c:v>34.402999999999999</c:v>
                </c:pt>
                <c:pt idx="27">
                  <c:v>38.435000000000002</c:v>
                </c:pt>
                <c:pt idx="28">
                  <c:v>34.387999999999998</c:v>
                </c:pt>
                <c:pt idx="29">
                  <c:v>36.389000000000003</c:v>
                </c:pt>
                <c:pt idx="30">
                  <c:v>34.424999999999997</c:v>
                </c:pt>
                <c:pt idx="31">
                  <c:v>35.264000000000003</c:v>
                </c:pt>
                <c:pt idx="32">
                  <c:v>33.948999999999998</c:v>
                </c:pt>
                <c:pt idx="33">
                  <c:v>35.814999999999998</c:v>
                </c:pt>
                <c:pt idx="34">
                  <c:v>34.265999999999998</c:v>
                </c:pt>
                <c:pt idx="35">
                  <c:v>38.515000000000001</c:v>
                </c:pt>
                <c:pt idx="36">
                  <c:v>34.085999999999999</c:v>
                </c:pt>
                <c:pt idx="37">
                  <c:v>38.901000000000003</c:v>
                </c:pt>
                <c:pt idx="38">
                  <c:v>34.494</c:v>
                </c:pt>
                <c:pt idx="39">
                  <c:v>40.707999999999998</c:v>
                </c:pt>
                <c:pt idx="40">
                  <c:v>34.445</c:v>
                </c:pt>
                <c:pt idx="41">
                  <c:v>35.441000000000003</c:v>
                </c:pt>
                <c:pt idx="42">
                  <c:v>34.271999999999998</c:v>
                </c:pt>
                <c:pt idx="43">
                  <c:v>37.81</c:v>
                </c:pt>
                <c:pt idx="44">
                  <c:v>34.488999999999997</c:v>
                </c:pt>
                <c:pt idx="45">
                  <c:v>38.215000000000003</c:v>
                </c:pt>
                <c:pt idx="46">
                  <c:v>33.99</c:v>
                </c:pt>
                <c:pt idx="47">
                  <c:v>38.777999999999999</c:v>
                </c:pt>
                <c:pt idx="48">
                  <c:v>34.130000000000003</c:v>
                </c:pt>
                <c:pt idx="49">
                  <c:v>37.154000000000003</c:v>
                </c:pt>
                <c:pt idx="50">
                  <c:v>34.191000000000003</c:v>
                </c:pt>
                <c:pt idx="51">
                  <c:v>36.387</c:v>
                </c:pt>
                <c:pt idx="52">
                  <c:v>34.332000000000001</c:v>
                </c:pt>
                <c:pt idx="53">
                  <c:v>39.064</c:v>
                </c:pt>
                <c:pt idx="54">
                  <c:v>34.606999999999999</c:v>
                </c:pt>
                <c:pt idx="55">
                  <c:v>34.387</c:v>
                </c:pt>
                <c:pt idx="56">
                  <c:v>39.981000000000002</c:v>
                </c:pt>
                <c:pt idx="57">
                  <c:v>34.418999999999997</c:v>
                </c:pt>
                <c:pt idx="58">
                  <c:v>37.113999999999997</c:v>
                </c:pt>
                <c:pt idx="59">
                  <c:v>34.255000000000003</c:v>
                </c:pt>
                <c:pt idx="60">
                  <c:v>36.323</c:v>
                </c:pt>
                <c:pt idx="61">
                  <c:v>34.253</c:v>
                </c:pt>
                <c:pt idx="62">
                  <c:v>38.274000000000001</c:v>
                </c:pt>
                <c:pt idx="63">
                  <c:v>34.064999999999998</c:v>
                </c:pt>
                <c:pt idx="64">
                  <c:v>37.255000000000003</c:v>
                </c:pt>
                <c:pt idx="65">
                  <c:v>34.22</c:v>
                </c:pt>
                <c:pt idx="66">
                  <c:v>38.164999999999999</c:v>
                </c:pt>
                <c:pt idx="67">
                  <c:v>34.369999999999997</c:v>
                </c:pt>
                <c:pt idx="68">
                  <c:v>38.847000000000001</c:v>
                </c:pt>
                <c:pt idx="69">
                  <c:v>34.372</c:v>
                </c:pt>
                <c:pt idx="70">
                  <c:v>37.057000000000002</c:v>
                </c:pt>
                <c:pt idx="71">
                  <c:v>34.322000000000003</c:v>
                </c:pt>
                <c:pt idx="72">
                  <c:v>35.148000000000003</c:v>
                </c:pt>
                <c:pt idx="73">
                  <c:v>34.296999999999997</c:v>
                </c:pt>
                <c:pt idx="74">
                  <c:v>40.238999999999997</c:v>
                </c:pt>
                <c:pt idx="75">
                  <c:v>34.872</c:v>
                </c:pt>
                <c:pt idx="76">
                  <c:v>38.475999999999999</c:v>
                </c:pt>
                <c:pt idx="77">
                  <c:v>34.493000000000002</c:v>
                </c:pt>
                <c:pt idx="78">
                  <c:v>39.155999999999999</c:v>
                </c:pt>
                <c:pt idx="79">
                  <c:v>34.299999999999997</c:v>
                </c:pt>
                <c:pt idx="80">
                  <c:v>38.796999999999997</c:v>
                </c:pt>
                <c:pt idx="81">
                  <c:v>34.369999999999997</c:v>
                </c:pt>
                <c:pt idx="82">
                  <c:v>38.83</c:v>
                </c:pt>
                <c:pt idx="83">
                  <c:v>34.003</c:v>
                </c:pt>
                <c:pt idx="84">
                  <c:v>39.195999999999998</c:v>
                </c:pt>
                <c:pt idx="85">
                  <c:v>34.421999999999997</c:v>
                </c:pt>
                <c:pt idx="86">
                  <c:v>37.024000000000001</c:v>
                </c:pt>
                <c:pt idx="87">
                  <c:v>34.320999999999998</c:v>
                </c:pt>
                <c:pt idx="88">
                  <c:v>37.344999999999999</c:v>
                </c:pt>
                <c:pt idx="89">
                  <c:v>34.225999999999999</c:v>
                </c:pt>
                <c:pt idx="90">
                  <c:v>38.798000000000002</c:v>
                </c:pt>
                <c:pt idx="91">
                  <c:v>34.295000000000002</c:v>
                </c:pt>
                <c:pt idx="92">
                  <c:v>37.765999999999998</c:v>
                </c:pt>
                <c:pt idx="93">
                  <c:v>34.576999999999998</c:v>
                </c:pt>
                <c:pt idx="94">
                  <c:v>35.729999999999997</c:v>
                </c:pt>
                <c:pt idx="95">
                  <c:v>34.454000000000001</c:v>
                </c:pt>
                <c:pt idx="96">
                  <c:v>36.631</c:v>
                </c:pt>
                <c:pt idx="97">
                  <c:v>34.168999999999997</c:v>
                </c:pt>
                <c:pt idx="98">
                  <c:v>38.057000000000002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4B-451D-8326-D8519A2A4FE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('AMP1-2'!$U$4,'AMP1-2'!$U$4)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4B-451D-8326-D8519A2A4FE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('AMP1-2'!$U$5,'AMP1-2'!$U$5)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4B-451D-8326-D8519A2A4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05720"/>
        <c:axId val="381306112"/>
      </c:scatterChart>
      <c:valAx>
        <c:axId val="38130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6112"/>
        <c:crosses val="autoZero"/>
        <c:crossBetween val="midCat"/>
      </c:valAx>
      <c:valAx>
        <c:axId val="3813061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5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'AMP1-2'!$AB$9:$AB$107</c:f>
              <c:numCache>
                <c:formatCode>General</c:formatCode>
                <c:ptCount val="99"/>
                <c:pt idx="0">
                  <c:v>-0.22900000000000001</c:v>
                </c:pt>
                <c:pt idx="1">
                  <c:v>0.27400000000000002</c:v>
                </c:pt>
                <c:pt idx="2">
                  <c:v>-0.38100000000000001</c:v>
                </c:pt>
                <c:pt idx="3">
                  <c:v>0.12</c:v>
                </c:pt>
                <c:pt idx="4">
                  <c:v>-0.34</c:v>
                </c:pt>
                <c:pt idx="5">
                  <c:v>0.186</c:v>
                </c:pt>
                <c:pt idx="6">
                  <c:v>-0.3</c:v>
                </c:pt>
                <c:pt idx="7">
                  <c:v>0.25</c:v>
                </c:pt>
                <c:pt idx="8">
                  <c:v>-0.314</c:v>
                </c:pt>
                <c:pt idx="9">
                  <c:v>0.20300000000000001</c:v>
                </c:pt>
                <c:pt idx="10">
                  <c:v>-0.41899999999999998</c:v>
                </c:pt>
                <c:pt idx="11">
                  <c:v>0.246</c:v>
                </c:pt>
                <c:pt idx="12">
                  <c:v>-0.27400000000000002</c:v>
                </c:pt>
                <c:pt idx="13">
                  <c:v>0.218</c:v>
                </c:pt>
                <c:pt idx="14">
                  <c:v>-0.34100000000000003</c:v>
                </c:pt>
                <c:pt idx="15">
                  <c:v>0.193</c:v>
                </c:pt>
                <c:pt idx="16">
                  <c:v>-0.35599999999999998</c:v>
                </c:pt>
                <c:pt idx="17">
                  <c:v>0.156</c:v>
                </c:pt>
                <c:pt idx="18">
                  <c:v>-0.48099999999999998</c:v>
                </c:pt>
                <c:pt idx="19">
                  <c:v>0.14399999999999999</c:v>
                </c:pt>
                <c:pt idx="20">
                  <c:v>-0.35699999999999998</c:v>
                </c:pt>
                <c:pt idx="21">
                  <c:v>0.151</c:v>
                </c:pt>
                <c:pt idx="22">
                  <c:v>-0.33700000000000002</c:v>
                </c:pt>
                <c:pt idx="23">
                  <c:v>0.106</c:v>
                </c:pt>
                <c:pt idx="24">
                  <c:v>-0.34899999999999998</c:v>
                </c:pt>
                <c:pt idx="25">
                  <c:v>0.19500000000000001</c:v>
                </c:pt>
                <c:pt idx="26">
                  <c:v>-0.39700000000000002</c:v>
                </c:pt>
                <c:pt idx="27">
                  <c:v>0.17199999999999999</c:v>
                </c:pt>
                <c:pt idx="28">
                  <c:v>-0.28199999999999997</c:v>
                </c:pt>
                <c:pt idx="29">
                  <c:v>0.13700000000000001</c:v>
                </c:pt>
                <c:pt idx="30">
                  <c:v>-0.375</c:v>
                </c:pt>
                <c:pt idx="31">
                  <c:v>0.17899999999999999</c:v>
                </c:pt>
                <c:pt idx="32">
                  <c:v>-0.432</c:v>
                </c:pt>
                <c:pt idx="33">
                  <c:v>0.22800000000000001</c:v>
                </c:pt>
                <c:pt idx="34">
                  <c:v>-0.51500000000000001</c:v>
                </c:pt>
                <c:pt idx="35">
                  <c:v>0.105</c:v>
                </c:pt>
                <c:pt idx="36">
                  <c:v>-0.52100000000000002</c:v>
                </c:pt>
                <c:pt idx="37">
                  <c:v>1.7999999999999999E-2</c:v>
                </c:pt>
                <c:pt idx="38">
                  <c:v>-0.376</c:v>
                </c:pt>
                <c:pt idx="39">
                  <c:v>0.152</c:v>
                </c:pt>
                <c:pt idx="40">
                  <c:v>-0.47299999999999998</c:v>
                </c:pt>
                <c:pt idx="41">
                  <c:v>1.0999999999999999E-2</c:v>
                </c:pt>
                <c:pt idx="42">
                  <c:v>-0.51300000000000001</c:v>
                </c:pt>
                <c:pt idx="43">
                  <c:v>4.7E-2</c:v>
                </c:pt>
                <c:pt idx="44">
                  <c:v>-0.48899999999999999</c:v>
                </c:pt>
                <c:pt idx="45">
                  <c:v>2.4E-2</c:v>
                </c:pt>
                <c:pt idx="46">
                  <c:v>-0.51400000000000001</c:v>
                </c:pt>
                <c:pt idx="47">
                  <c:v>-1.7000000000000001E-2</c:v>
                </c:pt>
                <c:pt idx="48">
                  <c:v>-0.56399999999999995</c:v>
                </c:pt>
                <c:pt idx="49">
                  <c:v>0.123</c:v>
                </c:pt>
                <c:pt idx="50">
                  <c:v>-0.74199999999999999</c:v>
                </c:pt>
                <c:pt idx="51">
                  <c:v>-7.0000000000000007E-2</c:v>
                </c:pt>
                <c:pt idx="52">
                  <c:v>-0.67900000000000005</c:v>
                </c:pt>
                <c:pt idx="53">
                  <c:v>-0.112</c:v>
                </c:pt>
                <c:pt idx="54">
                  <c:v>-0.23699999999999999</c:v>
                </c:pt>
                <c:pt idx="55">
                  <c:v>-7.4999999999999997E-2</c:v>
                </c:pt>
                <c:pt idx="56">
                  <c:v>0.29099999999999998</c:v>
                </c:pt>
                <c:pt idx="57">
                  <c:v>-0.19800000000000001</c:v>
                </c:pt>
                <c:pt idx="58">
                  <c:v>0.26100000000000001</c:v>
                </c:pt>
                <c:pt idx="59">
                  <c:v>-0.249</c:v>
                </c:pt>
                <c:pt idx="60">
                  <c:v>0.247</c:v>
                </c:pt>
                <c:pt idx="61">
                  <c:v>-0.20899999999999999</c:v>
                </c:pt>
                <c:pt idx="62">
                  <c:v>0.17100000000000001</c:v>
                </c:pt>
                <c:pt idx="63">
                  <c:v>-0.218</c:v>
                </c:pt>
                <c:pt idx="64">
                  <c:v>0.124</c:v>
                </c:pt>
                <c:pt idx="65">
                  <c:v>-0.35899999999999999</c:v>
                </c:pt>
                <c:pt idx="66">
                  <c:v>0.158</c:v>
                </c:pt>
                <c:pt idx="67">
                  <c:v>-0.308</c:v>
                </c:pt>
                <c:pt idx="68">
                  <c:v>0.154</c:v>
                </c:pt>
                <c:pt idx="69">
                  <c:v>-0.32500000000000001</c:v>
                </c:pt>
                <c:pt idx="70">
                  <c:v>0.124</c:v>
                </c:pt>
                <c:pt idx="71">
                  <c:v>-0.38500000000000001</c:v>
                </c:pt>
                <c:pt idx="72">
                  <c:v>9.8000000000000004E-2</c:v>
                </c:pt>
                <c:pt idx="73">
                  <c:v>-0.36</c:v>
                </c:pt>
                <c:pt idx="74">
                  <c:v>0.128</c:v>
                </c:pt>
                <c:pt idx="75">
                  <c:v>-0.40500000000000003</c:v>
                </c:pt>
                <c:pt idx="76">
                  <c:v>0.13600000000000001</c:v>
                </c:pt>
                <c:pt idx="77">
                  <c:v>-0.54200000000000004</c:v>
                </c:pt>
                <c:pt idx="78">
                  <c:v>2.1999999999999999E-2</c:v>
                </c:pt>
                <c:pt idx="79">
                  <c:v>-0.32600000000000001</c:v>
                </c:pt>
                <c:pt idx="80">
                  <c:v>1.9E-2</c:v>
                </c:pt>
                <c:pt idx="81">
                  <c:v>-0.41499999999999998</c:v>
                </c:pt>
                <c:pt idx="82">
                  <c:v>0.124</c:v>
                </c:pt>
                <c:pt idx="83">
                  <c:v>-0.33200000000000002</c:v>
                </c:pt>
                <c:pt idx="84">
                  <c:v>-1.7000000000000001E-2</c:v>
                </c:pt>
                <c:pt idx="85">
                  <c:v>-0.20899999999999999</c:v>
                </c:pt>
                <c:pt idx="86">
                  <c:v>0.25700000000000001</c:v>
                </c:pt>
                <c:pt idx="87">
                  <c:v>-0.224</c:v>
                </c:pt>
                <c:pt idx="88">
                  <c:v>0.24</c:v>
                </c:pt>
                <c:pt idx="89">
                  <c:v>-0.23300000000000001</c:v>
                </c:pt>
                <c:pt idx="90">
                  <c:v>0.25800000000000001</c:v>
                </c:pt>
                <c:pt idx="91">
                  <c:v>-0.255</c:v>
                </c:pt>
                <c:pt idx="92">
                  <c:v>0.27</c:v>
                </c:pt>
                <c:pt idx="93">
                  <c:v>-0.23499999999999999</c:v>
                </c:pt>
                <c:pt idx="94">
                  <c:v>0.27300000000000002</c:v>
                </c:pt>
                <c:pt idx="95">
                  <c:v>-0.22800000000000001</c:v>
                </c:pt>
                <c:pt idx="96">
                  <c:v>0.19500000000000001</c:v>
                </c:pt>
                <c:pt idx="97">
                  <c:v>-0.157</c:v>
                </c:pt>
                <c:pt idx="98">
                  <c:v>0.114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2-4C25-B101-5EA2ADC9B68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('AMP1-2'!$AB$4,'AMP1-2'!$AB$4)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2-4C25-B101-5EA2ADC9B68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('AMP1-2'!$AB$5,'AMP1-2'!$AB$5)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62-4C25-B101-5EA2ADC9B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06896"/>
        <c:axId val="381307288"/>
      </c:scatterChart>
      <c:valAx>
        <c:axId val="38130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7288"/>
        <c:crosses val="autoZero"/>
        <c:crossBetween val="midCat"/>
      </c:valAx>
      <c:valAx>
        <c:axId val="3813072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'AMP1-2'!$AC$9:$AC$107</c:f>
              <c:numCache>
                <c:formatCode>General</c:formatCode>
                <c:ptCount val="99"/>
                <c:pt idx="0">
                  <c:v>-0.29399999999999998</c:v>
                </c:pt>
                <c:pt idx="1">
                  <c:v>5.8000000000000003E-2</c:v>
                </c:pt>
                <c:pt idx="2">
                  <c:v>-0.43</c:v>
                </c:pt>
                <c:pt idx="3">
                  <c:v>-9.5000000000000001E-2</c:v>
                </c:pt>
                <c:pt idx="4">
                  <c:v>-0.443</c:v>
                </c:pt>
                <c:pt idx="5">
                  <c:v>-2.8000000000000001E-2</c:v>
                </c:pt>
                <c:pt idx="6">
                  <c:v>-0.36699999999999999</c:v>
                </c:pt>
                <c:pt idx="7">
                  <c:v>6.2E-2</c:v>
                </c:pt>
                <c:pt idx="8">
                  <c:v>-0.38700000000000001</c:v>
                </c:pt>
                <c:pt idx="9">
                  <c:v>-4.7E-2</c:v>
                </c:pt>
                <c:pt idx="10">
                  <c:v>-0.44400000000000001</c:v>
                </c:pt>
                <c:pt idx="11">
                  <c:v>3.3000000000000002E-2</c:v>
                </c:pt>
                <c:pt idx="12">
                  <c:v>-0.33900000000000002</c:v>
                </c:pt>
                <c:pt idx="13">
                  <c:v>3.3000000000000002E-2</c:v>
                </c:pt>
                <c:pt idx="14">
                  <c:v>-0.39900000000000002</c:v>
                </c:pt>
                <c:pt idx="15">
                  <c:v>5.0000000000000001E-3</c:v>
                </c:pt>
                <c:pt idx="16">
                  <c:v>-0.41</c:v>
                </c:pt>
                <c:pt idx="17">
                  <c:v>-3.5000000000000003E-2</c:v>
                </c:pt>
                <c:pt idx="18">
                  <c:v>-0.53800000000000003</c:v>
                </c:pt>
                <c:pt idx="19">
                  <c:v>-5.3999999999999999E-2</c:v>
                </c:pt>
                <c:pt idx="20">
                  <c:v>-0.40400000000000003</c:v>
                </c:pt>
                <c:pt idx="21">
                  <c:v>-3.9E-2</c:v>
                </c:pt>
                <c:pt idx="22">
                  <c:v>-0.42399999999999999</c:v>
                </c:pt>
                <c:pt idx="23">
                  <c:v>-0.126</c:v>
                </c:pt>
                <c:pt idx="24">
                  <c:v>-0.39700000000000002</c:v>
                </c:pt>
                <c:pt idx="25">
                  <c:v>0.01</c:v>
                </c:pt>
                <c:pt idx="26">
                  <c:v>-0.46100000000000002</c:v>
                </c:pt>
                <c:pt idx="27">
                  <c:v>-3.4000000000000002E-2</c:v>
                </c:pt>
                <c:pt idx="28">
                  <c:v>-0.34699999999999998</c:v>
                </c:pt>
                <c:pt idx="29">
                  <c:v>-4.5999999999999999E-2</c:v>
                </c:pt>
                <c:pt idx="30">
                  <c:v>-0.437</c:v>
                </c:pt>
                <c:pt idx="31">
                  <c:v>-4.1000000000000002E-2</c:v>
                </c:pt>
                <c:pt idx="32">
                  <c:v>-0.46400000000000002</c:v>
                </c:pt>
                <c:pt idx="33">
                  <c:v>3.1E-2</c:v>
                </c:pt>
                <c:pt idx="34">
                  <c:v>-0.58899999999999997</c:v>
                </c:pt>
                <c:pt idx="35">
                  <c:v>-9.0999999999999998E-2</c:v>
                </c:pt>
                <c:pt idx="36">
                  <c:v>-0.58199999999999996</c:v>
                </c:pt>
                <c:pt idx="37">
                  <c:v>-0.16700000000000001</c:v>
                </c:pt>
                <c:pt idx="38">
                  <c:v>-0.46</c:v>
                </c:pt>
                <c:pt idx="39">
                  <c:v>-4.2000000000000003E-2</c:v>
                </c:pt>
                <c:pt idx="40">
                  <c:v>-0.56999999999999995</c:v>
                </c:pt>
                <c:pt idx="41">
                  <c:v>-0.16600000000000001</c:v>
                </c:pt>
                <c:pt idx="42">
                  <c:v>-0.58199999999999996</c:v>
                </c:pt>
                <c:pt idx="43">
                  <c:v>-0.13500000000000001</c:v>
                </c:pt>
                <c:pt idx="44">
                  <c:v>-0.56200000000000006</c:v>
                </c:pt>
                <c:pt idx="45">
                  <c:v>-0.16200000000000001</c:v>
                </c:pt>
                <c:pt idx="46">
                  <c:v>-0.57599999999999996</c:v>
                </c:pt>
                <c:pt idx="47">
                  <c:v>-0.189</c:v>
                </c:pt>
                <c:pt idx="48">
                  <c:v>-0.63300000000000001</c:v>
                </c:pt>
                <c:pt idx="49">
                  <c:v>-8.3000000000000004E-2</c:v>
                </c:pt>
                <c:pt idx="50">
                  <c:v>-0.81</c:v>
                </c:pt>
                <c:pt idx="51">
                  <c:v>-0.26500000000000001</c:v>
                </c:pt>
                <c:pt idx="52">
                  <c:v>-0.71099999999999997</c:v>
                </c:pt>
                <c:pt idx="53">
                  <c:v>-0.33300000000000002</c:v>
                </c:pt>
                <c:pt idx="54">
                  <c:v>-0.32800000000000001</c:v>
                </c:pt>
                <c:pt idx="55">
                  <c:v>-0.152</c:v>
                </c:pt>
                <c:pt idx="56">
                  <c:v>0.127</c:v>
                </c:pt>
                <c:pt idx="57">
                  <c:v>-0.26500000000000001</c:v>
                </c:pt>
                <c:pt idx="58">
                  <c:v>4.5999999999999999E-2</c:v>
                </c:pt>
                <c:pt idx="59">
                  <c:v>-0.33400000000000002</c:v>
                </c:pt>
                <c:pt idx="60">
                  <c:v>3.7999999999999999E-2</c:v>
                </c:pt>
                <c:pt idx="61">
                  <c:v>-0.26800000000000002</c:v>
                </c:pt>
                <c:pt idx="62">
                  <c:v>-4.5999999999999999E-2</c:v>
                </c:pt>
                <c:pt idx="63">
                  <c:v>-0.30099999999999999</c:v>
                </c:pt>
                <c:pt idx="64">
                  <c:v>-0.109</c:v>
                </c:pt>
                <c:pt idx="65">
                  <c:v>-0.439</c:v>
                </c:pt>
                <c:pt idx="66">
                  <c:v>-5.1999999999999998E-2</c:v>
                </c:pt>
                <c:pt idx="67">
                  <c:v>-0.40500000000000003</c:v>
                </c:pt>
                <c:pt idx="68">
                  <c:v>-6.9000000000000006E-2</c:v>
                </c:pt>
                <c:pt idx="69">
                  <c:v>-0.39300000000000002</c:v>
                </c:pt>
                <c:pt idx="70">
                  <c:v>-0.106</c:v>
                </c:pt>
                <c:pt idx="71">
                  <c:v>-0.46100000000000002</c:v>
                </c:pt>
                <c:pt idx="72">
                  <c:v>-8.8999999999999996E-2</c:v>
                </c:pt>
                <c:pt idx="73">
                  <c:v>-0.42099999999999999</c:v>
                </c:pt>
                <c:pt idx="74">
                  <c:v>-0.123</c:v>
                </c:pt>
                <c:pt idx="75">
                  <c:v>-0.47799999999999998</c:v>
                </c:pt>
                <c:pt idx="76">
                  <c:v>-4.2000000000000003E-2</c:v>
                </c:pt>
                <c:pt idx="77">
                  <c:v>-0.57699999999999996</c:v>
                </c:pt>
                <c:pt idx="78">
                  <c:v>-0.11799999999999999</c:v>
                </c:pt>
                <c:pt idx="79">
                  <c:v>-0.40799999999999997</c:v>
                </c:pt>
                <c:pt idx="80">
                  <c:v>-0.192</c:v>
                </c:pt>
                <c:pt idx="81">
                  <c:v>-0.48299999999999998</c:v>
                </c:pt>
                <c:pt idx="82">
                  <c:v>-0.10299999999999999</c:v>
                </c:pt>
                <c:pt idx="83">
                  <c:v>-0.42</c:v>
                </c:pt>
                <c:pt idx="84">
                  <c:v>-0.21299999999999999</c:v>
                </c:pt>
                <c:pt idx="85">
                  <c:v>-0.28999999999999998</c:v>
                </c:pt>
                <c:pt idx="86">
                  <c:v>3.5999999999999997E-2</c:v>
                </c:pt>
                <c:pt idx="87">
                  <c:v>-0.32500000000000001</c:v>
                </c:pt>
                <c:pt idx="88">
                  <c:v>-1E-3</c:v>
                </c:pt>
                <c:pt idx="89">
                  <c:v>-0.28799999999999998</c:v>
                </c:pt>
                <c:pt idx="90">
                  <c:v>3.5000000000000003E-2</c:v>
                </c:pt>
                <c:pt idx="91">
                  <c:v>-0.33800000000000002</c:v>
                </c:pt>
                <c:pt idx="92">
                  <c:v>4.3999999999999997E-2</c:v>
                </c:pt>
                <c:pt idx="93">
                  <c:v>-0.314</c:v>
                </c:pt>
                <c:pt idx="94">
                  <c:v>5.3999999999999999E-2</c:v>
                </c:pt>
                <c:pt idx="95">
                  <c:v>-0.309</c:v>
                </c:pt>
                <c:pt idx="96">
                  <c:v>-3.1E-2</c:v>
                </c:pt>
                <c:pt idx="97">
                  <c:v>-0.218</c:v>
                </c:pt>
                <c:pt idx="98">
                  <c:v>-9.4E-2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2-4675-9826-D92E8EFE0FD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('AMP1-2'!$AC$4,'AMP1-2'!$AC$4)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2-4675-9826-D92E8EFE0FD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('AMP1-2'!$AC$5,'AMP1-2'!$AC$5)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02-4675-9826-D92E8EFE0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08072"/>
        <c:axId val="381308464"/>
      </c:scatterChart>
      <c:valAx>
        <c:axId val="38130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8464"/>
        <c:crosses val="autoZero"/>
        <c:crossBetween val="midCat"/>
      </c:valAx>
      <c:valAx>
        <c:axId val="3813084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8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'AMP1-2'!$AD$9:$AD$107</c:f>
              <c:numCache>
                <c:formatCode>General</c:formatCode>
                <c:ptCount val="99"/>
                <c:pt idx="0">
                  <c:v>-0.22700000000000001</c:v>
                </c:pt>
                <c:pt idx="1">
                  <c:v>-8.5000000000000006E-2</c:v>
                </c:pt>
                <c:pt idx="2">
                  <c:v>-0.14099999999999999</c:v>
                </c:pt>
                <c:pt idx="3">
                  <c:v>7.0000000000000001E-3</c:v>
                </c:pt>
                <c:pt idx="4">
                  <c:v>-0.124</c:v>
                </c:pt>
                <c:pt idx="5">
                  <c:v>-0.108</c:v>
                </c:pt>
                <c:pt idx="6">
                  <c:v>-0.192</c:v>
                </c:pt>
                <c:pt idx="7">
                  <c:v>-1.4E-2</c:v>
                </c:pt>
                <c:pt idx="8">
                  <c:v>-0.17199999999999999</c:v>
                </c:pt>
                <c:pt idx="9">
                  <c:v>-8.5999999999999993E-2</c:v>
                </c:pt>
                <c:pt idx="10">
                  <c:v>-0.17499999999999999</c:v>
                </c:pt>
                <c:pt idx="11">
                  <c:v>2.3E-2</c:v>
                </c:pt>
                <c:pt idx="12">
                  <c:v>-0.13400000000000001</c:v>
                </c:pt>
                <c:pt idx="13">
                  <c:v>-1.6E-2</c:v>
                </c:pt>
                <c:pt idx="14">
                  <c:v>-0.13700000000000001</c:v>
                </c:pt>
                <c:pt idx="15">
                  <c:v>-1.7999999999999999E-2</c:v>
                </c:pt>
                <c:pt idx="16">
                  <c:v>-0.15</c:v>
                </c:pt>
                <c:pt idx="17">
                  <c:v>-5.1999999999999998E-2</c:v>
                </c:pt>
                <c:pt idx="18">
                  <c:v>-0.23200000000000001</c:v>
                </c:pt>
                <c:pt idx="19">
                  <c:v>-5.5E-2</c:v>
                </c:pt>
                <c:pt idx="20">
                  <c:v>-0.218</c:v>
                </c:pt>
                <c:pt idx="21">
                  <c:v>-0.13600000000000001</c:v>
                </c:pt>
                <c:pt idx="22">
                  <c:v>-0.23100000000000001</c:v>
                </c:pt>
                <c:pt idx="23">
                  <c:v>-7.6999999999999999E-2</c:v>
                </c:pt>
                <c:pt idx="24">
                  <c:v>-0.2</c:v>
                </c:pt>
                <c:pt idx="25">
                  <c:v>-0.06</c:v>
                </c:pt>
                <c:pt idx="26">
                  <c:v>-0.28399999999999997</c:v>
                </c:pt>
                <c:pt idx="27">
                  <c:v>-0.17</c:v>
                </c:pt>
                <c:pt idx="28">
                  <c:v>-0.18</c:v>
                </c:pt>
                <c:pt idx="29">
                  <c:v>-0.15</c:v>
                </c:pt>
                <c:pt idx="30">
                  <c:v>-0.17399999999999999</c:v>
                </c:pt>
                <c:pt idx="31">
                  <c:v>-0.13500000000000001</c:v>
                </c:pt>
                <c:pt idx="32">
                  <c:v>-0.21299999999999999</c:v>
                </c:pt>
                <c:pt idx="33">
                  <c:v>4.7E-2</c:v>
                </c:pt>
                <c:pt idx="34">
                  <c:v>-0.307</c:v>
                </c:pt>
                <c:pt idx="35">
                  <c:v>-0.128</c:v>
                </c:pt>
                <c:pt idx="36">
                  <c:v>-0.31</c:v>
                </c:pt>
                <c:pt idx="37">
                  <c:v>-5.8999999999999997E-2</c:v>
                </c:pt>
                <c:pt idx="38">
                  <c:v>-0.31</c:v>
                </c:pt>
                <c:pt idx="39">
                  <c:v>-0.20599999999999999</c:v>
                </c:pt>
                <c:pt idx="40">
                  <c:v>-0.13600000000000001</c:v>
                </c:pt>
                <c:pt idx="41">
                  <c:v>-0.16</c:v>
                </c:pt>
                <c:pt idx="42">
                  <c:v>-0.34599999999999997</c:v>
                </c:pt>
                <c:pt idx="43">
                  <c:v>-0.17899999999999999</c:v>
                </c:pt>
                <c:pt idx="44">
                  <c:v>-0.13200000000000001</c:v>
                </c:pt>
                <c:pt idx="45">
                  <c:v>-0.14899999999999999</c:v>
                </c:pt>
                <c:pt idx="46">
                  <c:v>-0.28199999999999997</c:v>
                </c:pt>
                <c:pt idx="47">
                  <c:v>-0.186</c:v>
                </c:pt>
                <c:pt idx="48">
                  <c:v>-0.32900000000000001</c:v>
                </c:pt>
                <c:pt idx="49">
                  <c:v>-0.13400000000000001</c:v>
                </c:pt>
                <c:pt idx="50">
                  <c:v>-0.36899999999999999</c:v>
                </c:pt>
                <c:pt idx="51">
                  <c:v>-6.2E-2</c:v>
                </c:pt>
                <c:pt idx="52">
                  <c:v>-0.28399999999999997</c:v>
                </c:pt>
                <c:pt idx="53">
                  <c:v>-0.24299999999999999</c:v>
                </c:pt>
                <c:pt idx="54">
                  <c:v>-2.7E-2</c:v>
                </c:pt>
                <c:pt idx="55">
                  <c:v>-0.113</c:v>
                </c:pt>
                <c:pt idx="56">
                  <c:v>-0.16800000000000001</c:v>
                </c:pt>
                <c:pt idx="57">
                  <c:v>-0.10100000000000001</c:v>
                </c:pt>
                <c:pt idx="58">
                  <c:v>-0.14899999999999999</c:v>
                </c:pt>
                <c:pt idx="59">
                  <c:v>-0.159</c:v>
                </c:pt>
                <c:pt idx="60">
                  <c:v>-0.22900000000000001</c:v>
                </c:pt>
                <c:pt idx="61">
                  <c:v>-0.192</c:v>
                </c:pt>
                <c:pt idx="62">
                  <c:v>-0.182</c:v>
                </c:pt>
                <c:pt idx="63">
                  <c:v>-0.14799999999999999</c:v>
                </c:pt>
                <c:pt idx="64">
                  <c:v>-0.30399999999999999</c:v>
                </c:pt>
                <c:pt idx="65">
                  <c:v>-0.26500000000000001</c:v>
                </c:pt>
                <c:pt idx="66">
                  <c:v>-0.24099999999999999</c:v>
                </c:pt>
                <c:pt idx="67">
                  <c:v>-0.26800000000000002</c:v>
                </c:pt>
                <c:pt idx="68">
                  <c:v>-0.315</c:v>
                </c:pt>
                <c:pt idx="69">
                  <c:v>-0.19</c:v>
                </c:pt>
                <c:pt idx="70">
                  <c:v>-0.18099999999999999</c:v>
                </c:pt>
                <c:pt idx="71">
                  <c:v>-0.24299999999999999</c:v>
                </c:pt>
                <c:pt idx="72">
                  <c:v>-0.27400000000000002</c:v>
                </c:pt>
                <c:pt idx="73">
                  <c:v>-0.23899999999999999</c:v>
                </c:pt>
                <c:pt idx="74">
                  <c:v>-0.26700000000000002</c:v>
                </c:pt>
                <c:pt idx="75">
                  <c:v>-0.24099999999999999</c:v>
                </c:pt>
                <c:pt idx="76">
                  <c:v>-0.19900000000000001</c:v>
                </c:pt>
                <c:pt idx="77">
                  <c:v>-0.33400000000000002</c:v>
                </c:pt>
                <c:pt idx="78">
                  <c:v>-0.30399999999999999</c:v>
                </c:pt>
                <c:pt idx="79">
                  <c:v>-0.21199999999999999</c:v>
                </c:pt>
                <c:pt idx="80">
                  <c:v>-0.22600000000000001</c:v>
                </c:pt>
                <c:pt idx="81">
                  <c:v>-0.29099999999999998</c:v>
                </c:pt>
                <c:pt idx="82">
                  <c:v>-0.20200000000000001</c:v>
                </c:pt>
                <c:pt idx="83">
                  <c:v>-0.217</c:v>
                </c:pt>
                <c:pt idx="84">
                  <c:v>-0.28299999999999997</c:v>
                </c:pt>
                <c:pt idx="85">
                  <c:v>-0.17499999999999999</c:v>
                </c:pt>
                <c:pt idx="86">
                  <c:v>-0.08</c:v>
                </c:pt>
                <c:pt idx="87">
                  <c:v>-0.19900000000000001</c:v>
                </c:pt>
                <c:pt idx="88">
                  <c:v>-0.155</c:v>
                </c:pt>
                <c:pt idx="89">
                  <c:v>-0.20699999999999999</c:v>
                </c:pt>
                <c:pt idx="90">
                  <c:v>-0.13800000000000001</c:v>
                </c:pt>
                <c:pt idx="91">
                  <c:v>-0.192</c:v>
                </c:pt>
                <c:pt idx="92">
                  <c:v>-5.3999999999999999E-2</c:v>
                </c:pt>
                <c:pt idx="93">
                  <c:v>-0.155</c:v>
                </c:pt>
                <c:pt idx="94">
                  <c:v>-0.14099999999999999</c:v>
                </c:pt>
                <c:pt idx="95">
                  <c:v>-0.13400000000000001</c:v>
                </c:pt>
                <c:pt idx="96">
                  <c:v>-0.29699999999999999</c:v>
                </c:pt>
                <c:pt idx="97">
                  <c:v>-4.2000000000000003E-2</c:v>
                </c:pt>
                <c:pt idx="98">
                  <c:v>-0.23200000000000001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51-4A27-8D24-290BFCE01CD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('AMP1-2'!$AD$4,'AMP1-2'!$AD$4)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51-4A27-8D24-290BFCE01CD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('AMP1-2'!$AD$5,'AMP1-2'!$AD$5)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51-4A27-8D24-290BFCE01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451312"/>
        <c:axId val="381451704"/>
      </c:scatterChart>
      <c:valAx>
        <c:axId val="381451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51704"/>
        <c:crosses val="autoZero"/>
        <c:crossBetween val="midCat"/>
      </c:valAx>
      <c:valAx>
        <c:axId val="3814517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5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'AMP1-2'!$AE$9:$AE$107</c:f>
              <c:numCache>
                <c:formatCode>General</c:formatCode>
                <c:ptCount val="99"/>
                <c:pt idx="0">
                  <c:v>-2.5999999999999999E-2</c:v>
                </c:pt>
                <c:pt idx="1">
                  <c:v>0.125</c:v>
                </c:pt>
                <c:pt idx="2">
                  <c:v>-0.14000000000000001</c:v>
                </c:pt>
                <c:pt idx="3">
                  <c:v>-0.14299999999999999</c:v>
                </c:pt>
                <c:pt idx="4">
                  <c:v>3.0000000000000001E-3</c:v>
                </c:pt>
                <c:pt idx="5">
                  <c:v>-9.8000000000000004E-2</c:v>
                </c:pt>
                <c:pt idx="6">
                  <c:v>-1.9E-2</c:v>
                </c:pt>
                <c:pt idx="7">
                  <c:v>7.1999999999999995E-2</c:v>
                </c:pt>
                <c:pt idx="8">
                  <c:v>8.9999999999999993E-3</c:v>
                </c:pt>
                <c:pt idx="9">
                  <c:v>4.9000000000000002E-2</c:v>
                </c:pt>
                <c:pt idx="10">
                  <c:v>-4.2000000000000003E-2</c:v>
                </c:pt>
                <c:pt idx="11">
                  <c:v>-0.03</c:v>
                </c:pt>
                <c:pt idx="12">
                  <c:v>0.106</c:v>
                </c:pt>
                <c:pt idx="13">
                  <c:v>-0.02</c:v>
                </c:pt>
                <c:pt idx="14">
                  <c:v>3.5000000000000003E-2</c:v>
                </c:pt>
                <c:pt idx="15">
                  <c:v>0.11700000000000001</c:v>
                </c:pt>
                <c:pt idx="16">
                  <c:v>3.5000000000000003E-2</c:v>
                </c:pt>
                <c:pt idx="17">
                  <c:v>-0.25900000000000001</c:v>
                </c:pt>
                <c:pt idx="18">
                  <c:v>-8.8999999999999996E-2</c:v>
                </c:pt>
                <c:pt idx="19">
                  <c:v>-4.1000000000000002E-2</c:v>
                </c:pt>
                <c:pt idx="20">
                  <c:v>3.4000000000000002E-2</c:v>
                </c:pt>
                <c:pt idx="21">
                  <c:v>2.1999999999999999E-2</c:v>
                </c:pt>
                <c:pt idx="22">
                  <c:v>-3.2000000000000001E-2</c:v>
                </c:pt>
                <c:pt idx="23">
                  <c:v>-0.10100000000000001</c:v>
                </c:pt>
                <c:pt idx="24">
                  <c:v>5.0000000000000001E-3</c:v>
                </c:pt>
                <c:pt idx="25">
                  <c:v>-6.6000000000000003E-2</c:v>
                </c:pt>
                <c:pt idx="26">
                  <c:v>-4.8000000000000001E-2</c:v>
                </c:pt>
                <c:pt idx="27">
                  <c:v>-8.3000000000000004E-2</c:v>
                </c:pt>
                <c:pt idx="28">
                  <c:v>0.09</c:v>
                </c:pt>
                <c:pt idx="29">
                  <c:v>-8.3000000000000004E-2</c:v>
                </c:pt>
                <c:pt idx="30">
                  <c:v>3.5000000000000003E-2</c:v>
                </c:pt>
                <c:pt idx="31">
                  <c:v>3.0000000000000001E-3</c:v>
                </c:pt>
                <c:pt idx="32">
                  <c:v>-0.17199999999999999</c:v>
                </c:pt>
                <c:pt idx="33">
                  <c:v>0.14899999999999999</c:v>
                </c:pt>
                <c:pt idx="34">
                  <c:v>-0.104</c:v>
                </c:pt>
                <c:pt idx="35">
                  <c:v>-0.26400000000000001</c:v>
                </c:pt>
                <c:pt idx="36">
                  <c:v>-0.112</c:v>
                </c:pt>
                <c:pt idx="37">
                  <c:v>-0.252</c:v>
                </c:pt>
                <c:pt idx="38">
                  <c:v>-7.0999999999999994E-2</c:v>
                </c:pt>
                <c:pt idx="39">
                  <c:v>6.7000000000000004E-2</c:v>
                </c:pt>
                <c:pt idx="40">
                  <c:v>1.7999999999999999E-2</c:v>
                </c:pt>
                <c:pt idx="41">
                  <c:v>-0.14000000000000001</c:v>
                </c:pt>
                <c:pt idx="42">
                  <c:v>-0.34100000000000003</c:v>
                </c:pt>
                <c:pt idx="43">
                  <c:v>-0.109</c:v>
                </c:pt>
                <c:pt idx="44">
                  <c:v>7.0999999999999994E-2</c:v>
                </c:pt>
                <c:pt idx="45">
                  <c:v>-0.32300000000000001</c:v>
                </c:pt>
                <c:pt idx="46">
                  <c:v>-0.113</c:v>
                </c:pt>
                <c:pt idx="47">
                  <c:v>-0.13</c:v>
                </c:pt>
                <c:pt idx="48">
                  <c:v>-0.14000000000000001</c:v>
                </c:pt>
                <c:pt idx="49">
                  <c:v>6.6000000000000003E-2</c:v>
                </c:pt>
                <c:pt idx="50">
                  <c:v>-0.30399999999999999</c:v>
                </c:pt>
                <c:pt idx="51">
                  <c:v>-0.25800000000000001</c:v>
                </c:pt>
                <c:pt idx="52">
                  <c:v>-0.27200000000000002</c:v>
                </c:pt>
                <c:pt idx="53">
                  <c:v>-0.29099999999999998</c:v>
                </c:pt>
                <c:pt idx="54">
                  <c:v>0.23499999999999999</c:v>
                </c:pt>
                <c:pt idx="55">
                  <c:v>0.27200000000000002</c:v>
                </c:pt>
                <c:pt idx="56">
                  <c:v>0.14799999999999999</c:v>
                </c:pt>
                <c:pt idx="57">
                  <c:v>9.6000000000000002E-2</c:v>
                </c:pt>
                <c:pt idx="58">
                  <c:v>-7.9000000000000001E-2</c:v>
                </c:pt>
                <c:pt idx="59">
                  <c:v>6.2E-2</c:v>
                </c:pt>
                <c:pt idx="60">
                  <c:v>-0.2</c:v>
                </c:pt>
                <c:pt idx="61">
                  <c:v>-1.4999999999999999E-2</c:v>
                </c:pt>
                <c:pt idx="62">
                  <c:v>-0.158</c:v>
                </c:pt>
                <c:pt idx="63">
                  <c:v>8.5999999999999993E-2</c:v>
                </c:pt>
                <c:pt idx="64">
                  <c:v>-0.30499999999999999</c:v>
                </c:pt>
                <c:pt idx="65">
                  <c:v>-0.122</c:v>
                </c:pt>
                <c:pt idx="66">
                  <c:v>-0.26700000000000002</c:v>
                </c:pt>
                <c:pt idx="67">
                  <c:v>-0.217</c:v>
                </c:pt>
                <c:pt idx="68">
                  <c:v>-0.27700000000000002</c:v>
                </c:pt>
                <c:pt idx="69">
                  <c:v>-1.4E-2</c:v>
                </c:pt>
                <c:pt idx="70">
                  <c:v>-0.248</c:v>
                </c:pt>
                <c:pt idx="71">
                  <c:v>-4.7E-2</c:v>
                </c:pt>
                <c:pt idx="72">
                  <c:v>-0.41299999999999998</c:v>
                </c:pt>
                <c:pt idx="73">
                  <c:v>-6.8000000000000005E-2</c:v>
                </c:pt>
                <c:pt idx="74">
                  <c:v>-0.26800000000000002</c:v>
                </c:pt>
                <c:pt idx="75">
                  <c:v>-1.7999999999999999E-2</c:v>
                </c:pt>
                <c:pt idx="76">
                  <c:v>-0.35299999999999998</c:v>
                </c:pt>
                <c:pt idx="77">
                  <c:v>-0.378</c:v>
                </c:pt>
                <c:pt idx="78">
                  <c:v>-0.307</c:v>
                </c:pt>
                <c:pt idx="79">
                  <c:v>7.4999999999999997E-2</c:v>
                </c:pt>
                <c:pt idx="80">
                  <c:v>-0.20200000000000001</c:v>
                </c:pt>
                <c:pt idx="81">
                  <c:v>-0.20699999999999999</c:v>
                </c:pt>
                <c:pt idx="82">
                  <c:v>-9.7000000000000003E-2</c:v>
                </c:pt>
                <c:pt idx="83">
                  <c:v>0.107</c:v>
                </c:pt>
                <c:pt idx="84">
                  <c:v>-0.215</c:v>
                </c:pt>
                <c:pt idx="85">
                  <c:v>0.03</c:v>
                </c:pt>
                <c:pt idx="86">
                  <c:v>-2.9000000000000001E-2</c:v>
                </c:pt>
                <c:pt idx="87">
                  <c:v>8.9999999999999993E-3</c:v>
                </c:pt>
                <c:pt idx="88">
                  <c:v>-2.7E-2</c:v>
                </c:pt>
                <c:pt idx="89">
                  <c:v>-6.7000000000000004E-2</c:v>
                </c:pt>
                <c:pt idx="90">
                  <c:v>-0.128</c:v>
                </c:pt>
                <c:pt idx="91">
                  <c:v>-2E-3</c:v>
                </c:pt>
                <c:pt idx="92">
                  <c:v>0.30399999999999999</c:v>
                </c:pt>
                <c:pt idx="93">
                  <c:v>0.123</c:v>
                </c:pt>
                <c:pt idx="94">
                  <c:v>-6.6000000000000003E-2</c:v>
                </c:pt>
                <c:pt idx="95">
                  <c:v>0.11899999999999999</c:v>
                </c:pt>
                <c:pt idx="96">
                  <c:v>-0.107</c:v>
                </c:pt>
                <c:pt idx="97">
                  <c:v>0.11600000000000001</c:v>
                </c:pt>
                <c:pt idx="98">
                  <c:v>-9.2999999999999999E-2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94-420F-8720-2DC80F756BC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('AMP1-2'!$AE$4,'AMP1-2'!$AE$4)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94-420F-8720-2DC80F756BC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('AMP1-2'!$AE$5,'AMP1-2'!$AE$5)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94-420F-8720-2DC80F756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452880"/>
        <c:axId val="381453272"/>
      </c:scatterChart>
      <c:valAx>
        <c:axId val="38145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53272"/>
        <c:crosses val="autoZero"/>
        <c:crossBetween val="midCat"/>
      </c:valAx>
      <c:valAx>
        <c:axId val="3814532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5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'AMP1-2'!$AF$9:$AF$107</c:f>
              <c:numCache>
                <c:formatCode>General</c:formatCode>
                <c:ptCount val="99"/>
                <c:pt idx="0">
                  <c:v>-0.108</c:v>
                </c:pt>
                <c:pt idx="1">
                  <c:v>0.14599999999999999</c:v>
                </c:pt>
                <c:pt idx="2">
                  <c:v>-0.28699999999999998</c:v>
                </c:pt>
                <c:pt idx="3">
                  <c:v>0.10100000000000001</c:v>
                </c:pt>
                <c:pt idx="4">
                  <c:v>-0.25600000000000001</c:v>
                </c:pt>
                <c:pt idx="5">
                  <c:v>8.5000000000000006E-2</c:v>
                </c:pt>
                <c:pt idx="6">
                  <c:v>-0.17</c:v>
                </c:pt>
                <c:pt idx="7">
                  <c:v>9.7000000000000003E-2</c:v>
                </c:pt>
                <c:pt idx="8">
                  <c:v>-0.18099999999999999</c:v>
                </c:pt>
                <c:pt idx="9">
                  <c:v>7.1999999999999995E-2</c:v>
                </c:pt>
                <c:pt idx="10">
                  <c:v>-0.193</c:v>
                </c:pt>
                <c:pt idx="11">
                  <c:v>0.11700000000000001</c:v>
                </c:pt>
                <c:pt idx="12">
                  <c:v>-0.193</c:v>
                </c:pt>
                <c:pt idx="13">
                  <c:v>7.3999999999999996E-2</c:v>
                </c:pt>
                <c:pt idx="14">
                  <c:v>-0.14099999999999999</c:v>
                </c:pt>
                <c:pt idx="15">
                  <c:v>4.5999999999999999E-2</c:v>
                </c:pt>
                <c:pt idx="16">
                  <c:v>-0.26</c:v>
                </c:pt>
                <c:pt idx="17">
                  <c:v>7.5999999999999998E-2</c:v>
                </c:pt>
                <c:pt idx="18">
                  <c:v>-0.31</c:v>
                </c:pt>
                <c:pt idx="19">
                  <c:v>-5.8000000000000003E-2</c:v>
                </c:pt>
                <c:pt idx="20">
                  <c:v>-0.26600000000000001</c:v>
                </c:pt>
                <c:pt idx="21">
                  <c:v>5.2999999999999999E-2</c:v>
                </c:pt>
                <c:pt idx="22">
                  <c:v>-0.27400000000000002</c:v>
                </c:pt>
                <c:pt idx="23">
                  <c:v>1.4999999999999999E-2</c:v>
                </c:pt>
                <c:pt idx="24">
                  <c:v>-0.21199999999999999</c:v>
                </c:pt>
                <c:pt idx="25">
                  <c:v>8.3000000000000004E-2</c:v>
                </c:pt>
                <c:pt idx="26">
                  <c:v>-0.27600000000000002</c:v>
                </c:pt>
                <c:pt idx="27">
                  <c:v>2.4E-2</c:v>
                </c:pt>
                <c:pt idx="28">
                  <c:v>-0.193</c:v>
                </c:pt>
                <c:pt idx="29">
                  <c:v>4.5999999999999999E-2</c:v>
                </c:pt>
                <c:pt idx="30">
                  <c:v>-0.21099999999999999</c:v>
                </c:pt>
                <c:pt idx="31">
                  <c:v>-0.01</c:v>
                </c:pt>
                <c:pt idx="32">
                  <c:v>-0.32</c:v>
                </c:pt>
                <c:pt idx="33">
                  <c:v>1.7000000000000001E-2</c:v>
                </c:pt>
                <c:pt idx="34">
                  <c:v>-0.45100000000000001</c:v>
                </c:pt>
                <c:pt idx="35">
                  <c:v>4.2000000000000003E-2</c:v>
                </c:pt>
                <c:pt idx="36">
                  <c:v>-0.47499999999999998</c:v>
                </c:pt>
                <c:pt idx="37">
                  <c:v>-2.1000000000000001E-2</c:v>
                </c:pt>
                <c:pt idx="38">
                  <c:v>-0.26600000000000001</c:v>
                </c:pt>
                <c:pt idx="39">
                  <c:v>1.2999999999999999E-2</c:v>
                </c:pt>
                <c:pt idx="40">
                  <c:v>-0.39200000000000002</c:v>
                </c:pt>
                <c:pt idx="41">
                  <c:v>-6.6000000000000003E-2</c:v>
                </c:pt>
                <c:pt idx="42">
                  <c:v>-0.34899999999999998</c:v>
                </c:pt>
                <c:pt idx="43">
                  <c:v>-7.3999999999999996E-2</c:v>
                </c:pt>
                <c:pt idx="44">
                  <c:v>-0.47099999999999997</c:v>
                </c:pt>
                <c:pt idx="45">
                  <c:v>-5.7000000000000002E-2</c:v>
                </c:pt>
                <c:pt idx="46">
                  <c:v>-0.46500000000000002</c:v>
                </c:pt>
                <c:pt idx="47">
                  <c:v>-8.4000000000000005E-2</c:v>
                </c:pt>
                <c:pt idx="48">
                  <c:v>-0.38400000000000001</c:v>
                </c:pt>
                <c:pt idx="49">
                  <c:v>-0.10199999999999999</c:v>
                </c:pt>
                <c:pt idx="50">
                  <c:v>-0.58099999999999996</c:v>
                </c:pt>
                <c:pt idx="51">
                  <c:v>-0.17299999999999999</c:v>
                </c:pt>
                <c:pt idx="52">
                  <c:v>-0.60299999999999998</c:v>
                </c:pt>
                <c:pt idx="53">
                  <c:v>-0.27100000000000002</c:v>
                </c:pt>
                <c:pt idx="54">
                  <c:v>-9.7000000000000003E-2</c:v>
                </c:pt>
                <c:pt idx="55">
                  <c:v>3.7999999999999999E-2</c:v>
                </c:pt>
                <c:pt idx="56">
                  <c:v>0.183</c:v>
                </c:pt>
                <c:pt idx="57">
                  <c:v>-6.2E-2</c:v>
                </c:pt>
                <c:pt idx="58">
                  <c:v>0.152</c:v>
                </c:pt>
                <c:pt idx="59">
                  <c:v>-0.129</c:v>
                </c:pt>
                <c:pt idx="60">
                  <c:v>0.17499999999999999</c:v>
                </c:pt>
                <c:pt idx="61">
                  <c:v>-0.11600000000000001</c:v>
                </c:pt>
                <c:pt idx="62">
                  <c:v>2.7E-2</c:v>
                </c:pt>
                <c:pt idx="63">
                  <c:v>-0.20799999999999999</c:v>
                </c:pt>
                <c:pt idx="64">
                  <c:v>5.1999999999999998E-2</c:v>
                </c:pt>
                <c:pt idx="65">
                  <c:v>-0.221</c:v>
                </c:pt>
                <c:pt idx="66">
                  <c:v>-6.0000000000000001E-3</c:v>
                </c:pt>
                <c:pt idx="67">
                  <c:v>-0.16700000000000001</c:v>
                </c:pt>
                <c:pt idx="68">
                  <c:v>-0.109</c:v>
                </c:pt>
                <c:pt idx="69">
                  <c:v>-0.222</c:v>
                </c:pt>
                <c:pt idx="70">
                  <c:v>-1.4999999999999999E-2</c:v>
                </c:pt>
                <c:pt idx="71">
                  <c:v>-0.254</c:v>
                </c:pt>
                <c:pt idx="72">
                  <c:v>-4.1000000000000002E-2</c:v>
                </c:pt>
                <c:pt idx="73">
                  <c:v>-0.25600000000000001</c:v>
                </c:pt>
                <c:pt idx="74">
                  <c:v>-4.3999999999999997E-2</c:v>
                </c:pt>
                <c:pt idx="75">
                  <c:v>-0.28100000000000003</c:v>
                </c:pt>
                <c:pt idx="76">
                  <c:v>0.05</c:v>
                </c:pt>
                <c:pt idx="77">
                  <c:v>-0.375</c:v>
                </c:pt>
                <c:pt idx="78">
                  <c:v>-9.7000000000000003E-2</c:v>
                </c:pt>
                <c:pt idx="79">
                  <c:v>-0.25900000000000001</c:v>
                </c:pt>
                <c:pt idx="80">
                  <c:v>-4.3999999999999997E-2</c:v>
                </c:pt>
                <c:pt idx="81">
                  <c:v>-0.27800000000000002</c:v>
                </c:pt>
                <c:pt idx="82">
                  <c:v>-2.8000000000000001E-2</c:v>
                </c:pt>
                <c:pt idx="83">
                  <c:v>-0.33900000000000002</c:v>
                </c:pt>
                <c:pt idx="84">
                  <c:v>-6.2E-2</c:v>
                </c:pt>
                <c:pt idx="85">
                  <c:v>-4.4999999999999998E-2</c:v>
                </c:pt>
                <c:pt idx="86">
                  <c:v>0.14699999999999999</c:v>
                </c:pt>
                <c:pt idx="87">
                  <c:v>-0.19400000000000001</c:v>
                </c:pt>
                <c:pt idx="88">
                  <c:v>0.106</c:v>
                </c:pt>
                <c:pt idx="89">
                  <c:v>-0.111</c:v>
                </c:pt>
                <c:pt idx="90">
                  <c:v>0.122</c:v>
                </c:pt>
                <c:pt idx="91">
                  <c:v>-0.17299999999999999</c:v>
                </c:pt>
                <c:pt idx="92">
                  <c:v>0.105</c:v>
                </c:pt>
                <c:pt idx="93">
                  <c:v>-0.16300000000000001</c:v>
                </c:pt>
                <c:pt idx="94">
                  <c:v>0.16500000000000001</c:v>
                </c:pt>
                <c:pt idx="95">
                  <c:v>-0.17100000000000001</c:v>
                </c:pt>
                <c:pt idx="96">
                  <c:v>3.3000000000000002E-2</c:v>
                </c:pt>
                <c:pt idx="97">
                  <c:v>-0.123</c:v>
                </c:pt>
                <c:pt idx="98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51-40A3-A4F4-3F3BBCAF9D4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('AMP1-2'!$AF$4,'AMP1-2'!$AF$4)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51-40A3-A4F4-3F3BBCAF9D4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('AMP1-2'!$AF$5,'AMP1-2'!$AF$5)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51-40A3-A4F4-3F3BBCAF9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453664"/>
        <c:axId val="381454056"/>
      </c:scatterChart>
      <c:valAx>
        <c:axId val="38145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54056"/>
        <c:crosses val="autoZero"/>
        <c:crossBetween val="midCat"/>
      </c:valAx>
      <c:valAx>
        <c:axId val="3814540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5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'AMP1-2'!$AG$9:$AG$107</c:f>
              <c:numCache>
                <c:formatCode>General</c:formatCode>
                <c:ptCount val="99"/>
                <c:pt idx="0">
                  <c:v>-0.22700000000000001</c:v>
                </c:pt>
                <c:pt idx="1">
                  <c:v>9.2999999999999999E-2</c:v>
                </c:pt>
                <c:pt idx="2">
                  <c:v>-0.38200000000000001</c:v>
                </c:pt>
                <c:pt idx="3">
                  <c:v>3.9E-2</c:v>
                </c:pt>
                <c:pt idx="4">
                  <c:v>-0.38500000000000001</c:v>
                </c:pt>
                <c:pt idx="5">
                  <c:v>4.5999999999999999E-2</c:v>
                </c:pt>
                <c:pt idx="6">
                  <c:v>-0.26700000000000002</c:v>
                </c:pt>
                <c:pt idx="7">
                  <c:v>0.03</c:v>
                </c:pt>
                <c:pt idx="8">
                  <c:v>-0.29099999999999998</c:v>
                </c:pt>
                <c:pt idx="9">
                  <c:v>1.2999999999999999E-2</c:v>
                </c:pt>
                <c:pt idx="10">
                  <c:v>-0.315</c:v>
                </c:pt>
                <c:pt idx="11">
                  <c:v>6.4000000000000001E-2</c:v>
                </c:pt>
                <c:pt idx="12">
                  <c:v>-0.34</c:v>
                </c:pt>
                <c:pt idx="13">
                  <c:v>2.3E-2</c:v>
                </c:pt>
                <c:pt idx="14">
                  <c:v>-0.27</c:v>
                </c:pt>
                <c:pt idx="15">
                  <c:v>3.6999999999999998E-2</c:v>
                </c:pt>
                <c:pt idx="16">
                  <c:v>-0.38700000000000001</c:v>
                </c:pt>
                <c:pt idx="17">
                  <c:v>4.5999999999999999E-2</c:v>
                </c:pt>
                <c:pt idx="18">
                  <c:v>-0.437</c:v>
                </c:pt>
                <c:pt idx="19">
                  <c:v>-9.4E-2</c:v>
                </c:pt>
                <c:pt idx="20">
                  <c:v>-0.39400000000000002</c:v>
                </c:pt>
                <c:pt idx="21">
                  <c:v>0.02</c:v>
                </c:pt>
                <c:pt idx="22">
                  <c:v>-0.39900000000000002</c:v>
                </c:pt>
                <c:pt idx="23">
                  <c:v>-4.1000000000000002E-2</c:v>
                </c:pt>
                <c:pt idx="24">
                  <c:v>-0.32700000000000001</c:v>
                </c:pt>
                <c:pt idx="25">
                  <c:v>4.4999999999999998E-2</c:v>
                </c:pt>
                <c:pt idx="26">
                  <c:v>-0.40600000000000003</c:v>
                </c:pt>
                <c:pt idx="27">
                  <c:v>-1.2E-2</c:v>
                </c:pt>
                <c:pt idx="28">
                  <c:v>-0.32800000000000001</c:v>
                </c:pt>
                <c:pt idx="29">
                  <c:v>1.0999999999999999E-2</c:v>
                </c:pt>
                <c:pt idx="30">
                  <c:v>-0.33300000000000002</c:v>
                </c:pt>
                <c:pt idx="31">
                  <c:v>-6.3E-2</c:v>
                </c:pt>
                <c:pt idx="32">
                  <c:v>-0.45600000000000002</c:v>
                </c:pt>
                <c:pt idx="33">
                  <c:v>-4.8000000000000001E-2</c:v>
                </c:pt>
                <c:pt idx="34">
                  <c:v>-0.56999999999999995</c:v>
                </c:pt>
                <c:pt idx="35">
                  <c:v>-8.0000000000000002E-3</c:v>
                </c:pt>
                <c:pt idx="36">
                  <c:v>-0.58399999999999996</c:v>
                </c:pt>
                <c:pt idx="37">
                  <c:v>-7.8E-2</c:v>
                </c:pt>
                <c:pt idx="38">
                  <c:v>-0.41099999999999998</c:v>
                </c:pt>
                <c:pt idx="39">
                  <c:v>-3.1E-2</c:v>
                </c:pt>
                <c:pt idx="40">
                  <c:v>-0.53700000000000003</c:v>
                </c:pt>
                <c:pt idx="41">
                  <c:v>-0.108</c:v>
                </c:pt>
                <c:pt idx="42">
                  <c:v>-0.48</c:v>
                </c:pt>
                <c:pt idx="43">
                  <c:v>-0.13900000000000001</c:v>
                </c:pt>
                <c:pt idx="44">
                  <c:v>-0.60499999999999998</c:v>
                </c:pt>
                <c:pt idx="45">
                  <c:v>-0.112</c:v>
                </c:pt>
                <c:pt idx="46">
                  <c:v>-0.60099999999999998</c:v>
                </c:pt>
                <c:pt idx="47">
                  <c:v>-0.13400000000000001</c:v>
                </c:pt>
                <c:pt idx="48">
                  <c:v>-0.50600000000000001</c:v>
                </c:pt>
                <c:pt idx="49">
                  <c:v>-0.125</c:v>
                </c:pt>
                <c:pt idx="50">
                  <c:v>-0.70899999999999996</c:v>
                </c:pt>
                <c:pt idx="51">
                  <c:v>-0.23699999999999999</c:v>
                </c:pt>
                <c:pt idx="52">
                  <c:v>-0.71399999999999997</c:v>
                </c:pt>
                <c:pt idx="53">
                  <c:v>-0.372</c:v>
                </c:pt>
                <c:pt idx="54">
                  <c:v>-0.24399999999999999</c:v>
                </c:pt>
                <c:pt idx="55">
                  <c:v>-9.2999999999999999E-2</c:v>
                </c:pt>
                <c:pt idx="56">
                  <c:v>0.13800000000000001</c:v>
                </c:pt>
                <c:pt idx="57">
                  <c:v>-0.17599999999999999</c:v>
                </c:pt>
                <c:pt idx="58">
                  <c:v>9.8000000000000004E-2</c:v>
                </c:pt>
                <c:pt idx="59">
                  <c:v>-0.253</c:v>
                </c:pt>
                <c:pt idx="60">
                  <c:v>0.1</c:v>
                </c:pt>
                <c:pt idx="61">
                  <c:v>-0.28399999999999997</c:v>
                </c:pt>
                <c:pt idx="62">
                  <c:v>-8.0000000000000002E-3</c:v>
                </c:pt>
                <c:pt idx="63">
                  <c:v>-0.38700000000000001</c:v>
                </c:pt>
                <c:pt idx="64">
                  <c:v>-4.0000000000000001E-3</c:v>
                </c:pt>
                <c:pt idx="65">
                  <c:v>-0.36299999999999999</c:v>
                </c:pt>
                <c:pt idx="66">
                  <c:v>-8.2000000000000003E-2</c:v>
                </c:pt>
                <c:pt idx="67">
                  <c:v>-0.30499999999999999</c:v>
                </c:pt>
                <c:pt idx="68">
                  <c:v>-0.1</c:v>
                </c:pt>
                <c:pt idx="69">
                  <c:v>-0.38700000000000001</c:v>
                </c:pt>
                <c:pt idx="70">
                  <c:v>-0.05</c:v>
                </c:pt>
                <c:pt idx="71">
                  <c:v>-0.41099999999999998</c:v>
                </c:pt>
                <c:pt idx="72">
                  <c:v>-7.0000000000000007E-2</c:v>
                </c:pt>
                <c:pt idx="73">
                  <c:v>-0.35099999999999998</c:v>
                </c:pt>
                <c:pt idx="74">
                  <c:v>-0.115</c:v>
                </c:pt>
                <c:pt idx="75">
                  <c:v>-0.44700000000000001</c:v>
                </c:pt>
                <c:pt idx="76">
                  <c:v>1.0999999999999999E-2</c:v>
                </c:pt>
                <c:pt idx="77">
                  <c:v>-0.51500000000000001</c:v>
                </c:pt>
                <c:pt idx="78">
                  <c:v>-0.14099999999999999</c:v>
                </c:pt>
                <c:pt idx="79">
                  <c:v>-0.39500000000000002</c:v>
                </c:pt>
                <c:pt idx="80">
                  <c:v>-7.4999999999999997E-2</c:v>
                </c:pt>
                <c:pt idx="81">
                  <c:v>-0.40799999999999997</c:v>
                </c:pt>
                <c:pt idx="82">
                  <c:v>-9.6000000000000002E-2</c:v>
                </c:pt>
                <c:pt idx="83">
                  <c:v>-0.498</c:v>
                </c:pt>
                <c:pt idx="84">
                  <c:v>-0.123</c:v>
                </c:pt>
                <c:pt idx="85">
                  <c:v>-0.14799999999999999</c:v>
                </c:pt>
                <c:pt idx="86">
                  <c:v>8.2000000000000003E-2</c:v>
                </c:pt>
                <c:pt idx="87">
                  <c:v>-0.316</c:v>
                </c:pt>
                <c:pt idx="88">
                  <c:v>7.4999999999999997E-2</c:v>
                </c:pt>
                <c:pt idx="89">
                  <c:v>-0.246</c:v>
                </c:pt>
                <c:pt idx="90">
                  <c:v>7.4999999999999997E-2</c:v>
                </c:pt>
                <c:pt idx="91">
                  <c:v>-0.27800000000000002</c:v>
                </c:pt>
                <c:pt idx="92">
                  <c:v>4.8000000000000001E-2</c:v>
                </c:pt>
                <c:pt idx="93">
                  <c:v>-0.28799999999999998</c:v>
                </c:pt>
                <c:pt idx="94">
                  <c:v>0.11799999999999999</c:v>
                </c:pt>
                <c:pt idx="95">
                  <c:v>-0.26400000000000001</c:v>
                </c:pt>
                <c:pt idx="96">
                  <c:v>-3.4000000000000002E-2</c:v>
                </c:pt>
                <c:pt idx="97">
                  <c:v>-0.26</c:v>
                </c:pt>
                <c:pt idx="98">
                  <c:v>-4.3999999999999997E-2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F-4A13-AF26-C33F362B42D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('AMP1-2'!$AG$4,'AMP1-2'!$AG$4)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6F-4A13-AF26-C33F362B42D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('AMP1-2'!$AG$5,'AMP1-2'!$AG$5)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6F-4A13-AF26-C33F362B4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72432"/>
        <c:axId val="382372824"/>
      </c:scatterChart>
      <c:valAx>
        <c:axId val="38237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2824"/>
        <c:crosses val="autoZero"/>
        <c:crossBetween val="midCat"/>
      </c:valAx>
      <c:valAx>
        <c:axId val="382372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'AMP1-2'!$AH$9:$AH$107</c:f>
              <c:numCache>
                <c:formatCode>General</c:formatCode>
                <c:ptCount val="99"/>
                <c:pt idx="0">
                  <c:v>0</c:v>
                </c:pt>
                <c:pt idx="1">
                  <c:v>-5.8000000000000003E-2</c:v>
                </c:pt>
                <c:pt idx="2">
                  <c:v>-4.0000000000000001E-3</c:v>
                </c:pt>
                <c:pt idx="3">
                  <c:v>8.1000000000000003E-2</c:v>
                </c:pt>
                <c:pt idx="4">
                  <c:v>3.5999999999999997E-2</c:v>
                </c:pt>
                <c:pt idx="5">
                  <c:v>-5.5E-2</c:v>
                </c:pt>
                <c:pt idx="6">
                  <c:v>-0.03</c:v>
                </c:pt>
                <c:pt idx="7">
                  <c:v>-4.9000000000000002E-2</c:v>
                </c:pt>
                <c:pt idx="8">
                  <c:v>-1.0999999999999999E-2</c:v>
                </c:pt>
                <c:pt idx="9">
                  <c:v>-0.11</c:v>
                </c:pt>
                <c:pt idx="10">
                  <c:v>0.05</c:v>
                </c:pt>
                <c:pt idx="11">
                  <c:v>1.7999999999999999E-2</c:v>
                </c:pt>
                <c:pt idx="12">
                  <c:v>8.9999999999999993E-3</c:v>
                </c:pt>
                <c:pt idx="13">
                  <c:v>-6.3E-2</c:v>
                </c:pt>
                <c:pt idx="14">
                  <c:v>8.3000000000000004E-2</c:v>
                </c:pt>
                <c:pt idx="15">
                  <c:v>-1.4E-2</c:v>
                </c:pt>
                <c:pt idx="16">
                  <c:v>-0.02</c:v>
                </c:pt>
                <c:pt idx="17">
                  <c:v>-1.0999999999999999E-2</c:v>
                </c:pt>
                <c:pt idx="18">
                  <c:v>-3.2000000000000001E-2</c:v>
                </c:pt>
                <c:pt idx="19">
                  <c:v>-0.10299999999999999</c:v>
                </c:pt>
                <c:pt idx="20">
                  <c:v>-9.2999999999999999E-2</c:v>
                </c:pt>
                <c:pt idx="21">
                  <c:v>-8.2000000000000003E-2</c:v>
                </c:pt>
                <c:pt idx="22">
                  <c:v>-0.08</c:v>
                </c:pt>
                <c:pt idx="23">
                  <c:v>-3.5000000000000003E-2</c:v>
                </c:pt>
                <c:pt idx="24">
                  <c:v>5.0000000000000001E-3</c:v>
                </c:pt>
                <c:pt idx="25">
                  <c:v>-0.08</c:v>
                </c:pt>
                <c:pt idx="26">
                  <c:v>-6.7000000000000004E-2</c:v>
                </c:pt>
                <c:pt idx="27">
                  <c:v>-0.152</c:v>
                </c:pt>
                <c:pt idx="28">
                  <c:v>-1E-3</c:v>
                </c:pt>
                <c:pt idx="29">
                  <c:v>-0.128</c:v>
                </c:pt>
                <c:pt idx="30">
                  <c:v>3.0000000000000001E-3</c:v>
                </c:pt>
                <c:pt idx="31">
                  <c:v>-0.17399999999999999</c:v>
                </c:pt>
                <c:pt idx="32">
                  <c:v>-0.11899999999999999</c:v>
                </c:pt>
                <c:pt idx="33">
                  <c:v>-4.3999999999999997E-2</c:v>
                </c:pt>
                <c:pt idx="34">
                  <c:v>-0.16800000000000001</c:v>
                </c:pt>
                <c:pt idx="35">
                  <c:v>-4.2999999999999997E-2</c:v>
                </c:pt>
                <c:pt idx="36">
                  <c:v>-0.157</c:v>
                </c:pt>
                <c:pt idx="37">
                  <c:v>3.3000000000000002E-2</c:v>
                </c:pt>
                <c:pt idx="38">
                  <c:v>-0.13100000000000001</c:v>
                </c:pt>
                <c:pt idx="39">
                  <c:v>-0.20399999999999999</c:v>
                </c:pt>
                <c:pt idx="40">
                  <c:v>1.9E-2</c:v>
                </c:pt>
                <c:pt idx="41">
                  <c:v>-9.6000000000000002E-2</c:v>
                </c:pt>
                <c:pt idx="42">
                  <c:v>-0.122</c:v>
                </c:pt>
                <c:pt idx="43">
                  <c:v>-0.16800000000000001</c:v>
                </c:pt>
                <c:pt idx="44">
                  <c:v>-4.7E-2</c:v>
                </c:pt>
                <c:pt idx="45">
                  <c:v>-0.12</c:v>
                </c:pt>
                <c:pt idx="46">
                  <c:v>-0.152</c:v>
                </c:pt>
                <c:pt idx="47">
                  <c:v>-9.6000000000000002E-2</c:v>
                </c:pt>
                <c:pt idx="48">
                  <c:v>-0.113</c:v>
                </c:pt>
                <c:pt idx="49">
                  <c:v>-0.153</c:v>
                </c:pt>
                <c:pt idx="50">
                  <c:v>-0.15</c:v>
                </c:pt>
                <c:pt idx="51">
                  <c:v>-2.8000000000000001E-2</c:v>
                </c:pt>
                <c:pt idx="52">
                  <c:v>-0.19800000000000001</c:v>
                </c:pt>
                <c:pt idx="53">
                  <c:v>-0.188</c:v>
                </c:pt>
                <c:pt idx="54">
                  <c:v>0.188</c:v>
                </c:pt>
                <c:pt idx="55">
                  <c:v>8.6999999999999994E-2</c:v>
                </c:pt>
                <c:pt idx="56">
                  <c:v>-0.03</c:v>
                </c:pt>
                <c:pt idx="57">
                  <c:v>0.111</c:v>
                </c:pt>
                <c:pt idx="58">
                  <c:v>-6.2E-2</c:v>
                </c:pt>
                <c:pt idx="59">
                  <c:v>-8.9999999999999993E-3</c:v>
                </c:pt>
                <c:pt idx="60">
                  <c:v>-9.5000000000000001E-2</c:v>
                </c:pt>
                <c:pt idx="61">
                  <c:v>-6.9000000000000006E-2</c:v>
                </c:pt>
                <c:pt idx="62">
                  <c:v>-0.11799999999999999</c:v>
                </c:pt>
                <c:pt idx="63">
                  <c:v>-6.2E-2</c:v>
                </c:pt>
                <c:pt idx="64">
                  <c:v>-0.221</c:v>
                </c:pt>
                <c:pt idx="65">
                  <c:v>-3.2000000000000001E-2</c:v>
                </c:pt>
                <c:pt idx="66">
                  <c:v>-0.21</c:v>
                </c:pt>
                <c:pt idx="67">
                  <c:v>-6.3E-2</c:v>
                </c:pt>
                <c:pt idx="68">
                  <c:v>-0.36299999999999999</c:v>
                </c:pt>
                <c:pt idx="69">
                  <c:v>2.5000000000000001E-2</c:v>
                </c:pt>
                <c:pt idx="70">
                  <c:v>-0.17100000000000001</c:v>
                </c:pt>
                <c:pt idx="71">
                  <c:v>-1.7000000000000001E-2</c:v>
                </c:pt>
                <c:pt idx="72">
                  <c:v>-0.218</c:v>
                </c:pt>
                <c:pt idx="73">
                  <c:v>-6.9000000000000006E-2</c:v>
                </c:pt>
                <c:pt idx="74">
                  <c:v>-0.24</c:v>
                </c:pt>
                <c:pt idx="75">
                  <c:v>-3.0000000000000001E-3</c:v>
                </c:pt>
                <c:pt idx="76">
                  <c:v>-0.14299999999999999</c:v>
                </c:pt>
                <c:pt idx="77">
                  <c:v>-0.114</c:v>
                </c:pt>
                <c:pt idx="78">
                  <c:v>-0.24299999999999999</c:v>
                </c:pt>
                <c:pt idx="79">
                  <c:v>-8.1000000000000003E-2</c:v>
                </c:pt>
                <c:pt idx="80">
                  <c:v>-0.08</c:v>
                </c:pt>
                <c:pt idx="81">
                  <c:v>-1.2999999999999999E-2</c:v>
                </c:pt>
                <c:pt idx="82">
                  <c:v>-0.123</c:v>
                </c:pt>
                <c:pt idx="83">
                  <c:v>-9.9000000000000005E-2</c:v>
                </c:pt>
                <c:pt idx="84">
                  <c:v>-0.18099999999999999</c:v>
                </c:pt>
                <c:pt idx="85">
                  <c:v>3.3000000000000002E-2</c:v>
                </c:pt>
                <c:pt idx="86">
                  <c:v>-2.9000000000000001E-2</c:v>
                </c:pt>
                <c:pt idx="87">
                  <c:v>-7.6999999999999999E-2</c:v>
                </c:pt>
                <c:pt idx="88">
                  <c:v>-0.14599999999999999</c:v>
                </c:pt>
                <c:pt idx="89">
                  <c:v>-0.04</c:v>
                </c:pt>
                <c:pt idx="90">
                  <c:v>-0.11600000000000001</c:v>
                </c:pt>
                <c:pt idx="91">
                  <c:v>-3.3000000000000002E-2</c:v>
                </c:pt>
                <c:pt idx="92">
                  <c:v>-3.5000000000000003E-2</c:v>
                </c:pt>
                <c:pt idx="93">
                  <c:v>-0.04</c:v>
                </c:pt>
                <c:pt idx="94">
                  <c:v>-0.112</c:v>
                </c:pt>
                <c:pt idx="95">
                  <c:v>-4.9000000000000002E-2</c:v>
                </c:pt>
                <c:pt idx="96">
                  <c:v>-0.30499999999999999</c:v>
                </c:pt>
                <c:pt idx="97">
                  <c:v>6.6000000000000003E-2</c:v>
                </c:pt>
                <c:pt idx="98">
                  <c:v>-0.191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15-4BE1-90A4-3EF0660DE02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('AMP1-2'!$AH$4,'AMP1-2'!$AH$4)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15-4BE1-90A4-3EF0660DE02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('AMP1-2'!$AH$5,'AMP1-2'!$AH$5)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15-4BE1-90A4-3EF0660D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73608"/>
        <c:axId val="382374000"/>
      </c:scatterChart>
      <c:valAx>
        <c:axId val="382373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4000"/>
        <c:crosses val="autoZero"/>
        <c:crossBetween val="midCat"/>
      </c:valAx>
      <c:valAx>
        <c:axId val="382374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3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'AMP1-2'!$AI$8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'AMP1-2'!$C$9:$C$107</c:f>
              <c:numCache>
                <c:formatCode>m/d/yy\ h:mm;@</c:formatCode>
                <c:ptCount val="99"/>
                <c:pt idx="0">
                  <c:v>43699.776944444442</c:v>
                </c:pt>
                <c:pt idx="1">
                  <c:v>43699.779421296298</c:v>
                </c:pt>
                <c:pt idx="2">
                  <c:v>43699.88958333333</c:v>
                </c:pt>
                <c:pt idx="3">
                  <c:v>43699.891643518517</c:v>
                </c:pt>
                <c:pt idx="4">
                  <c:v>43700.001296296294</c:v>
                </c:pt>
                <c:pt idx="5">
                  <c:v>43700.003333333334</c:v>
                </c:pt>
                <c:pt idx="6">
                  <c:v>43700.038923611108</c:v>
                </c:pt>
                <c:pt idx="7">
                  <c:v>43700.040983796294</c:v>
                </c:pt>
                <c:pt idx="8">
                  <c:v>43700.346747685187</c:v>
                </c:pt>
                <c:pt idx="9">
                  <c:v>43700.349085648151</c:v>
                </c:pt>
                <c:pt idx="10">
                  <c:v>43700.506608796299</c:v>
                </c:pt>
                <c:pt idx="11">
                  <c:v>43700.508831018517</c:v>
                </c:pt>
                <c:pt idx="12">
                  <c:v>43700.59783564815</c:v>
                </c:pt>
                <c:pt idx="13">
                  <c:v>43700.599456018521</c:v>
                </c:pt>
                <c:pt idx="14">
                  <c:v>43701.346967592595</c:v>
                </c:pt>
                <c:pt idx="15">
                  <c:v>43701.348807870374</c:v>
                </c:pt>
                <c:pt idx="16">
                  <c:v>43701.470995370371</c:v>
                </c:pt>
                <c:pt idx="17">
                  <c:v>43701.473356481481</c:v>
                </c:pt>
                <c:pt idx="18">
                  <c:v>43701.604594907411</c:v>
                </c:pt>
                <c:pt idx="19">
                  <c:v>43701.607951388891</c:v>
                </c:pt>
                <c:pt idx="20">
                  <c:v>43701.685717592591</c:v>
                </c:pt>
                <c:pt idx="21">
                  <c:v>43701.687291666669</c:v>
                </c:pt>
                <c:pt idx="22">
                  <c:v>43702.366006944445</c:v>
                </c:pt>
                <c:pt idx="23">
                  <c:v>43702.367627314816</c:v>
                </c:pt>
                <c:pt idx="24">
                  <c:v>43702.497337962966</c:v>
                </c:pt>
                <c:pt idx="25">
                  <c:v>43702.49894675926</c:v>
                </c:pt>
                <c:pt idx="26">
                  <c:v>43702.617465277777</c:v>
                </c:pt>
                <c:pt idx="27">
                  <c:v>43702.620185185187</c:v>
                </c:pt>
                <c:pt idx="28">
                  <c:v>43703.358946759261</c:v>
                </c:pt>
                <c:pt idx="29">
                  <c:v>43703.360613425924</c:v>
                </c:pt>
                <c:pt idx="30">
                  <c:v>43703.500300925924</c:v>
                </c:pt>
                <c:pt idx="31">
                  <c:v>43703.502083333333</c:v>
                </c:pt>
                <c:pt idx="32">
                  <c:v>43703.597812499997</c:v>
                </c:pt>
                <c:pt idx="33">
                  <c:v>43703.600162037037</c:v>
                </c:pt>
                <c:pt idx="34">
                  <c:v>43703.713425925926</c:v>
                </c:pt>
                <c:pt idx="35">
                  <c:v>43703.714942129627</c:v>
                </c:pt>
                <c:pt idx="36">
                  <c:v>43703.829976851855</c:v>
                </c:pt>
                <c:pt idx="37">
                  <c:v>43703.83148148148</c:v>
                </c:pt>
                <c:pt idx="38">
                  <c:v>43703.971585648149</c:v>
                </c:pt>
                <c:pt idx="39">
                  <c:v>43703.973124999997</c:v>
                </c:pt>
                <c:pt idx="40">
                  <c:v>43704.050682870373</c:v>
                </c:pt>
                <c:pt idx="41">
                  <c:v>43704.052199074074</c:v>
                </c:pt>
                <c:pt idx="42">
                  <c:v>43704.352500000001</c:v>
                </c:pt>
                <c:pt idx="43">
                  <c:v>43704.355300925927</c:v>
                </c:pt>
                <c:pt idx="44">
                  <c:v>43704.455995370372</c:v>
                </c:pt>
                <c:pt idx="45">
                  <c:v>43704.459201388891</c:v>
                </c:pt>
                <c:pt idx="46">
                  <c:v>43704.61613425926</c:v>
                </c:pt>
                <c:pt idx="47">
                  <c:v>43704.618194444447</c:v>
                </c:pt>
                <c:pt idx="48">
                  <c:v>43704.715150462966</c:v>
                </c:pt>
                <c:pt idx="49">
                  <c:v>43704.716770833336</c:v>
                </c:pt>
                <c:pt idx="50">
                  <c:v>43704.833518518521</c:v>
                </c:pt>
                <c:pt idx="51">
                  <c:v>43704.835347222222</c:v>
                </c:pt>
                <c:pt idx="52">
                  <c:v>43704.951655092591</c:v>
                </c:pt>
                <c:pt idx="53">
                  <c:v>43704.95349537037</c:v>
                </c:pt>
                <c:pt idx="54">
                  <c:v>43705.055671296293</c:v>
                </c:pt>
                <c:pt idx="55">
                  <c:v>43705.358773148146</c:v>
                </c:pt>
                <c:pt idx="56">
                  <c:v>43705.361238425925</c:v>
                </c:pt>
                <c:pt idx="57">
                  <c:v>43705.498773148145</c:v>
                </c:pt>
                <c:pt idx="58">
                  <c:v>43705.501018518517</c:v>
                </c:pt>
                <c:pt idx="59">
                  <c:v>43705.681539351855</c:v>
                </c:pt>
                <c:pt idx="60">
                  <c:v>43705.691886574074</c:v>
                </c:pt>
                <c:pt idx="61">
                  <c:v>43705.78701388889</c:v>
                </c:pt>
                <c:pt idx="62">
                  <c:v>43705.788530092592</c:v>
                </c:pt>
                <c:pt idx="63">
                  <c:v>43705.979247685187</c:v>
                </c:pt>
                <c:pt idx="64">
                  <c:v>43705.981238425928</c:v>
                </c:pt>
                <c:pt idx="65">
                  <c:v>43706.061388888891</c:v>
                </c:pt>
                <c:pt idx="66">
                  <c:v>43706.062893518516</c:v>
                </c:pt>
                <c:pt idx="67">
                  <c:v>43706.375856481478</c:v>
                </c:pt>
                <c:pt idx="68">
                  <c:v>43706.377893518518</c:v>
                </c:pt>
                <c:pt idx="69">
                  <c:v>43706.530231481483</c:v>
                </c:pt>
                <c:pt idx="70">
                  <c:v>43706.533067129632</c:v>
                </c:pt>
                <c:pt idx="71">
                  <c:v>43706.692858796298</c:v>
                </c:pt>
                <c:pt idx="72">
                  <c:v>43706.694907407407</c:v>
                </c:pt>
                <c:pt idx="73">
                  <c:v>43706.799432870372</c:v>
                </c:pt>
                <c:pt idx="74">
                  <c:v>43706.801481481481</c:v>
                </c:pt>
                <c:pt idx="75">
                  <c:v>43706.97252314815</c:v>
                </c:pt>
                <c:pt idx="76">
                  <c:v>43706.975868055553</c:v>
                </c:pt>
                <c:pt idx="77">
                  <c:v>43707.037731481483</c:v>
                </c:pt>
                <c:pt idx="78">
                  <c:v>43707.03979166667</c:v>
                </c:pt>
                <c:pt idx="79">
                  <c:v>43707.372442129628</c:v>
                </c:pt>
                <c:pt idx="80">
                  <c:v>43707.377766203703</c:v>
                </c:pt>
                <c:pt idx="81">
                  <c:v>43707.464050925926</c:v>
                </c:pt>
                <c:pt idx="82">
                  <c:v>43707.466296296298</c:v>
                </c:pt>
                <c:pt idx="83">
                  <c:v>43707.628275462965</c:v>
                </c:pt>
                <c:pt idx="84">
                  <c:v>43707.63177083333</c:v>
                </c:pt>
                <c:pt idx="85">
                  <c:v>43711.543263888889</c:v>
                </c:pt>
                <c:pt idx="86">
                  <c:v>43711.545393518521</c:v>
                </c:pt>
                <c:pt idx="87">
                  <c:v>43711.72042824074</c:v>
                </c:pt>
                <c:pt idx="88">
                  <c:v>43711.722731481481</c:v>
                </c:pt>
                <c:pt idx="89">
                  <c:v>43711.740543981483</c:v>
                </c:pt>
                <c:pt idx="90">
                  <c:v>43711.744293981479</c:v>
                </c:pt>
                <c:pt idx="91">
                  <c:v>43711.84002314815</c:v>
                </c:pt>
                <c:pt idx="92">
                  <c:v>43711.842083333337</c:v>
                </c:pt>
                <c:pt idx="93">
                  <c:v>43711.963750000003</c:v>
                </c:pt>
                <c:pt idx="94">
                  <c:v>43711.965821759259</c:v>
                </c:pt>
                <c:pt idx="95">
                  <c:v>43712.02547453704</c:v>
                </c:pt>
                <c:pt idx="96">
                  <c:v>43712.028379629628</c:v>
                </c:pt>
                <c:pt idx="97">
                  <c:v>43712.343148148146</c:v>
                </c:pt>
                <c:pt idx="98">
                  <c:v>43712.345312500001</c:v>
                </c:pt>
              </c:numCache>
            </c:numRef>
          </c:xVal>
          <c:yVal>
            <c:numRef>
              <c:f>'AMP1-2'!$AI$9:$AI$107</c:f>
              <c:numCache>
                <c:formatCode>General</c:formatCode>
                <c:ptCount val="99"/>
                <c:pt idx="0">
                  <c:v>0.14799999999999999</c:v>
                </c:pt>
                <c:pt idx="1">
                  <c:v>-9.6000000000000002E-2</c:v>
                </c:pt>
                <c:pt idx="2">
                  <c:v>0.20799999999999999</c:v>
                </c:pt>
                <c:pt idx="3">
                  <c:v>4.2000000000000003E-2</c:v>
                </c:pt>
                <c:pt idx="4">
                  <c:v>0.21199999999999999</c:v>
                </c:pt>
                <c:pt idx="5">
                  <c:v>-9.2999999999999999E-2</c:v>
                </c:pt>
                <c:pt idx="6">
                  <c:v>0.20100000000000001</c:v>
                </c:pt>
                <c:pt idx="7">
                  <c:v>-9.8000000000000004E-2</c:v>
                </c:pt>
                <c:pt idx="8">
                  <c:v>0.215</c:v>
                </c:pt>
                <c:pt idx="9">
                  <c:v>-0.13400000000000001</c:v>
                </c:pt>
                <c:pt idx="10">
                  <c:v>0.26500000000000001</c:v>
                </c:pt>
                <c:pt idx="11">
                  <c:v>-5.0000000000000001E-3</c:v>
                </c:pt>
                <c:pt idx="12">
                  <c:v>0.18099999999999999</c:v>
                </c:pt>
                <c:pt idx="13">
                  <c:v>-0.108</c:v>
                </c:pt>
                <c:pt idx="14">
                  <c:v>0.28299999999999997</c:v>
                </c:pt>
                <c:pt idx="15">
                  <c:v>-3.5000000000000003E-2</c:v>
                </c:pt>
                <c:pt idx="16">
                  <c:v>0.14000000000000001</c:v>
                </c:pt>
                <c:pt idx="17">
                  <c:v>-3.6999999999999998E-2</c:v>
                </c:pt>
                <c:pt idx="18">
                  <c:v>0.14799999999999999</c:v>
                </c:pt>
                <c:pt idx="19">
                  <c:v>-0.13800000000000001</c:v>
                </c:pt>
                <c:pt idx="20">
                  <c:v>7.0000000000000007E-2</c:v>
                </c:pt>
                <c:pt idx="21">
                  <c:v>-0.108</c:v>
                </c:pt>
                <c:pt idx="22">
                  <c:v>0.10299999999999999</c:v>
                </c:pt>
                <c:pt idx="23">
                  <c:v>-7.1999999999999995E-2</c:v>
                </c:pt>
                <c:pt idx="24">
                  <c:v>0.2</c:v>
                </c:pt>
                <c:pt idx="25">
                  <c:v>-6.4000000000000001E-2</c:v>
                </c:pt>
                <c:pt idx="26">
                  <c:v>0.11799999999999999</c:v>
                </c:pt>
                <c:pt idx="27">
                  <c:v>-0.19800000000000001</c:v>
                </c:pt>
                <c:pt idx="28">
                  <c:v>0.186</c:v>
                </c:pt>
                <c:pt idx="29">
                  <c:v>-0.17399999999999999</c:v>
                </c:pt>
                <c:pt idx="30">
                  <c:v>0.19</c:v>
                </c:pt>
                <c:pt idx="31">
                  <c:v>-0.19900000000000001</c:v>
                </c:pt>
                <c:pt idx="32">
                  <c:v>0.10299999999999999</c:v>
                </c:pt>
                <c:pt idx="33">
                  <c:v>-7.8E-2</c:v>
                </c:pt>
                <c:pt idx="34">
                  <c:v>1.7000000000000001E-2</c:v>
                </c:pt>
                <c:pt idx="35">
                  <c:v>-6.2E-2</c:v>
                </c:pt>
                <c:pt idx="36">
                  <c:v>4.3999999999999997E-2</c:v>
                </c:pt>
                <c:pt idx="37">
                  <c:v>-4.0000000000000001E-3</c:v>
                </c:pt>
                <c:pt idx="38">
                  <c:v>5.0999999999999997E-2</c:v>
                </c:pt>
                <c:pt idx="39">
                  <c:v>-0.21</c:v>
                </c:pt>
                <c:pt idx="40">
                  <c:v>0.185</c:v>
                </c:pt>
                <c:pt idx="41">
                  <c:v>-0.14299999999999999</c:v>
                </c:pt>
                <c:pt idx="42">
                  <c:v>6.0999999999999999E-2</c:v>
                </c:pt>
                <c:pt idx="43">
                  <c:v>-0.21199999999999999</c:v>
                </c:pt>
                <c:pt idx="44">
                  <c:v>0.14199999999999999</c:v>
                </c:pt>
                <c:pt idx="45">
                  <c:v>-0.13500000000000001</c:v>
                </c:pt>
                <c:pt idx="46">
                  <c:v>3.1E-2</c:v>
                </c:pt>
                <c:pt idx="47">
                  <c:v>-0.127</c:v>
                </c:pt>
                <c:pt idx="48">
                  <c:v>4.3999999999999997E-2</c:v>
                </c:pt>
                <c:pt idx="49">
                  <c:v>-0.19900000000000001</c:v>
                </c:pt>
                <c:pt idx="50">
                  <c:v>0.03</c:v>
                </c:pt>
                <c:pt idx="51">
                  <c:v>-7.6999999999999999E-2</c:v>
                </c:pt>
                <c:pt idx="52">
                  <c:v>-5.0000000000000001E-3</c:v>
                </c:pt>
                <c:pt idx="53">
                  <c:v>-0.253</c:v>
                </c:pt>
                <c:pt idx="54">
                  <c:v>0.34399999999999997</c:v>
                </c:pt>
                <c:pt idx="55">
                  <c:v>0.20100000000000001</c:v>
                </c:pt>
                <c:pt idx="56">
                  <c:v>-6.2E-2</c:v>
                </c:pt>
                <c:pt idx="57">
                  <c:v>0.27</c:v>
                </c:pt>
                <c:pt idx="58">
                  <c:v>-8.4000000000000005E-2</c:v>
                </c:pt>
                <c:pt idx="59">
                  <c:v>0.16400000000000001</c:v>
                </c:pt>
                <c:pt idx="60">
                  <c:v>-0.14399999999999999</c:v>
                </c:pt>
                <c:pt idx="61">
                  <c:v>5.1999999999999998E-2</c:v>
                </c:pt>
                <c:pt idx="62">
                  <c:v>-0.21</c:v>
                </c:pt>
                <c:pt idx="63">
                  <c:v>8.1000000000000003E-2</c:v>
                </c:pt>
                <c:pt idx="64">
                  <c:v>-0.23799999999999999</c:v>
                </c:pt>
                <c:pt idx="65">
                  <c:v>7.9000000000000001E-2</c:v>
                </c:pt>
                <c:pt idx="66">
                  <c:v>-0.252</c:v>
                </c:pt>
                <c:pt idx="67">
                  <c:v>9.5000000000000001E-2</c:v>
                </c:pt>
                <c:pt idx="68">
                  <c:v>-0.372</c:v>
                </c:pt>
                <c:pt idx="69">
                  <c:v>0.152</c:v>
                </c:pt>
                <c:pt idx="70">
                  <c:v>-0.18099999999999999</c:v>
                </c:pt>
                <c:pt idx="71">
                  <c:v>0.113</c:v>
                </c:pt>
                <c:pt idx="72">
                  <c:v>-0.26600000000000001</c:v>
                </c:pt>
                <c:pt idx="73">
                  <c:v>0.14399999999999999</c:v>
                </c:pt>
                <c:pt idx="74">
                  <c:v>-0.28399999999999997</c:v>
                </c:pt>
                <c:pt idx="75">
                  <c:v>0.13200000000000001</c:v>
                </c:pt>
                <c:pt idx="76">
                  <c:v>-0.14399999999999999</c:v>
                </c:pt>
                <c:pt idx="77">
                  <c:v>3.6999999999999998E-2</c:v>
                </c:pt>
                <c:pt idx="78">
                  <c:v>-0.29299999999999998</c:v>
                </c:pt>
                <c:pt idx="79">
                  <c:v>0.154</c:v>
                </c:pt>
                <c:pt idx="80">
                  <c:v>-0.122</c:v>
                </c:pt>
                <c:pt idx="81">
                  <c:v>9.7000000000000003E-2</c:v>
                </c:pt>
                <c:pt idx="82">
                  <c:v>-0.161</c:v>
                </c:pt>
                <c:pt idx="83">
                  <c:v>3.5999999999999997E-2</c:v>
                </c:pt>
                <c:pt idx="84">
                  <c:v>-0.20799999999999999</c:v>
                </c:pt>
                <c:pt idx="85">
                  <c:v>0.185</c:v>
                </c:pt>
                <c:pt idx="86">
                  <c:v>-0.13100000000000001</c:v>
                </c:pt>
                <c:pt idx="87">
                  <c:v>7.0000000000000007E-2</c:v>
                </c:pt>
                <c:pt idx="88">
                  <c:v>-0.20200000000000001</c:v>
                </c:pt>
                <c:pt idx="89">
                  <c:v>0.11700000000000001</c:v>
                </c:pt>
                <c:pt idx="90">
                  <c:v>-0.18099999999999999</c:v>
                </c:pt>
                <c:pt idx="91">
                  <c:v>0.13</c:v>
                </c:pt>
                <c:pt idx="92">
                  <c:v>-8.5000000000000006E-2</c:v>
                </c:pt>
                <c:pt idx="93">
                  <c:v>0.11</c:v>
                </c:pt>
                <c:pt idx="94">
                  <c:v>-0.19400000000000001</c:v>
                </c:pt>
                <c:pt idx="95">
                  <c:v>0.13300000000000001</c:v>
                </c:pt>
                <c:pt idx="96">
                  <c:v>-0.374</c:v>
                </c:pt>
                <c:pt idx="97">
                  <c:v>0.188</c:v>
                </c:pt>
                <c:pt idx="98">
                  <c:v>-0.23200000000000001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6C9-900C-E8ACF688FE7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('AMP1-2'!$AI$4,'AMP1-2'!$AI$4)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6C9-900C-E8ACF688FE7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('AMP1-2'!$C$1,'AMP1-2'!$C$2)</c:f>
              <c:numCache>
                <c:formatCode>m/d/yy\ h:mm;@</c:formatCode>
                <c:ptCount val="2"/>
                <c:pt idx="0">
                  <c:v>43699.776944444442</c:v>
                </c:pt>
                <c:pt idx="1">
                  <c:v>43712.345312500001</c:v>
                </c:pt>
              </c:numCache>
            </c:numRef>
          </c:xVal>
          <c:yVal>
            <c:numRef>
              <c:f>('AMP1-2'!$AI$5,'AMP1-2'!$AI$5)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6C9-900C-E8ACF688F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74784"/>
        <c:axId val="382375176"/>
      </c:scatterChart>
      <c:valAx>
        <c:axId val="38237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5176"/>
        <c:crosses val="autoZero"/>
        <c:crossBetween val="midCat"/>
      </c:valAx>
      <c:valAx>
        <c:axId val="382375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'AMP1-4'!$F$9:$F$9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E-430C-BFDA-2668104445E0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9EE-430C-BFDA-2668104445E0}"/>
              </c:ext>
            </c:extLst>
          </c:dPt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('AMP1-4'!$F$4,'AMP1-4'!$F$4)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EE-430C-BFDA-2668104445E0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9EE-430C-BFDA-2668104445E0}"/>
              </c:ext>
            </c:extLst>
          </c:dPt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('AMP1-4'!$F$5,'AMP1-4'!$F$5)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9EE-430C-BFDA-266810444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77248"/>
        <c:axId val="380977640"/>
      </c:scatterChart>
      <c:valAx>
        <c:axId val="38097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77640"/>
        <c:crosses val="autoZero"/>
        <c:crossBetween val="midCat"/>
      </c:valAx>
      <c:valAx>
        <c:axId val="3809776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7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'AMP1-4'!$G$9:$G$9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6D-4988-B955-0724A323F1D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('AMP1-4'!$G$4,'AMP1-4'!$G$4)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6D-4988-B955-0724A323F1D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('AMP1-4'!$G$5,'AMP1-4'!$G$5)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6D-4988-B955-0724A323F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78424"/>
        <c:axId val="380978816"/>
      </c:scatterChart>
      <c:valAx>
        <c:axId val="380978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78816"/>
        <c:crosses val="autoZero"/>
        <c:crossBetween val="midCat"/>
      </c:valAx>
      <c:valAx>
        <c:axId val="3809788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78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'AMP1-4'!$H$9:$H$9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4-41F9-BCEC-03F65C10737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('AMP1-4'!$H$4,'AMP1-4'!$H$4)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44-41F9-BCEC-03F65C10737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('AMP1-4'!$H$5,'AMP1-4'!$H$5)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44-41F9-BCEC-03F65C107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79600"/>
        <c:axId val="380979992"/>
      </c:scatterChart>
      <c:valAx>
        <c:axId val="3809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79992"/>
        <c:crosses val="autoZero"/>
        <c:crossBetween val="midCat"/>
      </c:valAx>
      <c:valAx>
        <c:axId val="3809799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7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'AMP1-4'!$I$9:$I$9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F-4708-A145-6F3569F5FE8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('AMP1-4'!$I$4,'AMP1-4'!$I$4)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F-4708-A145-6F3569F5FE8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('AMP1-4'!$I$5,'AMP1-4'!$I$5)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FF-4708-A145-6F3569F5F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80776"/>
        <c:axId val="380981168"/>
      </c:scatterChart>
      <c:valAx>
        <c:axId val="3809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1168"/>
        <c:crosses val="autoZero"/>
        <c:crossBetween val="midCat"/>
      </c:valAx>
      <c:valAx>
        <c:axId val="3809811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'AMP1-4'!$J$9:$J$9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E92-A7FF-9D33C0B1D25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('AMP1-4'!$J$4,'AMP1-4'!$J$4)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13-4E92-A7FF-9D33C0B1D25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('AMP1-4'!$J$5,'AMP1-4'!$J$5)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13-4E92-A7FF-9D33C0B1D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81952"/>
        <c:axId val="380982344"/>
      </c:scatterChart>
      <c:valAx>
        <c:axId val="38098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2344"/>
        <c:crosses val="autoZero"/>
        <c:crossBetween val="midCat"/>
      </c:valAx>
      <c:valAx>
        <c:axId val="3809823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'AMP1-4'!$K$9:$K$9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0-4FFF-9AF2-872069E1C30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('AMP1-4'!$K$4,'AMP1-4'!$K$4)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0-4FFF-9AF2-872069E1C30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('AMP1-4'!$K$5,'AMP1-4'!$K$5)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0-4FFF-9AF2-872069E1C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83128"/>
        <c:axId val="380983520"/>
      </c:scatterChart>
      <c:valAx>
        <c:axId val="380983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3520"/>
        <c:crosses val="autoZero"/>
        <c:crossBetween val="midCat"/>
      </c:valAx>
      <c:valAx>
        <c:axId val="380983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3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'AMP1-4'!$L$9:$L$9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4-49D4-97AB-88117067BA7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('AMP1-4'!$L$4,'AMP1-4'!$L$4)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4-49D4-97AB-88117067BA7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('AMP1-4'!$L$5,'AMP1-4'!$L$5)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14-49D4-97AB-88117067B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84304"/>
        <c:axId val="380984696"/>
      </c:scatterChart>
      <c:valAx>
        <c:axId val="38098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4696"/>
        <c:crosses val="autoZero"/>
        <c:crossBetween val="midCat"/>
      </c:valAx>
      <c:valAx>
        <c:axId val="3809846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8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'AMP1-4'!$M$9:$M$9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6-42BD-8887-A7EE75EBFEB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('AMP1-4'!$M$4,'AMP1-4'!$M$4)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6-42BD-8887-A7EE75EBFEB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('AMP1-4'!$M$5,'AMP1-4'!$M$5)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A6-42BD-8887-A7EE75EBF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19024"/>
        <c:axId val="394519416"/>
      </c:scatterChart>
      <c:valAx>
        <c:axId val="39451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19416"/>
        <c:crosses val="autoZero"/>
        <c:crossBetween val="midCat"/>
      </c:valAx>
      <c:valAx>
        <c:axId val="3945194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1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'AMP1-4'!$N$9:$N$9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07-4A13-A5A8-6E4A2B07851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('AMP1-4'!$N$4,'AMP1-4'!$N$4)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07-4A13-A5A8-6E4A2B07851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('AMP1-4'!$N$5,'AMP1-4'!$N$5)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07-4A13-A5A8-6E4A2B078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20200"/>
        <c:axId val="394520592"/>
      </c:scatterChart>
      <c:valAx>
        <c:axId val="39452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0592"/>
        <c:crosses val="autoZero"/>
        <c:crossBetween val="midCat"/>
      </c:valAx>
      <c:valAx>
        <c:axId val="394520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'AMP1-4'!$O$9:$O$9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82-46BA-8329-3849E0FCC70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('AMP1-4'!$O$4,'AMP1-4'!$O$4)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82-46BA-8329-3849E0FCC70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('AMP1-4'!$O$5,'AMP1-4'!$O$5)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82-46BA-8329-3849E0FCC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21376"/>
        <c:axId val="394521768"/>
      </c:scatterChart>
      <c:valAx>
        <c:axId val="39452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1768"/>
        <c:crosses val="autoZero"/>
        <c:crossBetween val="midCat"/>
      </c:valAx>
      <c:valAx>
        <c:axId val="3945217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'AMP1-4'!$R$9:$R$9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31-4285-91D6-D5415641581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('AMP1-4'!$R$4,'AMP1-4'!$R$4)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31-4285-91D6-D5415641581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('AMP1-4'!$R$5,'AMP1-4'!$R$5)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31-4285-91D6-D54156415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22552"/>
        <c:axId val="394522944"/>
      </c:scatterChart>
      <c:valAx>
        <c:axId val="394522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2944"/>
        <c:crosses val="autoZero"/>
        <c:crossBetween val="midCat"/>
      </c:valAx>
      <c:valAx>
        <c:axId val="3945229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2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'AMP1-4'!$S$9:$S$9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31-4A10-ACA5-A7185127EB2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('AMP1-4'!$S$4,'AMP1-4'!$S$4)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31-4A10-ACA5-A7185127EB2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('AMP1-4'!$S$5,'AMP1-4'!$S$5)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31-4A10-ACA5-A7185127E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23728"/>
        <c:axId val="394524120"/>
      </c:scatterChart>
      <c:valAx>
        <c:axId val="39452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4120"/>
        <c:crosses val="autoZero"/>
        <c:crossBetween val="midCat"/>
      </c:valAx>
      <c:valAx>
        <c:axId val="394524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'AMP1-4'!$T$9:$T$9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8E-4510-88DC-EFEEC8D0148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('AMP1-4'!$T$4,'AMP1-4'!$T$4)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8E-4510-88DC-EFEEC8D0148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('AMP1-4'!$T$5,'AMP1-4'!$T$5)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8E-4510-88DC-EFEEC8D01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24904"/>
        <c:axId val="394525296"/>
      </c:scatterChart>
      <c:valAx>
        <c:axId val="39452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5296"/>
        <c:crosses val="autoZero"/>
        <c:crossBetween val="midCat"/>
      </c:valAx>
      <c:valAx>
        <c:axId val="394525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'AMP1-4'!$U$9:$U$9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0-481D-B27B-1545CE53F2D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('AMP1-4'!$U$4,'AMP1-4'!$U$4)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90-481D-B27B-1545CE53F2D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('AMP1-4'!$U$5,'AMP1-4'!$U$5)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90-481D-B27B-1545CE53F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26080"/>
        <c:axId val="394982056"/>
      </c:scatterChart>
      <c:valAx>
        <c:axId val="39452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2056"/>
        <c:crosses val="autoZero"/>
        <c:crossBetween val="midCat"/>
      </c:valAx>
      <c:valAx>
        <c:axId val="3949820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2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'AMP1-4'!$AB$9:$AB$9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4-4BB1-AB42-C8F4DC1D09D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('AMP1-4'!$AB$4,'AMP1-4'!$AB$4)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A4-4BB1-AB42-C8F4DC1D09D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('AMP1-4'!$AB$5,'AMP1-4'!$AB$5)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A4-4BB1-AB42-C8F4DC1D0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82840"/>
        <c:axId val="394983232"/>
      </c:scatterChart>
      <c:valAx>
        <c:axId val="394982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3232"/>
        <c:crosses val="autoZero"/>
        <c:crossBetween val="midCat"/>
      </c:valAx>
      <c:valAx>
        <c:axId val="3949832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'AMP1-4'!$AC$9:$AC$9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B-4388-BD48-4040998B07D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('AMP1-4'!$AC$4,'AMP1-4'!$AC$4)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B-4388-BD48-4040998B07D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('AMP1-4'!$AC$5,'AMP1-4'!$AC$5)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B-4388-BD48-4040998B0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84016"/>
        <c:axId val="394984408"/>
      </c:scatterChart>
      <c:valAx>
        <c:axId val="39498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4408"/>
        <c:crosses val="autoZero"/>
        <c:crossBetween val="midCat"/>
      </c:valAx>
      <c:valAx>
        <c:axId val="3949844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'AMP1-4'!$AD$9:$AD$9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9B-4C74-8C27-3D54DEAA105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('AMP1-4'!$AD$4,'AMP1-4'!$AD$4)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9B-4C74-8C27-3D54DEAA105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('AMP1-4'!$AD$5,'AMP1-4'!$AD$5)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9B-4C74-8C27-3D54DEAA1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85192"/>
        <c:axId val="394985584"/>
      </c:scatterChart>
      <c:valAx>
        <c:axId val="39498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5584"/>
        <c:crosses val="autoZero"/>
        <c:crossBetween val="midCat"/>
      </c:valAx>
      <c:valAx>
        <c:axId val="3949855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'AMP1-4'!$AE$9:$AE$9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1C-4764-8150-706ACCE4B96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('AMP1-4'!$AE$4,'AMP1-4'!$AE$4)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1C-4764-8150-706ACCE4B96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('AMP1-4'!$AE$5,'AMP1-4'!$AE$5)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1C-4764-8150-706ACCE4B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86760"/>
        <c:axId val="394987152"/>
      </c:scatterChart>
      <c:valAx>
        <c:axId val="394986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7152"/>
        <c:crosses val="autoZero"/>
        <c:crossBetween val="midCat"/>
      </c:valAx>
      <c:valAx>
        <c:axId val="3949871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'AMP1-4'!$AF$9:$AF$9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3-4CB7-9793-80FF4F771E7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('AMP1-4'!$AF$4,'AMP1-4'!$AF$4)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3-4CB7-9793-80FF4F771E7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('AMP1-4'!$AF$5,'AMP1-4'!$AF$5)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E3-4CB7-9793-80FF4F771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87544"/>
        <c:axId val="394987936"/>
      </c:scatterChart>
      <c:valAx>
        <c:axId val="39498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7936"/>
        <c:crosses val="autoZero"/>
        <c:crossBetween val="midCat"/>
      </c:valAx>
      <c:valAx>
        <c:axId val="3949879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7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'AMP1-4'!$AG$9:$AG$9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8-4883-A810-C5C4374343B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('AMP1-4'!$AG$4,'AMP1-4'!$AG$4)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B8-4883-A810-C5C4374343B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('AMP1-4'!$AG$5,'AMP1-4'!$AG$5)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B8-4883-A810-C5C437434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88720"/>
        <c:axId val="394989112"/>
      </c:scatterChart>
      <c:valAx>
        <c:axId val="39498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9112"/>
        <c:crosses val="autoZero"/>
        <c:crossBetween val="midCat"/>
      </c:valAx>
      <c:valAx>
        <c:axId val="3949891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8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'AMP1-4'!$AH$9:$AH$9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02-415A-984D-03864EFB749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('AMP1-4'!$AH$4,'AMP1-4'!$AH$4)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02-415A-984D-03864EFB749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('AMP1-4'!$AH$5,'AMP1-4'!$AH$5)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02-415A-984D-03864EFB7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31184"/>
        <c:axId val="395331576"/>
      </c:scatterChart>
      <c:valAx>
        <c:axId val="39533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1576"/>
        <c:crosses val="autoZero"/>
        <c:crossBetween val="midCat"/>
      </c:valAx>
      <c:valAx>
        <c:axId val="3953315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'AMP1-4'!$AI$8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'AMP1-4'!$C$9:$C$9</c:f>
              <c:numCache>
                <c:formatCode>m/d/yy\ h:mm;@</c:formatCode>
                <c:ptCount val="1"/>
              </c:numCache>
            </c:numRef>
          </c:xVal>
          <c:yVal>
            <c:numRef>
              <c:f>'AMP1-4'!$AI$9:$AI$9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A5-4628-9038-EC0BF7BC24C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('AMP1-4'!$AI$4,'AMP1-4'!$AI$4)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A5-4628-9038-EC0BF7BC24C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('AMP1-4'!$C$1,'AMP1-4'!$C$2)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('AMP1-4'!$AI$5,'AMP1-4'!$AI$5)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A5-4628-9038-EC0BF7BC2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32360"/>
        <c:axId val="395332752"/>
      </c:scatterChart>
      <c:valAx>
        <c:axId val="39533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2752"/>
        <c:crosses val="autoZero"/>
        <c:crossBetween val="midCat"/>
      </c:valAx>
      <c:valAx>
        <c:axId val="3953327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'AMP1-8'!$F$9:$F$90</c:f>
              <c:numCache>
                <c:formatCode>General</c:formatCode>
                <c:ptCount val="82"/>
                <c:pt idx="0">
                  <c:v>41.354999999999997</c:v>
                </c:pt>
                <c:pt idx="2">
                  <c:v>41.39</c:v>
                </c:pt>
                <c:pt idx="4">
                  <c:v>41.335000000000001</c:v>
                </c:pt>
                <c:pt idx="6">
                  <c:v>41.350999999999999</c:v>
                </c:pt>
                <c:pt idx="8">
                  <c:v>41.304000000000002</c:v>
                </c:pt>
                <c:pt idx="10">
                  <c:v>41.387999999999998</c:v>
                </c:pt>
                <c:pt idx="12">
                  <c:v>41.307000000000002</c:v>
                </c:pt>
                <c:pt idx="14">
                  <c:v>41.387</c:v>
                </c:pt>
                <c:pt idx="16">
                  <c:v>41.44</c:v>
                </c:pt>
                <c:pt idx="18">
                  <c:v>41.210999999999999</c:v>
                </c:pt>
                <c:pt idx="20">
                  <c:v>41.390999999999998</c:v>
                </c:pt>
                <c:pt idx="22">
                  <c:v>41.353000000000002</c:v>
                </c:pt>
                <c:pt idx="24">
                  <c:v>41.277000000000001</c:v>
                </c:pt>
                <c:pt idx="26">
                  <c:v>41.180999999999997</c:v>
                </c:pt>
                <c:pt idx="28">
                  <c:v>41.091999999999999</c:v>
                </c:pt>
                <c:pt idx="30">
                  <c:v>41.32</c:v>
                </c:pt>
                <c:pt idx="32">
                  <c:v>41.225999999999999</c:v>
                </c:pt>
                <c:pt idx="34">
                  <c:v>41.264000000000003</c:v>
                </c:pt>
                <c:pt idx="36">
                  <c:v>41.08</c:v>
                </c:pt>
                <c:pt idx="38">
                  <c:v>41.366</c:v>
                </c:pt>
                <c:pt idx="40">
                  <c:v>41.28</c:v>
                </c:pt>
                <c:pt idx="42">
                  <c:v>41.542999999999999</c:v>
                </c:pt>
                <c:pt idx="44">
                  <c:v>41.201000000000001</c:v>
                </c:pt>
                <c:pt idx="46">
                  <c:v>41.075000000000003</c:v>
                </c:pt>
                <c:pt idx="48">
                  <c:v>41.225999999999999</c:v>
                </c:pt>
                <c:pt idx="50">
                  <c:v>41.533999999999999</c:v>
                </c:pt>
                <c:pt idx="52">
                  <c:v>41.496000000000002</c:v>
                </c:pt>
                <c:pt idx="54">
                  <c:v>41.463999999999999</c:v>
                </c:pt>
                <c:pt idx="56">
                  <c:v>41.325000000000003</c:v>
                </c:pt>
                <c:pt idx="58">
                  <c:v>41.274999999999999</c:v>
                </c:pt>
                <c:pt idx="60">
                  <c:v>41.277000000000001</c:v>
                </c:pt>
                <c:pt idx="62">
                  <c:v>41.362000000000002</c:v>
                </c:pt>
                <c:pt idx="64">
                  <c:v>41.204000000000001</c:v>
                </c:pt>
                <c:pt idx="66">
                  <c:v>41.258000000000003</c:v>
                </c:pt>
                <c:pt idx="68">
                  <c:v>41.408000000000001</c:v>
                </c:pt>
                <c:pt idx="70">
                  <c:v>41.289000000000001</c:v>
                </c:pt>
                <c:pt idx="72">
                  <c:v>41.372999999999998</c:v>
                </c:pt>
                <c:pt idx="74">
                  <c:v>41.378</c:v>
                </c:pt>
                <c:pt idx="76">
                  <c:v>41.524000000000001</c:v>
                </c:pt>
                <c:pt idx="78">
                  <c:v>41.335000000000001</c:v>
                </c:pt>
                <c:pt idx="80">
                  <c:v>41.357999999999997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0-4EE3-9BA0-C7EF4E0997E6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0A0-4EE3-9BA0-C7EF4E0997E6}"/>
              </c:ext>
            </c:extLst>
          </c:dPt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('AMP1-8'!$F$4,'AMP1-8'!$F$4)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0-4EE3-9BA0-C7EF4E0997E6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A0-4EE3-9BA0-C7EF4E0997E6}"/>
              </c:ext>
            </c:extLst>
          </c:dPt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('AMP1-8'!$F$5,'AMP1-8'!$F$5)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A0-4EE3-9BA0-C7EF4E099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34320"/>
        <c:axId val="395334712"/>
      </c:scatterChart>
      <c:valAx>
        <c:axId val="39533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4712"/>
        <c:crosses val="autoZero"/>
        <c:crossBetween val="midCat"/>
      </c:valAx>
      <c:valAx>
        <c:axId val="3953347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'AMP1-8'!$G$9:$G$90</c:f>
              <c:numCache>
                <c:formatCode>General</c:formatCode>
                <c:ptCount val="82"/>
                <c:pt idx="0">
                  <c:v>41.417999999999999</c:v>
                </c:pt>
                <c:pt idx="2">
                  <c:v>41.722000000000001</c:v>
                </c:pt>
                <c:pt idx="4">
                  <c:v>41.518999999999998</c:v>
                </c:pt>
                <c:pt idx="6">
                  <c:v>41.354999999999997</c:v>
                </c:pt>
                <c:pt idx="8">
                  <c:v>41.523000000000003</c:v>
                </c:pt>
                <c:pt idx="10">
                  <c:v>41.296999999999997</c:v>
                </c:pt>
                <c:pt idx="12">
                  <c:v>41.429000000000002</c:v>
                </c:pt>
                <c:pt idx="14">
                  <c:v>41.481000000000002</c:v>
                </c:pt>
                <c:pt idx="16">
                  <c:v>41.441000000000003</c:v>
                </c:pt>
                <c:pt idx="18">
                  <c:v>41.076999999999998</c:v>
                </c:pt>
                <c:pt idx="20">
                  <c:v>41.255000000000003</c:v>
                </c:pt>
                <c:pt idx="22">
                  <c:v>41.689</c:v>
                </c:pt>
                <c:pt idx="24">
                  <c:v>41.332999999999998</c:v>
                </c:pt>
                <c:pt idx="26">
                  <c:v>41.173000000000002</c:v>
                </c:pt>
                <c:pt idx="28">
                  <c:v>41.048999999999999</c:v>
                </c:pt>
                <c:pt idx="30">
                  <c:v>41.506999999999998</c:v>
                </c:pt>
                <c:pt idx="32">
                  <c:v>41.24</c:v>
                </c:pt>
                <c:pt idx="34">
                  <c:v>41.146000000000001</c:v>
                </c:pt>
                <c:pt idx="36">
                  <c:v>41.161999999999999</c:v>
                </c:pt>
                <c:pt idx="38">
                  <c:v>41.154000000000003</c:v>
                </c:pt>
                <c:pt idx="40">
                  <c:v>41.054000000000002</c:v>
                </c:pt>
                <c:pt idx="42">
                  <c:v>41.323999999999998</c:v>
                </c:pt>
                <c:pt idx="44">
                  <c:v>40.851999999999997</c:v>
                </c:pt>
                <c:pt idx="46">
                  <c:v>41.052999999999997</c:v>
                </c:pt>
                <c:pt idx="48">
                  <c:v>41.164999999999999</c:v>
                </c:pt>
                <c:pt idx="50">
                  <c:v>41.537999999999997</c:v>
                </c:pt>
                <c:pt idx="52">
                  <c:v>41.65</c:v>
                </c:pt>
                <c:pt idx="54">
                  <c:v>41.531999999999996</c:v>
                </c:pt>
                <c:pt idx="56">
                  <c:v>41.317999999999998</c:v>
                </c:pt>
                <c:pt idx="58">
                  <c:v>41.31</c:v>
                </c:pt>
                <c:pt idx="60">
                  <c:v>41.3</c:v>
                </c:pt>
                <c:pt idx="62">
                  <c:v>41.552999999999997</c:v>
                </c:pt>
                <c:pt idx="64">
                  <c:v>41.246000000000002</c:v>
                </c:pt>
                <c:pt idx="66">
                  <c:v>41.104999999999997</c:v>
                </c:pt>
                <c:pt idx="68">
                  <c:v>41.341999999999999</c:v>
                </c:pt>
                <c:pt idx="70">
                  <c:v>41.201999999999998</c:v>
                </c:pt>
                <c:pt idx="72">
                  <c:v>41.283000000000001</c:v>
                </c:pt>
                <c:pt idx="74">
                  <c:v>41.328000000000003</c:v>
                </c:pt>
                <c:pt idx="76">
                  <c:v>41.597999999999999</c:v>
                </c:pt>
                <c:pt idx="78">
                  <c:v>41.372</c:v>
                </c:pt>
                <c:pt idx="80">
                  <c:v>41.319000000000003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8A-4906-8A46-0C2DBA36F9C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('AMP1-8'!$G$4,'AMP1-8'!$G$4)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8A-4906-8A46-0C2DBA36F9C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('AMP1-8'!$G$5,'AMP1-8'!$G$5)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8A-4906-8A46-0C2DBA36F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35496"/>
        <c:axId val="395335888"/>
      </c:scatterChart>
      <c:valAx>
        <c:axId val="39533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5888"/>
        <c:crosses val="autoZero"/>
        <c:crossBetween val="midCat"/>
      </c:valAx>
      <c:valAx>
        <c:axId val="3953358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'AMP1-8'!$H$9:$H$90</c:f>
              <c:numCache>
                <c:formatCode>General</c:formatCode>
                <c:ptCount val="82"/>
                <c:pt idx="0">
                  <c:v>155.63900000000001</c:v>
                </c:pt>
                <c:pt idx="1">
                  <c:v>155.70500000000001</c:v>
                </c:pt>
                <c:pt idx="2">
                  <c:v>155.80600000000001</c:v>
                </c:pt>
                <c:pt idx="3">
                  <c:v>155.66399999999999</c:v>
                </c:pt>
                <c:pt idx="4">
                  <c:v>155.73699999999999</c:v>
                </c:pt>
                <c:pt idx="5">
                  <c:v>155.66900000000001</c:v>
                </c:pt>
                <c:pt idx="6">
                  <c:v>155.815</c:v>
                </c:pt>
                <c:pt idx="7">
                  <c:v>155.702</c:v>
                </c:pt>
                <c:pt idx="8">
                  <c:v>155.77500000000001</c:v>
                </c:pt>
                <c:pt idx="9">
                  <c:v>155.74100000000001</c:v>
                </c:pt>
                <c:pt idx="10">
                  <c:v>155.78800000000001</c:v>
                </c:pt>
                <c:pt idx="11">
                  <c:v>155.68899999999999</c:v>
                </c:pt>
                <c:pt idx="12">
                  <c:v>155.768</c:v>
                </c:pt>
                <c:pt idx="13">
                  <c:v>155.71600000000001</c:v>
                </c:pt>
                <c:pt idx="14">
                  <c:v>155.875</c:v>
                </c:pt>
                <c:pt idx="15">
                  <c:v>155.768</c:v>
                </c:pt>
                <c:pt idx="16">
                  <c:v>155.773</c:v>
                </c:pt>
                <c:pt idx="17">
                  <c:v>155.72200000000001</c:v>
                </c:pt>
                <c:pt idx="18">
                  <c:v>155.82400000000001</c:v>
                </c:pt>
                <c:pt idx="19">
                  <c:v>155.71299999999999</c:v>
                </c:pt>
                <c:pt idx="20">
                  <c:v>155.816</c:v>
                </c:pt>
                <c:pt idx="21">
                  <c:v>155.75399999999999</c:v>
                </c:pt>
                <c:pt idx="22">
                  <c:v>155.846</c:v>
                </c:pt>
                <c:pt idx="23">
                  <c:v>155.74799999999999</c:v>
                </c:pt>
                <c:pt idx="24">
                  <c:v>155.88900000000001</c:v>
                </c:pt>
                <c:pt idx="25">
                  <c:v>155.75700000000001</c:v>
                </c:pt>
                <c:pt idx="26">
                  <c:v>155.86500000000001</c:v>
                </c:pt>
                <c:pt idx="27">
                  <c:v>155.76900000000001</c:v>
                </c:pt>
                <c:pt idx="28">
                  <c:v>155.886</c:v>
                </c:pt>
                <c:pt idx="29">
                  <c:v>155.79900000000001</c:v>
                </c:pt>
                <c:pt idx="30">
                  <c:v>155.874</c:v>
                </c:pt>
                <c:pt idx="31">
                  <c:v>155.80600000000001</c:v>
                </c:pt>
                <c:pt idx="32">
                  <c:v>155.88900000000001</c:v>
                </c:pt>
                <c:pt idx="33">
                  <c:v>155.899</c:v>
                </c:pt>
                <c:pt idx="34">
                  <c:v>155.89599999999999</c:v>
                </c:pt>
                <c:pt idx="35">
                  <c:v>155.82</c:v>
                </c:pt>
                <c:pt idx="36">
                  <c:v>155.89500000000001</c:v>
                </c:pt>
                <c:pt idx="37">
                  <c:v>155.76499999999999</c:v>
                </c:pt>
                <c:pt idx="38">
                  <c:v>155.97800000000001</c:v>
                </c:pt>
                <c:pt idx="39">
                  <c:v>155.87</c:v>
                </c:pt>
                <c:pt idx="40">
                  <c:v>155.97399999999999</c:v>
                </c:pt>
                <c:pt idx="41">
                  <c:v>155.90600000000001</c:v>
                </c:pt>
                <c:pt idx="42">
                  <c:v>155.88499999999999</c:v>
                </c:pt>
                <c:pt idx="43">
                  <c:v>155.91200000000001</c:v>
                </c:pt>
                <c:pt idx="44">
                  <c:v>156.029</c:v>
                </c:pt>
                <c:pt idx="45">
                  <c:v>155.87200000000001</c:v>
                </c:pt>
                <c:pt idx="46">
                  <c:v>156.05099999999999</c:v>
                </c:pt>
                <c:pt idx="47">
                  <c:v>156.00899999999999</c:v>
                </c:pt>
                <c:pt idx="48">
                  <c:v>155.70500000000001</c:v>
                </c:pt>
                <c:pt idx="49">
                  <c:v>155.636</c:v>
                </c:pt>
                <c:pt idx="50">
                  <c:v>155.60599999999999</c:v>
                </c:pt>
                <c:pt idx="51">
                  <c:v>155.57</c:v>
                </c:pt>
                <c:pt idx="52">
                  <c:v>155.68700000000001</c:v>
                </c:pt>
                <c:pt idx="53">
                  <c:v>155.64500000000001</c:v>
                </c:pt>
                <c:pt idx="54">
                  <c:v>155.68199999999999</c:v>
                </c:pt>
                <c:pt idx="55">
                  <c:v>155.702</c:v>
                </c:pt>
                <c:pt idx="56">
                  <c:v>155.755</c:v>
                </c:pt>
                <c:pt idx="57">
                  <c:v>155.727</c:v>
                </c:pt>
                <c:pt idx="58">
                  <c:v>155.77799999999999</c:v>
                </c:pt>
                <c:pt idx="59">
                  <c:v>155.68700000000001</c:v>
                </c:pt>
                <c:pt idx="60">
                  <c:v>155.71600000000001</c:v>
                </c:pt>
                <c:pt idx="61">
                  <c:v>155.71899999999999</c:v>
                </c:pt>
                <c:pt idx="62">
                  <c:v>155.82599999999999</c:v>
                </c:pt>
                <c:pt idx="63">
                  <c:v>155.721</c:v>
                </c:pt>
                <c:pt idx="64">
                  <c:v>155.91300000000001</c:v>
                </c:pt>
                <c:pt idx="65">
                  <c:v>155.89599999999999</c:v>
                </c:pt>
                <c:pt idx="66">
                  <c:v>155.88800000000001</c:v>
                </c:pt>
                <c:pt idx="67">
                  <c:v>155.79400000000001</c:v>
                </c:pt>
                <c:pt idx="68">
                  <c:v>155.697</c:v>
                </c:pt>
                <c:pt idx="69">
                  <c:v>155.678</c:v>
                </c:pt>
                <c:pt idx="70">
                  <c:v>155.76599999999999</c:v>
                </c:pt>
                <c:pt idx="71">
                  <c:v>155.73599999999999</c:v>
                </c:pt>
                <c:pt idx="72">
                  <c:v>155.88499999999999</c:v>
                </c:pt>
                <c:pt idx="73">
                  <c:v>155.762</c:v>
                </c:pt>
                <c:pt idx="74">
                  <c:v>155.834</c:v>
                </c:pt>
                <c:pt idx="75">
                  <c:v>155.78800000000001</c:v>
                </c:pt>
                <c:pt idx="76">
                  <c:v>155.69499999999999</c:v>
                </c:pt>
                <c:pt idx="77">
                  <c:v>155.535</c:v>
                </c:pt>
                <c:pt idx="78">
                  <c:v>155.745</c:v>
                </c:pt>
                <c:pt idx="79">
                  <c:v>155.70400000000001</c:v>
                </c:pt>
                <c:pt idx="80">
                  <c:v>155.68899999999999</c:v>
                </c:pt>
                <c:pt idx="81">
                  <c:v>155.65199999999999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7-40F1-9203-2B64697CF9B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('AMP1-8'!$H$4,'AMP1-8'!$H$4)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7-40F1-9203-2B64697CF9B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('AMP1-8'!$H$5,'AMP1-8'!$H$5)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27-40F1-9203-2B64697CF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36672"/>
        <c:axId val="395337064"/>
      </c:scatterChart>
      <c:valAx>
        <c:axId val="39533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7064"/>
        <c:crosses val="autoZero"/>
        <c:crossBetween val="midCat"/>
      </c:valAx>
      <c:valAx>
        <c:axId val="3953370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'AMP1-8'!$I$9:$I$90</c:f>
              <c:numCache>
                <c:formatCode>General</c:formatCode>
                <c:ptCount val="82"/>
                <c:pt idx="0">
                  <c:v>155.572</c:v>
                </c:pt>
                <c:pt idx="1">
                  <c:v>155.64599999999999</c:v>
                </c:pt>
                <c:pt idx="2">
                  <c:v>155.70099999999999</c:v>
                </c:pt>
                <c:pt idx="3">
                  <c:v>155.67599999999999</c:v>
                </c:pt>
                <c:pt idx="4">
                  <c:v>155.65100000000001</c:v>
                </c:pt>
                <c:pt idx="5">
                  <c:v>155.66999999999999</c:v>
                </c:pt>
                <c:pt idx="6">
                  <c:v>155.75800000000001</c:v>
                </c:pt>
                <c:pt idx="7">
                  <c:v>155.792</c:v>
                </c:pt>
                <c:pt idx="8">
                  <c:v>155.68</c:v>
                </c:pt>
                <c:pt idx="9">
                  <c:v>155.76</c:v>
                </c:pt>
                <c:pt idx="10">
                  <c:v>155.73400000000001</c:v>
                </c:pt>
                <c:pt idx="11">
                  <c:v>155.71600000000001</c:v>
                </c:pt>
                <c:pt idx="12">
                  <c:v>155.708</c:v>
                </c:pt>
                <c:pt idx="13">
                  <c:v>155.76300000000001</c:v>
                </c:pt>
                <c:pt idx="14">
                  <c:v>155.78399999999999</c:v>
                </c:pt>
                <c:pt idx="15">
                  <c:v>155.75200000000001</c:v>
                </c:pt>
                <c:pt idx="16">
                  <c:v>155.721</c:v>
                </c:pt>
                <c:pt idx="17">
                  <c:v>155.71</c:v>
                </c:pt>
                <c:pt idx="18">
                  <c:v>155.774</c:v>
                </c:pt>
                <c:pt idx="19">
                  <c:v>155.70500000000001</c:v>
                </c:pt>
                <c:pt idx="20">
                  <c:v>155.77699999999999</c:v>
                </c:pt>
                <c:pt idx="21">
                  <c:v>155.78</c:v>
                </c:pt>
                <c:pt idx="22">
                  <c:v>155.83199999999999</c:v>
                </c:pt>
                <c:pt idx="23">
                  <c:v>155.733</c:v>
                </c:pt>
                <c:pt idx="24">
                  <c:v>155.86000000000001</c:v>
                </c:pt>
                <c:pt idx="25">
                  <c:v>155.75800000000001</c:v>
                </c:pt>
                <c:pt idx="26">
                  <c:v>155.809</c:v>
                </c:pt>
                <c:pt idx="27">
                  <c:v>155.74700000000001</c:v>
                </c:pt>
                <c:pt idx="28">
                  <c:v>155.84800000000001</c:v>
                </c:pt>
                <c:pt idx="29">
                  <c:v>155.779</c:v>
                </c:pt>
                <c:pt idx="30">
                  <c:v>155.85499999999999</c:v>
                </c:pt>
                <c:pt idx="31">
                  <c:v>155.81299999999999</c:v>
                </c:pt>
                <c:pt idx="32">
                  <c:v>155.886</c:v>
                </c:pt>
                <c:pt idx="33">
                  <c:v>155.833</c:v>
                </c:pt>
                <c:pt idx="34">
                  <c:v>155.886</c:v>
                </c:pt>
                <c:pt idx="35">
                  <c:v>155.78899999999999</c:v>
                </c:pt>
                <c:pt idx="36">
                  <c:v>155.946</c:v>
                </c:pt>
                <c:pt idx="37">
                  <c:v>155.75899999999999</c:v>
                </c:pt>
                <c:pt idx="38">
                  <c:v>155.953</c:v>
                </c:pt>
                <c:pt idx="39">
                  <c:v>155.803</c:v>
                </c:pt>
                <c:pt idx="40">
                  <c:v>155.93299999999999</c:v>
                </c:pt>
                <c:pt idx="41">
                  <c:v>155.928</c:v>
                </c:pt>
                <c:pt idx="42">
                  <c:v>155.88399999999999</c:v>
                </c:pt>
                <c:pt idx="43">
                  <c:v>155.845</c:v>
                </c:pt>
                <c:pt idx="44">
                  <c:v>155.988</c:v>
                </c:pt>
                <c:pt idx="45">
                  <c:v>155.82499999999999</c:v>
                </c:pt>
                <c:pt idx="46">
                  <c:v>156.07599999999999</c:v>
                </c:pt>
                <c:pt idx="47">
                  <c:v>155.947</c:v>
                </c:pt>
                <c:pt idx="48">
                  <c:v>155.66</c:v>
                </c:pt>
                <c:pt idx="49">
                  <c:v>155.541</c:v>
                </c:pt>
                <c:pt idx="50">
                  <c:v>155.61500000000001</c:v>
                </c:pt>
                <c:pt idx="51">
                  <c:v>155.511</c:v>
                </c:pt>
                <c:pt idx="52">
                  <c:v>155.684</c:v>
                </c:pt>
                <c:pt idx="53">
                  <c:v>155.58099999999999</c:v>
                </c:pt>
                <c:pt idx="54">
                  <c:v>155.733</c:v>
                </c:pt>
                <c:pt idx="55">
                  <c:v>155.673</c:v>
                </c:pt>
                <c:pt idx="56">
                  <c:v>155.798</c:v>
                </c:pt>
                <c:pt idx="57">
                  <c:v>155.666</c:v>
                </c:pt>
                <c:pt idx="58">
                  <c:v>155.804</c:v>
                </c:pt>
                <c:pt idx="59">
                  <c:v>155.607</c:v>
                </c:pt>
                <c:pt idx="60">
                  <c:v>155.738</c:v>
                </c:pt>
                <c:pt idx="61">
                  <c:v>155.69200000000001</c:v>
                </c:pt>
                <c:pt idx="62">
                  <c:v>155.857</c:v>
                </c:pt>
                <c:pt idx="63">
                  <c:v>155.709</c:v>
                </c:pt>
                <c:pt idx="64">
                  <c:v>155.90899999999999</c:v>
                </c:pt>
                <c:pt idx="65">
                  <c:v>155.82599999999999</c:v>
                </c:pt>
                <c:pt idx="66">
                  <c:v>155.93299999999999</c:v>
                </c:pt>
                <c:pt idx="67">
                  <c:v>155.76300000000001</c:v>
                </c:pt>
                <c:pt idx="68">
                  <c:v>155.75200000000001</c:v>
                </c:pt>
                <c:pt idx="69">
                  <c:v>155.67699999999999</c:v>
                </c:pt>
                <c:pt idx="70">
                  <c:v>155.81299999999999</c:v>
                </c:pt>
                <c:pt idx="71">
                  <c:v>155.614</c:v>
                </c:pt>
                <c:pt idx="72">
                  <c:v>155.90899999999999</c:v>
                </c:pt>
                <c:pt idx="73">
                  <c:v>155.69200000000001</c:v>
                </c:pt>
                <c:pt idx="74">
                  <c:v>155.85300000000001</c:v>
                </c:pt>
                <c:pt idx="75">
                  <c:v>155.70400000000001</c:v>
                </c:pt>
                <c:pt idx="76">
                  <c:v>155.63800000000001</c:v>
                </c:pt>
                <c:pt idx="77">
                  <c:v>155.571</c:v>
                </c:pt>
                <c:pt idx="78">
                  <c:v>155.702</c:v>
                </c:pt>
                <c:pt idx="79">
                  <c:v>155.62100000000001</c:v>
                </c:pt>
                <c:pt idx="80">
                  <c:v>155.67500000000001</c:v>
                </c:pt>
                <c:pt idx="81">
                  <c:v>155.66900000000001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2-4796-8667-1E85630F35B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('AMP1-8'!$I$4,'AMP1-8'!$I$4)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2-4796-8667-1E85630F35B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('AMP1-8'!$I$5,'AMP1-8'!$I$5)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92-4796-8667-1E85630F3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37848"/>
        <c:axId val="395338240"/>
      </c:scatterChart>
      <c:valAx>
        <c:axId val="39533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8240"/>
        <c:crosses val="autoZero"/>
        <c:crossBetween val="midCat"/>
      </c:valAx>
      <c:valAx>
        <c:axId val="3953382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3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'AMP1-8'!$J$9:$J$90</c:f>
              <c:numCache>
                <c:formatCode>General</c:formatCode>
                <c:ptCount val="82"/>
                <c:pt idx="1">
                  <c:v>168.84800000000001</c:v>
                </c:pt>
                <c:pt idx="3">
                  <c:v>168.648</c:v>
                </c:pt>
                <c:pt idx="5">
                  <c:v>168.56700000000001</c:v>
                </c:pt>
                <c:pt idx="7">
                  <c:v>168.714</c:v>
                </c:pt>
                <c:pt idx="9">
                  <c:v>168.63300000000001</c:v>
                </c:pt>
                <c:pt idx="11">
                  <c:v>168.65299999999999</c:v>
                </c:pt>
                <c:pt idx="13">
                  <c:v>168.67099999999999</c:v>
                </c:pt>
                <c:pt idx="15">
                  <c:v>168.744</c:v>
                </c:pt>
                <c:pt idx="17">
                  <c:v>168.73500000000001</c:v>
                </c:pt>
                <c:pt idx="19">
                  <c:v>168.524</c:v>
                </c:pt>
                <c:pt idx="21">
                  <c:v>168.71199999999999</c:v>
                </c:pt>
                <c:pt idx="23">
                  <c:v>168.71100000000001</c:v>
                </c:pt>
                <c:pt idx="25">
                  <c:v>168.65199999999999</c:v>
                </c:pt>
                <c:pt idx="27">
                  <c:v>168.56399999999999</c:v>
                </c:pt>
                <c:pt idx="29">
                  <c:v>168.50800000000001</c:v>
                </c:pt>
                <c:pt idx="31">
                  <c:v>168.745</c:v>
                </c:pt>
                <c:pt idx="33">
                  <c:v>168.69200000000001</c:v>
                </c:pt>
                <c:pt idx="35">
                  <c:v>168.73500000000001</c:v>
                </c:pt>
                <c:pt idx="37">
                  <c:v>168.55799999999999</c:v>
                </c:pt>
                <c:pt idx="39">
                  <c:v>168.792</c:v>
                </c:pt>
                <c:pt idx="41">
                  <c:v>168.84299999999999</c:v>
                </c:pt>
                <c:pt idx="43">
                  <c:v>169.001</c:v>
                </c:pt>
                <c:pt idx="45">
                  <c:v>168.65600000000001</c:v>
                </c:pt>
                <c:pt idx="47">
                  <c:v>168.678</c:v>
                </c:pt>
                <c:pt idx="49">
                  <c:v>168.488</c:v>
                </c:pt>
                <c:pt idx="51">
                  <c:v>168.636</c:v>
                </c:pt>
                <c:pt idx="53">
                  <c:v>168.69900000000001</c:v>
                </c:pt>
                <c:pt idx="55">
                  <c:v>168.71199999999999</c:v>
                </c:pt>
                <c:pt idx="57">
                  <c:v>168.614</c:v>
                </c:pt>
                <c:pt idx="59">
                  <c:v>168.547</c:v>
                </c:pt>
                <c:pt idx="61">
                  <c:v>168.53399999999999</c:v>
                </c:pt>
                <c:pt idx="63">
                  <c:v>168.57900000000001</c:v>
                </c:pt>
                <c:pt idx="65">
                  <c:v>168.56299999999999</c:v>
                </c:pt>
                <c:pt idx="67">
                  <c:v>168.63800000000001</c:v>
                </c:pt>
                <c:pt idx="69">
                  <c:v>168.595</c:v>
                </c:pt>
                <c:pt idx="71">
                  <c:v>168.55699999999999</c:v>
                </c:pt>
                <c:pt idx="73">
                  <c:v>168.67599999999999</c:v>
                </c:pt>
                <c:pt idx="75">
                  <c:v>168.708</c:v>
                </c:pt>
                <c:pt idx="77">
                  <c:v>168.684</c:v>
                </c:pt>
                <c:pt idx="79">
                  <c:v>168.51599999999999</c:v>
                </c:pt>
                <c:pt idx="81">
                  <c:v>168.56700000000001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5C-424E-9266-A23A6B2B4FB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('AMP1-8'!$J$4,'AMP1-8'!$J$4)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5C-424E-9266-A23A6B2B4FB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('AMP1-8'!$J$5,'AMP1-8'!$J$5)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5C-424E-9266-A23A6B2B4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054784"/>
        <c:axId val="408055176"/>
      </c:scatterChart>
      <c:valAx>
        <c:axId val="40805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5176"/>
        <c:crosses val="autoZero"/>
        <c:crossBetween val="midCat"/>
      </c:valAx>
      <c:valAx>
        <c:axId val="408055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'AMP1-8'!$K$9:$K$90</c:f>
              <c:numCache>
                <c:formatCode>General</c:formatCode>
                <c:ptCount val="82"/>
                <c:pt idx="1">
                  <c:v>168.97200000000001</c:v>
                </c:pt>
                <c:pt idx="3">
                  <c:v>168.774</c:v>
                </c:pt>
                <c:pt idx="5">
                  <c:v>168.685</c:v>
                </c:pt>
                <c:pt idx="7">
                  <c:v>168.98099999999999</c:v>
                </c:pt>
                <c:pt idx="9">
                  <c:v>168.916</c:v>
                </c:pt>
                <c:pt idx="11">
                  <c:v>168.66200000000001</c:v>
                </c:pt>
                <c:pt idx="13">
                  <c:v>168.696</c:v>
                </c:pt>
                <c:pt idx="15">
                  <c:v>168.81700000000001</c:v>
                </c:pt>
                <c:pt idx="17">
                  <c:v>168.68299999999999</c:v>
                </c:pt>
                <c:pt idx="19">
                  <c:v>168.416</c:v>
                </c:pt>
                <c:pt idx="21">
                  <c:v>168.83199999999999</c:v>
                </c:pt>
                <c:pt idx="23">
                  <c:v>168.85</c:v>
                </c:pt>
                <c:pt idx="25">
                  <c:v>168.54300000000001</c:v>
                </c:pt>
                <c:pt idx="27">
                  <c:v>168.52600000000001</c:v>
                </c:pt>
                <c:pt idx="29">
                  <c:v>168.53200000000001</c:v>
                </c:pt>
                <c:pt idx="31">
                  <c:v>168.64</c:v>
                </c:pt>
                <c:pt idx="33">
                  <c:v>168.61199999999999</c:v>
                </c:pt>
                <c:pt idx="35">
                  <c:v>168.65799999999999</c:v>
                </c:pt>
                <c:pt idx="37">
                  <c:v>168.44800000000001</c:v>
                </c:pt>
                <c:pt idx="39">
                  <c:v>168.88800000000001</c:v>
                </c:pt>
                <c:pt idx="41">
                  <c:v>168.869</c:v>
                </c:pt>
                <c:pt idx="43">
                  <c:v>168.71199999999999</c:v>
                </c:pt>
                <c:pt idx="45">
                  <c:v>168.43799999999999</c:v>
                </c:pt>
                <c:pt idx="47">
                  <c:v>168.67099999999999</c:v>
                </c:pt>
                <c:pt idx="49">
                  <c:v>168.482</c:v>
                </c:pt>
                <c:pt idx="51">
                  <c:v>168.678</c:v>
                </c:pt>
                <c:pt idx="53">
                  <c:v>168.78700000000001</c:v>
                </c:pt>
                <c:pt idx="55">
                  <c:v>168.702</c:v>
                </c:pt>
                <c:pt idx="57">
                  <c:v>168.41300000000001</c:v>
                </c:pt>
                <c:pt idx="59">
                  <c:v>168.43100000000001</c:v>
                </c:pt>
                <c:pt idx="61">
                  <c:v>168.566</c:v>
                </c:pt>
                <c:pt idx="63">
                  <c:v>168.61500000000001</c:v>
                </c:pt>
                <c:pt idx="65">
                  <c:v>168.61699999999999</c:v>
                </c:pt>
                <c:pt idx="67">
                  <c:v>168.45699999999999</c:v>
                </c:pt>
                <c:pt idx="69">
                  <c:v>168.697</c:v>
                </c:pt>
                <c:pt idx="71">
                  <c:v>168.60300000000001</c:v>
                </c:pt>
                <c:pt idx="73">
                  <c:v>168.45099999999999</c:v>
                </c:pt>
                <c:pt idx="75">
                  <c:v>168.67</c:v>
                </c:pt>
                <c:pt idx="77">
                  <c:v>168.934</c:v>
                </c:pt>
                <c:pt idx="79">
                  <c:v>168.49299999999999</c:v>
                </c:pt>
                <c:pt idx="81">
                  <c:v>168.54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C-4B92-9BF1-B203DB4CBFC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('AMP1-8'!$K$4,'AMP1-8'!$K$4)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BC-4B92-9BF1-B203DB4CBFC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('AMP1-8'!$K$5,'AMP1-8'!$K$5)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BC-4B92-9BF1-B203DB4CB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055960"/>
        <c:axId val="408056352"/>
      </c:scatterChart>
      <c:valAx>
        <c:axId val="408055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6352"/>
        <c:crosses val="autoZero"/>
        <c:crossBetween val="midCat"/>
      </c:valAx>
      <c:valAx>
        <c:axId val="4080563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'AMP1-8'!$L$9:$L$90</c:f>
              <c:numCache>
                <c:formatCode>General</c:formatCode>
                <c:ptCount val="82"/>
                <c:pt idx="0">
                  <c:v>155.72</c:v>
                </c:pt>
                <c:pt idx="1">
                  <c:v>155.804</c:v>
                </c:pt>
                <c:pt idx="2">
                  <c:v>155.77600000000001</c:v>
                </c:pt>
                <c:pt idx="3">
                  <c:v>155.81200000000001</c:v>
                </c:pt>
                <c:pt idx="4">
                  <c:v>155.75</c:v>
                </c:pt>
                <c:pt idx="5">
                  <c:v>155.86600000000001</c:v>
                </c:pt>
                <c:pt idx="6">
                  <c:v>155.85400000000001</c:v>
                </c:pt>
                <c:pt idx="7">
                  <c:v>155.905</c:v>
                </c:pt>
                <c:pt idx="8">
                  <c:v>155.80699999999999</c:v>
                </c:pt>
                <c:pt idx="9">
                  <c:v>155.90899999999999</c:v>
                </c:pt>
                <c:pt idx="10">
                  <c:v>155.815</c:v>
                </c:pt>
                <c:pt idx="11">
                  <c:v>155.86699999999999</c:v>
                </c:pt>
                <c:pt idx="12">
                  <c:v>155.81800000000001</c:v>
                </c:pt>
                <c:pt idx="13">
                  <c:v>155.88200000000001</c:v>
                </c:pt>
                <c:pt idx="14">
                  <c:v>155.88900000000001</c:v>
                </c:pt>
                <c:pt idx="15">
                  <c:v>155.91200000000001</c:v>
                </c:pt>
                <c:pt idx="16">
                  <c:v>155.774</c:v>
                </c:pt>
                <c:pt idx="17">
                  <c:v>155.87100000000001</c:v>
                </c:pt>
                <c:pt idx="18">
                  <c:v>155.822</c:v>
                </c:pt>
                <c:pt idx="19">
                  <c:v>155.88999999999999</c:v>
                </c:pt>
                <c:pt idx="20">
                  <c:v>155.83199999999999</c:v>
                </c:pt>
                <c:pt idx="21">
                  <c:v>155.94200000000001</c:v>
                </c:pt>
                <c:pt idx="22">
                  <c:v>155.84200000000001</c:v>
                </c:pt>
                <c:pt idx="23">
                  <c:v>155.90100000000001</c:v>
                </c:pt>
                <c:pt idx="24">
                  <c:v>155.893</c:v>
                </c:pt>
                <c:pt idx="25">
                  <c:v>155.94999999999999</c:v>
                </c:pt>
                <c:pt idx="26">
                  <c:v>155.86000000000001</c:v>
                </c:pt>
                <c:pt idx="27">
                  <c:v>156.01300000000001</c:v>
                </c:pt>
                <c:pt idx="28">
                  <c:v>155.91999999999999</c:v>
                </c:pt>
                <c:pt idx="29">
                  <c:v>156.01</c:v>
                </c:pt>
                <c:pt idx="30">
                  <c:v>155.84800000000001</c:v>
                </c:pt>
                <c:pt idx="31">
                  <c:v>156.00800000000001</c:v>
                </c:pt>
                <c:pt idx="32">
                  <c:v>155.93100000000001</c:v>
                </c:pt>
                <c:pt idx="33">
                  <c:v>156.101</c:v>
                </c:pt>
                <c:pt idx="34">
                  <c:v>155.89400000000001</c:v>
                </c:pt>
                <c:pt idx="35">
                  <c:v>156.00200000000001</c:v>
                </c:pt>
                <c:pt idx="36">
                  <c:v>155.94800000000001</c:v>
                </c:pt>
                <c:pt idx="37">
                  <c:v>155.99700000000001</c:v>
                </c:pt>
                <c:pt idx="38">
                  <c:v>155.94200000000001</c:v>
                </c:pt>
                <c:pt idx="39">
                  <c:v>156.01</c:v>
                </c:pt>
                <c:pt idx="40">
                  <c:v>155.999</c:v>
                </c:pt>
                <c:pt idx="41">
                  <c:v>156.107</c:v>
                </c:pt>
                <c:pt idx="42">
                  <c:v>155.898</c:v>
                </c:pt>
                <c:pt idx="43">
                  <c:v>156.06899999999999</c:v>
                </c:pt>
                <c:pt idx="44">
                  <c:v>155.98599999999999</c:v>
                </c:pt>
                <c:pt idx="45">
                  <c:v>156.04900000000001</c:v>
                </c:pt>
                <c:pt idx="46">
                  <c:v>156.06700000000001</c:v>
                </c:pt>
                <c:pt idx="47">
                  <c:v>156.14400000000001</c:v>
                </c:pt>
                <c:pt idx="48">
                  <c:v>155.71799999999999</c:v>
                </c:pt>
                <c:pt idx="49">
                  <c:v>155.76</c:v>
                </c:pt>
                <c:pt idx="50">
                  <c:v>155.66200000000001</c:v>
                </c:pt>
                <c:pt idx="51">
                  <c:v>155.697</c:v>
                </c:pt>
                <c:pt idx="52">
                  <c:v>155.67699999999999</c:v>
                </c:pt>
                <c:pt idx="53">
                  <c:v>155.768</c:v>
                </c:pt>
                <c:pt idx="54">
                  <c:v>155.74199999999999</c:v>
                </c:pt>
                <c:pt idx="55">
                  <c:v>155.81700000000001</c:v>
                </c:pt>
                <c:pt idx="56">
                  <c:v>155.76900000000001</c:v>
                </c:pt>
                <c:pt idx="57">
                  <c:v>155.87200000000001</c:v>
                </c:pt>
                <c:pt idx="58">
                  <c:v>155.779</c:v>
                </c:pt>
                <c:pt idx="59">
                  <c:v>155.80699999999999</c:v>
                </c:pt>
                <c:pt idx="60">
                  <c:v>155.73599999999999</c:v>
                </c:pt>
                <c:pt idx="61">
                  <c:v>155.81700000000001</c:v>
                </c:pt>
                <c:pt idx="62">
                  <c:v>155.834</c:v>
                </c:pt>
                <c:pt idx="63">
                  <c:v>155.91399999999999</c:v>
                </c:pt>
                <c:pt idx="64">
                  <c:v>155.93700000000001</c:v>
                </c:pt>
                <c:pt idx="65">
                  <c:v>155.97399999999999</c:v>
                </c:pt>
                <c:pt idx="66">
                  <c:v>155.905</c:v>
                </c:pt>
                <c:pt idx="67">
                  <c:v>155.93100000000001</c:v>
                </c:pt>
                <c:pt idx="68">
                  <c:v>155.70099999999999</c:v>
                </c:pt>
                <c:pt idx="69">
                  <c:v>155.82900000000001</c:v>
                </c:pt>
                <c:pt idx="70">
                  <c:v>155.78</c:v>
                </c:pt>
                <c:pt idx="71">
                  <c:v>155.922</c:v>
                </c:pt>
                <c:pt idx="72">
                  <c:v>155.881</c:v>
                </c:pt>
                <c:pt idx="73">
                  <c:v>155.917</c:v>
                </c:pt>
                <c:pt idx="74">
                  <c:v>155.857</c:v>
                </c:pt>
                <c:pt idx="75">
                  <c:v>155.94999999999999</c:v>
                </c:pt>
                <c:pt idx="76">
                  <c:v>155.62799999999999</c:v>
                </c:pt>
                <c:pt idx="77">
                  <c:v>155.64699999999999</c:v>
                </c:pt>
                <c:pt idx="78">
                  <c:v>155.70699999999999</c:v>
                </c:pt>
                <c:pt idx="79">
                  <c:v>155.79900000000001</c:v>
                </c:pt>
                <c:pt idx="80">
                  <c:v>155.71</c:v>
                </c:pt>
                <c:pt idx="81">
                  <c:v>155.81700000000001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2-428C-82EB-E2256DAE35E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('AMP1-8'!$L$4,'AMP1-8'!$L$4)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42-428C-82EB-E2256DAE35E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('AMP1-8'!$L$5,'AMP1-8'!$L$5)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42-428C-82EB-E2256DAE3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057136"/>
        <c:axId val="408057528"/>
      </c:scatterChart>
      <c:valAx>
        <c:axId val="40805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7528"/>
        <c:crosses val="autoZero"/>
        <c:crossBetween val="midCat"/>
      </c:valAx>
      <c:valAx>
        <c:axId val="4080575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'AMP1-8'!$M$9:$M$90</c:f>
              <c:numCache>
                <c:formatCode>General</c:formatCode>
                <c:ptCount val="82"/>
                <c:pt idx="0">
                  <c:v>155.512</c:v>
                </c:pt>
                <c:pt idx="1">
                  <c:v>155.65299999999999</c:v>
                </c:pt>
                <c:pt idx="2">
                  <c:v>155.614</c:v>
                </c:pt>
                <c:pt idx="3">
                  <c:v>155.637</c:v>
                </c:pt>
                <c:pt idx="4">
                  <c:v>155.57599999999999</c:v>
                </c:pt>
                <c:pt idx="5">
                  <c:v>155.66999999999999</c:v>
                </c:pt>
                <c:pt idx="6">
                  <c:v>155.62799999999999</c:v>
                </c:pt>
                <c:pt idx="7">
                  <c:v>155.71899999999999</c:v>
                </c:pt>
                <c:pt idx="8">
                  <c:v>155.65</c:v>
                </c:pt>
                <c:pt idx="9">
                  <c:v>155.749</c:v>
                </c:pt>
                <c:pt idx="10">
                  <c:v>155.667</c:v>
                </c:pt>
                <c:pt idx="11">
                  <c:v>155.68600000000001</c:v>
                </c:pt>
                <c:pt idx="12">
                  <c:v>155.66200000000001</c:v>
                </c:pt>
                <c:pt idx="13">
                  <c:v>155.70500000000001</c:v>
                </c:pt>
                <c:pt idx="14">
                  <c:v>155.73699999999999</c:v>
                </c:pt>
                <c:pt idx="15">
                  <c:v>155.78299999999999</c:v>
                </c:pt>
                <c:pt idx="16">
                  <c:v>155.625</c:v>
                </c:pt>
                <c:pt idx="17">
                  <c:v>155.654</c:v>
                </c:pt>
                <c:pt idx="18">
                  <c:v>155.70500000000001</c:v>
                </c:pt>
                <c:pt idx="19">
                  <c:v>155.69200000000001</c:v>
                </c:pt>
                <c:pt idx="20">
                  <c:v>155.73099999999999</c:v>
                </c:pt>
                <c:pt idx="21">
                  <c:v>155.697</c:v>
                </c:pt>
                <c:pt idx="22">
                  <c:v>155.75700000000001</c:v>
                </c:pt>
                <c:pt idx="23">
                  <c:v>155.666</c:v>
                </c:pt>
                <c:pt idx="24">
                  <c:v>155.756</c:v>
                </c:pt>
                <c:pt idx="25">
                  <c:v>155.703</c:v>
                </c:pt>
                <c:pt idx="26">
                  <c:v>155.73400000000001</c:v>
                </c:pt>
                <c:pt idx="27">
                  <c:v>155.75</c:v>
                </c:pt>
                <c:pt idx="28">
                  <c:v>155.779</c:v>
                </c:pt>
                <c:pt idx="29">
                  <c:v>155.77799999999999</c:v>
                </c:pt>
                <c:pt idx="30">
                  <c:v>155.74700000000001</c:v>
                </c:pt>
                <c:pt idx="31">
                  <c:v>155.761</c:v>
                </c:pt>
                <c:pt idx="32">
                  <c:v>155.78100000000001</c:v>
                </c:pt>
                <c:pt idx="33">
                  <c:v>155.78800000000001</c:v>
                </c:pt>
                <c:pt idx="34">
                  <c:v>155.79599999999999</c:v>
                </c:pt>
                <c:pt idx="35">
                  <c:v>155.739</c:v>
                </c:pt>
                <c:pt idx="36">
                  <c:v>155.90799999999999</c:v>
                </c:pt>
                <c:pt idx="37">
                  <c:v>155.672</c:v>
                </c:pt>
                <c:pt idx="38">
                  <c:v>155.81299999999999</c:v>
                </c:pt>
                <c:pt idx="39">
                  <c:v>155.61199999999999</c:v>
                </c:pt>
                <c:pt idx="40">
                  <c:v>155.864</c:v>
                </c:pt>
                <c:pt idx="41">
                  <c:v>155.804</c:v>
                </c:pt>
                <c:pt idx="42">
                  <c:v>155.77699999999999</c:v>
                </c:pt>
                <c:pt idx="43">
                  <c:v>155.80500000000001</c:v>
                </c:pt>
                <c:pt idx="44">
                  <c:v>155.88</c:v>
                </c:pt>
                <c:pt idx="45">
                  <c:v>155.70400000000001</c:v>
                </c:pt>
                <c:pt idx="46">
                  <c:v>155.94800000000001</c:v>
                </c:pt>
                <c:pt idx="47">
                  <c:v>155.81200000000001</c:v>
                </c:pt>
                <c:pt idx="48">
                  <c:v>155.58000000000001</c:v>
                </c:pt>
                <c:pt idx="49">
                  <c:v>155.53399999999999</c:v>
                </c:pt>
                <c:pt idx="50">
                  <c:v>155.54300000000001</c:v>
                </c:pt>
                <c:pt idx="51">
                  <c:v>155.50800000000001</c:v>
                </c:pt>
                <c:pt idx="52">
                  <c:v>155.578</c:v>
                </c:pt>
                <c:pt idx="53">
                  <c:v>155.56</c:v>
                </c:pt>
                <c:pt idx="54">
                  <c:v>155.679</c:v>
                </c:pt>
                <c:pt idx="55">
                  <c:v>155.62299999999999</c:v>
                </c:pt>
                <c:pt idx="56">
                  <c:v>155.70400000000001</c:v>
                </c:pt>
                <c:pt idx="57">
                  <c:v>155.63999999999999</c:v>
                </c:pt>
                <c:pt idx="58">
                  <c:v>155.696</c:v>
                </c:pt>
                <c:pt idx="59">
                  <c:v>155.58199999999999</c:v>
                </c:pt>
                <c:pt idx="60">
                  <c:v>155.66399999999999</c:v>
                </c:pt>
                <c:pt idx="61">
                  <c:v>155.57900000000001</c:v>
                </c:pt>
                <c:pt idx="62">
                  <c:v>155.77099999999999</c:v>
                </c:pt>
                <c:pt idx="63">
                  <c:v>155.65199999999999</c:v>
                </c:pt>
                <c:pt idx="64">
                  <c:v>155.86199999999999</c:v>
                </c:pt>
                <c:pt idx="65">
                  <c:v>155.70099999999999</c:v>
                </c:pt>
                <c:pt idx="66">
                  <c:v>155.86000000000001</c:v>
                </c:pt>
                <c:pt idx="67">
                  <c:v>155.72</c:v>
                </c:pt>
                <c:pt idx="68">
                  <c:v>155.58500000000001</c:v>
                </c:pt>
                <c:pt idx="69">
                  <c:v>155.572</c:v>
                </c:pt>
                <c:pt idx="70">
                  <c:v>155.71100000000001</c:v>
                </c:pt>
                <c:pt idx="71">
                  <c:v>155.50399999999999</c:v>
                </c:pt>
                <c:pt idx="72">
                  <c:v>155.803</c:v>
                </c:pt>
                <c:pt idx="73">
                  <c:v>155.75299999999999</c:v>
                </c:pt>
                <c:pt idx="74">
                  <c:v>155.762</c:v>
                </c:pt>
                <c:pt idx="75">
                  <c:v>155.66900000000001</c:v>
                </c:pt>
                <c:pt idx="76">
                  <c:v>155.53</c:v>
                </c:pt>
                <c:pt idx="77">
                  <c:v>155.49</c:v>
                </c:pt>
                <c:pt idx="78">
                  <c:v>155.572</c:v>
                </c:pt>
                <c:pt idx="79">
                  <c:v>155.583</c:v>
                </c:pt>
                <c:pt idx="80">
                  <c:v>155.57599999999999</c:v>
                </c:pt>
                <c:pt idx="81">
                  <c:v>155.63499999999999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EA-4559-B8F0-802AF72B51F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('AMP1-8'!$M$4,'AMP1-8'!$M$4)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EA-4559-B8F0-802AF72B51F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('AMP1-8'!$M$5,'AMP1-8'!$M$5)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EA-4559-B8F0-802AF72B5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058312"/>
        <c:axId val="408058704"/>
      </c:scatterChart>
      <c:valAx>
        <c:axId val="40805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8704"/>
        <c:crosses val="autoZero"/>
        <c:crossBetween val="midCat"/>
      </c:valAx>
      <c:valAx>
        <c:axId val="4080587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'AMP1-8'!$N$9:$N$90</c:f>
              <c:numCache>
                <c:formatCode>General</c:formatCode>
                <c:ptCount val="82"/>
                <c:pt idx="0">
                  <c:v>27.494</c:v>
                </c:pt>
                <c:pt idx="1">
                  <c:v>27.373000000000001</c:v>
                </c:pt>
                <c:pt idx="2">
                  <c:v>27.413</c:v>
                </c:pt>
                <c:pt idx="3">
                  <c:v>27.337</c:v>
                </c:pt>
                <c:pt idx="4">
                  <c:v>27.436</c:v>
                </c:pt>
                <c:pt idx="5">
                  <c:v>27.361999999999998</c:v>
                </c:pt>
                <c:pt idx="6">
                  <c:v>27.390999999999998</c:v>
                </c:pt>
                <c:pt idx="7">
                  <c:v>27.274000000000001</c:v>
                </c:pt>
                <c:pt idx="8">
                  <c:v>27.398</c:v>
                </c:pt>
                <c:pt idx="9">
                  <c:v>27.294</c:v>
                </c:pt>
                <c:pt idx="10">
                  <c:v>27.460999999999999</c:v>
                </c:pt>
                <c:pt idx="11">
                  <c:v>27.314</c:v>
                </c:pt>
                <c:pt idx="12">
                  <c:v>27.378</c:v>
                </c:pt>
                <c:pt idx="13">
                  <c:v>27.329000000000001</c:v>
                </c:pt>
                <c:pt idx="14">
                  <c:v>27.303000000000001</c:v>
                </c:pt>
                <c:pt idx="15">
                  <c:v>27.242000000000001</c:v>
                </c:pt>
                <c:pt idx="16">
                  <c:v>27.431999999999999</c:v>
                </c:pt>
                <c:pt idx="17">
                  <c:v>27.292000000000002</c:v>
                </c:pt>
                <c:pt idx="18">
                  <c:v>27.396000000000001</c:v>
                </c:pt>
                <c:pt idx="19">
                  <c:v>27.238</c:v>
                </c:pt>
                <c:pt idx="20">
                  <c:v>27.414999999999999</c:v>
                </c:pt>
                <c:pt idx="21">
                  <c:v>27.241</c:v>
                </c:pt>
                <c:pt idx="22">
                  <c:v>27.361999999999998</c:v>
                </c:pt>
                <c:pt idx="23">
                  <c:v>27.242000000000001</c:v>
                </c:pt>
                <c:pt idx="24">
                  <c:v>27.324000000000002</c:v>
                </c:pt>
                <c:pt idx="25">
                  <c:v>27.222000000000001</c:v>
                </c:pt>
                <c:pt idx="26">
                  <c:v>27.311</c:v>
                </c:pt>
                <c:pt idx="27">
                  <c:v>27.227</c:v>
                </c:pt>
                <c:pt idx="28">
                  <c:v>27.312000000000001</c:v>
                </c:pt>
                <c:pt idx="29">
                  <c:v>27.19</c:v>
                </c:pt>
                <c:pt idx="30">
                  <c:v>27.363</c:v>
                </c:pt>
                <c:pt idx="31">
                  <c:v>27.158999999999999</c:v>
                </c:pt>
                <c:pt idx="32">
                  <c:v>27.306000000000001</c:v>
                </c:pt>
                <c:pt idx="33">
                  <c:v>27.122</c:v>
                </c:pt>
                <c:pt idx="34">
                  <c:v>27.324000000000002</c:v>
                </c:pt>
                <c:pt idx="35">
                  <c:v>27.175999999999998</c:v>
                </c:pt>
                <c:pt idx="36">
                  <c:v>27.239000000000001</c:v>
                </c:pt>
                <c:pt idx="37">
                  <c:v>27.207999999999998</c:v>
                </c:pt>
                <c:pt idx="38">
                  <c:v>27.254999999999999</c:v>
                </c:pt>
                <c:pt idx="39">
                  <c:v>27.126000000000001</c:v>
                </c:pt>
                <c:pt idx="40">
                  <c:v>27.254000000000001</c:v>
                </c:pt>
                <c:pt idx="41">
                  <c:v>27.087</c:v>
                </c:pt>
                <c:pt idx="42">
                  <c:v>27.306000000000001</c:v>
                </c:pt>
                <c:pt idx="43">
                  <c:v>27.113</c:v>
                </c:pt>
                <c:pt idx="44">
                  <c:v>27.248000000000001</c:v>
                </c:pt>
                <c:pt idx="45">
                  <c:v>27.091999999999999</c:v>
                </c:pt>
                <c:pt idx="46">
                  <c:v>27.140999999999998</c:v>
                </c:pt>
                <c:pt idx="47">
                  <c:v>27.045000000000002</c:v>
                </c:pt>
                <c:pt idx="48">
                  <c:v>27.471</c:v>
                </c:pt>
                <c:pt idx="49">
                  <c:v>27.45</c:v>
                </c:pt>
                <c:pt idx="50">
                  <c:v>27.582999999999998</c:v>
                </c:pt>
                <c:pt idx="51">
                  <c:v>27.501999999999999</c:v>
                </c:pt>
                <c:pt idx="52">
                  <c:v>27.504000000000001</c:v>
                </c:pt>
                <c:pt idx="53">
                  <c:v>27.402999999999999</c:v>
                </c:pt>
                <c:pt idx="54">
                  <c:v>27.436</c:v>
                </c:pt>
                <c:pt idx="55">
                  <c:v>27.347000000000001</c:v>
                </c:pt>
                <c:pt idx="56">
                  <c:v>27.433</c:v>
                </c:pt>
                <c:pt idx="57">
                  <c:v>27.312000000000001</c:v>
                </c:pt>
                <c:pt idx="58">
                  <c:v>27.431000000000001</c:v>
                </c:pt>
                <c:pt idx="59">
                  <c:v>27.349</c:v>
                </c:pt>
                <c:pt idx="60">
                  <c:v>27.483000000000001</c:v>
                </c:pt>
                <c:pt idx="61">
                  <c:v>27.355</c:v>
                </c:pt>
                <c:pt idx="62">
                  <c:v>27.391999999999999</c:v>
                </c:pt>
                <c:pt idx="63">
                  <c:v>27.271999999999998</c:v>
                </c:pt>
                <c:pt idx="64">
                  <c:v>27.228000000000002</c:v>
                </c:pt>
                <c:pt idx="65">
                  <c:v>27.273</c:v>
                </c:pt>
                <c:pt idx="66">
                  <c:v>27.344000000000001</c:v>
                </c:pt>
                <c:pt idx="67">
                  <c:v>27.266999999999999</c:v>
                </c:pt>
                <c:pt idx="68">
                  <c:v>27.515000000000001</c:v>
                </c:pt>
                <c:pt idx="69">
                  <c:v>27.326000000000001</c:v>
                </c:pt>
                <c:pt idx="70">
                  <c:v>27.305</c:v>
                </c:pt>
                <c:pt idx="71">
                  <c:v>27.327000000000002</c:v>
                </c:pt>
                <c:pt idx="72">
                  <c:v>27.326000000000001</c:v>
                </c:pt>
                <c:pt idx="73">
                  <c:v>27.257000000000001</c:v>
                </c:pt>
                <c:pt idx="74">
                  <c:v>27.308</c:v>
                </c:pt>
                <c:pt idx="75">
                  <c:v>27.283999999999999</c:v>
                </c:pt>
                <c:pt idx="76">
                  <c:v>27.541</c:v>
                </c:pt>
                <c:pt idx="77">
                  <c:v>27.492999999999999</c:v>
                </c:pt>
                <c:pt idx="78">
                  <c:v>27.466999999999999</c:v>
                </c:pt>
                <c:pt idx="79">
                  <c:v>27.36</c:v>
                </c:pt>
                <c:pt idx="80">
                  <c:v>27.518999999999998</c:v>
                </c:pt>
                <c:pt idx="81">
                  <c:v>27.337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52-40F9-9B20-9853994D4AF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('AMP1-8'!$N$4,'AMP1-8'!$N$4)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52-40F9-9B20-9853994D4AF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('AMP1-8'!$N$5,'AMP1-8'!$N$5)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52-40F9-9B20-9853994D4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059488"/>
        <c:axId val="408059880"/>
      </c:scatterChart>
      <c:valAx>
        <c:axId val="40805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9880"/>
        <c:crosses val="autoZero"/>
        <c:crossBetween val="midCat"/>
      </c:valAx>
      <c:valAx>
        <c:axId val="4080598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'AMP1-8'!$O$9:$O$90</c:f>
              <c:numCache>
                <c:formatCode>General</c:formatCode>
                <c:ptCount val="82"/>
                <c:pt idx="0">
                  <c:v>27.811</c:v>
                </c:pt>
                <c:pt idx="1">
                  <c:v>27.486000000000001</c:v>
                </c:pt>
                <c:pt idx="2">
                  <c:v>27.677</c:v>
                </c:pt>
                <c:pt idx="3">
                  <c:v>27.481999999999999</c:v>
                </c:pt>
                <c:pt idx="4">
                  <c:v>27.731000000000002</c:v>
                </c:pt>
                <c:pt idx="5">
                  <c:v>27.484999999999999</c:v>
                </c:pt>
                <c:pt idx="6">
                  <c:v>27.66</c:v>
                </c:pt>
                <c:pt idx="7">
                  <c:v>27.43</c:v>
                </c:pt>
                <c:pt idx="8">
                  <c:v>27.702999999999999</c:v>
                </c:pt>
                <c:pt idx="9">
                  <c:v>27.416</c:v>
                </c:pt>
                <c:pt idx="10">
                  <c:v>27.69</c:v>
                </c:pt>
                <c:pt idx="11">
                  <c:v>27.446000000000002</c:v>
                </c:pt>
                <c:pt idx="12">
                  <c:v>27.663</c:v>
                </c:pt>
                <c:pt idx="13">
                  <c:v>27.423999999999999</c:v>
                </c:pt>
                <c:pt idx="14">
                  <c:v>27.582000000000001</c:v>
                </c:pt>
                <c:pt idx="15">
                  <c:v>27.413</c:v>
                </c:pt>
                <c:pt idx="16">
                  <c:v>27.648</c:v>
                </c:pt>
                <c:pt idx="17">
                  <c:v>27.492999999999999</c:v>
                </c:pt>
                <c:pt idx="18">
                  <c:v>27.611000000000001</c:v>
                </c:pt>
                <c:pt idx="19">
                  <c:v>27.411999999999999</c:v>
                </c:pt>
                <c:pt idx="20">
                  <c:v>27.599</c:v>
                </c:pt>
                <c:pt idx="21">
                  <c:v>27.434999999999999</c:v>
                </c:pt>
                <c:pt idx="22">
                  <c:v>27.556999999999999</c:v>
                </c:pt>
                <c:pt idx="23">
                  <c:v>27.43</c:v>
                </c:pt>
                <c:pt idx="24">
                  <c:v>27.536000000000001</c:v>
                </c:pt>
                <c:pt idx="25">
                  <c:v>27.396000000000001</c:v>
                </c:pt>
                <c:pt idx="26">
                  <c:v>27.530999999999999</c:v>
                </c:pt>
                <c:pt idx="27">
                  <c:v>27.431999999999999</c:v>
                </c:pt>
                <c:pt idx="28">
                  <c:v>27.533999999999999</c:v>
                </c:pt>
                <c:pt idx="29">
                  <c:v>27.419</c:v>
                </c:pt>
                <c:pt idx="30">
                  <c:v>27.545000000000002</c:v>
                </c:pt>
                <c:pt idx="31">
                  <c:v>27.373000000000001</c:v>
                </c:pt>
                <c:pt idx="32">
                  <c:v>27.510999999999999</c:v>
                </c:pt>
                <c:pt idx="33">
                  <c:v>27.376000000000001</c:v>
                </c:pt>
                <c:pt idx="34">
                  <c:v>27.5</c:v>
                </c:pt>
                <c:pt idx="35">
                  <c:v>27.436</c:v>
                </c:pt>
                <c:pt idx="36">
                  <c:v>27.414000000000001</c:v>
                </c:pt>
                <c:pt idx="37">
                  <c:v>27.452999999999999</c:v>
                </c:pt>
                <c:pt idx="38">
                  <c:v>27.498000000000001</c:v>
                </c:pt>
                <c:pt idx="39">
                  <c:v>27.42</c:v>
                </c:pt>
                <c:pt idx="40">
                  <c:v>27.463000000000001</c:v>
                </c:pt>
                <c:pt idx="41">
                  <c:v>27.280999999999999</c:v>
                </c:pt>
                <c:pt idx="42">
                  <c:v>27.524999999999999</c:v>
                </c:pt>
                <c:pt idx="43">
                  <c:v>27.393999999999998</c:v>
                </c:pt>
                <c:pt idx="44">
                  <c:v>27.442</c:v>
                </c:pt>
                <c:pt idx="45">
                  <c:v>27.382000000000001</c:v>
                </c:pt>
                <c:pt idx="46">
                  <c:v>27.326000000000001</c:v>
                </c:pt>
                <c:pt idx="47">
                  <c:v>27.295000000000002</c:v>
                </c:pt>
                <c:pt idx="48">
                  <c:v>27.702999999999999</c:v>
                </c:pt>
                <c:pt idx="49">
                  <c:v>27.640999999999998</c:v>
                </c:pt>
                <c:pt idx="50">
                  <c:v>27.777000000000001</c:v>
                </c:pt>
                <c:pt idx="51">
                  <c:v>27.686</c:v>
                </c:pt>
                <c:pt idx="52">
                  <c:v>27.684000000000001</c:v>
                </c:pt>
                <c:pt idx="53">
                  <c:v>27.581</c:v>
                </c:pt>
                <c:pt idx="54">
                  <c:v>27.617999999999999</c:v>
                </c:pt>
                <c:pt idx="55">
                  <c:v>27.55</c:v>
                </c:pt>
                <c:pt idx="56">
                  <c:v>27.599</c:v>
                </c:pt>
                <c:pt idx="57">
                  <c:v>27.544</c:v>
                </c:pt>
                <c:pt idx="58">
                  <c:v>27.582999999999998</c:v>
                </c:pt>
                <c:pt idx="59">
                  <c:v>27.564</c:v>
                </c:pt>
                <c:pt idx="60">
                  <c:v>27.62</c:v>
                </c:pt>
                <c:pt idx="61">
                  <c:v>27.571999999999999</c:v>
                </c:pt>
                <c:pt idx="62">
                  <c:v>27.533000000000001</c:v>
                </c:pt>
                <c:pt idx="63">
                  <c:v>27.533000000000001</c:v>
                </c:pt>
                <c:pt idx="64">
                  <c:v>27.422999999999998</c:v>
                </c:pt>
                <c:pt idx="65">
                  <c:v>27.515999999999998</c:v>
                </c:pt>
                <c:pt idx="66">
                  <c:v>27.518999999999998</c:v>
                </c:pt>
                <c:pt idx="67">
                  <c:v>27.481999999999999</c:v>
                </c:pt>
                <c:pt idx="68">
                  <c:v>27.658999999999999</c:v>
                </c:pt>
                <c:pt idx="69">
                  <c:v>27.553000000000001</c:v>
                </c:pt>
                <c:pt idx="70">
                  <c:v>27.495000000000001</c:v>
                </c:pt>
                <c:pt idx="71">
                  <c:v>27.571000000000002</c:v>
                </c:pt>
                <c:pt idx="72">
                  <c:v>27.483000000000001</c:v>
                </c:pt>
                <c:pt idx="73">
                  <c:v>27.419</c:v>
                </c:pt>
                <c:pt idx="74">
                  <c:v>27.495999999999999</c:v>
                </c:pt>
                <c:pt idx="75">
                  <c:v>27.518000000000001</c:v>
                </c:pt>
                <c:pt idx="76">
                  <c:v>27.780999999999999</c:v>
                </c:pt>
                <c:pt idx="77">
                  <c:v>27.638999999999999</c:v>
                </c:pt>
                <c:pt idx="78">
                  <c:v>27.704000000000001</c:v>
                </c:pt>
                <c:pt idx="79">
                  <c:v>27.547999999999998</c:v>
                </c:pt>
                <c:pt idx="80">
                  <c:v>27.684000000000001</c:v>
                </c:pt>
                <c:pt idx="81">
                  <c:v>27.501000000000001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7B-4870-944D-6B2CCFC656D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('AMP1-8'!$O$4,'AMP1-8'!$O$4)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7B-4870-944D-6B2CCFC656D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('AMP1-8'!$O$5,'AMP1-8'!$O$5)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7B-4870-944D-6B2CCFC65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060664"/>
        <c:axId val="408061056"/>
      </c:scatterChart>
      <c:valAx>
        <c:axId val="40806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1056"/>
        <c:crosses val="autoZero"/>
        <c:crossBetween val="midCat"/>
      </c:valAx>
      <c:valAx>
        <c:axId val="4080610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'AMP1-8'!$R$9:$R$90</c:f>
              <c:numCache>
                <c:formatCode>General</c:formatCode>
                <c:ptCount val="82"/>
                <c:pt idx="0">
                  <c:v>17.113</c:v>
                </c:pt>
                <c:pt idx="1">
                  <c:v>17.402000000000001</c:v>
                </c:pt>
                <c:pt idx="2">
                  <c:v>17.137</c:v>
                </c:pt>
                <c:pt idx="3">
                  <c:v>17.32</c:v>
                </c:pt>
                <c:pt idx="4">
                  <c:v>17.103999999999999</c:v>
                </c:pt>
                <c:pt idx="5">
                  <c:v>17.367000000000001</c:v>
                </c:pt>
                <c:pt idx="6">
                  <c:v>17.193999999999999</c:v>
                </c:pt>
                <c:pt idx="7">
                  <c:v>17.381</c:v>
                </c:pt>
                <c:pt idx="8">
                  <c:v>17.108000000000001</c:v>
                </c:pt>
                <c:pt idx="9">
                  <c:v>17.311</c:v>
                </c:pt>
                <c:pt idx="10">
                  <c:v>17.143000000000001</c:v>
                </c:pt>
                <c:pt idx="11">
                  <c:v>17.332999999999998</c:v>
                </c:pt>
                <c:pt idx="12">
                  <c:v>17.050999999999998</c:v>
                </c:pt>
                <c:pt idx="13">
                  <c:v>17.280999999999999</c:v>
                </c:pt>
                <c:pt idx="14">
                  <c:v>17.126000000000001</c:v>
                </c:pt>
                <c:pt idx="15">
                  <c:v>17.338000000000001</c:v>
                </c:pt>
                <c:pt idx="16">
                  <c:v>17.125</c:v>
                </c:pt>
                <c:pt idx="17">
                  <c:v>17.29</c:v>
                </c:pt>
                <c:pt idx="18">
                  <c:v>17.126000000000001</c:v>
                </c:pt>
                <c:pt idx="19">
                  <c:v>17.308</c:v>
                </c:pt>
                <c:pt idx="20">
                  <c:v>17.123999999999999</c:v>
                </c:pt>
                <c:pt idx="21">
                  <c:v>17.341000000000001</c:v>
                </c:pt>
                <c:pt idx="22">
                  <c:v>17.155000000000001</c:v>
                </c:pt>
                <c:pt idx="23">
                  <c:v>17.334</c:v>
                </c:pt>
                <c:pt idx="24">
                  <c:v>17.138000000000002</c:v>
                </c:pt>
                <c:pt idx="25">
                  <c:v>17.315999999999999</c:v>
                </c:pt>
                <c:pt idx="26">
                  <c:v>17.157</c:v>
                </c:pt>
                <c:pt idx="27">
                  <c:v>17.32</c:v>
                </c:pt>
                <c:pt idx="28">
                  <c:v>17.096</c:v>
                </c:pt>
                <c:pt idx="29">
                  <c:v>17.323</c:v>
                </c:pt>
                <c:pt idx="30">
                  <c:v>17.12</c:v>
                </c:pt>
                <c:pt idx="31">
                  <c:v>17.297000000000001</c:v>
                </c:pt>
                <c:pt idx="32">
                  <c:v>17.114999999999998</c:v>
                </c:pt>
                <c:pt idx="33">
                  <c:v>17.335000000000001</c:v>
                </c:pt>
                <c:pt idx="34">
                  <c:v>17.099</c:v>
                </c:pt>
                <c:pt idx="35">
                  <c:v>17.318999999999999</c:v>
                </c:pt>
                <c:pt idx="36">
                  <c:v>17.102</c:v>
                </c:pt>
                <c:pt idx="37">
                  <c:v>17.344000000000001</c:v>
                </c:pt>
                <c:pt idx="38">
                  <c:v>17.109000000000002</c:v>
                </c:pt>
                <c:pt idx="39">
                  <c:v>17.298999999999999</c:v>
                </c:pt>
                <c:pt idx="40">
                  <c:v>17.134</c:v>
                </c:pt>
                <c:pt idx="41">
                  <c:v>17.321000000000002</c:v>
                </c:pt>
                <c:pt idx="42">
                  <c:v>17.138000000000002</c:v>
                </c:pt>
                <c:pt idx="43">
                  <c:v>17.369</c:v>
                </c:pt>
                <c:pt idx="44">
                  <c:v>17.152999999999999</c:v>
                </c:pt>
                <c:pt idx="45">
                  <c:v>17.291</c:v>
                </c:pt>
                <c:pt idx="46">
                  <c:v>17.152000000000001</c:v>
                </c:pt>
                <c:pt idx="47">
                  <c:v>17.302</c:v>
                </c:pt>
                <c:pt idx="48">
                  <c:v>17.152000000000001</c:v>
                </c:pt>
                <c:pt idx="49">
                  <c:v>17.315999999999999</c:v>
                </c:pt>
                <c:pt idx="50">
                  <c:v>17.158999999999999</c:v>
                </c:pt>
                <c:pt idx="51">
                  <c:v>17.312999999999999</c:v>
                </c:pt>
                <c:pt idx="52">
                  <c:v>17.170999999999999</c:v>
                </c:pt>
                <c:pt idx="53">
                  <c:v>17.303999999999998</c:v>
                </c:pt>
                <c:pt idx="54">
                  <c:v>17.161000000000001</c:v>
                </c:pt>
                <c:pt idx="55">
                  <c:v>17.327999999999999</c:v>
                </c:pt>
                <c:pt idx="56">
                  <c:v>17.134</c:v>
                </c:pt>
                <c:pt idx="57">
                  <c:v>17.317</c:v>
                </c:pt>
                <c:pt idx="58">
                  <c:v>17.146000000000001</c:v>
                </c:pt>
                <c:pt idx="59">
                  <c:v>17.32</c:v>
                </c:pt>
                <c:pt idx="60">
                  <c:v>17.131</c:v>
                </c:pt>
                <c:pt idx="61">
                  <c:v>17.356999999999999</c:v>
                </c:pt>
                <c:pt idx="62">
                  <c:v>17.152999999999999</c:v>
                </c:pt>
                <c:pt idx="63">
                  <c:v>17.303000000000001</c:v>
                </c:pt>
                <c:pt idx="64">
                  <c:v>17.084</c:v>
                </c:pt>
                <c:pt idx="65">
                  <c:v>17.324000000000002</c:v>
                </c:pt>
                <c:pt idx="66">
                  <c:v>17.145</c:v>
                </c:pt>
                <c:pt idx="67">
                  <c:v>17.329999999999998</c:v>
                </c:pt>
                <c:pt idx="68">
                  <c:v>17.167999999999999</c:v>
                </c:pt>
                <c:pt idx="69">
                  <c:v>17.338999999999999</c:v>
                </c:pt>
                <c:pt idx="70">
                  <c:v>17.155000000000001</c:v>
                </c:pt>
                <c:pt idx="71">
                  <c:v>17.254999999999999</c:v>
                </c:pt>
                <c:pt idx="72">
                  <c:v>17.184999999999999</c:v>
                </c:pt>
                <c:pt idx="73">
                  <c:v>17.347999999999999</c:v>
                </c:pt>
                <c:pt idx="74">
                  <c:v>17.111999999999998</c:v>
                </c:pt>
                <c:pt idx="75">
                  <c:v>17.295999999999999</c:v>
                </c:pt>
                <c:pt idx="76">
                  <c:v>17.126000000000001</c:v>
                </c:pt>
                <c:pt idx="77">
                  <c:v>17.329000000000001</c:v>
                </c:pt>
                <c:pt idx="78">
                  <c:v>17.111999999999998</c:v>
                </c:pt>
                <c:pt idx="79">
                  <c:v>17.315999999999999</c:v>
                </c:pt>
                <c:pt idx="80">
                  <c:v>17.114999999999998</c:v>
                </c:pt>
                <c:pt idx="81">
                  <c:v>17.323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14-44BF-A8B5-C1BDD1C1713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('AMP1-8'!$R$4,'AMP1-8'!$R$4)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4-44BF-A8B5-C1BDD1C1713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('AMP1-8'!$R$5,'AMP1-8'!$R$5)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14-44BF-A8B5-C1BDD1C17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061840"/>
        <c:axId val="408062232"/>
      </c:scatterChart>
      <c:valAx>
        <c:axId val="40806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2232"/>
        <c:crosses val="autoZero"/>
        <c:crossBetween val="midCat"/>
      </c:valAx>
      <c:valAx>
        <c:axId val="4080622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'AMP1-8'!$S$9:$S$90</c:f>
              <c:numCache>
                <c:formatCode>General</c:formatCode>
                <c:ptCount val="82"/>
                <c:pt idx="0">
                  <c:v>17.085000000000001</c:v>
                </c:pt>
                <c:pt idx="1">
                  <c:v>17.395</c:v>
                </c:pt>
                <c:pt idx="2">
                  <c:v>17.055</c:v>
                </c:pt>
                <c:pt idx="3">
                  <c:v>17.308</c:v>
                </c:pt>
                <c:pt idx="4">
                  <c:v>16.963999999999999</c:v>
                </c:pt>
                <c:pt idx="5">
                  <c:v>17.315999999999999</c:v>
                </c:pt>
                <c:pt idx="6">
                  <c:v>17.113</c:v>
                </c:pt>
                <c:pt idx="7">
                  <c:v>17.388000000000002</c:v>
                </c:pt>
                <c:pt idx="8">
                  <c:v>17.045999999999999</c:v>
                </c:pt>
                <c:pt idx="9">
                  <c:v>17.283999999999999</c:v>
                </c:pt>
                <c:pt idx="10">
                  <c:v>17.085000000000001</c:v>
                </c:pt>
                <c:pt idx="11">
                  <c:v>17.32</c:v>
                </c:pt>
                <c:pt idx="12">
                  <c:v>17.059000000000001</c:v>
                </c:pt>
                <c:pt idx="13">
                  <c:v>17.326000000000001</c:v>
                </c:pt>
                <c:pt idx="14">
                  <c:v>17.033999999999999</c:v>
                </c:pt>
                <c:pt idx="15">
                  <c:v>17.347999999999999</c:v>
                </c:pt>
                <c:pt idx="16">
                  <c:v>17.169</c:v>
                </c:pt>
                <c:pt idx="17">
                  <c:v>17.161000000000001</c:v>
                </c:pt>
                <c:pt idx="18">
                  <c:v>16.97</c:v>
                </c:pt>
                <c:pt idx="19">
                  <c:v>17.04</c:v>
                </c:pt>
                <c:pt idx="20">
                  <c:v>17.038</c:v>
                </c:pt>
                <c:pt idx="21">
                  <c:v>17.306000000000001</c:v>
                </c:pt>
                <c:pt idx="22">
                  <c:v>17.077000000000002</c:v>
                </c:pt>
                <c:pt idx="23">
                  <c:v>17.274999999999999</c:v>
                </c:pt>
                <c:pt idx="24">
                  <c:v>17.03</c:v>
                </c:pt>
                <c:pt idx="25">
                  <c:v>17.256</c:v>
                </c:pt>
                <c:pt idx="26">
                  <c:v>17.047000000000001</c:v>
                </c:pt>
                <c:pt idx="27">
                  <c:v>17.192</c:v>
                </c:pt>
                <c:pt idx="28">
                  <c:v>16.992000000000001</c:v>
                </c:pt>
                <c:pt idx="29">
                  <c:v>17.286000000000001</c:v>
                </c:pt>
                <c:pt idx="30">
                  <c:v>17.004000000000001</c:v>
                </c:pt>
                <c:pt idx="31">
                  <c:v>17.335000000000001</c:v>
                </c:pt>
                <c:pt idx="32">
                  <c:v>17</c:v>
                </c:pt>
                <c:pt idx="33">
                  <c:v>17.219000000000001</c:v>
                </c:pt>
                <c:pt idx="34">
                  <c:v>17.021999999999998</c:v>
                </c:pt>
                <c:pt idx="35">
                  <c:v>17.245000000000001</c:v>
                </c:pt>
                <c:pt idx="36">
                  <c:v>17.045000000000002</c:v>
                </c:pt>
                <c:pt idx="37">
                  <c:v>17.349</c:v>
                </c:pt>
                <c:pt idx="38">
                  <c:v>17.091000000000001</c:v>
                </c:pt>
                <c:pt idx="39">
                  <c:v>17.285</c:v>
                </c:pt>
                <c:pt idx="40">
                  <c:v>17.056000000000001</c:v>
                </c:pt>
                <c:pt idx="41">
                  <c:v>17.36</c:v>
                </c:pt>
                <c:pt idx="42">
                  <c:v>16.995999999999999</c:v>
                </c:pt>
                <c:pt idx="43">
                  <c:v>17.198</c:v>
                </c:pt>
                <c:pt idx="44">
                  <c:v>17.109000000000002</c:v>
                </c:pt>
                <c:pt idx="45">
                  <c:v>17.271999999999998</c:v>
                </c:pt>
                <c:pt idx="46">
                  <c:v>17.056999999999999</c:v>
                </c:pt>
                <c:pt idx="47">
                  <c:v>17.184999999999999</c:v>
                </c:pt>
                <c:pt idx="48">
                  <c:v>17.076000000000001</c:v>
                </c:pt>
                <c:pt idx="49">
                  <c:v>17.491</c:v>
                </c:pt>
                <c:pt idx="50">
                  <c:v>17.021999999999998</c:v>
                </c:pt>
                <c:pt idx="51">
                  <c:v>17.39</c:v>
                </c:pt>
                <c:pt idx="52">
                  <c:v>17.042000000000002</c:v>
                </c:pt>
                <c:pt idx="53">
                  <c:v>17.34</c:v>
                </c:pt>
                <c:pt idx="54">
                  <c:v>17.137</c:v>
                </c:pt>
                <c:pt idx="55">
                  <c:v>17.225000000000001</c:v>
                </c:pt>
                <c:pt idx="56">
                  <c:v>17.068000000000001</c:v>
                </c:pt>
                <c:pt idx="57">
                  <c:v>17.334</c:v>
                </c:pt>
                <c:pt idx="58">
                  <c:v>17.065000000000001</c:v>
                </c:pt>
                <c:pt idx="59">
                  <c:v>17.38</c:v>
                </c:pt>
                <c:pt idx="60">
                  <c:v>16.991</c:v>
                </c:pt>
                <c:pt idx="61">
                  <c:v>17.405999999999999</c:v>
                </c:pt>
                <c:pt idx="62">
                  <c:v>16.997</c:v>
                </c:pt>
                <c:pt idx="63">
                  <c:v>17.346</c:v>
                </c:pt>
                <c:pt idx="64">
                  <c:v>17.029</c:v>
                </c:pt>
                <c:pt idx="65">
                  <c:v>17.32</c:v>
                </c:pt>
                <c:pt idx="66">
                  <c:v>17.018000000000001</c:v>
                </c:pt>
                <c:pt idx="67">
                  <c:v>17.381</c:v>
                </c:pt>
                <c:pt idx="68">
                  <c:v>16.984000000000002</c:v>
                </c:pt>
                <c:pt idx="69">
                  <c:v>17.373999999999999</c:v>
                </c:pt>
                <c:pt idx="70">
                  <c:v>16.995000000000001</c:v>
                </c:pt>
                <c:pt idx="71">
                  <c:v>17.361999999999998</c:v>
                </c:pt>
                <c:pt idx="72">
                  <c:v>17.093</c:v>
                </c:pt>
                <c:pt idx="73">
                  <c:v>17.335000000000001</c:v>
                </c:pt>
                <c:pt idx="74">
                  <c:v>17.045000000000002</c:v>
                </c:pt>
                <c:pt idx="75">
                  <c:v>17.375</c:v>
                </c:pt>
                <c:pt idx="76">
                  <c:v>16.954000000000001</c:v>
                </c:pt>
                <c:pt idx="77">
                  <c:v>17.373999999999999</c:v>
                </c:pt>
                <c:pt idx="78">
                  <c:v>16.951000000000001</c:v>
                </c:pt>
                <c:pt idx="79">
                  <c:v>17.364000000000001</c:v>
                </c:pt>
                <c:pt idx="80">
                  <c:v>16.93</c:v>
                </c:pt>
                <c:pt idx="81">
                  <c:v>17.401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1-4305-A8FB-FEB0919BAC2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('AMP1-8'!$S$4,'AMP1-8'!$S$4)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1-4305-A8FB-FEB0919BAC2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('AMP1-8'!$S$5,'AMP1-8'!$S$5)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1-4305-A8FB-FEB0919B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66856"/>
        <c:axId val="408267248"/>
      </c:scatterChart>
      <c:valAx>
        <c:axId val="408266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67248"/>
        <c:crosses val="autoZero"/>
        <c:crossBetween val="midCat"/>
      </c:valAx>
      <c:valAx>
        <c:axId val="4082672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66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'AMP1-8'!$T$9:$T$90</c:f>
              <c:numCache>
                <c:formatCode>General</c:formatCode>
                <c:ptCount val="82"/>
                <c:pt idx="0">
                  <c:v>33.515999999999998</c:v>
                </c:pt>
                <c:pt idx="1">
                  <c:v>35.215000000000003</c:v>
                </c:pt>
                <c:pt idx="2">
                  <c:v>34.162999999999997</c:v>
                </c:pt>
                <c:pt idx="3">
                  <c:v>37.048999999999999</c:v>
                </c:pt>
                <c:pt idx="4">
                  <c:v>33.761000000000003</c:v>
                </c:pt>
                <c:pt idx="5">
                  <c:v>34.969000000000001</c:v>
                </c:pt>
                <c:pt idx="6">
                  <c:v>33.594999999999999</c:v>
                </c:pt>
                <c:pt idx="7">
                  <c:v>39.146999999999998</c:v>
                </c:pt>
                <c:pt idx="8">
                  <c:v>33.765999999999998</c:v>
                </c:pt>
                <c:pt idx="9">
                  <c:v>36.68</c:v>
                </c:pt>
                <c:pt idx="10">
                  <c:v>33.637</c:v>
                </c:pt>
                <c:pt idx="11">
                  <c:v>37.755000000000003</c:v>
                </c:pt>
                <c:pt idx="12">
                  <c:v>33.744999999999997</c:v>
                </c:pt>
                <c:pt idx="13">
                  <c:v>38.600999999999999</c:v>
                </c:pt>
                <c:pt idx="14">
                  <c:v>33.807000000000002</c:v>
                </c:pt>
                <c:pt idx="15">
                  <c:v>37</c:v>
                </c:pt>
                <c:pt idx="16">
                  <c:v>33.701000000000001</c:v>
                </c:pt>
                <c:pt idx="17">
                  <c:v>38.658000000000001</c:v>
                </c:pt>
                <c:pt idx="18">
                  <c:v>33.878</c:v>
                </c:pt>
                <c:pt idx="19">
                  <c:v>35.659999999999997</c:v>
                </c:pt>
                <c:pt idx="20">
                  <c:v>33.677</c:v>
                </c:pt>
                <c:pt idx="21">
                  <c:v>38.484000000000002</c:v>
                </c:pt>
                <c:pt idx="22">
                  <c:v>33.746000000000002</c:v>
                </c:pt>
                <c:pt idx="23">
                  <c:v>37.359000000000002</c:v>
                </c:pt>
                <c:pt idx="24">
                  <c:v>33.572000000000003</c:v>
                </c:pt>
                <c:pt idx="25">
                  <c:v>38.765999999999998</c:v>
                </c:pt>
                <c:pt idx="26">
                  <c:v>33.584000000000003</c:v>
                </c:pt>
                <c:pt idx="27">
                  <c:v>36.484000000000002</c:v>
                </c:pt>
                <c:pt idx="28">
                  <c:v>33.630000000000003</c:v>
                </c:pt>
                <c:pt idx="29">
                  <c:v>36.969000000000001</c:v>
                </c:pt>
                <c:pt idx="30">
                  <c:v>33.518000000000001</c:v>
                </c:pt>
                <c:pt idx="31">
                  <c:v>37.409999999999997</c:v>
                </c:pt>
                <c:pt idx="32">
                  <c:v>33.701999999999998</c:v>
                </c:pt>
                <c:pt idx="33">
                  <c:v>36.856000000000002</c:v>
                </c:pt>
                <c:pt idx="34">
                  <c:v>33.521999999999998</c:v>
                </c:pt>
                <c:pt idx="35">
                  <c:v>36.975999999999999</c:v>
                </c:pt>
                <c:pt idx="36">
                  <c:v>33.679000000000002</c:v>
                </c:pt>
                <c:pt idx="37">
                  <c:v>38.311</c:v>
                </c:pt>
                <c:pt idx="38">
                  <c:v>33.290999999999997</c:v>
                </c:pt>
                <c:pt idx="39">
                  <c:v>37.753999999999998</c:v>
                </c:pt>
                <c:pt idx="40">
                  <c:v>34.017000000000003</c:v>
                </c:pt>
                <c:pt idx="41">
                  <c:v>39.222999999999999</c:v>
                </c:pt>
                <c:pt idx="42">
                  <c:v>33.304000000000002</c:v>
                </c:pt>
                <c:pt idx="43">
                  <c:v>37.341999999999999</c:v>
                </c:pt>
                <c:pt idx="44">
                  <c:v>33.597999999999999</c:v>
                </c:pt>
                <c:pt idx="45">
                  <c:v>39.183999999999997</c:v>
                </c:pt>
                <c:pt idx="46">
                  <c:v>33.512999999999998</c:v>
                </c:pt>
                <c:pt idx="47">
                  <c:v>37.292000000000002</c:v>
                </c:pt>
                <c:pt idx="48">
                  <c:v>33.805999999999997</c:v>
                </c:pt>
                <c:pt idx="49">
                  <c:v>37.822000000000003</c:v>
                </c:pt>
                <c:pt idx="50">
                  <c:v>33.895000000000003</c:v>
                </c:pt>
                <c:pt idx="51">
                  <c:v>37.476999999999997</c:v>
                </c:pt>
                <c:pt idx="52">
                  <c:v>33.734999999999999</c:v>
                </c:pt>
                <c:pt idx="53">
                  <c:v>36.802</c:v>
                </c:pt>
                <c:pt idx="54">
                  <c:v>33.741999999999997</c:v>
                </c:pt>
                <c:pt idx="55">
                  <c:v>37.243000000000002</c:v>
                </c:pt>
                <c:pt idx="56">
                  <c:v>33.832999999999998</c:v>
                </c:pt>
                <c:pt idx="57">
                  <c:v>37.805</c:v>
                </c:pt>
                <c:pt idx="58">
                  <c:v>33.872</c:v>
                </c:pt>
                <c:pt idx="59">
                  <c:v>37.606999999999999</c:v>
                </c:pt>
                <c:pt idx="60">
                  <c:v>33.767000000000003</c:v>
                </c:pt>
                <c:pt idx="61">
                  <c:v>39.646000000000001</c:v>
                </c:pt>
                <c:pt idx="62">
                  <c:v>33.883000000000003</c:v>
                </c:pt>
                <c:pt idx="63">
                  <c:v>37.651000000000003</c:v>
                </c:pt>
                <c:pt idx="64">
                  <c:v>33.726999999999997</c:v>
                </c:pt>
                <c:pt idx="65">
                  <c:v>38.031999999999996</c:v>
                </c:pt>
                <c:pt idx="66">
                  <c:v>33.503999999999998</c:v>
                </c:pt>
                <c:pt idx="67">
                  <c:v>39.085999999999999</c:v>
                </c:pt>
                <c:pt idx="68">
                  <c:v>33.838000000000001</c:v>
                </c:pt>
                <c:pt idx="69">
                  <c:v>36.155000000000001</c:v>
                </c:pt>
                <c:pt idx="70">
                  <c:v>33.887999999999998</c:v>
                </c:pt>
                <c:pt idx="71">
                  <c:v>33.009</c:v>
                </c:pt>
                <c:pt idx="72">
                  <c:v>33.820999999999998</c:v>
                </c:pt>
                <c:pt idx="73">
                  <c:v>37.643000000000001</c:v>
                </c:pt>
                <c:pt idx="74">
                  <c:v>33.682000000000002</c:v>
                </c:pt>
                <c:pt idx="75">
                  <c:v>39.951999999999998</c:v>
                </c:pt>
                <c:pt idx="76">
                  <c:v>33.832999999999998</c:v>
                </c:pt>
                <c:pt idx="77">
                  <c:v>37.142000000000003</c:v>
                </c:pt>
                <c:pt idx="78">
                  <c:v>33.598999999999997</c:v>
                </c:pt>
                <c:pt idx="79">
                  <c:v>36.646999999999998</c:v>
                </c:pt>
                <c:pt idx="80">
                  <c:v>33.590000000000003</c:v>
                </c:pt>
                <c:pt idx="81">
                  <c:v>37.658999999999999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0-4619-818A-035A8D3BA98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('AMP1-8'!$T$4,'AMP1-8'!$T$4)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0-4619-818A-035A8D3BA98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('AMP1-8'!$T$5,'AMP1-8'!$T$5)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0-4619-818A-035A8D3BA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68032"/>
        <c:axId val="408268424"/>
      </c:scatterChart>
      <c:valAx>
        <c:axId val="40826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68424"/>
        <c:crosses val="autoZero"/>
        <c:crossBetween val="midCat"/>
      </c:valAx>
      <c:valAx>
        <c:axId val="4082684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6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'AMP1-8'!$U$9:$U$90</c:f>
              <c:numCache>
                <c:formatCode>General</c:formatCode>
                <c:ptCount val="82"/>
                <c:pt idx="0">
                  <c:v>34.093000000000004</c:v>
                </c:pt>
                <c:pt idx="1">
                  <c:v>37.709000000000003</c:v>
                </c:pt>
                <c:pt idx="2">
                  <c:v>33.377000000000002</c:v>
                </c:pt>
                <c:pt idx="3">
                  <c:v>37.58</c:v>
                </c:pt>
                <c:pt idx="4">
                  <c:v>34.006</c:v>
                </c:pt>
                <c:pt idx="5">
                  <c:v>37.92</c:v>
                </c:pt>
                <c:pt idx="6">
                  <c:v>33.942</c:v>
                </c:pt>
                <c:pt idx="7">
                  <c:v>39.738999999999997</c:v>
                </c:pt>
                <c:pt idx="8">
                  <c:v>33.850999999999999</c:v>
                </c:pt>
                <c:pt idx="9">
                  <c:v>38.286000000000001</c:v>
                </c:pt>
                <c:pt idx="10">
                  <c:v>33.912999999999997</c:v>
                </c:pt>
                <c:pt idx="11">
                  <c:v>38.164000000000001</c:v>
                </c:pt>
                <c:pt idx="12">
                  <c:v>33.816000000000003</c:v>
                </c:pt>
                <c:pt idx="13">
                  <c:v>39.195999999999998</c:v>
                </c:pt>
                <c:pt idx="14">
                  <c:v>33.710999999999999</c:v>
                </c:pt>
                <c:pt idx="15">
                  <c:v>36.988</c:v>
                </c:pt>
                <c:pt idx="16">
                  <c:v>34.024999999999999</c:v>
                </c:pt>
                <c:pt idx="17">
                  <c:v>40.177</c:v>
                </c:pt>
                <c:pt idx="18">
                  <c:v>33.838999999999999</c:v>
                </c:pt>
                <c:pt idx="19">
                  <c:v>36.774000000000001</c:v>
                </c:pt>
                <c:pt idx="20">
                  <c:v>34.021999999999998</c:v>
                </c:pt>
                <c:pt idx="21">
                  <c:v>39.716999999999999</c:v>
                </c:pt>
                <c:pt idx="22">
                  <c:v>33.893999999999998</c:v>
                </c:pt>
                <c:pt idx="23">
                  <c:v>37.515999999999998</c:v>
                </c:pt>
                <c:pt idx="24">
                  <c:v>33.962000000000003</c:v>
                </c:pt>
                <c:pt idx="25">
                  <c:v>39.512999999999998</c:v>
                </c:pt>
                <c:pt idx="26">
                  <c:v>33.930999999999997</c:v>
                </c:pt>
                <c:pt idx="27">
                  <c:v>36.776000000000003</c:v>
                </c:pt>
                <c:pt idx="28">
                  <c:v>34.011000000000003</c:v>
                </c:pt>
                <c:pt idx="29">
                  <c:v>37.148000000000003</c:v>
                </c:pt>
                <c:pt idx="30">
                  <c:v>33.776000000000003</c:v>
                </c:pt>
                <c:pt idx="31">
                  <c:v>36.918999999999997</c:v>
                </c:pt>
                <c:pt idx="32">
                  <c:v>33.984000000000002</c:v>
                </c:pt>
                <c:pt idx="33">
                  <c:v>37.515000000000001</c:v>
                </c:pt>
                <c:pt idx="34">
                  <c:v>33.883000000000003</c:v>
                </c:pt>
                <c:pt idx="35">
                  <c:v>38.014000000000003</c:v>
                </c:pt>
                <c:pt idx="36">
                  <c:v>33.896999999999998</c:v>
                </c:pt>
                <c:pt idx="37">
                  <c:v>39.476999999999997</c:v>
                </c:pt>
                <c:pt idx="38">
                  <c:v>33.905000000000001</c:v>
                </c:pt>
                <c:pt idx="39">
                  <c:v>38.752000000000002</c:v>
                </c:pt>
                <c:pt idx="40">
                  <c:v>33.414999999999999</c:v>
                </c:pt>
                <c:pt idx="41">
                  <c:v>39.643999999999998</c:v>
                </c:pt>
                <c:pt idx="42">
                  <c:v>34.024000000000001</c:v>
                </c:pt>
                <c:pt idx="43">
                  <c:v>39.368000000000002</c:v>
                </c:pt>
                <c:pt idx="44">
                  <c:v>33.902999999999999</c:v>
                </c:pt>
                <c:pt idx="45">
                  <c:v>40.646999999999998</c:v>
                </c:pt>
                <c:pt idx="46">
                  <c:v>33.865000000000002</c:v>
                </c:pt>
                <c:pt idx="47">
                  <c:v>37.244999999999997</c:v>
                </c:pt>
                <c:pt idx="48">
                  <c:v>34.067</c:v>
                </c:pt>
                <c:pt idx="49">
                  <c:v>39.917999999999999</c:v>
                </c:pt>
                <c:pt idx="50">
                  <c:v>34.031999999999996</c:v>
                </c:pt>
                <c:pt idx="51">
                  <c:v>39.136000000000003</c:v>
                </c:pt>
                <c:pt idx="52">
                  <c:v>33.963999999999999</c:v>
                </c:pt>
                <c:pt idx="53">
                  <c:v>37.441000000000003</c:v>
                </c:pt>
                <c:pt idx="54">
                  <c:v>33.734000000000002</c:v>
                </c:pt>
                <c:pt idx="55">
                  <c:v>38.703000000000003</c:v>
                </c:pt>
                <c:pt idx="56">
                  <c:v>33.832000000000001</c:v>
                </c:pt>
                <c:pt idx="57">
                  <c:v>38.372999999999998</c:v>
                </c:pt>
                <c:pt idx="58">
                  <c:v>34.146999999999998</c:v>
                </c:pt>
                <c:pt idx="59">
                  <c:v>38.247</c:v>
                </c:pt>
                <c:pt idx="60">
                  <c:v>34.127000000000002</c:v>
                </c:pt>
                <c:pt idx="61">
                  <c:v>39.865000000000002</c:v>
                </c:pt>
                <c:pt idx="62">
                  <c:v>33.820999999999998</c:v>
                </c:pt>
                <c:pt idx="63">
                  <c:v>39.978000000000002</c:v>
                </c:pt>
                <c:pt idx="64">
                  <c:v>34.018999999999998</c:v>
                </c:pt>
                <c:pt idx="65">
                  <c:v>38.561999999999998</c:v>
                </c:pt>
                <c:pt idx="66">
                  <c:v>34.042999999999999</c:v>
                </c:pt>
                <c:pt idx="67">
                  <c:v>40.134999999999998</c:v>
                </c:pt>
                <c:pt idx="68">
                  <c:v>34.070999999999998</c:v>
                </c:pt>
                <c:pt idx="69">
                  <c:v>38.948999999999998</c:v>
                </c:pt>
                <c:pt idx="70">
                  <c:v>33.886000000000003</c:v>
                </c:pt>
                <c:pt idx="71">
                  <c:v>35.898000000000003</c:v>
                </c:pt>
                <c:pt idx="72">
                  <c:v>33.832999999999998</c:v>
                </c:pt>
                <c:pt idx="73">
                  <c:v>40.052999999999997</c:v>
                </c:pt>
                <c:pt idx="74">
                  <c:v>34.136000000000003</c:v>
                </c:pt>
                <c:pt idx="75">
                  <c:v>40.899000000000001</c:v>
                </c:pt>
                <c:pt idx="76">
                  <c:v>33.970999999999997</c:v>
                </c:pt>
                <c:pt idx="77">
                  <c:v>40.238999999999997</c:v>
                </c:pt>
                <c:pt idx="78">
                  <c:v>34.085000000000001</c:v>
                </c:pt>
                <c:pt idx="79">
                  <c:v>37.862000000000002</c:v>
                </c:pt>
                <c:pt idx="80">
                  <c:v>34.100999999999999</c:v>
                </c:pt>
                <c:pt idx="81">
                  <c:v>38.536000000000001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E-465F-B62E-118AF937B88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('AMP1-8'!$U$4,'AMP1-8'!$U$4)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0E-465F-B62E-118AF937B88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('AMP1-8'!$U$5,'AMP1-8'!$U$5)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0E-465F-B62E-118AF937B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69208"/>
        <c:axId val="408269600"/>
      </c:scatterChart>
      <c:valAx>
        <c:axId val="40826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69600"/>
        <c:crosses val="autoZero"/>
        <c:crossBetween val="midCat"/>
      </c:valAx>
      <c:valAx>
        <c:axId val="4082696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6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'AMP1-8'!$AB$9:$AB$90</c:f>
              <c:numCache>
                <c:formatCode>General</c:formatCode>
                <c:ptCount val="82"/>
                <c:pt idx="0">
                  <c:v>1E-3</c:v>
                </c:pt>
                <c:pt idx="1">
                  <c:v>-0.17199999999999999</c:v>
                </c:pt>
                <c:pt idx="2">
                  <c:v>-0.105</c:v>
                </c:pt>
                <c:pt idx="3">
                  <c:v>-0.224</c:v>
                </c:pt>
                <c:pt idx="4">
                  <c:v>-3.9E-2</c:v>
                </c:pt>
                <c:pt idx="5">
                  <c:v>-0.20599999999999999</c:v>
                </c:pt>
                <c:pt idx="6">
                  <c:v>-0.157</c:v>
                </c:pt>
                <c:pt idx="7">
                  <c:v>-0.29899999999999999</c:v>
                </c:pt>
                <c:pt idx="8">
                  <c:v>-0.17100000000000001</c:v>
                </c:pt>
                <c:pt idx="9">
                  <c:v>-0.26500000000000001</c:v>
                </c:pt>
                <c:pt idx="10">
                  <c:v>-0.115</c:v>
                </c:pt>
                <c:pt idx="11">
                  <c:v>-0.245</c:v>
                </c:pt>
                <c:pt idx="12">
                  <c:v>-9.5000000000000001E-2</c:v>
                </c:pt>
                <c:pt idx="13">
                  <c:v>-0.159</c:v>
                </c:pt>
                <c:pt idx="14">
                  <c:v>-0.17799999999999999</c:v>
                </c:pt>
                <c:pt idx="15">
                  <c:v>-0.317</c:v>
                </c:pt>
                <c:pt idx="16">
                  <c:v>-4.8000000000000001E-2</c:v>
                </c:pt>
                <c:pt idx="17">
                  <c:v>-0.17599999999999999</c:v>
                </c:pt>
                <c:pt idx="18">
                  <c:v>-0.14699999999999999</c:v>
                </c:pt>
                <c:pt idx="19">
                  <c:v>-0.28299999999999997</c:v>
                </c:pt>
                <c:pt idx="20">
                  <c:v>-0.158</c:v>
                </c:pt>
                <c:pt idx="21">
                  <c:v>-0.29299999999999998</c:v>
                </c:pt>
                <c:pt idx="22">
                  <c:v>-0.111</c:v>
                </c:pt>
                <c:pt idx="23">
                  <c:v>-0.29199999999999998</c:v>
                </c:pt>
                <c:pt idx="24">
                  <c:v>-0.161</c:v>
                </c:pt>
                <c:pt idx="25">
                  <c:v>-0.317</c:v>
                </c:pt>
                <c:pt idx="26">
                  <c:v>-0.26</c:v>
                </c:pt>
                <c:pt idx="27">
                  <c:v>-0.27900000000000003</c:v>
                </c:pt>
                <c:pt idx="28">
                  <c:v>-0.20699999999999999</c:v>
                </c:pt>
                <c:pt idx="29">
                  <c:v>-0.38400000000000001</c:v>
                </c:pt>
                <c:pt idx="30">
                  <c:v>-0.26900000000000002</c:v>
                </c:pt>
                <c:pt idx="31">
                  <c:v>-0.33700000000000002</c:v>
                </c:pt>
                <c:pt idx="32">
                  <c:v>-0.26400000000000001</c:v>
                </c:pt>
                <c:pt idx="33">
                  <c:v>-0.41799999999999998</c:v>
                </c:pt>
                <c:pt idx="34">
                  <c:v>-0.187</c:v>
                </c:pt>
                <c:pt idx="35">
                  <c:v>-0.36</c:v>
                </c:pt>
                <c:pt idx="36">
                  <c:v>-0.22900000000000001</c:v>
                </c:pt>
                <c:pt idx="37">
                  <c:v>-0.315</c:v>
                </c:pt>
                <c:pt idx="38">
                  <c:v>-0.216</c:v>
                </c:pt>
                <c:pt idx="39">
                  <c:v>-0.379</c:v>
                </c:pt>
                <c:pt idx="40">
                  <c:v>-0.29599999999999999</c:v>
                </c:pt>
                <c:pt idx="41">
                  <c:v>-0.438</c:v>
                </c:pt>
                <c:pt idx="42">
                  <c:v>-0.23300000000000001</c:v>
                </c:pt>
                <c:pt idx="43">
                  <c:v>-0.41699999999999998</c:v>
                </c:pt>
                <c:pt idx="44">
                  <c:v>-0.29199999999999998</c:v>
                </c:pt>
                <c:pt idx="45">
                  <c:v>-0.46100000000000002</c:v>
                </c:pt>
                <c:pt idx="46">
                  <c:v>-0.38200000000000001</c:v>
                </c:pt>
                <c:pt idx="47">
                  <c:v>-0.47499999999999998</c:v>
                </c:pt>
                <c:pt idx="48">
                  <c:v>-3.1E-2</c:v>
                </c:pt>
                <c:pt idx="49">
                  <c:v>-0.11899999999999999</c:v>
                </c:pt>
                <c:pt idx="50">
                  <c:v>-1.7000000000000001E-2</c:v>
                </c:pt>
                <c:pt idx="51">
                  <c:v>-0.112</c:v>
                </c:pt>
                <c:pt idx="52">
                  <c:v>-7.8E-2</c:v>
                </c:pt>
                <c:pt idx="53">
                  <c:v>-0.19600000000000001</c:v>
                </c:pt>
                <c:pt idx="54">
                  <c:v>-0.14699999999999999</c:v>
                </c:pt>
                <c:pt idx="55">
                  <c:v>-0.222</c:v>
                </c:pt>
                <c:pt idx="56">
                  <c:v>-0.121</c:v>
                </c:pt>
                <c:pt idx="57">
                  <c:v>-0.27700000000000002</c:v>
                </c:pt>
                <c:pt idx="58">
                  <c:v>-0.151</c:v>
                </c:pt>
                <c:pt idx="59">
                  <c:v>-0.217</c:v>
                </c:pt>
                <c:pt idx="60">
                  <c:v>-7.4999999999999997E-2</c:v>
                </c:pt>
                <c:pt idx="61">
                  <c:v>-0.20200000000000001</c:v>
                </c:pt>
                <c:pt idx="62">
                  <c:v>-0.153</c:v>
                </c:pt>
                <c:pt idx="63">
                  <c:v>-0.27400000000000002</c:v>
                </c:pt>
                <c:pt idx="64">
                  <c:v>-0.28499999999999998</c:v>
                </c:pt>
                <c:pt idx="65">
                  <c:v>-0.34899999999999998</c:v>
                </c:pt>
                <c:pt idx="66">
                  <c:v>-0.24299999999999999</c:v>
                </c:pt>
                <c:pt idx="67">
                  <c:v>-0.34100000000000003</c:v>
                </c:pt>
                <c:pt idx="68">
                  <c:v>8.2000000000000003E-2</c:v>
                </c:pt>
                <c:pt idx="69">
                  <c:v>-0.20799999999999999</c:v>
                </c:pt>
                <c:pt idx="70">
                  <c:v>-0.17499999999999999</c:v>
                </c:pt>
                <c:pt idx="71">
                  <c:v>-0.2</c:v>
                </c:pt>
                <c:pt idx="72">
                  <c:v>-0.28499999999999998</c:v>
                </c:pt>
                <c:pt idx="73">
                  <c:v>-0.36399999999999999</c:v>
                </c:pt>
                <c:pt idx="74">
                  <c:v>-0.25</c:v>
                </c:pt>
                <c:pt idx="75">
                  <c:v>-0.31900000000000001</c:v>
                </c:pt>
                <c:pt idx="76">
                  <c:v>6.9000000000000006E-2</c:v>
                </c:pt>
                <c:pt idx="77">
                  <c:v>-0.221</c:v>
                </c:pt>
                <c:pt idx="78">
                  <c:v>-0.11899999999999999</c:v>
                </c:pt>
                <c:pt idx="79">
                  <c:v>-0.22700000000000001</c:v>
                </c:pt>
                <c:pt idx="80">
                  <c:v>-0.129</c:v>
                </c:pt>
                <c:pt idx="81">
                  <c:v>-0.22500000000000001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7B-48B8-8EB7-9BF35AB7270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('AMP1-8'!$AB$4,'AMP1-8'!$AB$4)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7B-48B8-8EB7-9BF35AB7270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('AMP1-8'!$AB$5,'AMP1-8'!$AB$5)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7B-48B8-8EB7-9BF35AB72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70384"/>
        <c:axId val="408270776"/>
      </c:scatterChart>
      <c:valAx>
        <c:axId val="40827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0776"/>
        <c:crosses val="autoZero"/>
        <c:crossBetween val="midCat"/>
      </c:valAx>
      <c:valAx>
        <c:axId val="4082707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0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'AMP1-8'!$AC$9:$AC$90</c:f>
              <c:numCache>
                <c:formatCode>General</c:formatCode>
                <c:ptCount val="82"/>
                <c:pt idx="0">
                  <c:v>-3.7999999999999999E-2</c:v>
                </c:pt>
                <c:pt idx="1">
                  <c:v>-0.26400000000000001</c:v>
                </c:pt>
                <c:pt idx="2">
                  <c:v>-0.14000000000000001</c:v>
                </c:pt>
                <c:pt idx="3">
                  <c:v>-0.27600000000000002</c:v>
                </c:pt>
                <c:pt idx="4">
                  <c:v>-0.13500000000000001</c:v>
                </c:pt>
                <c:pt idx="5">
                  <c:v>-0.25600000000000001</c:v>
                </c:pt>
                <c:pt idx="6">
                  <c:v>-0.224</c:v>
                </c:pt>
                <c:pt idx="7">
                  <c:v>-0.39100000000000001</c:v>
                </c:pt>
                <c:pt idx="8">
                  <c:v>-0.22700000000000001</c:v>
                </c:pt>
                <c:pt idx="9">
                  <c:v>-0.33100000000000002</c:v>
                </c:pt>
                <c:pt idx="10">
                  <c:v>-0.13500000000000001</c:v>
                </c:pt>
                <c:pt idx="11">
                  <c:v>-0.30499999999999999</c:v>
                </c:pt>
                <c:pt idx="12">
                  <c:v>-0.1</c:v>
                </c:pt>
                <c:pt idx="13">
                  <c:v>-0.224</c:v>
                </c:pt>
                <c:pt idx="14">
                  <c:v>-0.24199999999999999</c:v>
                </c:pt>
                <c:pt idx="15">
                  <c:v>-0.39</c:v>
                </c:pt>
                <c:pt idx="16">
                  <c:v>-8.4000000000000005E-2</c:v>
                </c:pt>
                <c:pt idx="17">
                  <c:v>-0.27</c:v>
                </c:pt>
                <c:pt idx="18">
                  <c:v>-0.14099999999999999</c:v>
                </c:pt>
                <c:pt idx="19">
                  <c:v>-0.374</c:v>
                </c:pt>
                <c:pt idx="20">
                  <c:v>-0.214</c:v>
                </c:pt>
                <c:pt idx="21">
                  <c:v>-0.371</c:v>
                </c:pt>
                <c:pt idx="22">
                  <c:v>-0.151</c:v>
                </c:pt>
                <c:pt idx="23">
                  <c:v>-0.33300000000000002</c:v>
                </c:pt>
                <c:pt idx="24">
                  <c:v>-0.19600000000000001</c:v>
                </c:pt>
                <c:pt idx="25">
                  <c:v>-0.38600000000000001</c:v>
                </c:pt>
                <c:pt idx="26">
                  <c:v>-0.32900000000000001</c:v>
                </c:pt>
                <c:pt idx="27">
                  <c:v>-0.35099999999999998</c:v>
                </c:pt>
                <c:pt idx="28">
                  <c:v>-0.26900000000000002</c:v>
                </c:pt>
                <c:pt idx="29">
                  <c:v>-0.443</c:v>
                </c:pt>
                <c:pt idx="30">
                  <c:v>-0.28899999999999998</c:v>
                </c:pt>
                <c:pt idx="31">
                  <c:v>-0.41099999999999998</c:v>
                </c:pt>
                <c:pt idx="32">
                  <c:v>-0.28899999999999998</c:v>
                </c:pt>
                <c:pt idx="33">
                  <c:v>-0.47299999999999998</c:v>
                </c:pt>
                <c:pt idx="34">
                  <c:v>-0.22</c:v>
                </c:pt>
                <c:pt idx="35">
                  <c:v>-0.443</c:v>
                </c:pt>
                <c:pt idx="36">
                  <c:v>-0.26500000000000001</c:v>
                </c:pt>
                <c:pt idx="37">
                  <c:v>-0.38900000000000001</c:v>
                </c:pt>
                <c:pt idx="38">
                  <c:v>-0.25</c:v>
                </c:pt>
                <c:pt idx="39">
                  <c:v>-0.436</c:v>
                </c:pt>
                <c:pt idx="40">
                  <c:v>-0.34899999999999998</c:v>
                </c:pt>
                <c:pt idx="41">
                  <c:v>-0.49</c:v>
                </c:pt>
                <c:pt idx="42">
                  <c:v>-0.28799999999999998</c:v>
                </c:pt>
                <c:pt idx="43">
                  <c:v>-0.45600000000000002</c:v>
                </c:pt>
                <c:pt idx="44">
                  <c:v>-0.36199999999999999</c:v>
                </c:pt>
                <c:pt idx="45">
                  <c:v>-0.53400000000000003</c:v>
                </c:pt>
                <c:pt idx="46">
                  <c:v>-0.39100000000000001</c:v>
                </c:pt>
                <c:pt idx="47">
                  <c:v>-0.56599999999999995</c:v>
                </c:pt>
                <c:pt idx="48">
                  <c:v>-8.1000000000000003E-2</c:v>
                </c:pt>
                <c:pt idx="49">
                  <c:v>-0.17100000000000001</c:v>
                </c:pt>
                <c:pt idx="50">
                  <c:v>-7.3999999999999996E-2</c:v>
                </c:pt>
                <c:pt idx="51">
                  <c:v>-0.17199999999999999</c:v>
                </c:pt>
                <c:pt idx="52">
                  <c:v>-0.124</c:v>
                </c:pt>
                <c:pt idx="53">
                  <c:v>-0.27700000000000002</c:v>
                </c:pt>
                <c:pt idx="54">
                  <c:v>-0.222</c:v>
                </c:pt>
                <c:pt idx="55">
                  <c:v>-0.30299999999999999</c:v>
                </c:pt>
                <c:pt idx="56">
                  <c:v>-0.183</c:v>
                </c:pt>
                <c:pt idx="57">
                  <c:v>-0.35199999999999998</c:v>
                </c:pt>
                <c:pt idx="58">
                  <c:v>-0.17499999999999999</c:v>
                </c:pt>
                <c:pt idx="59">
                  <c:v>-0.27700000000000002</c:v>
                </c:pt>
                <c:pt idx="60">
                  <c:v>-0.14399999999999999</c:v>
                </c:pt>
                <c:pt idx="61">
                  <c:v>-0.28100000000000003</c:v>
                </c:pt>
                <c:pt idx="62">
                  <c:v>-0.23</c:v>
                </c:pt>
                <c:pt idx="63">
                  <c:v>-0.34100000000000003</c:v>
                </c:pt>
                <c:pt idx="64">
                  <c:v>-0.33300000000000002</c:v>
                </c:pt>
                <c:pt idx="65">
                  <c:v>-0.41</c:v>
                </c:pt>
                <c:pt idx="66">
                  <c:v>-0.26500000000000001</c:v>
                </c:pt>
                <c:pt idx="67">
                  <c:v>-0.43099999999999999</c:v>
                </c:pt>
                <c:pt idx="68">
                  <c:v>8.0000000000000002E-3</c:v>
                </c:pt>
                <c:pt idx="69">
                  <c:v>-0.29299999999999998</c:v>
                </c:pt>
                <c:pt idx="70">
                  <c:v>-0.221</c:v>
                </c:pt>
                <c:pt idx="71">
                  <c:v>-0.28499999999999998</c:v>
                </c:pt>
                <c:pt idx="72">
                  <c:v>-0.33400000000000002</c:v>
                </c:pt>
                <c:pt idx="73">
                  <c:v>-0.434</c:v>
                </c:pt>
                <c:pt idx="74">
                  <c:v>-0.26500000000000001</c:v>
                </c:pt>
                <c:pt idx="75">
                  <c:v>-0.35</c:v>
                </c:pt>
                <c:pt idx="76">
                  <c:v>1.4999999999999999E-2</c:v>
                </c:pt>
                <c:pt idx="77">
                  <c:v>-0.29899999999999999</c:v>
                </c:pt>
                <c:pt idx="78">
                  <c:v>-0.189</c:v>
                </c:pt>
                <c:pt idx="79">
                  <c:v>-0.29099999999999998</c:v>
                </c:pt>
                <c:pt idx="80">
                  <c:v>-0.157</c:v>
                </c:pt>
                <c:pt idx="81">
                  <c:v>-0.29799999999999999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3F-4D19-BE89-F34D8A063C9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('AMP1-8'!$AC$4,'AMP1-8'!$AC$4)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3F-4D19-BE89-F34D8A063C9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('AMP1-8'!$AC$5,'AMP1-8'!$AC$5)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3F-4D19-BE89-F34D8A063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71560"/>
        <c:axId val="408271952"/>
      </c:scatterChart>
      <c:valAx>
        <c:axId val="408271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1952"/>
        <c:crosses val="autoZero"/>
        <c:crossBetween val="midCat"/>
      </c:valAx>
      <c:valAx>
        <c:axId val="4082719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1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'AMP1-8'!$AD$9:$AD$90</c:f>
              <c:numCache>
                <c:formatCode>General</c:formatCode>
                <c:ptCount val="82"/>
                <c:pt idx="0">
                  <c:v>0.112</c:v>
                </c:pt>
                <c:pt idx="1">
                  <c:v>0.14499999999999999</c:v>
                </c:pt>
                <c:pt idx="2">
                  <c:v>1.2E-2</c:v>
                </c:pt>
                <c:pt idx="3">
                  <c:v>0.11799999999999999</c:v>
                </c:pt>
                <c:pt idx="4">
                  <c:v>5.7000000000000002E-2</c:v>
                </c:pt>
                <c:pt idx="5">
                  <c:v>0.187</c:v>
                </c:pt>
                <c:pt idx="6">
                  <c:v>-2.9000000000000001E-2</c:v>
                </c:pt>
                <c:pt idx="7">
                  <c:v>5.0000000000000001E-3</c:v>
                </c:pt>
                <c:pt idx="8">
                  <c:v>-5.5E-2</c:v>
                </c:pt>
                <c:pt idx="9">
                  <c:v>3.0000000000000001E-3</c:v>
                </c:pt>
                <c:pt idx="10">
                  <c:v>-0.01</c:v>
                </c:pt>
                <c:pt idx="11">
                  <c:v>0.03</c:v>
                </c:pt>
                <c:pt idx="12">
                  <c:v>6.3E-2</c:v>
                </c:pt>
                <c:pt idx="13">
                  <c:v>9.2999999999999999E-2</c:v>
                </c:pt>
                <c:pt idx="14">
                  <c:v>-5.6000000000000001E-2</c:v>
                </c:pt>
                <c:pt idx="15">
                  <c:v>-1.2999999999999999E-2</c:v>
                </c:pt>
                <c:pt idx="16">
                  <c:v>-3.5999999999999997E-2</c:v>
                </c:pt>
                <c:pt idx="17">
                  <c:v>0.251</c:v>
                </c:pt>
                <c:pt idx="18">
                  <c:v>7.5999999999999998E-2</c:v>
                </c:pt>
                <c:pt idx="19">
                  <c:v>0.27400000000000002</c:v>
                </c:pt>
                <c:pt idx="20">
                  <c:v>2.7E-2</c:v>
                </c:pt>
                <c:pt idx="21">
                  <c:v>7.0000000000000007E-2</c:v>
                </c:pt>
                <c:pt idx="22">
                  <c:v>6.3E-2</c:v>
                </c:pt>
                <c:pt idx="23">
                  <c:v>0.01</c:v>
                </c:pt>
                <c:pt idx="24">
                  <c:v>5.8999999999999997E-2</c:v>
                </c:pt>
                <c:pt idx="25">
                  <c:v>7.6999999999999999E-2</c:v>
                </c:pt>
                <c:pt idx="26">
                  <c:v>-2.4E-2</c:v>
                </c:pt>
                <c:pt idx="27">
                  <c:v>0.13800000000000001</c:v>
                </c:pt>
                <c:pt idx="28">
                  <c:v>-8.0000000000000002E-3</c:v>
                </c:pt>
                <c:pt idx="29">
                  <c:v>-0.01</c:v>
                </c:pt>
                <c:pt idx="30">
                  <c:v>-7.9000000000000001E-2</c:v>
                </c:pt>
                <c:pt idx="31">
                  <c:v>-6.7000000000000004E-2</c:v>
                </c:pt>
                <c:pt idx="32">
                  <c:v>-5.6000000000000001E-2</c:v>
                </c:pt>
                <c:pt idx="33">
                  <c:v>1.4E-2</c:v>
                </c:pt>
                <c:pt idx="34">
                  <c:v>2.5000000000000001E-2</c:v>
                </c:pt>
                <c:pt idx="35">
                  <c:v>5.8999999999999997E-2</c:v>
                </c:pt>
                <c:pt idx="36">
                  <c:v>-0.13800000000000001</c:v>
                </c:pt>
                <c:pt idx="37">
                  <c:v>-7.0000000000000001E-3</c:v>
                </c:pt>
                <c:pt idx="38">
                  <c:v>-0.114</c:v>
                </c:pt>
                <c:pt idx="39">
                  <c:v>-3.4000000000000002E-2</c:v>
                </c:pt>
                <c:pt idx="40">
                  <c:v>-0.128</c:v>
                </c:pt>
                <c:pt idx="41">
                  <c:v>-0.15</c:v>
                </c:pt>
                <c:pt idx="42">
                  <c:v>5.1999999999999998E-2</c:v>
                </c:pt>
                <c:pt idx="43">
                  <c:v>9.8000000000000004E-2</c:v>
                </c:pt>
                <c:pt idx="44">
                  <c:v>-7.1999999999999995E-2</c:v>
                </c:pt>
                <c:pt idx="45">
                  <c:v>-0.105</c:v>
                </c:pt>
                <c:pt idx="46">
                  <c:v>-0.109</c:v>
                </c:pt>
                <c:pt idx="47">
                  <c:v>-5.0000000000000001E-3</c:v>
                </c:pt>
                <c:pt idx="48">
                  <c:v>0.105</c:v>
                </c:pt>
                <c:pt idx="49">
                  <c:v>0.06</c:v>
                </c:pt>
                <c:pt idx="50">
                  <c:v>6.8000000000000005E-2</c:v>
                </c:pt>
                <c:pt idx="51">
                  <c:v>5.1999999999999998E-2</c:v>
                </c:pt>
                <c:pt idx="52">
                  <c:v>0.06</c:v>
                </c:pt>
                <c:pt idx="53">
                  <c:v>6.3E-2</c:v>
                </c:pt>
                <c:pt idx="54">
                  <c:v>-0.08</c:v>
                </c:pt>
                <c:pt idx="55">
                  <c:v>0.18</c:v>
                </c:pt>
                <c:pt idx="56">
                  <c:v>-2.8000000000000001E-2</c:v>
                </c:pt>
                <c:pt idx="57">
                  <c:v>1.6E-2</c:v>
                </c:pt>
                <c:pt idx="58">
                  <c:v>3.5000000000000003E-2</c:v>
                </c:pt>
                <c:pt idx="59">
                  <c:v>3.5000000000000003E-2</c:v>
                </c:pt>
                <c:pt idx="60">
                  <c:v>6.9000000000000006E-2</c:v>
                </c:pt>
                <c:pt idx="61">
                  <c:v>7.0000000000000001E-3</c:v>
                </c:pt>
                <c:pt idx="62">
                  <c:v>3.4000000000000002E-2</c:v>
                </c:pt>
                <c:pt idx="63">
                  <c:v>-1.2999999999999999E-2</c:v>
                </c:pt>
                <c:pt idx="64">
                  <c:v>-0.17</c:v>
                </c:pt>
                <c:pt idx="65">
                  <c:v>-5.2999999999999999E-2</c:v>
                </c:pt>
                <c:pt idx="66">
                  <c:v>-5.7000000000000002E-2</c:v>
                </c:pt>
                <c:pt idx="67">
                  <c:v>-0.109</c:v>
                </c:pt>
                <c:pt idx="68">
                  <c:v>0.41299999999999998</c:v>
                </c:pt>
                <c:pt idx="69">
                  <c:v>-5.3999999999999999E-2</c:v>
                </c:pt>
                <c:pt idx="70">
                  <c:v>2.9000000000000001E-2</c:v>
                </c:pt>
                <c:pt idx="71">
                  <c:v>8.5000000000000006E-2</c:v>
                </c:pt>
                <c:pt idx="72">
                  <c:v>-8.1000000000000003E-2</c:v>
                </c:pt>
                <c:pt idx="73">
                  <c:v>2.3E-2</c:v>
                </c:pt>
                <c:pt idx="74">
                  <c:v>-2.8000000000000001E-2</c:v>
                </c:pt>
                <c:pt idx="75">
                  <c:v>-4.4999999999999998E-2</c:v>
                </c:pt>
                <c:pt idx="76">
                  <c:v>0.249</c:v>
                </c:pt>
                <c:pt idx="77">
                  <c:v>-0.20200000000000001</c:v>
                </c:pt>
                <c:pt idx="78">
                  <c:v>6.6000000000000003E-2</c:v>
                </c:pt>
                <c:pt idx="79">
                  <c:v>7.4999999999999997E-2</c:v>
                </c:pt>
                <c:pt idx="80">
                  <c:v>4.5999999999999999E-2</c:v>
                </c:pt>
                <c:pt idx="81">
                  <c:v>6.0000000000000001E-3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4-423F-8F80-A4DA42C111C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('AMP1-8'!$AD$4,'AMP1-8'!$AD$4)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34-423F-8F80-A4DA42C111C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('AMP1-8'!$AD$5,'AMP1-8'!$AD$5)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34-423F-8F80-A4DA42C11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72736"/>
        <c:axId val="408273128"/>
      </c:scatterChart>
      <c:valAx>
        <c:axId val="40827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3128"/>
        <c:crosses val="autoZero"/>
        <c:crossBetween val="midCat"/>
      </c:valAx>
      <c:valAx>
        <c:axId val="4082731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7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'AMP1-8'!$AE$9:$AE$90</c:f>
              <c:numCache>
                <c:formatCode>General</c:formatCode>
                <c:ptCount val="82"/>
                <c:pt idx="0">
                  <c:v>3.4000000000000002E-2</c:v>
                </c:pt>
                <c:pt idx="1">
                  <c:v>-0.13</c:v>
                </c:pt>
                <c:pt idx="2">
                  <c:v>-0.158</c:v>
                </c:pt>
                <c:pt idx="3">
                  <c:v>-0.14899999999999999</c:v>
                </c:pt>
                <c:pt idx="4">
                  <c:v>5.6000000000000001E-2</c:v>
                </c:pt>
                <c:pt idx="5">
                  <c:v>-7.9000000000000001E-2</c:v>
                </c:pt>
                <c:pt idx="6">
                  <c:v>-0.14000000000000001</c:v>
                </c:pt>
                <c:pt idx="7">
                  <c:v>-0.29799999999999999</c:v>
                </c:pt>
                <c:pt idx="8">
                  <c:v>-0.129</c:v>
                </c:pt>
                <c:pt idx="9">
                  <c:v>-0.26900000000000002</c:v>
                </c:pt>
                <c:pt idx="10">
                  <c:v>-7.1999999999999995E-2</c:v>
                </c:pt>
                <c:pt idx="11">
                  <c:v>-0.25600000000000001</c:v>
                </c:pt>
                <c:pt idx="12">
                  <c:v>-0.16200000000000001</c:v>
                </c:pt>
                <c:pt idx="13">
                  <c:v>-0.20200000000000001</c:v>
                </c:pt>
                <c:pt idx="14">
                  <c:v>-0.191</c:v>
                </c:pt>
                <c:pt idx="15">
                  <c:v>-0.28199999999999997</c:v>
                </c:pt>
                <c:pt idx="16">
                  <c:v>-0.20499999999999999</c:v>
                </c:pt>
                <c:pt idx="17">
                  <c:v>-0.04</c:v>
                </c:pt>
                <c:pt idx="18">
                  <c:v>-1.0999999999999999E-2</c:v>
                </c:pt>
                <c:pt idx="19">
                  <c:v>1E-3</c:v>
                </c:pt>
                <c:pt idx="20">
                  <c:v>-2.1000000000000001E-2</c:v>
                </c:pt>
                <c:pt idx="21">
                  <c:v>-0.23599999999999999</c:v>
                </c:pt>
                <c:pt idx="22">
                  <c:v>-1.2999999999999999E-2</c:v>
                </c:pt>
                <c:pt idx="23">
                  <c:v>-0.23899999999999999</c:v>
                </c:pt>
                <c:pt idx="24">
                  <c:v>-0.16800000000000001</c:v>
                </c:pt>
                <c:pt idx="25">
                  <c:v>-0.188</c:v>
                </c:pt>
                <c:pt idx="26">
                  <c:v>-0.108</c:v>
                </c:pt>
                <c:pt idx="27">
                  <c:v>-0.11799999999999999</c:v>
                </c:pt>
                <c:pt idx="28">
                  <c:v>-0.114</c:v>
                </c:pt>
                <c:pt idx="29">
                  <c:v>-0.21</c:v>
                </c:pt>
                <c:pt idx="30">
                  <c:v>-0.13900000000000001</c:v>
                </c:pt>
                <c:pt idx="31">
                  <c:v>-0.318</c:v>
                </c:pt>
                <c:pt idx="32">
                  <c:v>-0.25800000000000001</c:v>
                </c:pt>
                <c:pt idx="33">
                  <c:v>-0.248</c:v>
                </c:pt>
                <c:pt idx="34">
                  <c:v>-0.13</c:v>
                </c:pt>
                <c:pt idx="35">
                  <c:v>-0.23</c:v>
                </c:pt>
                <c:pt idx="36">
                  <c:v>-0.26600000000000001</c:v>
                </c:pt>
                <c:pt idx="37">
                  <c:v>-0.249</c:v>
                </c:pt>
                <c:pt idx="38">
                  <c:v>-0.23300000000000001</c:v>
                </c:pt>
                <c:pt idx="39">
                  <c:v>-0.27800000000000002</c:v>
                </c:pt>
                <c:pt idx="40">
                  <c:v>-0.376</c:v>
                </c:pt>
                <c:pt idx="41">
                  <c:v>-0.35399999999999998</c:v>
                </c:pt>
                <c:pt idx="42">
                  <c:v>0.01</c:v>
                </c:pt>
                <c:pt idx="43">
                  <c:v>-0.16400000000000001</c:v>
                </c:pt>
                <c:pt idx="44">
                  <c:v>-0.27500000000000002</c:v>
                </c:pt>
                <c:pt idx="45">
                  <c:v>-0.33800000000000002</c:v>
                </c:pt>
                <c:pt idx="46">
                  <c:v>-0.35799999999999998</c:v>
                </c:pt>
                <c:pt idx="47">
                  <c:v>-0.23699999999999999</c:v>
                </c:pt>
                <c:pt idx="48">
                  <c:v>-0.05</c:v>
                </c:pt>
                <c:pt idx="49">
                  <c:v>-0.215</c:v>
                </c:pt>
                <c:pt idx="50">
                  <c:v>-0.05</c:v>
                </c:pt>
                <c:pt idx="51">
                  <c:v>-0.23</c:v>
                </c:pt>
                <c:pt idx="52">
                  <c:v>-0.17599999999999999</c:v>
                </c:pt>
                <c:pt idx="53">
                  <c:v>-0.23300000000000001</c:v>
                </c:pt>
                <c:pt idx="54">
                  <c:v>-0.307</c:v>
                </c:pt>
                <c:pt idx="55">
                  <c:v>-6.2E-2</c:v>
                </c:pt>
                <c:pt idx="56">
                  <c:v>-0.247</c:v>
                </c:pt>
                <c:pt idx="57">
                  <c:v>-0.23499999999999999</c:v>
                </c:pt>
                <c:pt idx="58">
                  <c:v>-0.20899999999999999</c:v>
                </c:pt>
                <c:pt idx="59">
                  <c:v>-0.245</c:v>
                </c:pt>
                <c:pt idx="60">
                  <c:v>-0.15</c:v>
                </c:pt>
                <c:pt idx="61">
                  <c:v>-0.25900000000000001</c:v>
                </c:pt>
                <c:pt idx="62">
                  <c:v>-0.22500000000000001</c:v>
                </c:pt>
                <c:pt idx="63">
                  <c:v>-0.23599999999999999</c:v>
                </c:pt>
                <c:pt idx="64">
                  <c:v>-0.35399999999999998</c:v>
                </c:pt>
                <c:pt idx="65">
                  <c:v>-0.26500000000000001</c:v>
                </c:pt>
                <c:pt idx="66">
                  <c:v>-0.28899999999999998</c:v>
                </c:pt>
                <c:pt idx="67">
                  <c:v>-0.32900000000000001</c:v>
                </c:pt>
                <c:pt idx="68">
                  <c:v>0.36</c:v>
                </c:pt>
                <c:pt idx="69">
                  <c:v>-0.35</c:v>
                </c:pt>
                <c:pt idx="70">
                  <c:v>-8.3000000000000004E-2</c:v>
                </c:pt>
                <c:pt idx="71">
                  <c:v>-0.20499999999999999</c:v>
                </c:pt>
                <c:pt idx="72">
                  <c:v>-0.318</c:v>
                </c:pt>
                <c:pt idx="73">
                  <c:v>-0.23799999999999999</c:v>
                </c:pt>
                <c:pt idx="74">
                  <c:v>-0.28000000000000003</c:v>
                </c:pt>
                <c:pt idx="75">
                  <c:v>-0.28100000000000003</c:v>
                </c:pt>
                <c:pt idx="76">
                  <c:v>0.19600000000000001</c:v>
                </c:pt>
                <c:pt idx="77">
                  <c:v>-0.36599999999999999</c:v>
                </c:pt>
                <c:pt idx="78">
                  <c:v>-5.6000000000000001E-2</c:v>
                </c:pt>
                <c:pt idx="79">
                  <c:v>-0.18099999999999999</c:v>
                </c:pt>
                <c:pt idx="80">
                  <c:v>-2.5999999999999999E-2</c:v>
                </c:pt>
                <c:pt idx="81">
                  <c:v>-0.27400000000000002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1-4AD1-8978-ECE8ED2A67D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('AMP1-8'!$AE$4,'AMP1-8'!$AE$4)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F1-4AD1-8978-ECE8ED2A67D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('AMP1-8'!$AE$5,'AMP1-8'!$AE$5)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F1-4AD1-8978-ECE8ED2A6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18728"/>
        <c:axId val="408619120"/>
      </c:scatterChart>
      <c:valAx>
        <c:axId val="408618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19120"/>
        <c:crosses val="autoZero"/>
        <c:crossBetween val="midCat"/>
      </c:valAx>
      <c:valAx>
        <c:axId val="408619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18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'AMP1-8'!$AF$9:$AF$90</c:f>
              <c:numCache>
                <c:formatCode>General</c:formatCode>
                <c:ptCount val="82"/>
                <c:pt idx="0">
                  <c:v>5.6000000000000001E-2</c:v>
                </c:pt>
                <c:pt idx="1">
                  <c:v>-8.0000000000000002E-3</c:v>
                </c:pt>
                <c:pt idx="2">
                  <c:v>-5.3999999999999999E-2</c:v>
                </c:pt>
                <c:pt idx="3">
                  <c:v>-3.6999999999999998E-2</c:v>
                </c:pt>
                <c:pt idx="4">
                  <c:v>1.4E-2</c:v>
                </c:pt>
                <c:pt idx="5">
                  <c:v>-6.0000000000000001E-3</c:v>
                </c:pt>
                <c:pt idx="6">
                  <c:v>-0.13900000000000001</c:v>
                </c:pt>
                <c:pt idx="7">
                  <c:v>-0.104</c:v>
                </c:pt>
                <c:pt idx="8">
                  <c:v>-0.15</c:v>
                </c:pt>
                <c:pt idx="9">
                  <c:v>-1.7999999999999999E-2</c:v>
                </c:pt>
                <c:pt idx="10">
                  <c:v>-0.11</c:v>
                </c:pt>
                <c:pt idx="11">
                  <c:v>1.6E-2</c:v>
                </c:pt>
                <c:pt idx="12">
                  <c:v>-5.1999999999999998E-2</c:v>
                </c:pt>
                <c:pt idx="13">
                  <c:v>3.7999999999999999E-2</c:v>
                </c:pt>
                <c:pt idx="14">
                  <c:v>-0.152</c:v>
                </c:pt>
                <c:pt idx="15">
                  <c:v>-8.1000000000000003E-2</c:v>
                </c:pt>
                <c:pt idx="16">
                  <c:v>-2.9000000000000001E-2</c:v>
                </c:pt>
                <c:pt idx="17">
                  <c:v>3.5999999999999997E-2</c:v>
                </c:pt>
                <c:pt idx="18">
                  <c:v>-9.4E-2</c:v>
                </c:pt>
                <c:pt idx="19">
                  <c:v>-4.2000000000000003E-2</c:v>
                </c:pt>
                <c:pt idx="20">
                  <c:v>-0.128</c:v>
                </c:pt>
                <c:pt idx="21">
                  <c:v>-8.3000000000000004E-2</c:v>
                </c:pt>
                <c:pt idx="22">
                  <c:v>-0.13100000000000001</c:v>
                </c:pt>
                <c:pt idx="23">
                  <c:v>-8.6999999999999994E-2</c:v>
                </c:pt>
                <c:pt idx="24">
                  <c:v>-0.17699999999999999</c:v>
                </c:pt>
                <c:pt idx="25">
                  <c:v>-6.8000000000000005E-2</c:v>
                </c:pt>
                <c:pt idx="26">
                  <c:v>-0.26200000000000001</c:v>
                </c:pt>
                <c:pt idx="27">
                  <c:v>-6.2E-2</c:v>
                </c:pt>
                <c:pt idx="28">
                  <c:v>-0.223</c:v>
                </c:pt>
                <c:pt idx="29">
                  <c:v>-0.154</c:v>
                </c:pt>
                <c:pt idx="30">
                  <c:v>-0.28299999999999997</c:v>
                </c:pt>
                <c:pt idx="31">
                  <c:v>-7.9000000000000001E-2</c:v>
                </c:pt>
                <c:pt idx="32">
                  <c:v>-0.254</c:v>
                </c:pt>
                <c:pt idx="33">
                  <c:v>-0.218</c:v>
                </c:pt>
                <c:pt idx="34">
                  <c:v>-0.19</c:v>
                </c:pt>
                <c:pt idx="35">
                  <c:v>-0.10100000000000001</c:v>
                </c:pt>
                <c:pt idx="36">
                  <c:v>-0.13600000000000001</c:v>
                </c:pt>
                <c:pt idx="37">
                  <c:v>-9.1999999999999998E-2</c:v>
                </c:pt>
                <c:pt idx="38">
                  <c:v>-0.20300000000000001</c:v>
                </c:pt>
                <c:pt idx="39">
                  <c:v>-0.13</c:v>
                </c:pt>
                <c:pt idx="40">
                  <c:v>-0.35799999999999998</c:v>
                </c:pt>
                <c:pt idx="41">
                  <c:v>-0.29299999999999998</c:v>
                </c:pt>
                <c:pt idx="42">
                  <c:v>-0.23899999999999999</c:v>
                </c:pt>
                <c:pt idx="43">
                  <c:v>-0.18</c:v>
                </c:pt>
                <c:pt idx="44">
                  <c:v>-0.37</c:v>
                </c:pt>
                <c:pt idx="45">
                  <c:v>-0.21299999999999999</c:v>
                </c:pt>
                <c:pt idx="46">
                  <c:v>-0.379</c:v>
                </c:pt>
                <c:pt idx="47">
                  <c:v>-0.33700000000000002</c:v>
                </c:pt>
                <c:pt idx="48">
                  <c:v>5.0999999999999997E-2</c:v>
                </c:pt>
                <c:pt idx="49">
                  <c:v>5.8000000000000003E-2</c:v>
                </c:pt>
                <c:pt idx="50">
                  <c:v>0.01</c:v>
                </c:pt>
                <c:pt idx="51">
                  <c:v>9.7000000000000003E-2</c:v>
                </c:pt>
                <c:pt idx="52">
                  <c:v>-9.8000000000000004E-2</c:v>
                </c:pt>
                <c:pt idx="53">
                  <c:v>-1.4999999999999999E-2</c:v>
                </c:pt>
                <c:pt idx="54">
                  <c:v>-0.17199999999999999</c:v>
                </c:pt>
                <c:pt idx="55">
                  <c:v>-9.9000000000000005E-2</c:v>
                </c:pt>
                <c:pt idx="56">
                  <c:v>-0.153</c:v>
                </c:pt>
                <c:pt idx="57">
                  <c:v>-8.1000000000000003E-2</c:v>
                </c:pt>
                <c:pt idx="58">
                  <c:v>-8.3000000000000004E-2</c:v>
                </c:pt>
                <c:pt idx="59">
                  <c:v>-4.2000000000000003E-2</c:v>
                </c:pt>
                <c:pt idx="60">
                  <c:v>-6.9000000000000006E-2</c:v>
                </c:pt>
                <c:pt idx="61">
                  <c:v>-4.3999999999999997E-2</c:v>
                </c:pt>
                <c:pt idx="62">
                  <c:v>-0.124</c:v>
                </c:pt>
                <c:pt idx="63">
                  <c:v>0.11700000000000001</c:v>
                </c:pt>
                <c:pt idx="64">
                  <c:v>-0.22800000000000001</c:v>
                </c:pt>
                <c:pt idx="65">
                  <c:v>-0.23</c:v>
                </c:pt>
                <c:pt idx="66">
                  <c:v>-0.28299999999999997</c:v>
                </c:pt>
                <c:pt idx="67">
                  <c:v>-0.14699999999999999</c:v>
                </c:pt>
                <c:pt idx="68">
                  <c:v>-4.4999999999999998E-2</c:v>
                </c:pt>
                <c:pt idx="69">
                  <c:v>-5.0999999999999997E-2</c:v>
                </c:pt>
                <c:pt idx="70">
                  <c:v>-0.122</c:v>
                </c:pt>
                <c:pt idx="71">
                  <c:v>-3.2000000000000001E-2</c:v>
                </c:pt>
                <c:pt idx="72">
                  <c:v>-0.35</c:v>
                </c:pt>
                <c:pt idx="73">
                  <c:v>-0.16800000000000001</c:v>
                </c:pt>
                <c:pt idx="74">
                  <c:v>-0.23699999999999999</c:v>
                </c:pt>
                <c:pt idx="75">
                  <c:v>-0.17699999999999999</c:v>
                </c:pt>
                <c:pt idx="76">
                  <c:v>1.2E-2</c:v>
                </c:pt>
                <c:pt idx="77">
                  <c:v>-5.0999999999999997E-2</c:v>
                </c:pt>
                <c:pt idx="78">
                  <c:v>-6.6000000000000003E-2</c:v>
                </c:pt>
                <c:pt idx="79">
                  <c:v>-8.2000000000000003E-2</c:v>
                </c:pt>
                <c:pt idx="80">
                  <c:v>-0.112</c:v>
                </c:pt>
                <c:pt idx="81">
                  <c:v>-8.2000000000000003E-2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43-4BFB-9456-0DE2A3EB0E3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('AMP1-8'!$AF$4,'AMP1-8'!$AF$4)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43-4BFB-9456-0DE2A3EB0E3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('AMP1-8'!$AF$5,'AMP1-8'!$AF$5)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43-4BFB-9456-0DE2A3EB0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19512"/>
        <c:axId val="408619904"/>
      </c:scatterChart>
      <c:valAx>
        <c:axId val="408619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19904"/>
        <c:crosses val="autoZero"/>
        <c:crossBetween val="midCat"/>
      </c:valAx>
      <c:valAx>
        <c:axId val="4086199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19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'AMP1-8'!$AG$9:$AG$90</c:f>
              <c:numCache>
                <c:formatCode>General</c:formatCode>
                <c:ptCount val="82"/>
                <c:pt idx="0">
                  <c:v>9.2999999999999999E-2</c:v>
                </c:pt>
                <c:pt idx="1">
                  <c:v>-5.5E-2</c:v>
                </c:pt>
                <c:pt idx="2">
                  <c:v>-4.2000000000000003E-2</c:v>
                </c:pt>
                <c:pt idx="3">
                  <c:v>-4.8000000000000001E-2</c:v>
                </c:pt>
                <c:pt idx="4">
                  <c:v>0.05</c:v>
                </c:pt>
                <c:pt idx="5">
                  <c:v>-6.0000000000000001E-3</c:v>
                </c:pt>
                <c:pt idx="6">
                  <c:v>-0.11</c:v>
                </c:pt>
                <c:pt idx="7">
                  <c:v>-0.128</c:v>
                </c:pt>
                <c:pt idx="8">
                  <c:v>-0.107</c:v>
                </c:pt>
                <c:pt idx="9">
                  <c:v>-1.2999999999999999E-2</c:v>
                </c:pt>
                <c:pt idx="10">
                  <c:v>-8.1000000000000003E-2</c:v>
                </c:pt>
                <c:pt idx="11">
                  <c:v>6.0000000000000001E-3</c:v>
                </c:pt>
                <c:pt idx="12">
                  <c:v>-0.09</c:v>
                </c:pt>
                <c:pt idx="13">
                  <c:v>2.5999999999999999E-2</c:v>
                </c:pt>
                <c:pt idx="14">
                  <c:v>-0.112</c:v>
                </c:pt>
                <c:pt idx="15">
                  <c:v>-8.8999999999999996E-2</c:v>
                </c:pt>
                <c:pt idx="16">
                  <c:v>0.01</c:v>
                </c:pt>
                <c:pt idx="17">
                  <c:v>0.02</c:v>
                </c:pt>
                <c:pt idx="18">
                  <c:v>-6.7000000000000004E-2</c:v>
                </c:pt>
                <c:pt idx="19">
                  <c:v>-4.4999999999999998E-2</c:v>
                </c:pt>
                <c:pt idx="20">
                  <c:v>-9.0999999999999998E-2</c:v>
                </c:pt>
                <c:pt idx="21">
                  <c:v>-0.11799999999999999</c:v>
                </c:pt>
                <c:pt idx="22">
                  <c:v>-9.0999999999999998E-2</c:v>
                </c:pt>
                <c:pt idx="23">
                  <c:v>-8.6999999999999994E-2</c:v>
                </c:pt>
                <c:pt idx="24">
                  <c:v>-0.151</c:v>
                </c:pt>
                <c:pt idx="25">
                  <c:v>-8.4000000000000005E-2</c:v>
                </c:pt>
                <c:pt idx="26">
                  <c:v>-0.216</c:v>
                </c:pt>
                <c:pt idx="27">
                  <c:v>-8.6999999999999994E-2</c:v>
                </c:pt>
                <c:pt idx="28">
                  <c:v>-0.223</c:v>
                </c:pt>
                <c:pt idx="29">
                  <c:v>-0.154</c:v>
                </c:pt>
                <c:pt idx="30">
                  <c:v>-0.23799999999999999</c:v>
                </c:pt>
                <c:pt idx="31">
                  <c:v>-6.6000000000000003E-2</c:v>
                </c:pt>
                <c:pt idx="32">
                  <c:v>-0.24399999999999999</c:v>
                </c:pt>
                <c:pt idx="33">
                  <c:v>-0.23699999999999999</c:v>
                </c:pt>
                <c:pt idx="34">
                  <c:v>-0.17</c:v>
                </c:pt>
                <c:pt idx="35">
                  <c:v>-0.106</c:v>
                </c:pt>
                <c:pt idx="36">
                  <c:v>-0.10100000000000001</c:v>
                </c:pt>
                <c:pt idx="37">
                  <c:v>-9.5000000000000001E-2</c:v>
                </c:pt>
                <c:pt idx="38">
                  <c:v>-0.18</c:v>
                </c:pt>
                <c:pt idx="39">
                  <c:v>-0.13600000000000001</c:v>
                </c:pt>
                <c:pt idx="40">
                  <c:v>-0.33100000000000002</c:v>
                </c:pt>
                <c:pt idx="41">
                  <c:v>-0.29299999999999998</c:v>
                </c:pt>
                <c:pt idx="42">
                  <c:v>-0.214</c:v>
                </c:pt>
                <c:pt idx="43">
                  <c:v>-0.186</c:v>
                </c:pt>
                <c:pt idx="44">
                  <c:v>-0.314</c:v>
                </c:pt>
                <c:pt idx="45">
                  <c:v>-0.22500000000000001</c:v>
                </c:pt>
                <c:pt idx="46">
                  <c:v>-0.34599999999999997</c:v>
                </c:pt>
                <c:pt idx="47">
                  <c:v>-0.35599999999999998</c:v>
                </c:pt>
                <c:pt idx="48">
                  <c:v>9.7000000000000003E-2</c:v>
                </c:pt>
                <c:pt idx="49">
                  <c:v>4.8000000000000001E-2</c:v>
                </c:pt>
                <c:pt idx="50">
                  <c:v>4.2000000000000003E-2</c:v>
                </c:pt>
                <c:pt idx="51">
                  <c:v>0.09</c:v>
                </c:pt>
                <c:pt idx="52">
                  <c:v>-4.7E-2</c:v>
                </c:pt>
                <c:pt idx="53">
                  <c:v>-3.1E-2</c:v>
                </c:pt>
                <c:pt idx="54">
                  <c:v>-9.1999999999999998E-2</c:v>
                </c:pt>
                <c:pt idx="55">
                  <c:v>-0.122</c:v>
                </c:pt>
                <c:pt idx="56">
                  <c:v>-0.13600000000000001</c:v>
                </c:pt>
                <c:pt idx="57">
                  <c:v>-0.10100000000000001</c:v>
                </c:pt>
                <c:pt idx="58">
                  <c:v>-4.1000000000000002E-2</c:v>
                </c:pt>
                <c:pt idx="59">
                  <c:v>-0.06</c:v>
                </c:pt>
                <c:pt idx="60">
                  <c:v>-4.2000000000000003E-2</c:v>
                </c:pt>
                <c:pt idx="61">
                  <c:v>-8.1000000000000003E-2</c:v>
                </c:pt>
                <c:pt idx="62">
                  <c:v>-9.2999999999999999E-2</c:v>
                </c:pt>
                <c:pt idx="63">
                  <c:v>7.0999999999999994E-2</c:v>
                </c:pt>
                <c:pt idx="64">
                  <c:v>-0.17799999999999999</c:v>
                </c:pt>
                <c:pt idx="65">
                  <c:v>-0.22500000000000001</c:v>
                </c:pt>
                <c:pt idx="66">
                  <c:v>-0.214</c:v>
                </c:pt>
                <c:pt idx="67">
                  <c:v>-0.17699999999999999</c:v>
                </c:pt>
                <c:pt idx="68">
                  <c:v>-2.1999999999999999E-2</c:v>
                </c:pt>
                <c:pt idx="69">
                  <c:v>-7.3999999999999996E-2</c:v>
                </c:pt>
                <c:pt idx="70">
                  <c:v>-8.4000000000000005E-2</c:v>
                </c:pt>
                <c:pt idx="71">
                  <c:v>-0.109</c:v>
                </c:pt>
                <c:pt idx="72">
                  <c:v>-0.33300000000000002</c:v>
                </c:pt>
                <c:pt idx="73">
                  <c:v>-0.158</c:v>
                </c:pt>
                <c:pt idx="74">
                  <c:v>-0.184</c:v>
                </c:pt>
                <c:pt idx="75">
                  <c:v>-0.192</c:v>
                </c:pt>
                <c:pt idx="76">
                  <c:v>0.05</c:v>
                </c:pt>
                <c:pt idx="77">
                  <c:v>-6.7000000000000004E-2</c:v>
                </c:pt>
                <c:pt idx="78">
                  <c:v>-3.7999999999999999E-2</c:v>
                </c:pt>
                <c:pt idx="79">
                  <c:v>-9.5000000000000001E-2</c:v>
                </c:pt>
                <c:pt idx="80">
                  <c:v>-9.8000000000000004E-2</c:v>
                </c:pt>
                <c:pt idx="81">
                  <c:v>-9.6000000000000002E-2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0-44F8-B9DB-96BB105E72C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('AMP1-8'!$AG$4,'AMP1-8'!$AG$4)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0-44F8-B9DB-96BB105E72C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('AMP1-8'!$AG$5,'AMP1-8'!$AG$5)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50-44F8-B9DB-96BB105E7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20688"/>
        <c:axId val="408621080"/>
      </c:scatterChart>
      <c:valAx>
        <c:axId val="40862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1080"/>
        <c:crosses val="autoZero"/>
        <c:crossBetween val="midCat"/>
      </c:valAx>
      <c:valAx>
        <c:axId val="4086210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'AMP1-8'!$AH$9:$AH$90</c:f>
              <c:numCache>
                <c:formatCode>General</c:formatCode>
                <c:ptCount val="82"/>
                <c:pt idx="0">
                  <c:v>0.156</c:v>
                </c:pt>
                <c:pt idx="1">
                  <c:v>5.3999999999999999E-2</c:v>
                </c:pt>
                <c:pt idx="2">
                  <c:v>0.05</c:v>
                </c:pt>
                <c:pt idx="3">
                  <c:v>0.104</c:v>
                </c:pt>
                <c:pt idx="4">
                  <c:v>0.14099999999999999</c:v>
                </c:pt>
                <c:pt idx="5">
                  <c:v>0.128</c:v>
                </c:pt>
                <c:pt idx="6">
                  <c:v>-0.01</c:v>
                </c:pt>
                <c:pt idx="7">
                  <c:v>7.0000000000000001E-3</c:v>
                </c:pt>
                <c:pt idx="8">
                  <c:v>-1.2E-2</c:v>
                </c:pt>
                <c:pt idx="9">
                  <c:v>2.8000000000000001E-2</c:v>
                </c:pt>
                <c:pt idx="10">
                  <c:v>-1.4999999999999999E-2</c:v>
                </c:pt>
                <c:pt idx="11">
                  <c:v>7.8E-2</c:v>
                </c:pt>
                <c:pt idx="12">
                  <c:v>5.6000000000000001E-2</c:v>
                </c:pt>
                <c:pt idx="13">
                  <c:v>9.5000000000000001E-2</c:v>
                </c:pt>
                <c:pt idx="14">
                  <c:v>-1.9E-2</c:v>
                </c:pt>
                <c:pt idx="15">
                  <c:v>-5.0000000000000001E-3</c:v>
                </c:pt>
                <c:pt idx="16">
                  <c:v>-2.1999999999999999E-2</c:v>
                </c:pt>
                <c:pt idx="17">
                  <c:v>0.26100000000000001</c:v>
                </c:pt>
                <c:pt idx="18">
                  <c:v>0.14899999999999999</c:v>
                </c:pt>
                <c:pt idx="19">
                  <c:v>0.314</c:v>
                </c:pt>
                <c:pt idx="20">
                  <c:v>6.2E-2</c:v>
                </c:pt>
                <c:pt idx="21">
                  <c:v>0.05</c:v>
                </c:pt>
                <c:pt idx="22">
                  <c:v>1.4999999999999999E-2</c:v>
                </c:pt>
                <c:pt idx="23">
                  <c:v>-8.9999999999999993E-3</c:v>
                </c:pt>
                <c:pt idx="24">
                  <c:v>3.0000000000000001E-3</c:v>
                </c:pt>
                <c:pt idx="25">
                  <c:v>0.11799999999999999</c:v>
                </c:pt>
                <c:pt idx="26">
                  <c:v>0</c:v>
                </c:pt>
                <c:pt idx="27">
                  <c:v>0.11799999999999999</c:v>
                </c:pt>
                <c:pt idx="28">
                  <c:v>1E-3</c:v>
                </c:pt>
                <c:pt idx="29">
                  <c:v>-1.2E-2</c:v>
                </c:pt>
                <c:pt idx="30">
                  <c:v>-5.1999999999999998E-2</c:v>
                </c:pt>
                <c:pt idx="31">
                  <c:v>-7.3999999999999996E-2</c:v>
                </c:pt>
                <c:pt idx="32">
                  <c:v>-0.01</c:v>
                </c:pt>
                <c:pt idx="33">
                  <c:v>-7.0000000000000001E-3</c:v>
                </c:pt>
                <c:pt idx="34">
                  <c:v>0</c:v>
                </c:pt>
                <c:pt idx="35">
                  <c:v>7.9000000000000001E-2</c:v>
                </c:pt>
                <c:pt idx="36">
                  <c:v>-4.0000000000000001E-3</c:v>
                </c:pt>
                <c:pt idx="37">
                  <c:v>0.04</c:v>
                </c:pt>
                <c:pt idx="38">
                  <c:v>-4.3999999999999997E-2</c:v>
                </c:pt>
                <c:pt idx="39">
                  <c:v>-1.7999999999999999E-2</c:v>
                </c:pt>
                <c:pt idx="40">
                  <c:v>-0.156</c:v>
                </c:pt>
                <c:pt idx="41">
                  <c:v>-0.17199999999999999</c:v>
                </c:pt>
                <c:pt idx="42">
                  <c:v>6.3E-2</c:v>
                </c:pt>
                <c:pt idx="43">
                  <c:v>9.0999999999999998E-2</c:v>
                </c:pt>
                <c:pt idx="44">
                  <c:v>-0.11899999999999999</c:v>
                </c:pt>
                <c:pt idx="45">
                  <c:v>-2.1000000000000001E-2</c:v>
                </c:pt>
                <c:pt idx="46">
                  <c:v>-0.114</c:v>
                </c:pt>
                <c:pt idx="47">
                  <c:v>-8.3000000000000004E-2</c:v>
                </c:pt>
                <c:pt idx="48">
                  <c:v>0.17199999999999999</c:v>
                </c:pt>
                <c:pt idx="49">
                  <c:v>3.0000000000000001E-3</c:v>
                </c:pt>
                <c:pt idx="50">
                  <c:v>0.11899999999999999</c:v>
                </c:pt>
                <c:pt idx="51">
                  <c:v>8.1000000000000003E-2</c:v>
                </c:pt>
                <c:pt idx="52">
                  <c:v>1.7999999999999999E-2</c:v>
                </c:pt>
                <c:pt idx="53">
                  <c:v>2.5999999999999999E-2</c:v>
                </c:pt>
                <c:pt idx="54">
                  <c:v>-0.11600000000000001</c:v>
                </c:pt>
                <c:pt idx="55">
                  <c:v>9.4E-2</c:v>
                </c:pt>
                <c:pt idx="56">
                  <c:v>-6.5000000000000002E-2</c:v>
                </c:pt>
                <c:pt idx="57">
                  <c:v>-2.8000000000000001E-2</c:v>
                </c:pt>
                <c:pt idx="58">
                  <c:v>6.5000000000000002E-2</c:v>
                </c:pt>
                <c:pt idx="59">
                  <c:v>-1.6E-2</c:v>
                </c:pt>
                <c:pt idx="60">
                  <c:v>6.9000000000000006E-2</c:v>
                </c:pt>
                <c:pt idx="61">
                  <c:v>-6.2E-2</c:v>
                </c:pt>
                <c:pt idx="62">
                  <c:v>5.6000000000000001E-2</c:v>
                </c:pt>
                <c:pt idx="63">
                  <c:v>0.154</c:v>
                </c:pt>
                <c:pt idx="64">
                  <c:v>-0.105</c:v>
                </c:pt>
                <c:pt idx="65">
                  <c:v>-9.0999999999999998E-2</c:v>
                </c:pt>
                <c:pt idx="66">
                  <c:v>-0.13800000000000001</c:v>
                </c:pt>
                <c:pt idx="67">
                  <c:v>-0.115</c:v>
                </c:pt>
                <c:pt idx="68">
                  <c:v>0.33900000000000002</c:v>
                </c:pt>
                <c:pt idx="69">
                  <c:v>-0.129</c:v>
                </c:pt>
                <c:pt idx="70">
                  <c:v>5.5E-2</c:v>
                </c:pt>
                <c:pt idx="71">
                  <c:v>-1.6E-2</c:v>
                </c:pt>
                <c:pt idx="72">
                  <c:v>-0.16</c:v>
                </c:pt>
                <c:pt idx="73">
                  <c:v>-2.9000000000000001E-2</c:v>
                </c:pt>
                <c:pt idx="74">
                  <c:v>-5.8999999999999997E-2</c:v>
                </c:pt>
                <c:pt idx="75">
                  <c:v>-0.152</c:v>
                </c:pt>
                <c:pt idx="76">
                  <c:v>0.121</c:v>
                </c:pt>
                <c:pt idx="77">
                  <c:v>-7.8E-2</c:v>
                </c:pt>
                <c:pt idx="78">
                  <c:v>8.5999999999999993E-2</c:v>
                </c:pt>
                <c:pt idx="79">
                  <c:v>-2.1000000000000001E-2</c:v>
                </c:pt>
                <c:pt idx="80">
                  <c:v>6.5000000000000002E-2</c:v>
                </c:pt>
                <c:pt idx="81">
                  <c:v>-7.9000000000000001E-2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3F3-83C6-78FE7A4F058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('AMP1-8'!$AH$4,'AMP1-8'!$AH$4)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3-43F3-83C6-78FE7A4F058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('AMP1-8'!$AH$5,'AMP1-8'!$AH$5)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A3-43F3-83C6-78FE7A4F0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21864"/>
        <c:axId val="408622256"/>
      </c:scatterChart>
      <c:valAx>
        <c:axId val="4086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2256"/>
        <c:crosses val="autoZero"/>
        <c:crossBetween val="midCat"/>
      </c:valAx>
      <c:valAx>
        <c:axId val="4086222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1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'AMP1-8'!$AI$8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'AMP1-8'!$C$9:$C$90</c:f>
              <c:numCache>
                <c:formatCode>m/d/yy\ h:mm;@</c:formatCode>
                <c:ptCount val="82"/>
                <c:pt idx="0">
                  <c:v>43699.786145833335</c:v>
                </c:pt>
                <c:pt idx="1">
                  <c:v>43699.788356481484</c:v>
                </c:pt>
                <c:pt idx="2">
                  <c:v>43699.898287037038</c:v>
                </c:pt>
                <c:pt idx="3">
                  <c:v>43699.900671296295</c:v>
                </c:pt>
                <c:pt idx="4">
                  <c:v>43700.007835648146</c:v>
                </c:pt>
                <c:pt idx="5">
                  <c:v>43700.009918981479</c:v>
                </c:pt>
                <c:pt idx="6">
                  <c:v>43700.35800925926</c:v>
                </c:pt>
                <c:pt idx="7">
                  <c:v>43700.36042824074</c:v>
                </c:pt>
                <c:pt idx="8">
                  <c:v>43700.514710648145</c:v>
                </c:pt>
                <c:pt idx="9">
                  <c:v>43700.51635416667</c:v>
                </c:pt>
                <c:pt idx="10">
                  <c:v>43700.605787037035</c:v>
                </c:pt>
                <c:pt idx="11">
                  <c:v>43700.607453703706</c:v>
                </c:pt>
                <c:pt idx="12">
                  <c:v>43701.354004629633</c:v>
                </c:pt>
                <c:pt idx="13">
                  <c:v>43701.35564814815</c:v>
                </c:pt>
                <c:pt idx="14">
                  <c:v>43701.479305555556</c:v>
                </c:pt>
                <c:pt idx="15">
                  <c:v>43701.480937499997</c:v>
                </c:pt>
                <c:pt idx="16">
                  <c:v>43701.612951388888</c:v>
                </c:pt>
                <c:pt idx="17">
                  <c:v>43701.614583333336</c:v>
                </c:pt>
                <c:pt idx="18">
                  <c:v>43702.376087962963</c:v>
                </c:pt>
                <c:pt idx="19">
                  <c:v>43702.377754629626</c:v>
                </c:pt>
                <c:pt idx="20">
                  <c:v>43702.504062499997</c:v>
                </c:pt>
                <c:pt idx="21">
                  <c:v>43702.505694444444</c:v>
                </c:pt>
                <c:pt idx="22">
                  <c:v>43702.625092592592</c:v>
                </c:pt>
                <c:pt idx="23">
                  <c:v>43702.62667824074</c:v>
                </c:pt>
                <c:pt idx="24">
                  <c:v>43703.366689814815</c:v>
                </c:pt>
                <c:pt idx="25">
                  <c:v>43703.369386574072</c:v>
                </c:pt>
                <c:pt idx="26">
                  <c:v>43703.507118055553</c:v>
                </c:pt>
                <c:pt idx="27">
                  <c:v>43703.508877314816</c:v>
                </c:pt>
                <c:pt idx="28">
                  <c:v>43703.605868055558</c:v>
                </c:pt>
                <c:pt idx="29">
                  <c:v>43703.607511574075</c:v>
                </c:pt>
                <c:pt idx="30">
                  <c:v>43703.71980324074</c:v>
                </c:pt>
                <c:pt idx="31">
                  <c:v>43703.721597222226</c:v>
                </c:pt>
                <c:pt idx="32">
                  <c:v>43703.837534722225</c:v>
                </c:pt>
                <c:pt idx="33">
                  <c:v>43703.840150462966</c:v>
                </c:pt>
                <c:pt idx="34">
                  <c:v>43703.977847222224</c:v>
                </c:pt>
                <c:pt idx="35">
                  <c:v>43703.979375000003</c:v>
                </c:pt>
                <c:pt idx="36">
                  <c:v>43704.361655092594</c:v>
                </c:pt>
                <c:pt idx="37">
                  <c:v>43704.363726851851</c:v>
                </c:pt>
                <c:pt idx="38">
                  <c:v>43704.465891203705</c:v>
                </c:pt>
                <c:pt idx="39">
                  <c:v>43704.467986111114</c:v>
                </c:pt>
                <c:pt idx="40">
                  <c:v>43704.625138888892</c:v>
                </c:pt>
                <c:pt idx="41">
                  <c:v>43704.627268518518</c:v>
                </c:pt>
                <c:pt idx="42">
                  <c:v>43704.725416666668</c:v>
                </c:pt>
                <c:pt idx="43">
                  <c:v>43704.726909722223</c:v>
                </c:pt>
                <c:pt idx="44">
                  <c:v>43704.841041666667</c:v>
                </c:pt>
                <c:pt idx="45">
                  <c:v>43704.842719907407</c:v>
                </c:pt>
                <c:pt idx="46">
                  <c:v>43704.961967592593</c:v>
                </c:pt>
                <c:pt idx="47">
                  <c:v>43704.964050925926</c:v>
                </c:pt>
                <c:pt idx="48">
                  <c:v>43705.373055555552</c:v>
                </c:pt>
                <c:pt idx="49">
                  <c:v>43705.375138888892</c:v>
                </c:pt>
                <c:pt idx="50">
                  <c:v>43705.509155092594</c:v>
                </c:pt>
                <c:pt idx="51">
                  <c:v>43705.511203703703</c:v>
                </c:pt>
                <c:pt idx="52">
                  <c:v>43705.699745370373</c:v>
                </c:pt>
                <c:pt idx="53">
                  <c:v>43705.709745370368</c:v>
                </c:pt>
                <c:pt idx="54">
                  <c:v>43705.79314814815</c:v>
                </c:pt>
                <c:pt idx="55">
                  <c:v>43705.795069444444</c:v>
                </c:pt>
                <c:pt idx="56">
                  <c:v>43705.983206018522</c:v>
                </c:pt>
                <c:pt idx="57">
                  <c:v>43705.98474537037</c:v>
                </c:pt>
                <c:pt idx="58">
                  <c:v>43706.06759259259</c:v>
                </c:pt>
                <c:pt idx="59">
                  <c:v>43706.069444444445</c:v>
                </c:pt>
                <c:pt idx="60">
                  <c:v>43706.384479166663</c:v>
                </c:pt>
                <c:pt idx="61">
                  <c:v>43706.386550925927</c:v>
                </c:pt>
                <c:pt idx="62">
                  <c:v>43706.565821759257</c:v>
                </c:pt>
                <c:pt idx="63">
                  <c:v>43706.567939814813</c:v>
                </c:pt>
                <c:pt idx="64">
                  <c:v>43706.70107638889</c:v>
                </c:pt>
                <c:pt idx="65">
                  <c:v>43706.703159722223</c:v>
                </c:pt>
                <c:pt idx="66">
                  <c:v>43706.808506944442</c:v>
                </c:pt>
                <c:pt idx="67">
                  <c:v>43706.812754629631</c:v>
                </c:pt>
                <c:pt idx="68">
                  <c:v>43706.984224537038</c:v>
                </c:pt>
                <c:pt idx="69">
                  <c:v>43706.988483796296</c:v>
                </c:pt>
                <c:pt idx="70">
                  <c:v>43707.386874999997</c:v>
                </c:pt>
                <c:pt idx="71">
                  <c:v>43707.389085648145</c:v>
                </c:pt>
                <c:pt idx="72">
                  <c:v>43707.473402777781</c:v>
                </c:pt>
                <c:pt idx="73">
                  <c:v>43707.476099537038</c:v>
                </c:pt>
                <c:pt idx="74">
                  <c:v>43707.640659722223</c:v>
                </c:pt>
                <c:pt idx="75">
                  <c:v>43707.642835648148</c:v>
                </c:pt>
                <c:pt idx="76">
                  <c:v>43711.734965277778</c:v>
                </c:pt>
                <c:pt idx="77">
                  <c:v>43711.738020833334</c:v>
                </c:pt>
                <c:pt idx="78">
                  <c:v>43711.848865740743</c:v>
                </c:pt>
                <c:pt idx="79">
                  <c:v>43711.851400462961</c:v>
                </c:pt>
                <c:pt idx="80">
                  <c:v>43711.972037037034</c:v>
                </c:pt>
                <c:pt idx="81">
                  <c:v>43711.974074074074</c:v>
                </c:pt>
              </c:numCache>
            </c:numRef>
          </c:xVal>
          <c:yVal>
            <c:numRef>
              <c:f>'AMP1-8'!$AI$9:$AI$90</c:f>
              <c:numCache>
                <c:formatCode>General</c:formatCode>
                <c:ptCount val="82"/>
                <c:pt idx="0">
                  <c:v>0.17100000000000001</c:v>
                </c:pt>
                <c:pt idx="1">
                  <c:v>5.2999999999999999E-2</c:v>
                </c:pt>
                <c:pt idx="2">
                  <c:v>1.2E-2</c:v>
                </c:pt>
                <c:pt idx="3">
                  <c:v>6.8000000000000005E-2</c:v>
                </c:pt>
                <c:pt idx="4">
                  <c:v>0.13600000000000001</c:v>
                </c:pt>
                <c:pt idx="5">
                  <c:v>0.17399999999999999</c:v>
                </c:pt>
                <c:pt idx="6">
                  <c:v>-9.1999999999999998E-2</c:v>
                </c:pt>
                <c:pt idx="7">
                  <c:v>0.01</c:v>
                </c:pt>
                <c:pt idx="8">
                  <c:v>-1.0999999999999999E-2</c:v>
                </c:pt>
                <c:pt idx="9">
                  <c:v>3.9E-2</c:v>
                </c:pt>
                <c:pt idx="10">
                  <c:v>0</c:v>
                </c:pt>
                <c:pt idx="11">
                  <c:v>0.107</c:v>
                </c:pt>
                <c:pt idx="12">
                  <c:v>2.7E-2</c:v>
                </c:pt>
                <c:pt idx="13">
                  <c:v>9.9000000000000005E-2</c:v>
                </c:pt>
                <c:pt idx="14">
                  <c:v>-3.5000000000000003E-2</c:v>
                </c:pt>
                <c:pt idx="15">
                  <c:v>8.9999999999999993E-3</c:v>
                </c:pt>
                <c:pt idx="16">
                  <c:v>-7.5999999999999998E-2</c:v>
                </c:pt>
                <c:pt idx="17">
                  <c:v>0.25700000000000001</c:v>
                </c:pt>
                <c:pt idx="18">
                  <c:v>0.14899999999999999</c:v>
                </c:pt>
                <c:pt idx="19">
                  <c:v>0.34100000000000003</c:v>
                </c:pt>
                <c:pt idx="20">
                  <c:v>7.2999999999999995E-2</c:v>
                </c:pt>
                <c:pt idx="21">
                  <c:v>5.3999999999999999E-2</c:v>
                </c:pt>
                <c:pt idx="22">
                  <c:v>3.4000000000000002E-2</c:v>
                </c:pt>
                <c:pt idx="23">
                  <c:v>6.2E-2</c:v>
                </c:pt>
                <c:pt idx="24">
                  <c:v>-1.2E-2</c:v>
                </c:pt>
                <c:pt idx="25">
                  <c:v>0.12</c:v>
                </c:pt>
                <c:pt idx="26">
                  <c:v>-5.7000000000000002E-2</c:v>
                </c:pt>
                <c:pt idx="27">
                  <c:v>0.13700000000000001</c:v>
                </c:pt>
                <c:pt idx="28">
                  <c:v>-5.6000000000000001E-2</c:v>
                </c:pt>
                <c:pt idx="29">
                  <c:v>2.1000000000000001E-2</c:v>
                </c:pt>
                <c:pt idx="30">
                  <c:v>-7.2999999999999995E-2</c:v>
                </c:pt>
                <c:pt idx="31">
                  <c:v>-3.3000000000000002E-2</c:v>
                </c:pt>
                <c:pt idx="32">
                  <c:v>-0.10100000000000001</c:v>
                </c:pt>
                <c:pt idx="33">
                  <c:v>-2E-3</c:v>
                </c:pt>
                <c:pt idx="34">
                  <c:v>-3.0000000000000001E-3</c:v>
                </c:pt>
                <c:pt idx="35">
                  <c:v>6.0999999999999999E-2</c:v>
                </c:pt>
                <c:pt idx="36">
                  <c:v>1.6E-2</c:v>
                </c:pt>
                <c:pt idx="37">
                  <c:v>3.6999999999999998E-2</c:v>
                </c:pt>
                <c:pt idx="38">
                  <c:v>-4.1000000000000002E-2</c:v>
                </c:pt>
                <c:pt idx="39">
                  <c:v>-2.1999999999999999E-2</c:v>
                </c:pt>
                <c:pt idx="40">
                  <c:v>-0.20300000000000001</c:v>
                </c:pt>
                <c:pt idx="41">
                  <c:v>-0.184</c:v>
                </c:pt>
                <c:pt idx="42">
                  <c:v>7.0999999999999994E-2</c:v>
                </c:pt>
                <c:pt idx="43">
                  <c:v>9.1999999999999998E-2</c:v>
                </c:pt>
                <c:pt idx="44">
                  <c:v>-5.3999999999999999E-2</c:v>
                </c:pt>
                <c:pt idx="45">
                  <c:v>-1.7999999999999999E-2</c:v>
                </c:pt>
                <c:pt idx="46">
                  <c:v>-0.107</c:v>
                </c:pt>
                <c:pt idx="47">
                  <c:v>-6.5000000000000002E-2</c:v>
                </c:pt>
                <c:pt idx="48">
                  <c:v>0.184</c:v>
                </c:pt>
                <c:pt idx="49">
                  <c:v>0.02</c:v>
                </c:pt>
                <c:pt idx="50">
                  <c:v>7.4999999999999997E-2</c:v>
                </c:pt>
                <c:pt idx="51">
                  <c:v>4.5999999999999999E-2</c:v>
                </c:pt>
                <c:pt idx="52">
                  <c:v>-6.0000000000000001E-3</c:v>
                </c:pt>
                <c:pt idx="53">
                  <c:v>2.1000000000000001E-2</c:v>
                </c:pt>
                <c:pt idx="54">
                  <c:v>-0.157</c:v>
                </c:pt>
                <c:pt idx="55">
                  <c:v>4.7E-2</c:v>
                </c:pt>
                <c:pt idx="56">
                  <c:v>-0.1</c:v>
                </c:pt>
                <c:pt idx="57">
                  <c:v>-0.03</c:v>
                </c:pt>
                <c:pt idx="58">
                  <c:v>2.7E-2</c:v>
                </c:pt>
                <c:pt idx="59">
                  <c:v>-3.4000000000000002E-2</c:v>
                </c:pt>
                <c:pt idx="60">
                  <c:v>2.4E-2</c:v>
                </c:pt>
                <c:pt idx="61">
                  <c:v>-5.8000000000000003E-2</c:v>
                </c:pt>
                <c:pt idx="62">
                  <c:v>-1.7999999999999999E-2</c:v>
                </c:pt>
                <c:pt idx="63">
                  <c:v>0.13400000000000001</c:v>
                </c:pt>
                <c:pt idx="64">
                  <c:v>-0.14299999999999999</c:v>
                </c:pt>
                <c:pt idx="65">
                  <c:v>-0.114</c:v>
                </c:pt>
                <c:pt idx="66">
                  <c:v>-0.157</c:v>
                </c:pt>
                <c:pt idx="67">
                  <c:v>-0.14099999999999999</c:v>
                </c:pt>
                <c:pt idx="68">
                  <c:v>0.29199999999999998</c:v>
                </c:pt>
                <c:pt idx="69">
                  <c:v>-0.128</c:v>
                </c:pt>
                <c:pt idx="70">
                  <c:v>6.5000000000000002E-2</c:v>
                </c:pt>
                <c:pt idx="71">
                  <c:v>-3.4000000000000002E-2</c:v>
                </c:pt>
                <c:pt idx="72">
                  <c:v>-0.193</c:v>
                </c:pt>
                <c:pt idx="73">
                  <c:v>-4.1000000000000002E-2</c:v>
                </c:pt>
                <c:pt idx="74">
                  <c:v>-9.1999999999999998E-2</c:v>
                </c:pt>
                <c:pt idx="75">
                  <c:v>-0.14799999999999999</c:v>
                </c:pt>
                <c:pt idx="76">
                  <c:v>0.108</c:v>
                </c:pt>
                <c:pt idx="77">
                  <c:v>-9.4E-2</c:v>
                </c:pt>
                <c:pt idx="78">
                  <c:v>4.7E-2</c:v>
                </c:pt>
                <c:pt idx="79">
                  <c:v>-4.1000000000000002E-2</c:v>
                </c:pt>
                <c:pt idx="80">
                  <c:v>-0.02</c:v>
                </c:pt>
                <c:pt idx="81">
                  <c:v>-0.126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C-499A-ADE9-FAB97DA36CE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('AMP1-8'!$AI$4,'AMP1-8'!$AI$4)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1C-499A-ADE9-FAB97DA36CE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('AMP1-8'!$C$1,'AMP1-8'!$C$2)</c:f>
              <c:numCache>
                <c:formatCode>m/d/yy\ h:mm;@</c:formatCode>
                <c:ptCount val="2"/>
                <c:pt idx="0">
                  <c:v>43699.786145833335</c:v>
                </c:pt>
                <c:pt idx="1">
                  <c:v>43711.974074074074</c:v>
                </c:pt>
              </c:numCache>
            </c:numRef>
          </c:xVal>
          <c:yVal>
            <c:numRef>
              <c:f>('AMP1-8'!$AI$5,'AMP1-8'!$AI$5)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1C-499A-ADE9-FAB97DA36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23040"/>
        <c:axId val="408623432"/>
      </c:scatterChart>
      <c:valAx>
        <c:axId val="40862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3432"/>
        <c:crosses val="autoZero"/>
        <c:crossBetween val="midCat"/>
      </c:valAx>
      <c:valAx>
        <c:axId val="4086234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'AMP2-2'!$F$9</c:f>
              <c:numCache>
                <c:formatCode>General</c:formatCode>
                <c:ptCount val="1"/>
                <c:pt idx="0">
                  <c:v>41.369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5-434E-8E7C-45F0488656EF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C0F5-434E-8E7C-45F0488656EF}"/>
              </c:ext>
            </c:extLst>
          </c:dPt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('AMP2-2'!$F$4,'AMP2-2'!$F$4)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F5-434E-8E7C-45F0488656EF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F5-434E-8E7C-45F0488656EF}"/>
              </c:ext>
            </c:extLst>
          </c:dPt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('AMP2-2'!$F$5,'AMP2-2'!$F$5)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0F5-434E-8E7C-45F048865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25000"/>
        <c:axId val="408625392"/>
      </c:scatterChart>
      <c:valAx>
        <c:axId val="4086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5392"/>
        <c:crosses val="autoZero"/>
        <c:crossBetween val="midCat"/>
      </c:valAx>
      <c:valAx>
        <c:axId val="4086253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'AMP2-2'!$G$9</c:f>
              <c:numCache>
                <c:formatCode>General</c:formatCode>
                <c:ptCount val="1"/>
                <c:pt idx="0">
                  <c:v>41.354999999999997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A-4031-BE0E-4AA050AE5D5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('AMP2-2'!$G$4,'AMP2-2'!$G$4)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FA-4031-BE0E-4AA050AE5D5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('AMP2-2'!$G$5,'AMP2-2'!$G$5)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FA-4031-BE0E-4AA050AE5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26176"/>
        <c:axId val="410434120"/>
      </c:scatterChart>
      <c:valAx>
        <c:axId val="40862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4120"/>
        <c:crosses val="autoZero"/>
        <c:crossBetween val="midCat"/>
      </c:valAx>
      <c:valAx>
        <c:axId val="410434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'AMP2-2'!$H$9</c:f>
              <c:numCache>
                <c:formatCode>General</c:formatCode>
                <c:ptCount val="1"/>
                <c:pt idx="0">
                  <c:v>155.828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7-4F32-8D9A-80CC94023AF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('AMP2-2'!$H$4,'AMP2-2'!$H$4)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7-4F32-8D9A-80CC94023AF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('AMP2-2'!$H$5,'AMP2-2'!$H$5)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7-4F32-8D9A-80CC94023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4904"/>
        <c:axId val="410435296"/>
      </c:scatterChart>
      <c:valAx>
        <c:axId val="41043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5296"/>
        <c:crosses val="autoZero"/>
        <c:crossBetween val="midCat"/>
      </c:valAx>
      <c:valAx>
        <c:axId val="410435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'AMP2-2'!$I$9</c:f>
              <c:numCache>
                <c:formatCode>General</c:formatCode>
                <c:ptCount val="1"/>
                <c:pt idx="0">
                  <c:v>155.92599999999999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8-4564-9C9B-0E9E3015952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('AMP2-2'!$I$4,'AMP2-2'!$I$4)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8-4564-9C9B-0E9E3015952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('AMP2-2'!$I$5,'AMP2-2'!$I$5)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8-4564-9C9B-0E9E30159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6080"/>
        <c:axId val="410436472"/>
      </c:scatterChart>
      <c:valAx>
        <c:axId val="41043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6472"/>
        <c:crosses val="autoZero"/>
        <c:crossBetween val="midCat"/>
      </c:valAx>
      <c:valAx>
        <c:axId val="4104364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'AMP2-2'!$J$9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8-4E26-8786-5F3CDF1DE87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('AMP2-2'!$J$4,'AMP2-2'!$J$4)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88-4E26-8786-5F3CDF1DE87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('AMP2-2'!$J$5,'AMP2-2'!$J$5)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88-4E26-8786-5F3CDF1DE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7256"/>
        <c:axId val="410437648"/>
      </c:scatterChart>
      <c:valAx>
        <c:axId val="41043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7648"/>
        <c:crosses val="autoZero"/>
        <c:crossBetween val="midCat"/>
      </c:valAx>
      <c:valAx>
        <c:axId val="410437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'AMP2-2'!$K$9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6-4207-9CE7-84284EFE12A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('AMP2-2'!$K$4,'AMP2-2'!$K$4)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6-4207-9CE7-84284EFE12A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('AMP2-2'!$K$5,'AMP2-2'!$K$5)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6-4207-9CE7-84284EFE1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8432"/>
        <c:axId val="410438824"/>
      </c:scatterChart>
      <c:valAx>
        <c:axId val="41043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8824"/>
        <c:crosses val="autoZero"/>
        <c:crossBetween val="midCat"/>
      </c:valAx>
      <c:valAx>
        <c:axId val="410438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'AMP2-2'!$L$9</c:f>
              <c:numCache>
                <c:formatCode>General</c:formatCode>
                <c:ptCount val="1"/>
                <c:pt idx="0">
                  <c:v>155.69800000000001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6F-486E-B737-443C9B53053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('AMP2-2'!$L$4,'AMP2-2'!$L$4)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6F-486E-B737-443C9B53053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('AMP2-2'!$L$5,'AMP2-2'!$L$5)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6F-486E-B737-443C9B530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9608"/>
        <c:axId val="410440000"/>
      </c:scatterChart>
      <c:valAx>
        <c:axId val="41043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40000"/>
        <c:crosses val="autoZero"/>
        <c:crossBetween val="midCat"/>
      </c:valAx>
      <c:valAx>
        <c:axId val="410440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'AMP2-2'!$M$9</c:f>
              <c:numCache>
                <c:formatCode>General</c:formatCode>
                <c:ptCount val="1"/>
                <c:pt idx="0">
                  <c:v>155.63999999999999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11-45A7-B3E4-62DDAB106A2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('AMP2-2'!$M$4,'AMP2-2'!$M$4)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11-45A7-B3E4-62DDAB106A2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('AMP2-2'!$M$5,'AMP2-2'!$M$5)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11-45A7-B3E4-62DDAB106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40784"/>
        <c:axId val="410441176"/>
      </c:scatterChart>
      <c:valAx>
        <c:axId val="41044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41176"/>
        <c:crosses val="autoZero"/>
        <c:crossBetween val="midCat"/>
      </c:valAx>
      <c:valAx>
        <c:axId val="410441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4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'AMP2-2'!$N$9</c:f>
              <c:numCache>
                <c:formatCode>General</c:formatCode>
                <c:ptCount val="1"/>
                <c:pt idx="0">
                  <c:v>27.516999999999999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E-4191-A374-D4391A93BC7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('AMP2-2'!$N$4,'AMP2-2'!$N$4)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7E-4191-A374-D4391A93BC7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('AMP2-2'!$N$5,'AMP2-2'!$N$5)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7E-4191-A374-D4391A93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79728"/>
        <c:axId val="421780120"/>
      </c:scatterChart>
      <c:valAx>
        <c:axId val="42177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0120"/>
        <c:crosses val="autoZero"/>
        <c:crossBetween val="midCat"/>
      </c:valAx>
      <c:valAx>
        <c:axId val="421780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7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'AMP2-2'!$O$9</c:f>
              <c:numCache>
                <c:formatCode>General</c:formatCode>
                <c:ptCount val="1"/>
                <c:pt idx="0">
                  <c:v>27.623999999999999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1-464A-9FEF-96A7E4735F2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('AMP2-2'!$O$4,'AMP2-2'!$O$4)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D1-464A-9FEF-96A7E4735F2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('AMP2-2'!$O$5,'AMP2-2'!$O$5)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D1-464A-9FEF-96A7E473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0904"/>
        <c:axId val="421781296"/>
      </c:scatterChart>
      <c:valAx>
        <c:axId val="42178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1296"/>
        <c:crosses val="autoZero"/>
        <c:crossBetween val="midCat"/>
      </c:valAx>
      <c:valAx>
        <c:axId val="421781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'AMP2-2'!$R$9</c:f>
              <c:numCache>
                <c:formatCode>General</c:formatCode>
                <c:ptCount val="1"/>
                <c:pt idx="0">
                  <c:v>17.215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FB-4EAD-96BD-CEB7DD0DAE1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('AMP2-2'!$R$4,'AMP2-2'!$R$4)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FB-4EAD-96BD-CEB7DD0DAE1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('AMP2-2'!$R$5,'AMP2-2'!$R$5)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FB-4EAD-96BD-CEB7DD0DA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2080"/>
        <c:axId val="421782472"/>
      </c:scatterChart>
      <c:valAx>
        <c:axId val="42178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2472"/>
        <c:crosses val="autoZero"/>
        <c:crossBetween val="midCat"/>
      </c:valAx>
      <c:valAx>
        <c:axId val="4217824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'AMP2-2'!$S$9</c:f>
              <c:numCache>
                <c:formatCode>General</c:formatCode>
                <c:ptCount val="1"/>
                <c:pt idx="0">
                  <c:v>16.936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0E-4065-8104-4D4E6053AD8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('AMP2-2'!$S$4,'AMP2-2'!$S$4)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0E-4065-8104-4D4E6053AD8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('AMP2-2'!$S$5,'AMP2-2'!$S$5)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0E-4065-8104-4D4E6053A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3256"/>
        <c:axId val="421783648"/>
      </c:scatterChart>
      <c:valAx>
        <c:axId val="42178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3648"/>
        <c:crosses val="autoZero"/>
        <c:crossBetween val="midCat"/>
      </c:valAx>
      <c:valAx>
        <c:axId val="421783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'AMP2-2'!$T$9</c:f>
              <c:numCache>
                <c:formatCode>General</c:formatCode>
                <c:ptCount val="1"/>
                <c:pt idx="0">
                  <c:v>33.639000000000003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76-4D15-ABDB-37A280A6DCD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('AMP2-2'!$T$4,'AMP2-2'!$T$4)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76-4D15-ABDB-37A280A6DCD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('AMP2-2'!$T$5,'AMP2-2'!$T$5)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76-4D15-ABDB-37A280A6D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4432"/>
        <c:axId val="421784824"/>
      </c:scatterChart>
      <c:valAx>
        <c:axId val="42178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4824"/>
        <c:crosses val="autoZero"/>
        <c:crossBetween val="midCat"/>
      </c:valAx>
      <c:valAx>
        <c:axId val="421784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'AMP2-2'!$U$9</c:f>
              <c:numCache>
                <c:formatCode>General</c:formatCode>
                <c:ptCount val="1"/>
                <c:pt idx="0">
                  <c:v>33.837000000000003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F-4C07-AF83-0889D1A6BD9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('AMP2-2'!$U$4,'AMP2-2'!$U$4)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CF-4C07-AF83-0889D1A6BD9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('AMP2-2'!$U$5,'AMP2-2'!$U$5)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CF-4C07-AF83-0889D1A6B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5608"/>
        <c:axId val="421786000"/>
      </c:scatterChart>
      <c:valAx>
        <c:axId val="42178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6000"/>
        <c:crosses val="autoZero"/>
        <c:crossBetween val="midCat"/>
      </c:valAx>
      <c:valAx>
        <c:axId val="421786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'AMP2-2'!$AB$9</c:f>
              <c:numCache>
                <c:formatCode>General</c:formatCode>
                <c:ptCount val="1"/>
                <c:pt idx="0">
                  <c:v>0.33800000000000002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8-4BD2-A645-21B819D0F72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('AMP2-2'!$AB$4,'AMP2-2'!$AB$4)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08-4BD2-A645-21B819D0F72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('AMP2-2'!$AB$5,'AMP2-2'!$AB$5)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08-4BD2-A645-21B819D0F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6784"/>
        <c:axId val="421787176"/>
      </c:scatterChart>
      <c:valAx>
        <c:axId val="42178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7176"/>
        <c:crosses val="autoZero"/>
        <c:crossBetween val="midCat"/>
      </c:valAx>
      <c:valAx>
        <c:axId val="421787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'AMP2-2'!$AC$9</c:f>
              <c:numCache>
                <c:formatCode>General</c:formatCode>
                <c:ptCount val="1"/>
                <c:pt idx="0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7-443A-B9EA-C1ACE6F97CF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('AMP2-2'!$AC$4,'AMP2-2'!$AC$4)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A7-443A-B9EA-C1ACE6F97CF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('AMP2-2'!$AC$5,'AMP2-2'!$AC$5)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A7-443A-B9EA-C1ACE6F97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1384"/>
        <c:axId val="421521776"/>
      </c:scatterChart>
      <c:valAx>
        <c:axId val="42152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1776"/>
        <c:crosses val="autoZero"/>
        <c:crossBetween val="midCat"/>
      </c:valAx>
      <c:valAx>
        <c:axId val="4215217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'AMP2-2'!$AD$9</c:f>
              <c:numCache>
                <c:formatCode>General</c:formatCode>
                <c:ptCount val="1"/>
                <c:pt idx="0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99A-A0C8-F44435CC4E9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('AMP2-2'!$AD$4,'AMP2-2'!$AD$4)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07-499A-A0C8-F44435CC4E9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('AMP2-2'!$AD$5,'AMP2-2'!$AD$5)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07-499A-A0C8-F44435CC4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2560"/>
        <c:axId val="421522952"/>
      </c:scatterChart>
      <c:valAx>
        <c:axId val="42152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2952"/>
        <c:crosses val="autoZero"/>
        <c:crossBetween val="midCat"/>
      </c:valAx>
      <c:valAx>
        <c:axId val="4215229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'AMP2-2'!$AE$9</c:f>
              <c:numCache>
                <c:formatCode>General</c:formatCode>
                <c:ptCount val="1"/>
                <c:pt idx="0">
                  <c:v>0.56699999999999995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CB-488A-A5E9-EDF52C5E593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('AMP2-2'!$AE$4,'AMP2-2'!$AE$4)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CB-488A-A5E9-EDF52C5E593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('AMP2-2'!$AE$5,'AMP2-2'!$AE$5)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CB-488A-A5E9-EDF52C5E5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4128"/>
        <c:axId val="421524520"/>
      </c:scatterChart>
      <c:valAx>
        <c:axId val="42152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4520"/>
        <c:crosses val="autoZero"/>
        <c:crossBetween val="midCat"/>
      </c:valAx>
      <c:valAx>
        <c:axId val="421524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'AMP2-2'!$AF$9</c:f>
              <c:numCache>
                <c:formatCode>General</c:formatCode>
                <c:ptCount val="1"/>
                <c:pt idx="0">
                  <c:v>0.16900000000000001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6-4074-92A9-6C854C35473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('AMP2-2'!$AF$4,'AMP2-2'!$AF$4)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C6-4074-92A9-6C854C35473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('AMP2-2'!$AF$5,'AMP2-2'!$AF$5)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C6-4074-92A9-6C854C354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4912"/>
        <c:axId val="421525304"/>
      </c:scatterChart>
      <c:valAx>
        <c:axId val="42152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5304"/>
        <c:crosses val="autoZero"/>
        <c:crossBetween val="midCat"/>
      </c:valAx>
      <c:valAx>
        <c:axId val="4215253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4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'AMP2-2'!$AG$9</c:f>
              <c:numCache>
                <c:formatCode>General</c:formatCode>
                <c:ptCount val="1"/>
                <c:pt idx="0">
                  <c:v>0.19900000000000001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4-4BC5-8A77-A9A1CCF6880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('AMP2-2'!$AG$4,'AMP2-2'!$AG$4)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4-4BC5-8A77-A9A1CCF6880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('AMP2-2'!$AG$5,'AMP2-2'!$AG$5)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4-4BC5-8A77-A9A1CCF6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6088"/>
        <c:axId val="421526480"/>
      </c:scatterChart>
      <c:valAx>
        <c:axId val="421526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6480"/>
        <c:crosses val="autoZero"/>
        <c:crossBetween val="midCat"/>
      </c:valAx>
      <c:valAx>
        <c:axId val="421526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6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'AMP2-2'!$AH$9</c:f>
              <c:numCache>
                <c:formatCode>General</c:formatCode>
                <c:ptCount val="1"/>
                <c:pt idx="0">
                  <c:v>0.35499999999999998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A-4046-BEF1-6DD1146DD81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('AMP2-2'!$AH$4,'AMP2-2'!$AH$4)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2A-4046-BEF1-6DD1146DD81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('AMP2-2'!$AH$5,'AMP2-2'!$AH$5)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2A-4046-BEF1-6DD1146DD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7264"/>
        <c:axId val="421527656"/>
      </c:scatterChart>
      <c:valAx>
        <c:axId val="42152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7656"/>
        <c:crosses val="autoZero"/>
        <c:crossBetween val="midCat"/>
      </c:valAx>
      <c:valAx>
        <c:axId val="421527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'AMP2-2'!$AI$8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'AMP2-2'!$C$9</c:f>
              <c:numCache>
                <c:formatCode>m/d/yy\ h:mm;@</c:formatCode>
                <c:ptCount val="1"/>
                <c:pt idx="0">
                  <c:v>43705.368194444447</c:v>
                </c:pt>
              </c:numCache>
            </c:numRef>
          </c:xVal>
          <c:yVal>
            <c:numRef>
              <c:f>'AMP2-2'!$AI$9</c:f>
              <c:numCache>
                <c:formatCode>General</c:formatCode>
                <c:ptCount val="1"/>
                <c:pt idx="0">
                  <c:v>0.38300000000000001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66-4062-ACD3-40D4061987B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('AMP2-2'!$AI$4,'AMP2-2'!$AI$4)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66-4062-ACD3-40D4061987B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('AMP2-2'!$C$1,'AMP2-2'!$C$2)</c:f>
              <c:numCache>
                <c:formatCode>m/d/yy\ h:mm;@</c:formatCode>
                <c:ptCount val="2"/>
                <c:pt idx="0">
                  <c:v>43705.368194444447</c:v>
                </c:pt>
                <c:pt idx="1">
                  <c:v>43708.570173611108</c:v>
                </c:pt>
              </c:numCache>
            </c:numRef>
          </c:xVal>
          <c:yVal>
            <c:numRef>
              <c:f>('AMP2-2'!$AI$5,'AMP2-2'!$AI$5)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66-4062-ACD3-40D406198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8440"/>
        <c:axId val="421528832"/>
      </c:scatterChart>
      <c:valAx>
        <c:axId val="421528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8832"/>
        <c:crosses val="autoZero"/>
        <c:crossBetween val="midCat"/>
      </c:valAx>
      <c:valAx>
        <c:axId val="4215288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'AMP2-6'!$F$9:$F$36</c:f>
              <c:numCache>
                <c:formatCode>General</c:formatCode>
                <c:ptCount val="28"/>
                <c:pt idx="0">
                  <c:v>41.735999999999997</c:v>
                </c:pt>
                <c:pt idx="2">
                  <c:v>41.789000000000001</c:v>
                </c:pt>
                <c:pt idx="4">
                  <c:v>41.581000000000003</c:v>
                </c:pt>
                <c:pt idx="6">
                  <c:v>41.584000000000003</c:v>
                </c:pt>
                <c:pt idx="8">
                  <c:v>41.540999999999997</c:v>
                </c:pt>
                <c:pt idx="10">
                  <c:v>41.441000000000003</c:v>
                </c:pt>
                <c:pt idx="12">
                  <c:v>41.725000000000001</c:v>
                </c:pt>
                <c:pt idx="14">
                  <c:v>41.564999999999998</c:v>
                </c:pt>
                <c:pt idx="16">
                  <c:v>41.445999999999998</c:v>
                </c:pt>
                <c:pt idx="18">
                  <c:v>41.594000000000001</c:v>
                </c:pt>
                <c:pt idx="20">
                  <c:v>41.572000000000003</c:v>
                </c:pt>
                <c:pt idx="22">
                  <c:v>41.334000000000003</c:v>
                </c:pt>
                <c:pt idx="24">
                  <c:v>41.473999999999997</c:v>
                </c:pt>
                <c:pt idx="26">
                  <c:v>41.628999999999998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72-40BB-AB23-BF3F45CDC507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172-40BB-AB23-BF3F45CDC507}"/>
              </c:ext>
            </c:extLst>
          </c:dPt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('AMP2-6'!$F$4,'AMP2-6'!$F$4)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72-40BB-AB23-BF3F45CDC507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72-40BB-AB23-BF3F45CDC507}"/>
              </c:ext>
            </c:extLst>
          </c:dPt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('AMP2-6'!$F$5,'AMP2-6'!$F$5)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72-40BB-AB23-BF3F45CDC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25000"/>
        <c:axId val="408625392"/>
      </c:scatterChart>
      <c:valAx>
        <c:axId val="4086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5392"/>
        <c:crosses val="autoZero"/>
        <c:crossBetween val="midCat"/>
      </c:valAx>
      <c:valAx>
        <c:axId val="4086253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'AMP2-6'!$G$9:$G$36</c:f>
              <c:numCache>
                <c:formatCode>General</c:formatCode>
                <c:ptCount val="28"/>
                <c:pt idx="0">
                  <c:v>41.448</c:v>
                </c:pt>
                <c:pt idx="2">
                  <c:v>41.493000000000002</c:v>
                </c:pt>
                <c:pt idx="4">
                  <c:v>41.087000000000003</c:v>
                </c:pt>
                <c:pt idx="6">
                  <c:v>41.457000000000001</c:v>
                </c:pt>
                <c:pt idx="8">
                  <c:v>41.423999999999999</c:v>
                </c:pt>
                <c:pt idx="10">
                  <c:v>41.158000000000001</c:v>
                </c:pt>
                <c:pt idx="12">
                  <c:v>41.648000000000003</c:v>
                </c:pt>
                <c:pt idx="14">
                  <c:v>41.122999999999998</c:v>
                </c:pt>
                <c:pt idx="16">
                  <c:v>40.988</c:v>
                </c:pt>
                <c:pt idx="18">
                  <c:v>41.38</c:v>
                </c:pt>
                <c:pt idx="20">
                  <c:v>41.27</c:v>
                </c:pt>
                <c:pt idx="22">
                  <c:v>41.104999999999997</c:v>
                </c:pt>
                <c:pt idx="24">
                  <c:v>41.16</c:v>
                </c:pt>
                <c:pt idx="26">
                  <c:v>41.457999999999998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1B-49CE-B1A5-382A21416BA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('AMP2-6'!$G$4,'AMP2-6'!$G$4)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1B-49CE-B1A5-382A21416BA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('AMP2-6'!$G$5,'AMP2-6'!$G$5)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1B-49CE-B1A5-382A21416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626176"/>
        <c:axId val="410434120"/>
      </c:scatterChart>
      <c:valAx>
        <c:axId val="40862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4120"/>
        <c:crosses val="autoZero"/>
        <c:crossBetween val="midCat"/>
      </c:valAx>
      <c:valAx>
        <c:axId val="410434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2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'AMP2-6'!$H$9:$H$36</c:f>
              <c:numCache>
                <c:formatCode>General</c:formatCode>
                <c:ptCount val="28"/>
                <c:pt idx="0">
                  <c:v>155.45599999999999</c:v>
                </c:pt>
                <c:pt idx="1">
                  <c:v>155.749</c:v>
                </c:pt>
                <c:pt idx="2">
                  <c:v>155.42699999999999</c:v>
                </c:pt>
                <c:pt idx="3">
                  <c:v>155.83600000000001</c:v>
                </c:pt>
                <c:pt idx="4">
                  <c:v>155.45699999999999</c:v>
                </c:pt>
                <c:pt idx="5">
                  <c:v>155.79499999999999</c:v>
                </c:pt>
                <c:pt idx="6">
                  <c:v>155.44800000000001</c:v>
                </c:pt>
                <c:pt idx="7">
                  <c:v>155.821</c:v>
                </c:pt>
                <c:pt idx="8">
                  <c:v>155.44300000000001</c:v>
                </c:pt>
                <c:pt idx="9">
                  <c:v>155.864</c:v>
                </c:pt>
                <c:pt idx="10">
                  <c:v>155.56700000000001</c:v>
                </c:pt>
                <c:pt idx="11">
                  <c:v>155.791</c:v>
                </c:pt>
                <c:pt idx="12">
                  <c:v>155.56100000000001</c:v>
                </c:pt>
                <c:pt idx="13">
                  <c:v>155.779</c:v>
                </c:pt>
                <c:pt idx="14">
                  <c:v>155.63</c:v>
                </c:pt>
                <c:pt idx="15">
                  <c:v>155.863</c:v>
                </c:pt>
                <c:pt idx="16">
                  <c:v>155.613</c:v>
                </c:pt>
                <c:pt idx="17">
                  <c:v>155.86799999999999</c:v>
                </c:pt>
                <c:pt idx="18">
                  <c:v>155.608</c:v>
                </c:pt>
                <c:pt idx="19">
                  <c:v>155.99799999999999</c:v>
                </c:pt>
                <c:pt idx="20">
                  <c:v>155.5</c:v>
                </c:pt>
                <c:pt idx="21">
                  <c:v>155.81</c:v>
                </c:pt>
                <c:pt idx="22">
                  <c:v>155.745</c:v>
                </c:pt>
                <c:pt idx="23">
                  <c:v>156.02600000000001</c:v>
                </c:pt>
                <c:pt idx="24">
                  <c:v>155.64500000000001</c:v>
                </c:pt>
                <c:pt idx="25">
                  <c:v>155.89099999999999</c:v>
                </c:pt>
                <c:pt idx="26">
                  <c:v>155.619</c:v>
                </c:pt>
                <c:pt idx="27">
                  <c:v>155.899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DC-4987-9322-C240666FF0D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('AMP2-6'!$H$4,'AMP2-6'!$H$4)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DC-4987-9322-C240666FF0D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('AMP2-6'!$H$5,'AMP2-6'!$H$5)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DC-4987-9322-C240666FF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4904"/>
        <c:axId val="410435296"/>
      </c:scatterChart>
      <c:valAx>
        <c:axId val="410434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5296"/>
        <c:crosses val="autoZero"/>
        <c:crossBetween val="midCat"/>
      </c:valAx>
      <c:valAx>
        <c:axId val="410435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'AMP2-6'!$I$9:$I$36</c:f>
              <c:numCache>
                <c:formatCode>General</c:formatCode>
                <c:ptCount val="28"/>
                <c:pt idx="0">
                  <c:v>155.637</c:v>
                </c:pt>
                <c:pt idx="1">
                  <c:v>155.70400000000001</c:v>
                </c:pt>
                <c:pt idx="2">
                  <c:v>155.607</c:v>
                </c:pt>
                <c:pt idx="3">
                  <c:v>155.79</c:v>
                </c:pt>
                <c:pt idx="4">
                  <c:v>155.63200000000001</c:v>
                </c:pt>
                <c:pt idx="5">
                  <c:v>155.732</c:v>
                </c:pt>
                <c:pt idx="6">
                  <c:v>155.58699999999999</c:v>
                </c:pt>
                <c:pt idx="7">
                  <c:v>155.77000000000001</c:v>
                </c:pt>
                <c:pt idx="8">
                  <c:v>155.57900000000001</c:v>
                </c:pt>
                <c:pt idx="9">
                  <c:v>155.81100000000001</c:v>
                </c:pt>
                <c:pt idx="10">
                  <c:v>155.77099999999999</c:v>
                </c:pt>
                <c:pt idx="11">
                  <c:v>155.68700000000001</c:v>
                </c:pt>
                <c:pt idx="12">
                  <c:v>155.696</c:v>
                </c:pt>
                <c:pt idx="13">
                  <c:v>155.83099999999999</c:v>
                </c:pt>
                <c:pt idx="14">
                  <c:v>155.83199999999999</c:v>
                </c:pt>
                <c:pt idx="15">
                  <c:v>155.78</c:v>
                </c:pt>
                <c:pt idx="16">
                  <c:v>155.79599999999999</c:v>
                </c:pt>
                <c:pt idx="17">
                  <c:v>155.77500000000001</c:v>
                </c:pt>
                <c:pt idx="18">
                  <c:v>155.82499999999999</c:v>
                </c:pt>
                <c:pt idx="19">
                  <c:v>155.90899999999999</c:v>
                </c:pt>
                <c:pt idx="20">
                  <c:v>155.661</c:v>
                </c:pt>
                <c:pt idx="21">
                  <c:v>155.74100000000001</c:v>
                </c:pt>
                <c:pt idx="22">
                  <c:v>155.94399999999999</c:v>
                </c:pt>
                <c:pt idx="23">
                  <c:v>155.88499999999999</c:v>
                </c:pt>
                <c:pt idx="24">
                  <c:v>155.881</c:v>
                </c:pt>
                <c:pt idx="25">
                  <c:v>155.80799999999999</c:v>
                </c:pt>
                <c:pt idx="26">
                  <c:v>155.55600000000001</c:v>
                </c:pt>
                <c:pt idx="27">
                  <c:v>156.017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2B-4CF7-97FC-C7A8D92D643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('AMP2-6'!$I$4,'AMP2-6'!$I$4)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2B-4CF7-97FC-C7A8D92D643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('AMP2-6'!$I$5,'AMP2-6'!$I$5)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2B-4CF7-97FC-C7A8D92D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6080"/>
        <c:axId val="410436472"/>
      </c:scatterChart>
      <c:valAx>
        <c:axId val="41043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6472"/>
        <c:crosses val="autoZero"/>
        <c:crossBetween val="midCat"/>
      </c:valAx>
      <c:valAx>
        <c:axId val="4104364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'AMP2-6'!$J$9:$J$36</c:f>
              <c:numCache>
                <c:formatCode>General</c:formatCode>
                <c:ptCount val="28"/>
                <c:pt idx="1">
                  <c:v>169.24799999999999</c:v>
                </c:pt>
                <c:pt idx="3">
                  <c:v>169.41</c:v>
                </c:pt>
                <c:pt idx="5">
                  <c:v>169.21199999999999</c:v>
                </c:pt>
                <c:pt idx="7">
                  <c:v>169.166</c:v>
                </c:pt>
                <c:pt idx="9">
                  <c:v>169.16499999999999</c:v>
                </c:pt>
                <c:pt idx="11">
                  <c:v>169.02500000000001</c:v>
                </c:pt>
                <c:pt idx="13">
                  <c:v>169.292</c:v>
                </c:pt>
                <c:pt idx="15">
                  <c:v>169.26300000000001</c:v>
                </c:pt>
                <c:pt idx="17">
                  <c:v>169.21</c:v>
                </c:pt>
                <c:pt idx="19">
                  <c:v>169.27</c:v>
                </c:pt>
                <c:pt idx="21">
                  <c:v>169.19399999999999</c:v>
                </c:pt>
                <c:pt idx="23">
                  <c:v>169.155</c:v>
                </c:pt>
                <c:pt idx="25">
                  <c:v>169.197</c:v>
                </c:pt>
                <c:pt idx="27">
                  <c:v>169.36099999999999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9-4DCC-A10D-C036F9AA214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('AMP2-6'!$J$4,'AMP2-6'!$J$4)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69-4DCC-A10D-C036F9AA214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('AMP2-6'!$J$5,'AMP2-6'!$J$5)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69-4DCC-A10D-C036F9AA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7256"/>
        <c:axId val="410437648"/>
      </c:scatterChart>
      <c:valAx>
        <c:axId val="41043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7648"/>
        <c:crosses val="autoZero"/>
        <c:crossBetween val="midCat"/>
      </c:valAx>
      <c:valAx>
        <c:axId val="410437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'AMP2-6'!$K$9:$K$36</c:f>
              <c:numCache>
                <c:formatCode>General</c:formatCode>
                <c:ptCount val="28"/>
                <c:pt idx="1">
                  <c:v>168.70699999999999</c:v>
                </c:pt>
                <c:pt idx="3">
                  <c:v>168.84200000000001</c:v>
                </c:pt>
                <c:pt idx="5">
                  <c:v>168.81899999999999</c:v>
                </c:pt>
                <c:pt idx="7">
                  <c:v>168.59800000000001</c:v>
                </c:pt>
                <c:pt idx="9">
                  <c:v>168.572</c:v>
                </c:pt>
                <c:pt idx="11">
                  <c:v>168.548</c:v>
                </c:pt>
                <c:pt idx="13">
                  <c:v>168.69800000000001</c:v>
                </c:pt>
                <c:pt idx="15">
                  <c:v>168.654</c:v>
                </c:pt>
                <c:pt idx="17">
                  <c:v>168.66399999999999</c:v>
                </c:pt>
                <c:pt idx="19">
                  <c:v>168.87299999999999</c:v>
                </c:pt>
                <c:pt idx="21">
                  <c:v>168.709</c:v>
                </c:pt>
                <c:pt idx="23">
                  <c:v>168.54599999999999</c:v>
                </c:pt>
                <c:pt idx="25">
                  <c:v>168.797</c:v>
                </c:pt>
                <c:pt idx="27">
                  <c:v>168.90899999999999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9B-41B2-AC3D-08E20530848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('AMP2-6'!$K$4,'AMP2-6'!$K$4)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9B-41B2-AC3D-08E20530848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('AMP2-6'!$K$5,'AMP2-6'!$K$5)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9B-41B2-AC3D-08E205308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8432"/>
        <c:axId val="410438824"/>
      </c:scatterChart>
      <c:valAx>
        <c:axId val="41043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8824"/>
        <c:crosses val="autoZero"/>
        <c:crossBetween val="midCat"/>
      </c:valAx>
      <c:valAx>
        <c:axId val="410438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'AMP2-6'!$L$9:$L$36</c:f>
              <c:numCache>
                <c:formatCode>General</c:formatCode>
                <c:ptCount val="28"/>
                <c:pt idx="0">
                  <c:v>155.786</c:v>
                </c:pt>
                <c:pt idx="1">
                  <c:v>155.75200000000001</c:v>
                </c:pt>
                <c:pt idx="2">
                  <c:v>155.80600000000001</c:v>
                </c:pt>
                <c:pt idx="3">
                  <c:v>155.83199999999999</c:v>
                </c:pt>
                <c:pt idx="4">
                  <c:v>155.81800000000001</c:v>
                </c:pt>
                <c:pt idx="5">
                  <c:v>155.81100000000001</c:v>
                </c:pt>
                <c:pt idx="6">
                  <c:v>155.78700000000001</c:v>
                </c:pt>
                <c:pt idx="7">
                  <c:v>155.83199999999999</c:v>
                </c:pt>
                <c:pt idx="8">
                  <c:v>155.774</c:v>
                </c:pt>
                <c:pt idx="9">
                  <c:v>155.87299999999999</c:v>
                </c:pt>
                <c:pt idx="10">
                  <c:v>155.87200000000001</c:v>
                </c:pt>
                <c:pt idx="11">
                  <c:v>155.809</c:v>
                </c:pt>
                <c:pt idx="12">
                  <c:v>155.82400000000001</c:v>
                </c:pt>
                <c:pt idx="13">
                  <c:v>155.80099999999999</c:v>
                </c:pt>
                <c:pt idx="14">
                  <c:v>155.905</c:v>
                </c:pt>
                <c:pt idx="15">
                  <c:v>155.88</c:v>
                </c:pt>
                <c:pt idx="16">
                  <c:v>155.91800000000001</c:v>
                </c:pt>
                <c:pt idx="17">
                  <c:v>155.869</c:v>
                </c:pt>
                <c:pt idx="18">
                  <c:v>155.88999999999999</c:v>
                </c:pt>
                <c:pt idx="19">
                  <c:v>155.92400000000001</c:v>
                </c:pt>
                <c:pt idx="20">
                  <c:v>155.822</c:v>
                </c:pt>
                <c:pt idx="21">
                  <c:v>155.84100000000001</c:v>
                </c:pt>
                <c:pt idx="22">
                  <c:v>156.006</c:v>
                </c:pt>
                <c:pt idx="23">
                  <c:v>156.02699999999999</c:v>
                </c:pt>
                <c:pt idx="24">
                  <c:v>155.94999999999999</c:v>
                </c:pt>
                <c:pt idx="25">
                  <c:v>155.953</c:v>
                </c:pt>
                <c:pt idx="26">
                  <c:v>155.88800000000001</c:v>
                </c:pt>
                <c:pt idx="27">
                  <c:v>155.846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A-443E-BE35-33FE6047554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('AMP2-6'!$L$4,'AMP2-6'!$L$4)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DA-443E-BE35-33FE6047554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('AMP2-6'!$L$5,'AMP2-6'!$L$5)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DA-443E-BE35-33FE60475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39608"/>
        <c:axId val="410440000"/>
      </c:scatterChart>
      <c:valAx>
        <c:axId val="41043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40000"/>
        <c:crosses val="autoZero"/>
        <c:crossBetween val="midCat"/>
      </c:valAx>
      <c:valAx>
        <c:axId val="410440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3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'AMP2-6'!$M$9:$M$36</c:f>
              <c:numCache>
                <c:formatCode>General</c:formatCode>
                <c:ptCount val="28"/>
                <c:pt idx="0">
                  <c:v>155.65</c:v>
                </c:pt>
                <c:pt idx="1">
                  <c:v>155.60300000000001</c:v>
                </c:pt>
                <c:pt idx="2">
                  <c:v>155.61199999999999</c:v>
                </c:pt>
                <c:pt idx="3">
                  <c:v>155.69200000000001</c:v>
                </c:pt>
                <c:pt idx="4">
                  <c:v>155.708</c:v>
                </c:pt>
                <c:pt idx="5">
                  <c:v>155.643</c:v>
                </c:pt>
                <c:pt idx="6">
                  <c:v>155.63</c:v>
                </c:pt>
                <c:pt idx="7">
                  <c:v>155.66499999999999</c:v>
                </c:pt>
                <c:pt idx="8">
                  <c:v>155.66</c:v>
                </c:pt>
                <c:pt idx="9">
                  <c:v>155.71700000000001</c:v>
                </c:pt>
                <c:pt idx="10">
                  <c:v>155.74600000000001</c:v>
                </c:pt>
                <c:pt idx="11">
                  <c:v>155.65799999999999</c:v>
                </c:pt>
                <c:pt idx="12">
                  <c:v>155.64400000000001</c:v>
                </c:pt>
                <c:pt idx="13">
                  <c:v>155.76499999999999</c:v>
                </c:pt>
                <c:pt idx="14">
                  <c:v>155.761</c:v>
                </c:pt>
                <c:pt idx="15">
                  <c:v>155.714</c:v>
                </c:pt>
                <c:pt idx="16">
                  <c:v>155.80600000000001</c:v>
                </c:pt>
                <c:pt idx="17">
                  <c:v>155.66300000000001</c:v>
                </c:pt>
                <c:pt idx="18">
                  <c:v>155.78100000000001</c:v>
                </c:pt>
                <c:pt idx="19">
                  <c:v>155.608</c:v>
                </c:pt>
                <c:pt idx="20">
                  <c:v>155.691</c:v>
                </c:pt>
                <c:pt idx="21">
                  <c:v>155.68299999999999</c:v>
                </c:pt>
                <c:pt idx="22">
                  <c:v>155.85599999999999</c:v>
                </c:pt>
                <c:pt idx="23">
                  <c:v>155.81200000000001</c:v>
                </c:pt>
                <c:pt idx="24">
                  <c:v>155.84700000000001</c:v>
                </c:pt>
                <c:pt idx="25">
                  <c:v>155.85599999999999</c:v>
                </c:pt>
                <c:pt idx="26">
                  <c:v>155.596</c:v>
                </c:pt>
                <c:pt idx="27">
                  <c:v>155.905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8D-4D27-BB95-E4EBC34BC9C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('AMP2-6'!$M$4,'AMP2-6'!$M$4)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8D-4D27-BB95-E4EBC34BC9C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('AMP2-6'!$M$5,'AMP2-6'!$M$5)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8D-4D27-BB95-E4EBC34BC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40784"/>
        <c:axId val="410441176"/>
      </c:scatterChart>
      <c:valAx>
        <c:axId val="41044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41176"/>
        <c:crosses val="autoZero"/>
        <c:crossBetween val="midCat"/>
      </c:valAx>
      <c:valAx>
        <c:axId val="410441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4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'AMP2-6'!$N$9:$N$36</c:f>
              <c:numCache>
                <c:formatCode>General</c:formatCode>
                <c:ptCount val="28"/>
                <c:pt idx="0">
                  <c:v>27.422999999999998</c:v>
                </c:pt>
                <c:pt idx="1">
                  <c:v>27.434000000000001</c:v>
                </c:pt>
                <c:pt idx="2">
                  <c:v>27.407</c:v>
                </c:pt>
                <c:pt idx="3">
                  <c:v>27.402999999999999</c:v>
                </c:pt>
                <c:pt idx="4">
                  <c:v>27.401</c:v>
                </c:pt>
                <c:pt idx="5">
                  <c:v>27.382999999999999</c:v>
                </c:pt>
                <c:pt idx="6">
                  <c:v>27.414000000000001</c:v>
                </c:pt>
                <c:pt idx="7">
                  <c:v>27.35</c:v>
                </c:pt>
                <c:pt idx="8">
                  <c:v>27.437999999999999</c:v>
                </c:pt>
                <c:pt idx="9">
                  <c:v>27.314</c:v>
                </c:pt>
                <c:pt idx="10">
                  <c:v>27.294</c:v>
                </c:pt>
                <c:pt idx="11">
                  <c:v>27.385000000000002</c:v>
                </c:pt>
                <c:pt idx="12">
                  <c:v>27.347999999999999</c:v>
                </c:pt>
                <c:pt idx="13">
                  <c:v>27.402000000000001</c:v>
                </c:pt>
                <c:pt idx="14">
                  <c:v>27.311</c:v>
                </c:pt>
                <c:pt idx="15">
                  <c:v>27.289000000000001</c:v>
                </c:pt>
                <c:pt idx="16">
                  <c:v>27.294</c:v>
                </c:pt>
                <c:pt idx="17">
                  <c:v>27.355</c:v>
                </c:pt>
                <c:pt idx="18">
                  <c:v>27.32</c:v>
                </c:pt>
                <c:pt idx="19">
                  <c:v>27.245000000000001</c:v>
                </c:pt>
                <c:pt idx="20">
                  <c:v>27.344999999999999</c:v>
                </c:pt>
                <c:pt idx="21">
                  <c:v>27.352</c:v>
                </c:pt>
                <c:pt idx="22">
                  <c:v>27.213999999999999</c:v>
                </c:pt>
                <c:pt idx="23">
                  <c:v>27.201000000000001</c:v>
                </c:pt>
                <c:pt idx="24">
                  <c:v>27.16</c:v>
                </c:pt>
                <c:pt idx="25">
                  <c:v>27.274000000000001</c:v>
                </c:pt>
                <c:pt idx="26">
                  <c:v>27.254999999999999</c:v>
                </c:pt>
                <c:pt idx="27">
                  <c:v>27.378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19-48F1-8155-8CF92F98F54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('AMP2-6'!$N$4,'AMP2-6'!$N$4)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19-48F1-8155-8CF92F98F54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('AMP2-6'!$N$5,'AMP2-6'!$N$5)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19-48F1-8155-8CF92F98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79728"/>
        <c:axId val="421780120"/>
      </c:scatterChart>
      <c:valAx>
        <c:axId val="42177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0120"/>
        <c:crosses val="autoZero"/>
        <c:crossBetween val="midCat"/>
      </c:valAx>
      <c:valAx>
        <c:axId val="421780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7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'AMP2-6'!$O$9:$O$36</c:f>
              <c:numCache>
                <c:formatCode>General</c:formatCode>
                <c:ptCount val="28"/>
                <c:pt idx="0">
                  <c:v>27.635000000000002</c:v>
                </c:pt>
                <c:pt idx="1">
                  <c:v>27.568999999999999</c:v>
                </c:pt>
                <c:pt idx="2">
                  <c:v>27.661000000000001</c:v>
                </c:pt>
                <c:pt idx="3">
                  <c:v>27.498000000000001</c:v>
                </c:pt>
                <c:pt idx="4">
                  <c:v>27.605</c:v>
                </c:pt>
                <c:pt idx="5">
                  <c:v>27.553999999999998</c:v>
                </c:pt>
                <c:pt idx="6">
                  <c:v>27.635999999999999</c:v>
                </c:pt>
                <c:pt idx="7">
                  <c:v>27.460999999999999</c:v>
                </c:pt>
                <c:pt idx="8">
                  <c:v>27.631</c:v>
                </c:pt>
                <c:pt idx="9">
                  <c:v>27.411999999999999</c:v>
                </c:pt>
                <c:pt idx="10">
                  <c:v>27.52</c:v>
                </c:pt>
                <c:pt idx="11">
                  <c:v>27.501999999999999</c:v>
                </c:pt>
                <c:pt idx="12">
                  <c:v>27.632999999999999</c:v>
                </c:pt>
                <c:pt idx="13">
                  <c:v>27.413</c:v>
                </c:pt>
                <c:pt idx="14">
                  <c:v>27.54</c:v>
                </c:pt>
                <c:pt idx="15">
                  <c:v>27.431999999999999</c:v>
                </c:pt>
                <c:pt idx="16">
                  <c:v>27.486999999999998</c:v>
                </c:pt>
                <c:pt idx="17">
                  <c:v>27.523</c:v>
                </c:pt>
                <c:pt idx="18">
                  <c:v>27.474</c:v>
                </c:pt>
                <c:pt idx="19">
                  <c:v>27.396999999999998</c:v>
                </c:pt>
                <c:pt idx="20">
                  <c:v>27.597000000000001</c:v>
                </c:pt>
                <c:pt idx="21">
                  <c:v>27.474</c:v>
                </c:pt>
                <c:pt idx="22">
                  <c:v>27.459</c:v>
                </c:pt>
                <c:pt idx="23">
                  <c:v>27.372</c:v>
                </c:pt>
                <c:pt idx="24">
                  <c:v>27.248999999999999</c:v>
                </c:pt>
                <c:pt idx="25">
                  <c:v>27.440999999999999</c:v>
                </c:pt>
                <c:pt idx="26">
                  <c:v>27.690999999999999</c:v>
                </c:pt>
                <c:pt idx="27">
                  <c:v>27.276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4-42C3-8E46-B8E559F6378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('AMP2-6'!$O$4,'AMP2-6'!$O$4)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64-42C3-8E46-B8E559F6378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('AMP2-6'!$O$5,'AMP2-6'!$O$5)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64-42C3-8E46-B8E559F63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0904"/>
        <c:axId val="421781296"/>
      </c:scatterChart>
      <c:valAx>
        <c:axId val="42178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1296"/>
        <c:crosses val="autoZero"/>
        <c:crossBetween val="midCat"/>
      </c:valAx>
      <c:valAx>
        <c:axId val="421781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'AMP2-6'!$R$9:$R$36</c:f>
              <c:numCache>
                <c:formatCode>General</c:formatCode>
                <c:ptCount val="28"/>
                <c:pt idx="0">
                  <c:v>17.105</c:v>
                </c:pt>
                <c:pt idx="1">
                  <c:v>17.071999999999999</c:v>
                </c:pt>
                <c:pt idx="2">
                  <c:v>17.103000000000002</c:v>
                </c:pt>
                <c:pt idx="3">
                  <c:v>17.085999999999999</c:v>
                </c:pt>
                <c:pt idx="4">
                  <c:v>17.11</c:v>
                </c:pt>
                <c:pt idx="5">
                  <c:v>17.074000000000002</c:v>
                </c:pt>
                <c:pt idx="6">
                  <c:v>17.096</c:v>
                </c:pt>
                <c:pt idx="7">
                  <c:v>17.082000000000001</c:v>
                </c:pt>
                <c:pt idx="8">
                  <c:v>17.100000000000001</c:v>
                </c:pt>
                <c:pt idx="9">
                  <c:v>17.071999999999999</c:v>
                </c:pt>
                <c:pt idx="10">
                  <c:v>17.116</c:v>
                </c:pt>
                <c:pt idx="11">
                  <c:v>17.085000000000001</c:v>
                </c:pt>
                <c:pt idx="12">
                  <c:v>17.087</c:v>
                </c:pt>
                <c:pt idx="13">
                  <c:v>17.074999999999999</c:v>
                </c:pt>
                <c:pt idx="14">
                  <c:v>17.119</c:v>
                </c:pt>
                <c:pt idx="15">
                  <c:v>17.071999999999999</c:v>
                </c:pt>
                <c:pt idx="16">
                  <c:v>17.114000000000001</c:v>
                </c:pt>
                <c:pt idx="17">
                  <c:v>17.076000000000001</c:v>
                </c:pt>
                <c:pt idx="18">
                  <c:v>17.119</c:v>
                </c:pt>
                <c:pt idx="19">
                  <c:v>17.100999999999999</c:v>
                </c:pt>
                <c:pt idx="20">
                  <c:v>17.11</c:v>
                </c:pt>
                <c:pt idx="21">
                  <c:v>17.045999999999999</c:v>
                </c:pt>
                <c:pt idx="22">
                  <c:v>17.128</c:v>
                </c:pt>
                <c:pt idx="23">
                  <c:v>17.068000000000001</c:v>
                </c:pt>
                <c:pt idx="24">
                  <c:v>17.085999999999999</c:v>
                </c:pt>
                <c:pt idx="25">
                  <c:v>17.077000000000002</c:v>
                </c:pt>
                <c:pt idx="26">
                  <c:v>17.097999999999999</c:v>
                </c:pt>
                <c:pt idx="27">
                  <c:v>17.079999999999998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4-4A8C-B927-C34ED525D87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('AMP2-6'!$R$4,'AMP2-6'!$R$4)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4-4A8C-B927-C34ED525D87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('AMP2-6'!$R$5,'AMP2-6'!$R$5)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94-4A8C-B927-C34ED525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2080"/>
        <c:axId val="421782472"/>
      </c:scatterChart>
      <c:valAx>
        <c:axId val="42178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2472"/>
        <c:crosses val="autoZero"/>
        <c:crossBetween val="midCat"/>
      </c:valAx>
      <c:valAx>
        <c:axId val="4217824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'AMP2-6'!$S$9:$S$36</c:f>
              <c:numCache>
                <c:formatCode>General</c:formatCode>
                <c:ptCount val="28"/>
                <c:pt idx="0">
                  <c:v>17.061</c:v>
                </c:pt>
                <c:pt idx="1">
                  <c:v>17.382999999999999</c:v>
                </c:pt>
                <c:pt idx="2">
                  <c:v>17.082999999999998</c:v>
                </c:pt>
                <c:pt idx="3">
                  <c:v>17.332999999999998</c:v>
                </c:pt>
                <c:pt idx="4">
                  <c:v>16.991</c:v>
                </c:pt>
                <c:pt idx="5">
                  <c:v>17.393999999999998</c:v>
                </c:pt>
                <c:pt idx="6">
                  <c:v>16.969000000000001</c:v>
                </c:pt>
                <c:pt idx="7">
                  <c:v>17.353000000000002</c:v>
                </c:pt>
                <c:pt idx="8">
                  <c:v>17.021999999999998</c:v>
                </c:pt>
                <c:pt idx="9">
                  <c:v>17.353000000000002</c:v>
                </c:pt>
                <c:pt idx="10">
                  <c:v>17.003</c:v>
                </c:pt>
                <c:pt idx="11">
                  <c:v>17.446999999999999</c:v>
                </c:pt>
                <c:pt idx="12">
                  <c:v>16.97</c:v>
                </c:pt>
                <c:pt idx="13">
                  <c:v>17.346</c:v>
                </c:pt>
                <c:pt idx="14">
                  <c:v>17</c:v>
                </c:pt>
                <c:pt idx="15">
                  <c:v>17.241</c:v>
                </c:pt>
                <c:pt idx="16">
                  <c:v>16.925000000000001</c:v>
                </c:pt>
                <c:pt idx="17">
                  <c:v>17.484000000000002</c:v>
                </c:pt>
                <c:pt idx="18">
                  <c:v>16.861000000000001</c:v>
                </c:pt>
                <c:pt idx="19">
                  <c:v>17.402999999999999</c:v>
                </c:pt>
                <c:pt idx="20">
                  <c:v>16.978999999999999</c:v>
                </c:pt>
                <c:pt idx="21">
                  <c:v>17.385000000000002</c:v>
                </c:pt>
                <c:pt idx="22">
                  <c:v>16.911999999999999</c:v>
                </c:pt>
                <c:pt idx="23">
                  <c:v>17.257999999999999</c:v>
                </c:pt>
                <c:pt idx="24">
                  <c:v>16.866</c:v>
                </c:pt>
                <c:pt idx="25">
                  <c:v>17.242000000000001</c:v>
                </c:pt>
                <c:pt idx="26">
                  <c:v>16.916</c:v>
                </c:pt>
                <c:pt idx="27">
                  <c:v>17.341999999999999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0-4473-B93F-932BFC98036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('AMP2-6'!$S$4,'AMP2-6'!$S$4)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E0-4473-B93F-932BFC98036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('AMP2-6'!$S$5,'AMP2-6'!$S$5)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E0-4473-B93F-932BFC980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3256"/>
        <c:axId val="421783648"/>
      </c:scatterChart>
      <c:valAx>
        <c:axId val="42178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3648"/>
        <c:crosses val="autoZero"/>
        <c:crossBetween val="midCat"/>
      </c:valAx>
      <c:valAx>
        <c:axId val="421783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'AMP2-6'!$T$9:$T$36</c:f>
              <c:numCache>
                <c:formatCode>General</c:formatCode>
                <c:ptCount val="28"/>
                <c:pt idx="0">
                  <c:v>35.052</c:v>
                </c:pt>
                <c:pt idx="1">
                  <c:v>36.886000000000003</c:v>
                </c:pt>
                <c:pt idx="2">
                  <c:v>34.701000000000001</c:v>
                </c:pt>
                <c:pt idx="3">
                  <c:v>36.139000000000003</c:v>
                </c:pt>
                <c:pt idx="4">
                  <c:v>34.618000000000002</c:v>
                </c:pt>
                <c:pt idx="5">
                  <c:v>38.494999999999997</c:v>
                </c:pt>
                <c:pt idx="6">
                  <c:v>35.075000000000003</c:v>
                </c:pt>
                <c:pt idx="7">
                  <c:v>37.009</c:v>
                </c:pt>
                <c:pt idx="8">
                  <c:v>35.277999999999999</c:v>
                </c:pt>
                <c:pt idx="9">
                  <c:v>37.676000000000002</c:v>
                </c:pt>
                <c:pt idx="10">
                  <c:v>35.155999999999999</c:v>
                </c:pt>
                <c:pt idx="11">
                  <c:v>35.951000000000001</c:v>
                </c:pt>
                <c:pt idx="12">
                  <c:v>35.591999999999999</c:v>
                </c:pt>
                <c:pt idx="13">
                  <c:v>35.872</c:v>
                </c:pt>
                <c:pt idx="14">
                  <c:v>35.203000000000003</c:v>
                </c:pt>
                <c:pt idx="15">
                  <c:v>35.680999999999997</c:v>
                </c:pt>
                <c:pt idx="16">
                  <c:v>34.978999999999999</c:v>
                </c:pt>
                <c:pt idx="17">
                  <c:v>37.176000000000002</c:v>
                </c:pt>
                <c:pt idx="18">
                  <c:v>35.338000000000001</c:v>
                </c:pt>
                <c:pt idx="19">
                  <c:v>33.139000000000003</c:v>
                </c:pt>
                <c:pt idx="20">
                  <c:v>35.113999999999997</c:v>
                </c:pt>
                <c:pt idx="21">
                  <c:v>37.049999999999997</c:v>
                </c:pt>
                <c:pt idx="22">
                  <c:v>35.259</c:v>
                </c:pt>
                <c:pt idx="23">
                  <c:v>33.270000000000003</c:v>
                </c:pt>
                <c:pt idx="24">
                  <c:v>35.119999999999997</c:v>
                </c:pt>
                <c:pt idx="25">
                  <c:v>35.637999999999998</c:v>
                </c:pt>
                <c:pt idx="26">
                  <c:v>35.404000000000003</c:v>
                </c:pt>
                <c:pt idx="27">
                  <c:v>33.597000000000001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20-4EEA-B008-22FAC007A7C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('AMP2-6'!$T$4,'AMP2-6'!$T$4)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20-4EEA-B008-22FAC007A7C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('AMP2-6'!$T$5,'AMP2-6'!$T$5)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20-4EEA-B008-22FAC007A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4432"/>
        <c:axId val="421784824"/>
      </c:scatterChart>
      <c:valAx>
        <c:axId val="42178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4824"/>
        <c:crosses val="autoZero"/>
        <c:crossBetween val="midCat"/>
      </c:valAx>
      <c:valAx>
        <c:axId val="421784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'AMP2-6'!$U$9:$U$36</c:f>
              <c:numCache>
                <c:formatCode>General</c:formatCode>
                <c:ptCount val="28"/>
                <c:pt idx="0">
                  <c:v>35.802999999999997</c:v>
                </c:pt>
                <c:pt idx="1">
                  <c:v>36.816000000000003</c:v>
                </c:pt>
                <c:pt idx="2">
                  <c:v>35.936999999999998</c:v>
                </c:pt>
                <c:pt idx="3">
                  <c:v>36.231999999999999</c:v>
                </c:pt>
                <c:pt idx="4">
                  <c:v>36.067999999999998</c:v>
                </c:pt>
                <c:pt idx="5">
                  <c:v>39.466999999999999</c:v>
                </c:pt>
                <c:pt idx="6">
                  <c:v>35.82</c:v>
                </c:pt>
                <c:pt idx="7">
                  <c:v>36.539000000000001</c:v>
                </c:pt>
                <c:pt idx="8">
                  <c:v>35.893999999999998</c:v>
                </c:pt>
                <c:pt idx="9">
                  <c:v>37.329000000000001</c:v>
                </c:pt>
                <c:pt idx="10">
                  <c:v>35.89</c:v>
                </c:pt>
                <c:pt idx="11">
                  <c:v>37.335000000000001</c:v>
                </c:pt>
                <c:pt idx="12">
                  <c:v>35.371000000000002</c:v>
                </c:pt>
                <c:pt idx="13">
                  <c:v>37.933999999999997</c:v>
                </c:pt>
                <c:pt idx="14">
                  <c:v>35.811</c:v>
                </c:pt>
                <c:pt idx="15">
                  <c:v>38.406999999999996</c:v>
                </c:pt>
                <c:pt idx="16">
                  <c:v>36.064</c:v>
                </c:pt>
                <c:pt idx="17">
                  <c:v>37.884999999999998</c:v>
                </c:pt>
                <c:pt idx="18">
                  <c:v>35.773000000000003</c:v>
                </c:pt>
                <c:pt idx="19">
                  <c:v>33.658000000000001</c:v>
                </c:pt>
                <c:pt idx="20">
                  <c:v>35.966000000000001</c:v>
                </c:pt>
                <c:pt idx="21">
                  <c:v>37.04</c:v>
                </c:pt>
                <c:pt idx="22">
                  <c:v>35.734000000000002</c:v>
                </c:pt>
                <c:pt idx="23">
                  <c:v>34.152999999999999</c:v>
                </c:pt>
                <c:pt idx="24">
                  <c:v>36.015999999999998</c:v>
                </c:pt>
                <c:pt idx="25">
                  <c:v>37.569000000000003</c:v>
                </c:pt>
                <c:pt idx="26">
                  <c:v>35.792000000000002</c:v>
                </c:pt>
                <c:pt idx="27">
                  <c:v>36.052999999999997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5-4901-980E-D4329F0F7F0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('AMP2-6'!$U$4,'AMP2-6'!$U$4)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C5-4901-980E-D4329F0F7F0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('AMP2-6'!$U$5,'AMP2-6'!$U$5)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5-4901-980E-D4329F0F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5608"/>
        <c:axId val="421786000"/>
      </c:scatterChart>
      <c:valAx>
        <c:axId val="42178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6000"/>
        <c:crosses val="autoZero"/>
        <c:crossBetween val="midCat"/>
      </c:valAx>
      <c:valAx>
        <c:axId val="421786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'AMP2-6'!$AB$9:$AB$36</c:f>
              <c:numCache>
                <c:formatCode>General</c:formatCode>
                <c:ptCount val="28"/>
                <c:pt idx="0">
                  <c:v>7.0999999999999994E-2</c:v>
                </c:pt>
                <c:pt idx="1">
                  <c:v>2.5999999999999999E-2</c:v>
                </c:pt>
                <c:pt idx="2">
                  <c:v>5.3999999999999999E-2</c:v>
                </c:pt>
                <c:pt idx="3">
                  <c:v>-3.5999999999999997E-2</c:v>
                </c:pt>
                <c:pt idx="4">
                  <c:v>6.7000000000000004E-2</c:v>
                </c:pt>
                <c:pt idx="5">
                  <c:v>-0.12</c:v>
                </c:pt>
                <c:pt idx="6">
                  <c:v>8.2000000000000003E-2</c:v>
                </c:pt>
                <c:pt idx="7">
                  <c:v>-7.3999999999999996E-2</c:v>
                </c:pt>
                <c:pt idx="8">
                  <c:v>8.8999999999999996E-2</c:v>
                </c:pt>
                <c:pt idx="9">
                  <c:v>-0.13900000000000001</c:v>
                </c:pt>
                <c:pt idx="10">
                  <c:v>8.0000000000000002E-3</c:v>
                </c:pt>
                <c:pt idx="11">
                  <c:v>-4.3999999999999997E-2</c:v>
                </c:pt>
                <c:pt idx="12">
                  <c:v>8.6999999999999994E-2</c:v>
                </c:pt>
                <c:pt idx="13">
                  <c:v>-0.104</c:v>
                </c:pt>
                <c:pt idx="14">
                  <c:v>2.7E-2</c:v>
                </c:pt>
                <c:pt idx="15">
                  <c:v>-0.122</c:v>
                </c:pt>
                <c:pt idx="16">
                  <c:v>4.5999999999999999E-2</c:v>
                </c:pt>
                <c:pt idx="17">
                  <c:v>-9.4E-2</c:v>
                </c:pt>
                <c:pt idx="18">
                  <c:v>0</c:v>
                </c:pt>
                <c:pt idx="19">
                  <c:v>-0.28399999999999997</c:v>
                </c:pt>
                <c:pt idx="20">
                  <c:v>8.3000000000000004E-2</c:v>
                </c:pt>
                <c:pt idx="21">
                  <c:v>-8.7999999999999995E-2</c:v>
                </c:pt>
                <c:pt idx="22">
                  <c:v>-0.08</c:v>
                </c:pt>
                <c:pt idx="23">
                  <c:v>-0.26200000000000001</c:v>
                </c:pt>
                <c:pt idx="24">
                  <c:v>-9.7000000000000003E-2</c:v>
                </c:pt>
                <c:pt idx="25">
                  <c:v>-0.14299999999999999</c:v>
                </c:pt>
                <c:pt idx="26">
                  <c:v>0.161</c:v>
                </c:pt>
                <c:pt idx="27">
                  <c:v>-0.17199999999999999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85-474F-A664-EB3F6830CE2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('AMP2-6'!$AB$4,'AMP2-6'!$AB$4)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85-474F-A664-EB3F6830CE2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('AMP2-6'!$AB$5,'AMP2-6'!$AB$5)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85-474F-A664-EB3F6830C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86784"/>
        <c:axId val="421787176"/>
      </c:scatterChart>
      <c:valAx>
        <c:axId val="42178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7176"/>
        <c:crosses val="autoZero"/>
        <c:crossBetween val="midCat"/>
      </c:valAx>
      <c:valAx>
        <c:axId val="421787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8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'AMP2-6'!$AC$9:$AC$36</c:f>
              <c:numCache>
                <c:formatCode>General</c:formatCode>
                <c:ptCount val="28"/>
                <c:pt idx="0">
                  <c:v>3.2000000000000001E-2</c:v>
                </c:pt>
                <c:pt idx="1">
                  <c:v>1.7999999999999999E-2</c:v>
                </c:pt>
                <c:pt idx="2">
                  <c:v>1.4E-2</c:v>
                </c:pt>
                <c:pt idx="3">
                  <c:v>-4.2000000000000003E-2</c:v>
                </c:pt>
                <c:pt idx="4">
                  <c:v>2.7E-2</c:v>
                </c:pt>
                <c:pt idx="5">
                  <c:v>-0.11899999999999999</c:v>
                </c:pt>
                <c:pt idx="6">
                  <c:v>5.8999999999999997E-2</c:v>
                </c:pt>
                <c:pt idx="7">
                  <c:v>-7.6999999999999999E-2</c:v>
                </c:pt>
                <c:pt idx="8">
                  <c:v>4.4999999999999998E-2</c:v>
                </c:pt>
                <c:pt idx="9">
                  <c:v>-0.10299999999999999</c:v>
                </c:pt>
                <c:pt idx="10">
                  <c:v>-3.9E-2</c:v>
                </c:pt>
                <c:pt idx="11">
                  <c:v>-4.2999999999999997E-2</c:v>
                </c:pt>
                <c:pt idx="12">
                  <c:v>0.06</c:v>
                </c:pt>
                <c:pt idx="13">
                  <c:v>-8.3000000000000004E-2</c:v>
                </c:pt>
                <c:pt idx="14">
                  <c:v>-2.1999999999999999E-2</c:v>
                </c:pt>
                <c:pt idx="15">
                  <c:v>-0.13900000000000001</c:v>
                </c:pt>
                <c:pt idx="16">
                  <c:v>6.0000000000000001E-3</c:v>
                </c:pt>
                <c:pt idx="17">
                  <c:v>-8.1000000000000003E-2</c:v>
                </c:pt>
                <c:pt idx="18">
                  <c:v>-3.7999999999999999E-2</c:v>
                </c:pt>
                <c:pt idx="19">
                  <c:v>-0.3</c:v>
                </c:pt>
                <c:pt idx="20">
                  <c:v>3.5000000000000003E-2</c:v>
                </c:pt>
                <c:pt idx="21">
                  <c:v>-9.5000000000000001E-2</c:v>
                </c:pt>
                <c:pt idx="22">
                  <c:v>-0.106</c:v>
                </c:pt>
                <c:pt idx="23">
                  <c:v>-0.252</c:v>
                </c:pt>
                <c:pt idx="24">
                  <c:v>-0.13300000000000001</c:v>
                </c:pt>
                <c:pt idx="25">
                  <c:v>-0.13900000000000001</c:v>
                </c:pt>
                <c:pt idx="26">
                  <c:v>0.127</c:v>
                </c:pt>
                <c:pt idx="27">
                  <c:v>-0.18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CE-4E9C-A11D-7162CC57F19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('AMP2-6'!$AC$4,'AMP2-6'!$AC$4)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CE-4E9C-A11D-7162CC57F19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('AMP2-6'!$AC$5,'AMP2-6'!$AC$5)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CE-4E9C-A11D-7162CC57F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1384"/>
        <c:axId val="421521776"/>
      </c:scatterChart>
      <c:valAx>
        <c:axId val="42152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1776"/>
        <c:crosses val="autoZero"/>
        <c:crossBetween val="midCat"/>
      </c:valAx>
      <c:valAx>
        <c:axId val="4215217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'AMP2-6'!$AD$9:$AD$36</c:f>
              <c:numCache>
                <c:formatCode>General</c:formatCode>
                <c:ptCount val="28"/>
                <c:pt idx="0">
                  <c:v>2.9000000000000001E-2</c:v>
                </c:pt>
                <c:pt idx="1">
                  <c:v>-0.17499999999999999</c:v>
                </c:pt>
                <c:pt idx="2">
                  <c:v>1.0999999999999999E-2</c:v>
                </c:pt>
                <c:pt idx="3">
                  <c:v>-0.19500000000000001</c:v>
                </c:pt>
                <c:pt idx="4">
                  <c:v>0.128</c:v>
                </c:pt>
                <c:pt idx="5">
                  <c:v>-0.33</c:v>
                </c:pt>
                <c:pt idx="6">
                  <c:v>0.06</c:v>
                </c:pt>
                <c:pt idx="7">
                  <c:v>-0.253</c:v>
                </c:pt>
                <c:pt idx="8">
                  <c:v>9.2999999999999999E-2</c:v>
                </c:pt>
                <c:pt idx="9">
                  <c:v>-0.34699999999999998</c:v>
                </c:pt>
                <c:pt idx="10">
                  <c:v>5.1999999999999998E-2</c:v>
                </c:pt>
                <c:pt idx="11">
                  <c:v>-0.26200000000000001</c:v>
                </c:pt>
                <c:pt idx="12">
                  <c:v>9.6000000000000002E-2</c:v>
                </c:pt>
                <c:pt idx="13">
                  <c:v>-0.28899999999999998</c:v>
                </c:pt>
                <c:pt idx="14">
                  <c:v>9.1999999999999998E-2</c:v>
                </c:pt>
                <c:pt idx="15">
                  <c:v>-0.215</c:v>
                </c:pt>
                <c:pt idx="16">
                  <c:v>0.182</c:v>
                </c:pt>
                <c:pt idx="17">
                  <c:v>-0.38800000000000001</c:v>
                </c:pt>
                <c:pt idx="18">
                  <c:v>0.26800000000000002</c:v>
                </c:pt>
                <c:pt idx="19">
                  <c:v>-0.46899999999999997</c:v>
                </c:pt>
                <c:pt idx="20">
                  <c:v>0.14399999999999999</c:v>
                </c:pt>
                <c:pt idx="21">
                  <c:v>-0.27800000000000002</c:v>
                </c:pt>
                <c:pt idx="22">
                  <c:v>0.13300000000000001</c:v>
                </c:pt>
                <c:pt idx="23">
                  <c:v>-0.314</c:v>
                </c:pt>
                <c:pt idx="24">
                  <c:v>0.11600000000000001</c:v>
                </c:pt>
                <c:pt idx="25">
                  <c:v>-0.221</c:v>
                </c:pt>
                <c:pt idx="26">
                  <c:v>0.70699999999999996</c:v>
                </c:pt>
                <c:pt idx="27">
                  <c:v>-0.92300000000000004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4-4FB0-9289-C920CB23976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('AMP2-6'!$AD$4,'AMP2-6'!$AD$4)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94-4FB0-9289-C920CB23976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('AMP2-6'!$AD$5,'AMP2-6'!$AD$5)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94-4FB0-9289-C920CB239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2560"/>
        <c:axId val="421522952"/>
      </c:scatterChart>
      <c:valAx>
        <c:axId val="42152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2952"/>
        <c:crosses val="autoZero"/>
        <c:crossBetween val="midCat"/>
      </c:valAx>
      <c:valAx>
        <c:axId val="4215229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'AMP2-6'!$AE$9:$AE$36</c:f>
              <c:numCache>
                <c:formatCode>General</c:formatCode>
                <c:ptCount val="28"/>
                <c:pt idx="0">
                  <c:v>5.8999999999999997E-2</c:v>
                </c:pt>
                <c:pt idx="1">
                  <c:v>-0.13500000000000001</c:v>
                </c:pt>
                <c:pt idx="2">
                  <c:v>6.0000000000000001E-3</c:v>
                </c:pt>
                <c:pt idx="3">
                  <c:v>-0.19400000000000001</c:v>
                </c:pt>
                <c:pt idx="4">
                  <c:v>0.121</c:v>
                </c:pt>
                <c:pt idx="5">
                  <c:v>-0.34499999999999997</c:v>
                </c:pt>
                <c:pt idx="6">
                  <c:v>0.23400000000000001</c:v>
                </c:pt>
                <c:pt idx="7">
                  <c:v>-0.23300000000000001</c:v>
                </c:pt>
                <c:pt idx="8">
                  <c:v>7.8E-2</c:v>
                </c:pt>
                <c:pt idx="9">
                  <c:v>-0.30499999999999999</c:v>
                </c:pt>
                <c:pt idx="10">
                  <c:v>-1.6E-2</c:v>
                </c:pt>
                <c:pt idx="11">
                  <c:v>-0.22500000000000001</c:v>
                </c:pt>
                <c:pt idx="12">
                  <c:v>9.8000000000000004E-2</c:v>
                </c:pt>
                <c:pt idx="13">
                  <c:v>-0.30099999999999999</c:v>
                </c:pt>
                <c:pt idx="14">
                  <c:v>2.5999999999999999E-2</c:v>
                </c:pt>
                <c:pt idx="15">
                  <c:v>-0.23</c:v>
                </c:pt>
                <c:pt idx="16">
                  <c:v>0.17899999999999999</c:v>
                </c:pt>
                <c:pt idx="17">
                  <c:v>-0.33400000000000002</c:v>
                </c:pt>
                <c:pt idx="18">
                  <c:v>0.123</c:v>
                </c:pt>
                <c:pt idx="19">
                  <c:v>-0.52100000000000002</c:v>
                </c:pt>
                <c:pt idx="20">
                  <c:v>3.5000000000000003E-2</c:v>
                </c:pt>
                <c:pt idx="21">
                  <c:v>-0.35399999999999998</c:v>
                </c:pt>
                <c:pt idx="22">
                  <c:v>-3.5999999999999997E-2</c:v>
                </c:pt>
                <c:pt idx="23">
                  <c:v>-0.34699999999999998</c:v>
                </c:pt>
                <c:pt idx="24">
                  <c:v>6.6000000000000003E-2</c:v>
                </c:pt>
                <c:pt idx="25">
                  <c:v>-0.255</c:v>
                </c:pt>
                <c:pt idx="26">
                  <c:v>0.66600000000000004</c:v>
                </c:pt>
                <c:pt idx="27">
                  <c:v>-1.0229999999999999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F8-420C-9009-3843371B885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('AMP2-6'!$AE$4,'AMP2-6'!$AE$4)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F8-420C-9009-3843371B885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('AMP2-6'!$AE$5,'AMP2-6'!$AE$5)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F8-420C-9009-3843371B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4128"/>
        <c:axId val="421524520"/>
      </c:scatterChart>
      <c:valAx>
        <c:axId val="42152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4520"/>
        <c:crosses val="autoZero"/>
        <c:crossBetween val="midCat"/>
      </c:valAx>
      <c:valAx>
        <c:axId val="421524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'AMP2-6'!$AF$9:$AF$36</c:f>
              <c:numCache>
                <c:formatCode>General</c:formatCode>
                <c:ptCount val="28"/>
                <c:pt idx="0">
                  <c:v>0.28499999999999998</c:v>
                </c:pt>
                <c:pt idx="1">
                  <c:v>0.216</c:v>
                </c:pt>
                <c:pt idx="2">
                  <c:v>0.21199999999999999</c:v>
                </c:pt>
                <c:pt idx="3">
                  <c:v>0.104</c:v>
                </c:pt>
                <c:pt idx="4">
                  <c:v>0.19900000000000001</c:v>
                </c:pt>
                <c:pt idx="5">
                  <c:v>0.03</c:v>
                </c:pt>
                <c:pt idx="6">
                  <c:v>0.24299999999999999</c:v>
                </c:pt>
                <c:pt idx="7">
                  <c:v>0.16500000000000001</c:v>
                </c:pt>
                <c:pt idx="8">
                  <c:v>0.252</c:v>
                </c:pt>
                <c:pt idx="9">
                  <c:v>0.113</c:v>
                </c:pt>
                <c:pt idx="10">
                  <c:v>0.30299999999999999</c:v>
                </c:pt>
                <c:pt idx="11">
                  <c:v>0.122</c:v>
                </c:pt>
                <c:pt idx="12">
                  <c:v>0.23200000000000001</c:v>
                </c:pt>
                <c:pt idx="13">
                  <c:v>0.124</c:v>
                </c:pt>
                <c:pt idx="14">
                  <c:v>0.17</c:v>
                </c:pt>
                <c:pt idx="15">
                  <c:v>0.128</c:v>
                </c:pt>
                <c:pt idx="16">
                  <c:v>0.23499999999999999</c:v>
                </c:pt>
                <c:pt idx="17">
                  <c:v>8.4000000000000005E-2</c:v>
                </c:pt>
                <c:pt idx="18">
                  <c:v>6.8000000000000005E-2</c:v>
                </c:pt>
                <c:pt idx="19">
                  <c:v>-0.11600000000000001</c:v>
                </c:pt>
                <c:pt idx="20">
                  <c:v>0.25</c:v>
                </c:pt>
                <c:pt idx="21">
                  <c:v>0.113</c:v>
                </c:pt>
                <c:pt idx="22">
                  <c:v>0.11799999999999999</c:v>
                </c:pt>
                <c:pt idx="23">
                  <c:v>-4.3999999999999997E-2</c:v>
                </c:pt>
                <c:pt idx="24">
                  <c:v>0.182</c:v>
                </c:pt>
                <c:pt idx="25">
                  <c:v>1.0999999999999999E-2</c:v>
                </c:pt>
                <c:pt idx="26">
                  <c:v>0.20100000000000001</c:v>
                </c:pt>
                <c:pt idx="27">
                  <c:v>-7.4999999999999997E-2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5B-48D6-9FFE-BBD061A6E1E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('AMP2-6'!$AF$4,'AMP2-6'!$AF$4)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5B-48D6-9FFE-BBD061A6E1E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('AMP2-6'!$AF$5,'AMP2-6'!$AF$5)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5B-48D6-9FFE-BBD061A6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4912"/>
        <c:axId val="421525304"/>
      </c:scatterChart>
      <c:valAx>
        <c:axId val="42152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5304"/>
        <c:crosses val="autoZero"/>
        <c:crossBetween val="midCat"/>
      </c:valAx>
      <c:valAx>
        <c:axId val="4215253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4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'AMP2-6'!$AG$9:$AG$36</c:f>
              <c:numCache>
                <c:formatCode>General</c:formatCode>
                <c:ptCount val="28"/>
                <c:pt idx="0">
                  <c:v>0.24199999999999999</c:v>
                </c:pt>
                <c:pt idx="1">
                  <c:v>0.21299999999999999</c:v>
                </c:pt>
                <c:pt idx="2">
                  <c:v>0.17</c:v>
                </c:pt>
                <c:pt idx="3">
                  <c:v>8.6999999999999994E-2</c:v>
                </c:pt>
                <c:pt idx="4">
                  <c:v>0.16400000000000001</c:v>
                </c:pt>
                <c:pt idx="5">
                  <c:v>2.9000000000000001E-2</c:v>
                </c:pt>
                <c:pt idx="6">
                  <c:v>0.19800000000000001</c:v>
                </c:pt>
                <c:pt idx="7">
                  <c:v>0.14699999999999999</c:v>
                </c:pt>
                <c:pt idx="8">
                  <c:v>0.221</c:v>
                </c:pt>
                <c:pt idx="9">
                  <c:v>0.1</c:v>
                </c:pt>
                <c:pt idx="10">
                  <c:v>0.27400000000000002</c:v>
                </c:pt>
                <c:pt idx="11">
                  <c:v>0.111</c:v>
                </c:pt>
                <c:pt idx="12">
                  <c:v>0.184</c:v>
                </c:pt>
                <c:pt idx="13">
                  <c:v>0.12</c:v>
                </c:pt>
                <c:pt idx="14">
                  <c:v>0.122</c:v>
                </c:pt>
                <c:pt idx="15">
                  <c:v>0.11600000000000001</c:v>
                </c:pt>
                <c:pt idx="16">
                  <c:v>0.20100000000000001</c:v>
                </c:pt>
                <c:pt idx="17">
                  <c:v>7.2999999999999995E-2</c:v>
                </c:pt>
                <c:pt idx="18">
                  <c:v>1.0999999999999999E-2</c:v>
                </c:pt>
                <c:pt idx="19">
                  <c:v>-0.124</c:v>
                </c:pt>
                <c:pt idx="20">
                  <c:v>0.19700000000000001</c:v>
                </c:pt>
                <c:pt idx="21">
                  <c:v>0.104</c:v>
                </c:pt>
                <c:pt idx="22">
                  <c:v>8.5000000000000006E-2</c:v>
                </c:pt>
                <c:pt idx="23">
                  <c:v>-0.06</c:v>
                </c:pt>
                <c:pt idx="24">
                  <c:v>0.14199999999999999</c:v>
                </c:pt>
                <c:pt idx="25">
                  <c:v>3.0000000000000001E-3</c:v>
                </c:pt>
                <c:pt idx="26">
                  <c:v>0.15</c:v>
                </c:pt>
                <c:pt idx="27">
                  <c:v>-0.08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8-4044-85AC-D6F2F138606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('AMP2-6'!$AG$4,'AMP2-6'!$AG$4)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38-4044-85AC-D6F2F138606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('AMP2-6'!$AG$5,'AMP2-6'!$AG$5)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38-4044-85AC-D6F2F1386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6088"/>
        <c:axId val="421526480"/>
      </c:scatterChart>
      <c:valAx>
        <c:axId val="421526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6480"/>
        <c:crosses val="autoZero"/>
        <c:crossBetween val="midCat"/>
      </c:valAx>
      <c:valAx>
        <c:axId val="421526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6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'AMP2-6'!$AH$9:$AH$36</c:f>
              <c:numCache>
                <c:formatCode>General</c:formatCode>
                <c:ptCount val="28"/>
                <c:pt idx="0">
                  <c:v>0.36499999999999999</c:v>
                </c:pt>
                <c:pt idx="1">
                  <c:v>1E-3</c:v>
                </c:pt>
                <c:pt idx="2">
                  <c:v>0.27900000000000003</c:v>
                </c:pt>
                <c:pt idx="3">
                  <c:v>-6.0999999999999999E-2</c:v>
                </c:pt>
                <c:pt idx="4">
                  <c:v>0.36199999999999999</c:v>
                </c:pt>
                <c:pt idx="5">
                  <c:v>-0.182</c:v>
                </c:pt>
                <c:pt idx="6">
                  <c:v>0.41699999999999998</c:v>
                </c:pt>
                <c:pt idx="7">
                  <c:v>6.0000000000000001E-3</c:v>
                </c:pt>
                <c:pt idx="8">
                  <c:v>0.35799999999999998</c:v>
                </c:pt>
                <c:pt idx="9">
                  <c:v>-7.8E-2</c:v>
                </c:pt>
                <c:pt idx="10">
                  <c:v>0.432</c:v>
                </c:pt>
                <c:pt idx="11">
                  <c:v>-0.126</c:v>
                </c:pt>
                <c:pt idx="12">
                  <c:v>0.35799999999999998</c:v>
                </c:pt>
                <c:pt idx="13">
                  <c:v>-6.4000000000000001E-2</c:v>
                </c:pt>
                <c:pt idx="14">
                  <c:v>0.376</c:v>
                </c:pt>
                <c:pt idx="15">
                  <c:v>0.06</c:v>
                </c:pt>
                <c:pt idx="16">
                  <c:v>0.501</c:v>
                </c:pt>
                <c:pt idx="17">
                  <c:v>-0.22</c:v>
                </c:pt>
                <c:pt idx="18">
                  <c:v>0.48799999999999999</c:v>
                </c:pt>
                <c:pt idx="19">
                  <c:v>-0.3</c:v>
                </c:pt>
                <c:pt idx="20">
                  <c:v>0.434</c:v>
                </c:pt>
                <c:pt idx="21">
                  <c:v>6.5000000000000002E-2</c:v>
                </c:pt>
                <c:pt idx="22">
                  <c:v>0.47099999999999997</c:v>
                </c:pt>
                <c:pt idx="23">
                  <c:v>-9.0999999999999998E-2</c:v>
                </c:pt>
                <c:pt idx="24">
                  <c:v>0.51800000000000002</c:v>
                </c:pt>
                <c:pt idx="25">
                  <c:v>-9.2999999999999999E-2</c:v>
                </c:pt>
                <c:pt idx="26">
                  <c:v>0.65200000000000002</c:v>
                </c:pt>
                <c:pt idx="27">
                  <c:v>-0.93100000000000005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3-4994-9F0F-AF5AD1E5138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('AMP2-6'!$AH$4,'AMP2-6'!$AH$4)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63-4994-9F0F-AF5AD1E5138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('AMP2-6'!$AH$5,'AMP2-6'!$AH$5)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63-4994-9F0F-AF5AD1E5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7264"/>
        <c:axId val="421527656"/>
      </c:scatterChart>
      <c:valAx>
        <c:axId val="42152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7656"/>
        <c:crosses val="autoZero"/>
        <c:crossBetween val="midCat"/>
      </c:valAx>
      <c:valAx>
        <c:axId val="421527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'AMP2-6'!$AI$8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'AMP2-6'!$C$9:$C$36</c:f>
              <c:numCache>
                <c:formatCode>m/d/yy\ h:mm;@</c:formatCode>
                <c:ptCount val="28"/>
                <c:pt idx="0">
                  <c:v>43705.754374999997</c:v>
                </c:pt>
                <c:pt idx="1">
                  <c:v>43705.755902777775</c:v>
                </c:pt>
                <c:pt idx="2">
                  <c:v>43705.83353009259</c:v>
                </c:pt>
                <c:pt idx="3">
                  <c:v>43705.835034722222</c:v>
                </c:pt>
                <c:pt idx="4">
                  <c:v>43705.955995370372</c:v>
                </c:pt>
                <c:pt idx="5">
                  <c:v>43705.95784722222</c:v>
                </c:pt>
                <c:pt idx="6">
                  <c:v>43706.023159722223</c:v>
                </c:pt>
                <c:pt idx="7">
                  <c:v>43706.025775462964</c:v>
                </c:pt>
                <c:pt idx="8">
                  <c:v>43706.030416666668</c:v>
                </c:pt>
                <c:pt idx="9">
                  <c:v>43706.031967592593</c:v>
                </c:pt>
                <c:pt idx="10">
                  <c:v>43706.335833333331</c:v>
                </c:pt>
                <c:pt idx="11">
                  <c:v>43706.33797453704</c:v>
                </c:pt>
                <c:pt idx="12">
                  <c:v>43706.602650462963</c:v>
                </c:pt>
                <c:pt idx="13">
                  <c:v>43706.604826388888</c:v>
                </c:pt>
                <c:pt idx="14">
                  <c:v>43706.710069444445</c:v>
                </c:pt>
                <c:pt idx="15">
                  <c:v>43706.712129629632</c:v>
                </c:pt>
                <c:pt idx="16">
                  <c:v>43706.772905092592</c:v>
                </c:pt>
                <c:pt idx="17">
                  <c:v>43706.774953703702</c:v>
                </c:pt>
                <c:pt idx="18">
                  <c:v>43706.947812500002</c:v>
                </c:pt>
                <c:pt idx="19">
                  <c:v>43706.949884259258</c:v>
                </c:pt>
                <c:pt idx="20">
                  <c:v>43707.02925925926</c:v>
                </c:pt>
                <c:pt idx="21">
                  <c:v>43707.031550925924</c:v>
                </c:pt>
                <c:pt idx="22">
                  <c:v>43707.306759259256</c:v>
                </c:pt>
                <c:pt idx="23">
                  <c:v>43707.309201388889</c:v>
                </c:pt>
                <c:pt idx="24">
                  <c:v>43707.405081018522</c:v>
                </c:pt>
                <c:pt idx="25">
                  <c:v>43707.407326388886</c:v>
                </c:pt>
                <c:pt idx="26">
                  <c:v>43708.303530092591</c:v>
                </c:pt>
                <c:pt idx="27">
                  <c:v>43708.30667824074</c:v>
                </c:pt>
              </c:numCache>
            </c:numRef>
          </c:xVal>
          <c:yVal>
            <c:numRef>
              <c:f>'AMP2-6'!$AI$9:$AI$36</c:f>
              <c:numCache>
                <c:formatCode>General</c:formatCode>
                <c:ptCount val="28"/>
                <c:pt idx="0">
                  <c:v>0.34</c:v>
                </c:pt>
                <c:pt idx="1">
                  <c:v>-5.0000000000000001E-3</c:v>
                </c:pt>
                <c:pt idx="2">
                  <c:v>0.25900000000000001</c:v>
                </c:pt>
                <c:pt idx="3">
                  <c:v>-7.0999999999999994E-2</c:v>
                </c:pt>
                <c:pt idx="4">
                  <c:v>0.35799999999999998</c:v>
                </c:pt>
                <c:pt idx="5">
                  <c:v>-0.16800000000000001</c:v>
                </c:pt>
                <c:pt idx="6">
                  <c:v>0.39300000000000002</c:v>
                </c:pt>
                <c:pt idx="7">
                  <c:v>-1.9E-2</c:v>
                </c:pt>
                <c:pt idx="8">
                  <c:v>0.35399999999999998</c:v>
                </c:pt>
                <c:pt idx="9">
                  <c:v>-9.2999999999999999E-2</c:v>
                </c:pt>
                <c:pt idx="10">
                  <c:v>0.46</c:v>
                </c:pt>
                <c:pt idx="11">
                  <c:v>-0.11600000000000001</c:v>
                </c:pt>
                <c:pt idx="12">
                  <c:v>0.32500000000000001</c:v>
                </c:pt>
                <c:pt idx="13">
                  <c:v>-3.3000000000000002E-2</c:v>
                </c:pt>
                <c:pt idx="14">
                  <c:v>0.35199999999999998</c:v>
                </c:pt>
                <c:pt idx="15">
                  <c:v>4.3999999999999997E-2</c:v>
                </c:pt>
                <c:pt idx="16">
                  <c:v>0.495</c:v>
                </c:pt>
                <c:pt idx="17">
                  <c:v>-0.217</c:v>
                </c:pt>
                <c:pt idx="18">
                  <c:v>0.47099999999999997</c:v>
                </c:pt>
                <c:pt idx="19">
                  <c:v>-0.28000000000000003</c:v>
                </c:pt>
                <c:pt idx="20">
                  <c:v>0.435</c:v>
                </c:pt>
                <c:pt idx="21">
                  <c:v>2.1999999999999999E-2</c:v>
                </c:pt>
                <c:pt idx="22">
                  <c:v>0.46200000000000002</c:v>
                </c:pt>
                <c:pt idx="23">
                  <c:v>-9.2999999999999999E-2</c:v>
                </c:pt>
                <c:pt idx="24">
                  <c:v>0.55700000000000005</c:v>
                </c:pt>
                <c:pt idx="25">
                  <c:v>-4.3999999999999997E-2</c:v>
                </c:pt>
                <c:pt idx="26">
                  <c:v>0.64900000000000002</c:v>
                </c:pt>
                <c:pt idx="27">
                  <c:v>-0.93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55-4016-A959-621EDCDE988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('AMP2-6'!$AI$4,'AMP2-6'!$AI$4)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55-4016-A959-621EDCDE988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('AMP2-6'!$C$1,'AMP2-6'!$C$2)</c:f>
              <c:numCache>
                <c:formatCode>m/d/yy\ h:mm;@</c:formatCode>
                <c:ptCount val="2"/>
                <c:pt idx="0">
                  <c:v>43705.754374999997</c:v>
                </c:pt>
                <c:pt idx="1">
                  <c:v>43708.30667824074</c:v>
                </c:pt>
              </c:numCache>
            </c:numRef>
          </c:xVal>
          <c:yVal>
            <c:numRef>
              <c:f>('AMP2-6'!$AI$5,'AMP2-6'!$AI$5)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55-4016-A959-621EDCDE9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28440"/>
        <c:axId val="421528832"/>
      </c:scatterChart>
      <c:valAx>
        <c:axId val="421528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8832"/>
        <c:crosses val="autoZero"/>
        <c:crossBetween val="midCat"/>
      </c:valAx>
      <c:valAx>
        <c:axId val="4215288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2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'AMP2-8'!$F$9:$F$9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B8-47FA-B4E8-312C0CF633BC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6B8-47FA-B4E8-312C0CF633BC}"/>
              </c:ext>
            </c:extLst>
          </c:dPt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('AMP2-8'!$F$4,'AMP2-8'!$F$4)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B8-47FA-B4E8-312C0CF633BC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B8-47FA-B4E8-312C0CF633BC}"/>
              </c:ext>
            </c:extLst>
          </c:dPt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('AMP2-8'!$F$5,'AMP2-8'!$F$5)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B8-47FA-B4E8-312C0CF6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0400"/>
        <c:axId val="421530792"/>
      </c:scatterChart>
      <c:valAx>
        <c:axId val="42153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0792"/>
        <c:crosses val="autoZero"/>
        <c:crossBetween val="midCat"/>
      </c:valAx>
      <c:valAx>
        <c:axId val="4215307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'AMP2-8'!$G$9:$G$9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F8-48C8-ADBF-1F61C248E14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('AMP2-8'!$G$4,'AMP2-8'!$G$4)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F8-48C8-ADBF-1F61C248E14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('AMP2-8'!$G$5,'AMP2-8'!$G$5)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F8-48C8-ADBF-1F61C248E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1576"/>
        <c:axId val="421531968"/>
      </c:scatterChart>
      <c:valAx>
        <c:axId val="42153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1968"/>
        <c:crosses val="autoZero"/>
        <c:crossBetween val="midCat"/>
      </c:valAx>
      <c:valAx>
        <c:axId val="4215319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1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'AMP2-8'!$H$9:$H$9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F-4C0F-919D-4E962BEAAAC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('AMP2-8'!$H$4,'AMP2-8'!$H$4)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8F-4C0F-919D-4E962BEAAAC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('AMP2-8'!$H$5,'AMP2-8'!$H$5)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8F-4C0F-919D-4E962BEAA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2752"/>
        <c:axId val="421533144"/>
      </c:scatterChart>
      <c:valAx>
        <c:axId val="42153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3144"/>
        <c:crosses val="autoZero"/>
        <c:crossBetween val="midCat"/>
      </c:valAx>
      <c:valAx>
        <c:axId val="4215331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'AMP2-8'!$I$9:$I$9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8-4ABD-B4C8-7BB0D444A1C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('AMP2-8'!$I$4,'AMP2-8'!$I$4)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8-4ABD-B4C8-7BB0D444A1C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('AMP2-8'!$I$5,'AMP2-8'!$I$5)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58-4ABD-B4C8-7BB0D444A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3928"/>
        <c:axId val="421534320"/>
      </c:scatterChart>
      <c:valAx>
        <c:axId val="42153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4320"/>
        <c:crosses val="autoZero"/>
        <c:crossBetween val="midCat"/>
      </c:valAx>
      <c:valAx>
        <c:axId val="4215343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'AMP2-8'!$J$9:$J$9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C-4BB5-8273-C589E9557EB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('AMP2-8'!$J$4,'AMP2-8'!$J$4)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AC-4BB5-8273-C589E9557EB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('AMP2-8'!$J$5,'AMP2-8'!$J$5)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AC-4BB5-8273-C589E9557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5104"/>
        <c:axId val="421535496"/>
      </c:scatterChart>
      <c:valAx>
        <c:axId val="42153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5496"/>
        <c:crosses val="autoZero"/>
        <c:crossBetween val="midCat"/>
      </c:valAx>
      <c:valAx>
        <c:axId val="4215354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'AMP2-8'!$K$9:$K$9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4-4CD8-8D4A-F5885068214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('AMP2-8'!$K$4,'AMP2-8'!$K$4)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24-4CD8-8D4A-F5885068214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('AMP2-8'!$K$5,'AMP2-8'!$K$5)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24-4CD8-8D4A-F58850682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6280"/>
        <c:axId val="421536672"/>
      </c:scatterChart>
      <c:valAx>
        <c:axId val="42153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6672"/>
        <c:crosses val="autoZero"/>
        <c:crossBetween val="midCat"/>
      </c:valAx>
      <c:valAx>
        <c:axId val="4215366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53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'AMP2-8'!$L$9:$L$9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D-4E90-93F6-8EE3C9E6092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('AMP2-8'!$L$4,'AMP2-8'!$L$4)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4D-4E90-93F6-8EE3C9E6092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('AMP2-8'!$L$5,'AMP2-8'!$L$5)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4D-4E90-93F6-8EE3C9E60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84440"/>
        <c:axId val="434684832"/>
      </c:scatterChart>
      <c:valAx>
        <c:axId val="43468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4832"/>
        <c:crosses val="autoZero"/>
        <c:crossBetween val="midCat"/>
      </c:valAx>
      <c:valAx>
        <c:axId val="4346848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4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'AMP2-8'!$M$9:$M$9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A3-479B-BE85-F786A5B1159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('AMP2-8'!$M$4,'AMP2-8'!$M$4)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A3-479B-BE85-F786A5B1159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('AMP2-8'!$M$5,'AMP2-8'!$M$5)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A3-479B-BE85-F786A5B11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85616"/>
        <c:axId val="434686008"/>
      </c:scatterChart>
      <c:valAx>
        <c:axId val="43468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6008"/>
        <c:crosses val="autoZero"/>
        <c:crossBetween val="midCat"/>
      </c:valAx>
      <c:valAx>
        <c:axId val="4346860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'AMP2-8'!$N$9:$N$9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C6-4F8B-998F-9F439286FDD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('AMP2-8'!$N$4,'AMP2-8'!$N$4)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C6-4F8B-998F-9F439286FDD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('AMP2-8'!$N$5,'AMP2-8'!$N$5)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C6-4F8B-998F-9F439286F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86792"/>
        <c:axId val="434687184"/>
      </c:scatterChart>
      <c:valAx>
        <c:axId val="434686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7184"/>
        <c:crosses val="autoZero"/>
        <c:crossBetween val="midCat"/>
      </c:valAx>
      <c:valAx>
        <c:axId val="4346871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6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'AMP2-8'!$O$9:$O$9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B-4B07-8B66-2F9CD064B11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('AMP2-8'!$O$4,'AMP2-8'!$O$4)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BB-4B07-8B66-2F9CD064B11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('AMP2-8'!$O$5,'AMP2-8'!$O$5)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BB-4B07-8B66-2F9CD064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87968"/>
        <c:axId val="434688360"/>
      </c:scatterChart>
      <c:valAx>
        <c:axId val="43468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8360"/>
        <c:crosses val="autoZero"/>
        <c:crossBetween val="midCat"/>
      </c:valAx>
      <c:valAx>
        <c:axId val="4346883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'AMP2-8'!$R$9:$R$9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FD-4702-89E2-C3E583C34D6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('AMP2-8'!$R$4,'AMP2-8'!$R$4)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FD-4702-89E2-C3E583C34D6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('AMP2-8'!$R$5,'AMP2-8'!$R$5)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D-4702-89E2-C3E583C34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89144"/>
        <c:axId val="434689536"/>
      </c:scatterChart>
      <c:valAx>
        <c:axId val="434689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9536"/>
        <c:crosses val="autoZero"/>
        <c:crossBetween val="midCat"/>
      </c:valAx>
      <c:valAx>
        <c:axId val="4346895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9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'AMP2-8'!$S$9:$S$9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7-4232-BBDF-FDE868906CE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('AMP2-8'!$S$4,'AMP2-8'!$S$4)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57-4232-BBDF-FDE868906CE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('AMP2-8'!$S$5,'AMP2-8'!$S$5)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57-4232-BBDF-FDE868906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0320"/>
        <c:axId val="434690712"/>
      </c:scatterChart>
      <c:valAx>
        <c:axId val="43469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0712"/>
        <c:crosses val="autoZero"/>
        <c:crossBetween val="midCat"/>
      </c:valAx>
      <c:valAx>
        <c:axId val="4346907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0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'AMP2-8'!$T$9:$T$9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53-4FB3-B24F-1FDAE4ED607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('AMP2-8'!$T$4,'AMP2-8'!$T$4)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53-4FB3-B24F-1FDAE4ED607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('AMP2-8'!$T$5,'AMP2-8'!$T$5)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53-4FB3-B24F-1FDAE4ED6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1496"/>
        <c:axId val="434691888"/>
      </c:scatterChart>
      <c:valAx>
        <c:axId val="43469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1888"/>
        <c:crosses val="autoZero"/>
        <c:crossBetween val="midCat"/>
      </c:valAx>
      <c:valAx>
        <c:axId val="4346918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1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'AMP2-8'!$U$9:$U$9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9C-43E6-89F5-1D926179683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('AMP2-8'!$U$4,'AMP2-8'!$U$4)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9C-43E6-89F5-1D926179683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('AMP2-8'!$U$5,'AMP2-8'!$U$5)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9C-43E6-89F5-1D9261796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2672"/>
        <c:axId val="434693064"/>
      </c:scatterChart>
      <c:valAx>
        <c:axId val="43469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3064"/>
        <c:crosses val="autoZero"/>
        <c:crossBetween val="midCat"/>
      </c:valAx>
      <c:valAx>
        <c:axId val="4346930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'AMP2-8'!$AB$9:$AB$9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13-4FB5-B727-E96FED73CA9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('AMP2-8'!$AB$4,'AMP2-8'!$AB$4)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13-4FB5-B727-E96FED73CA9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('AMP2-8'!$AB$5,'AMP2-8'!$AB$5)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13-4FB5-B727-E96FED73C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3848"/>
        <c:axId val="434694240"/>
      </c:scatterChart>
      <c:valAx>
        <c:axId val="43469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4240"/>
        <c:crosses val="autoZero"/>
        <c:crossBetween val="midCat"/>
      </c:valAx>
      <c:valAx>
        <c:axId val="4346942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'AMP2-8'!$AC$9:$AC$9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C5-4457-93EC-8B1B5B99740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('AMP2-8'!$AC$4,'AMP2-8'!$AC$4)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C5-4457-93EC-8B1B5B99740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('AMP2-8'!$AC$5,'AMP2-8'!$AC$5)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C5-4457-93EC-8B1B5B997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5024"/>
        <c:axId val="434695416"/>
      </c:scatterChart>
      <c:valAx>
        <c:axId val="43469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5416"/>
        <c:crosses val="autoZero"/>
        <c:crossBetween val="midCat"/>
      </c:valAx>
      <c:valAx>
        <c:axId val="4346954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'AMP2-8'!$AD$9:$AD$9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D-4921-8DC6-61397D3648B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('AMP2-8'!$AD$4,'AMP2-8'!$AD$4)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D-4921-8DC6-61397D3648B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('AMP2-8'!$AD$5,'AMP2-8'!$AD$5)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4D-4921-8DC6-61397D36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6200"/>
        <c:axId val="434696592"/>
      </c:scatterChart>
      <c:valAx>
        <c:axId val="43469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6592"/>
        <c:crosses val="autoZero"/>
        <c:crossBetween val="midCat"/>
      </c:valAx>
      <c:valAx>
        <c:axId val="434696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6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'AMP2-8'!$AE$9:$AE$9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6-441B-8782-B40EEC7CCAC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('AMP2-8'!$AE$4,'AMP2-8'!$AE$4)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36-441B-8782-B40EEC7CCAC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('AMP2-8'!$AE$5,'AMP2-8'!$AE$5)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36-441B-8782-B40EEC7CC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7768"/>
        <c:axId val="434698160"/>
      </c:scatterChart>
      <c:valAx>
        <c:axId val="43469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8160"/>
        <c:crosses val="autoZero"/>
        <c:crossBetween val="midCat"/>
      </c:valAx>
      <c:valAx>
        <c:axId val="4346981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'AMP2-8'!$AF$9:$AF$9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6-4845-8F2E-D892786BBA6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('AMP2-8'!$AF$4,'AMP2-8'!$AF$4)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6-4845-8F2E-D892786BBA6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('AMP2-8'!$AF$5,'AMP2-8'!$AF$5)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56-4845-8F2E-D892786BB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8552"/>
        <c:axId val="434698944"/>
      </c:scatterChart>
      <c:valAx>
        <c:axId val="43469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8944"/>
        <c:crosses val="autoZero"/>
        <c:crossBetween val="midCat"/>
      </c:valAx>
      <c:valAx>
        <c:axId val="4346989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'AMP2-8'!$AG$9:$AG$9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F-4C7A-87B5-AC96D79E2A3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('AMP2-8'!$AG$4,'AMP2-8'!$AG$4)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CF-4C7A-87B5-AC96D79E2A3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('AMP2-8'!$AG$5,'AMP2-8'!$AG$5)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CF-4C7A-87B5-AC96D79E2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99728"/>
        <c:axId val="435232928"/>
      </c:scatterChart>
      <c:valAx>
        <c:axId val="43469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2928"/>
        <c:crosses val="autoZero"/>
        <c:crossBetween val="midCat"/>
      </c:valAx>
      <c:valAx>
        <c:axId val="4352329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9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'AMP2-8'!$AH$9:$AH$9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A-414E-9566-744482C0CA5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('AMP2-8'!$AH$4,'AMP2-8'!$AH$4)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A-414E-9566-744482C0CA5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('AMP2-8'!$AH$5,'AMP2-8'!$AH$5)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BA-414E-9566-744482C0C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33712"/>
        <c:axId val="435234104"/>
      </c:scatterChart>
      <c:valAx>
        <c:axId val="435233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4104"/>
        <c:crosses val="autoZero"/>
        <c:crossBetween val="midCat"/>
      </c:valAx>
      <c:valAx>
        <c:axId val="4352341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'AMP2-8'!$AI$8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'AMP2-8'!$C$9:$C$9</c:f>
              <c:numCache>
                <c:formatCode>m/d/yy\ h:mm;@</c:formatCode>
                <c:ptCount val="1"/>
              </c:numCache>
            </c:numRef>
          </c:xVal>
          <c:yVal>
            <c:numRef>
              <c:f>'AMP2-8'!$AI$9:$AI$9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D-4B03-B780-E279CC24628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('AMP2-8'!$AI$4,'AMP2-8'!$AI$4)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BD-4B03-B780-E279CC24628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('AMP2-8'!$C$1,'AMP2-8'!$C$2)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('AMP2-8'!$AI$5,'AMP2-8'!$AI$5)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BD-4B03-B780-E279CC246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34888"/>
        <c:axId val="435235280"/>
      </c:scatterChart>
      <c:valAx>
        <c:axId val="43523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5280"/>
        <c:crosses val="autoZero"/>
        <c:crossBetween val="midCat"/>
      </c:valAx>
      <c:valAx>
        <c:axId val="4352352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'AMP3-2'!$F$8</c:f>
              <c:strCache>
                <c:ptCount val="1"/>
                <c:pt idx="0">
                  <c:v>Dim 1_1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'AMP3-2'!$F$9:$F$153</c:f>
              <c:numCache>
                <c:formatCode>General</c:formatCode>
                <c:ptCount val="145"/>
                <c:pt idx="0">
                  <c:v>41.039000000000001</c:v>
                </c:pt>
                <c:pt idx="2">
                  <c:v>41.140999999999998</c:v>
                </c:pt>
                <c:pt idx="4">
                  <c:v>41.292999999999999</c:v>
                </c:pt>
                <c:pt idx="6">
                  <c:v>41.12</c:v>
                </c:pt>
                <c:pt idx="8">
                  <c:v>41.134</c:v>
                </c:pt>
                <c:pt idx="10">
                  <c:v>41.165999999999997</c:v>
                </c:pt>
                <c:pt idx="12">
                  <c:v>41.277000000000001</c:v>
                </c:pt>
                <c:pt idx="14">
                  <c:v>41.484999999999999</c:v>
                </c:pt>
                <c:pt idx="16">
                  <c:v>41.414000000000001</c:v>
                </c:pt>
                <c:pt idx="18">
                  <c:v>41.238999999999997</c:v>
                </c:pt>
                <c:pt idx="20">
                  <c:v>41.4</c:v>
                </c:pt>
                <c:pt idx="22">
                  <c:v>41.235999999999997</c:v>
                </c:pt>
                <c:pt idx="24">
                  <c:v>41.313000000000002</c:v>
                </c:pt>
                <c:pt idx="26">
                  <c:v>41.256999999999998</c:v>
                </c:pt>
                <c:pt idx="28">
                  <c:v>41.22</c:v>
                </c:pt>
                <c:pt idx="30">
                  <c:v>41.194000000000003</c:v>
                </c:pt>
                <c:pt idx="32">
                  <c:v>41.316000000000003</c:v>
                </c:pt>
                <c:pt idx="34">
                  <c:v>41.2</c:v>
                </c:pt>
                <c:pt idx="36">
                  <c:v>41.286999999999999</c:v>
                </c:pt>
                <c:pt idx="38">
                  <c:v>41.194000000000003</c:v>
                </c:pt>
                <c:pt idx="40">
                  <c:v>41.034999999999997</c:v>
                </c:pt>
                <c:pt idx="42">
                  <c:v>41.276000000000003</c:v>
                </c:pt>
                <c:pt idx="44">
                  <c:v>41.398000000000003</c:v>
                </c:pt>
                <c:pt idx="46">
                  <c:v>41.359000000000002</c:v>
                </c:pt>
                <c:pt idx="48">
                  <c:v>41.274000000000001</c:v>
                </c:pt>
                <c:pt idx="50">
                  <c:v>41.335000000000001</c:v>
                </c:pt>
                <c:pt idx="52">
                  <c:v>41.24</c:v>
                </c:pt>
                <c:pt idx="54">
                  <c:v>41.167999999999999</c:v>
                </c:pt>
                <c:pt idx="56">
                  <c:v>41.226999999999997</c:v>
                </c:pt>
                <c:pt idx="58">
                  <c:v>41.203000000000003</c:v>
                </c:pt>
                <c:pt idx="60">
                  <c:v>41.191000000000003</c:v>
                </c:pt>
                <c:pt idx="62">
                  <c:v>41.139000000000003</c:v>
                </c:pt>
                <c:pt idx="64">
                  <c:v>41.127000000000002</c:v>
                </c:pt>
                <c:pt idx="66">
                  <c:v>41.231000000000002</c:v>
                </c:pt>
                <c:pt idx="68">
                  <c:v>41.148000000000003</c:v>
                </c:pt>
                <c:pt idx="70">
                  <c:v>41.280999999999999</c:v>
                </c:pt>
                <c:pt idx="72">
                  <c:v>41.465000000000003</c:v>
                </c:pt>
                <c:pt idx="74">
                  <c:v>41.256999999999998</c:v>
                </c:pt>
                <c:pt idx="76">
                  <c:v>41.194000000000003</c:v>
                </c:pt>
                <c:pt idx="78">
                  <c:v>41.195999999999998</c:v>
                </c:pt>
                <c:pt idx="80">
                  <c:v>41.134</c:v>
                </c:pt>
                <c:pt idx="82">
                  <c:v>41.219000000000001</c:v>
                </c:pt>
                <c:pt idx="84">
                  <c:v>41.268999999999998</c:v>
                </c:pt>
                <c:pt idx="86">
                  <c:v>41.337000000000003</c:v>
                </c:pt>
                <c:pt idx="88">
                  <c:v>41.264000000000003</c:v>
                </c:pt>
                <c:pt idx="90">
                  <c:v>41.33</c:v>
                </c:pt>
                <c:pt idx="92">
                  <c:v>41.155999999999999</c:v>
                </c:pt>
                <c:pt idx="94">
                  <c:v>41.280999999999999</c:v>
                </c:pt>
                <c:pt idx="96">
                  <c:v>41.322000000000003</c:v>
                </c:pt>
                <c:pt idx="98">
                  <c:v>41.261000000000003</c:v>
                </c:pt>
                <c:pt idx="100">
                  <c:v>41.389000000000003</c:v>
                </c:pt>
                <c:pt idx="102">
                  <c:v>41.034999999999997</c:v>
                </c:pt>
                <c:pt idx="104">
                  <c:v>41.158000000000001</c:v>
                </c:pt>
                <c:pt idx="106">
                  <c:v>41.075000000000003</c:v>
                </c:pt>
                <c:pt idx="108">
                  <c:v>41.311999999999998</c:v>
                </c:pt>
                <c:pt idx="110">
                  <c:v>41.198</c:v>
                </c:pt>
                <c:pt idx="112">
                  <c:v>41.024000000000001</c:v>
                </c:pt>
                <c:pt idx="114">
                  <c:v>41.125</c:v>
                </c:pt>
                <c:pt idx="116">
                  <c:v>41.174999999999997</c:v>
                </c:pt>
                <c:pt idx="118">
                  <c:v>41.136000000000003</c:v>
                </c:pt>
                <c:pt idx="120">
                  <c:v>41.106999999999999</c:v>
                </c:pt>
                <c:pt idx="122">
                  <c:v>41.098999999999997</c:v>
                </c:pt>
                <c:pt idx="124">
                  <c:v>41.115000000000002</c:v>
                </c:pt>
                <c:pt idx="126">
                  <c:v>41.155000000000001</c:v>
                </c:pt>
                <c:pt idx="128">
                  <c:v>41.2</c:v>
                </c:pt>
                <c:pt idx="130">
                  <c:v>41.183999999999997</c:v>
                </c:pt>
                <c:pt idx="133">
                  <c:v>41.168999999999997</c:v>
                </c:pt>
                <c:pt idx="135">
                  <c:v>41.052</c:v>
                </c:pt>
                <c:pt idx="137">
                  <c:v>41.234999999999999</c:v>
                </c:pt>
                <c:pt idx="139">
                  <c:v>41.231999999999999</c:v>
                </c:pt>
                <c:pt idx="141">
                  <c:v>41.040999999999997</c:v>
                </c:pt>
                <c:pt idx="143">
                  <c:v>41.061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4A-45E9-97D5-91E3C010AF3E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34A-45E9-97D5-91E3C010AF3E}"/>
              </c:ext>
            </c:extLst>
          </c:dPt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('AMP3-2'!$F$4,'AMP3-2'!$F$4)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4A-45E9-97D5-91E3C010AF3E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4A-45E9-97D5-91E3C010AF3E}"/>
              </c:ext>
            </c:extLst>
          </c:dPt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('AMP3-2'!$F$5,'AMP3-2'!$F$5)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34A-45E9-97D5-91E3C010A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36848"/>
        <c:axId val="435237240"/>
      </c:scatterChart>
      <c:valAx>
        <c:axId val="43523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7240"/>
        <c:crosses val="autoZero"/>
        <c:crossBetween val="midCat"/>
      </c:valAx>
      <c:valAx>
        <c:axId val="4352372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'AMP3-2'!$G$8</c:f>
              <c:strCache>
                <c:ptCount val="1"/>
                <c:pt idx="0">
                  <c:v>Dim 1_2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'AMP3-2'!$G$9:$G$153</c:f>
              <c:numCache>
                <c:formatCode>General</c:formatCode>
                <c:ptCount val="145"/>
                <c:pt idx="0">
                  <c:v>41.295999999999999</c:v>
                </c:pt>
                <c:pt idx="2">
                  <c:v>41.365000000000002</c:v>
                </c:pt>
                <c:pt idx="4">
                  <c:v>41.429000000000002</c:v>
                </c:pt>
                <c:pt idx="6">
                  <c:v>41.521999999999998</c:v>
                </c:pt>
                <c:pt idx="8">
                  <c:v>41.375</c:v>
                </c:pt>
                <c:pt idx="10">
                  <c:v>41.323</c:v>
                </c:pt>
                <c:pt idx="12">
                  <c:v>41.475999999999999</c:v>
                </c:pt>
                <c:pt idx="14">
                  <c:v>41.612000000000002</c:v>
                </c:pt>
                <c:pt idx="16">
                  <c:v>41.792000000000002</c:v>
                </c:pt>
                <c:pt idx="18">
                  <c:v>41.372999999999998</c:v>
                </c:pt>
                <c:pt idx="20">
                  <c:v>41.683</c:v>
                </c:pt>
                <c:pt idx="22">
                  <c:v>41.494999999999997</c:v>
                </c:pt>
                <c:pt idx="24">
                  <c:v>41.436999999999998</c:v>
                </c:pt>
                <c:pt idx="26">
                  <c:v>41.514000000000003</c:v>
                </c:pt>
                <c:pt idx="28">
                  <c:v>41.436999999999998</c:v>
                </c:pt>
                <c:pt idx="30">
                  <c:v>41.485999999999997</c:v>
                </c:pt>
                <c:pt idx="32">
                  <c:v>41.497999999999998</c:v>
                </c:pt>
                <c:pt idx="34">
                  <c:v>41.442</c:v>
                </c:pt>
                <c:pt idx="36">
                  <c:v>41.652999999999999</c:v>
                </c:pt>
                <c:pt idx="38">
                  <c:v>41.396000000000001</c:v>
                </c:pt>
                <c:pt idx="40">
                  <c:v>41.292999999999999</c:v>
                </c:pt>
                <c:pt idx="42">
                  <c:v>41.534999999999997</c:v>
                </c:pt>
                <c:pt idx="44">
                  <c:v>41.472999999999999</c:v>
                </c:pt>
                <c:pt idx="46">
                  <c:v>41.347000000000001</c:v>
                </c:pt>
                <c:pt idx="48">
                  <c:v>41.302</c:v>
                </c:pt>
                <c:pt idx="50">
                  <c:v>41.427</c:v>
                </c:pt>
                <c:pt idx="52">
                  <c:v>41.441000000000003</c:v>
                </c:pt>
                <c:pt idx="54">
                  <c:v>41.237000000000002</c:v>
                </c:pt>
                <c:pt idx="56">
                  <c:v>41.290999999999997</c:v>
                </c:pt>
                <c:pt idx="58">
                  <c:v>41.317</c:v>
                </c:pt>
                <c:pt idx="60">
                  <c:v>41.247999999999998</c:v>
                </c:pt>
                <c:pt idx="62">
                  <c:v>41.250999999999998</c:v>
                </c:pt>
                <c:pt idx="64">
                  <c:v>41.274000000000001</c:v>
                </c:pt>
                <c:pt idx="66">
                  <c:v>41.383000000000003</c:v>
                </c:pt>
                <c:pt idx="68">
                  <c:v>41.241999999999997</c:v>
                </c:pt>
                <c:pt idx="70">
                  <c:v>41.384999999999998</c:v>
                </c:pt>
                <c:pt idx="72">
                  <c:v>41.54</c:v>
                </c:pt>
                <c:pt idx="74">
                  <c:v>41.603999999999999</c:v>
                </c:pt>
                <c:pt idx="76">
                  <c:v>41.323</c:v>
                </c:pt>
                <c:pt idx="78">
                  <c:v>41.298999999999999</c:v>
                </c:pt>
                <c:pt idx="80">
                  <c:v>41.241999999999997</c:v>
                </c:pt>
                <c:pt idx="82">
                  <c:v>41.362000000000002</c:v>
                </c:pt>
                <c:pt idx="84">
                  <c:v>41.433999999999997</c:v>
                </c:pt>
                <c:pt idx="86">
                  <c:v>41.378</c:v>
                </c:pt>
                <c:pt idx="88">
                  <c:v>41.354999999999997</c:v>
                </c:pt>
                <c:pt idx="90">
                  <c:v>41.298000000000002</c:v>
                </c:pt>
                <c:pt idx="92">
                  <c:v>41.298000000000002</c:v>
                </c:pt>
                <c:pt idx="94">
                  <c:v>41.408000000000001</c:v>
                </c:pt>
                <c:pt idx="96">
                  <c:v>41.482999999999997</c:v>
                </c:pt>
                <c:pt idx="98">
                  <c:v>41.411000000000001</c:v>
                </c:pt>
                <c:pt idx="100">
                  <c:v>41.539000000000001</c:v>
                </c:pt>
                <c:pt idx="102">
                  <c:v>41.164000000000001</c:v>
                </c:pt>
                <c:pt idx="104">
                  <c:v>41.305</c:v>
                </c:pt>
                <c:pt idx="106">
                  <c:v>41.125999999999998</c:v>
                </c:pt>
                <c:pt idx="108">
                  <c:v>41.426000000000002</c:v>
                </c:pt>
                <c:pt idx="110">
                  <c:v>41.335000000000001</c:v>
                </c:pt>
                <c:pt idx="112">
                  <c:v>41.234999999999999</c:v>
                </c:pt>
                <c:pt idx="114">
                  <c:v>41.186</c:v>
                </c:pt>
                <c:pt idx="116">
                  <c:v>41.307000000000002</c:v>
                </c:pt>
                <c:pt idx="118">
                  <c:v>41.357999999999997</c:v>
                </c:pt>
                <c:pt idx="120">
                  <c:v>41.326999999999998</c:v>
                </c:pt>
                <c:pt idx="122">
                  <c:v>41.301000000000002</c:v>
                </c:pt>
                <c:pt idx="124">
                  <c:v>41.290999999999997</c:v>
                </c:pt>
                <c:pt idx="126">
                  <c:v>41.389000000000003</c:v>
                </c:pt>
                <c:pt idx="128">
                  <c:v>41.454999999999998</c:v>
                </c:pt>
                <c:pt idx="130">
                  <c:v>41.197000000000003</c:v>
                </c:pt>
                <c:pt idx="133">
                  <c:v>41.215000000000003</c:v>
                </c:pt>
                <c:pt idx="135">
                  <c:v>41.122999999999998</c:v>
                </c:pt>
                <c:pt idx="137">
                  <c:v>41.284999999999997</c:v>
                </c:pt>
                <c:pt idx="139">
                  <c:v>41.238</c:v>
                </c:pt>
                <c:pt idx="141">
                  <c:v>41.115000000000002</c:v>
                </c:pt>
                <c:pt idx="143">
                  <c:v>41.204000000000001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2-4955-8D57-B3A1542CA53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('AMP3-2'!$G$4,'AMP3-2'!$G$4)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62-4955-8D57-B3A1542CA53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('AMP3-2'!$G$5,'AMP3-2'!$G$5)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62-4955-8D57-B3A1542CA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38024"/>
        <c:axId val="435238416"/>
      </c:scatterChart>
      <c:valAx>
        <c:axId val="435238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8416"/>
        <c:crosses val="autoZero"/>
        <c:crossBetween val="midCat"/>
      </c:valAx>
      <c:valAx>
        <c:axId val="4352384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'AMP3-2'!$H$8</c:f>
              <c:strCache>
                <c:ptCount val="1"/>
                <c:pt idx="0">
                  <c:v>Dim 2_1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'AMP3-2'!$H$9:$H$153</c:f>
              <c:numCache>
                <c:formatCode>General</c:formatCode>
                <c:ptCount val="145"/>
                <c:pt idx="0">
                  <c:v>155.76400000000001</c:v>
                </c:pt>
                <c:pt idx="1">
                  <c:v>155.76599999999999</c:v>
                </c:pt>
                <c:pt idx="2">
                  <c:v>155.49799999999999</c:v>
                </c:pt>
                <c:pt idx="3">
                  <c:v>155.49</c:v>
                </c:pt>
                <c:pt idx="4">
                  <c:v>155.51</c:v>
                </c:pt>
                <c:pt idx="5">
                  <c:v>155.553</c:v>
                </c:pt>
                <c:pt idx="6">
                  <c:v>155.54300000000001</c:v>
                </c:pt>
                <c:pt idx="7">
                  <c:v>155.57900000000001</c:v>
                </c:pt>
                <c:pt idx="8">
                  <c:v>155.65</c:v>
                </c:pt>
                <c:pt idx="9">
                  <c:v>155.58000000000001</c:v>
                </c:pt>
                <c:pt idx="10">
                  <c:v>155.59399999999999</c:v>
                </c:pt>
                <c:pt idx="11">
                  <c:v>155.56700000000001</c:v>
                </c:pt>
                <c:pt idx="12">
                  <c:v>155.46100000000001</c:v>
                </c:pt>
                <c:pt idx="13">
                  <c:v>155.29300000000001</c:v>
                </c:pt>
                <c:pt idx="14">
                  <c:v>155.49799999999999</c:v>
                </c:pt>
                <c:pt idx="15">
                  <c:v>155.34100000000001</c:v>
                </c:pt>
                <c:pt idx="16">
                  <c:v>155.53899999999999</c:v>
                </c:pt>
                <c:pt idx="17">
                  <c:v>155.392</c:v>
                </c:pt>
                <c:pt idx="18">
                  <c:v>155.61099999999999</c:v>
                </c:pt>
                <c:pt idx="19">
                  <c:v>155.46899999999999</c:v>
                </c:pt>
                <c:pt idx="20">
                  <c:v>155.60400000000001</c:v>
                </c:pt>
                <c:pt idx="21">
                  <c:v>155.47</c:v>
                </c:pt>
                <c:pt idx="22">
                  <c:v>155.64400000000001</c:v>
                </c:pt>
                <c:pt idx="23">
                  <c:v>155.50299999999999</c:v>
                </c:pt>
                <c:pt idx="24">
                  <c:v>155.595</c:v>
                </c:pt>
                <c:pt idx="25">
                  <c:v>155.44999999999999</c:v>
                </c:pt>
                <c:pt idx="26">
                  <c:v>155.64699999999999</c:v>
                </c:pt>
                <c:pt idx="27">
                  <c:v>155.541</c:v>
                </c:pt>
                <c:pt idx="28">
                  <c:v>155.68199999999999</c:v>
                </c:pt>
                <c:pt idx="29">
                  <c:v>155.55699999999999</c:v>
                </c:pt>
                <c:pt idx="30">
                  <c:v>155.68299999999999</c:v>
                </c:pt>
                <c:pt idx="31">
                  <c:v>155.548</c:v>
                </c:pt>
                <c:pt idx="32">
                  <c:v>155.727</c:v>
                </c:pt>
                <c:pt idx="33">
                  <c:v>155.535</c:v>
                </c:pt>
                <c:pt idx="34">
                  <c:v>155.71799999999999</c:v>
                </c:pt>
                <c:pt idx="35">
                  <c:v>155.57599999999999</c:v>
                </c:pt>
                <c:pt idx="36">
                  <c:v>155.666</c:v>
                </c:pt>
                <c:pt idx="37">
                  <c:v>155.58600000000001</c:v>
                </c:pt>
                <c:pt idx="38">
                  <c:v>155.642</c:v>
                </c:pt>
                <c:pt idx="39">
                  <c:v>155.53299999999999</c:v>
                </c:pt>
                <c:pt idx="40">
                  <c:v>155.81200000000001</c:v>
                </c:pt>
                <c:pt idx="41">
                  <c:v>155.62799999999999</c:v>
                </c:pt>
                <c:pt idx="42">
                  <c:v>155.75</c:v>
                </c:pt>
                <c:pt idx="43">
                  <c:v>155.685</c:v>
                </c:pt>
                <c:pt idx="44">
                  <c:v>155.72800000000001</c:v>
                </c:pt>
                <c:pt idx="45">
                  <c:v>155.66200000000001</c:v>
                </c:pt>
                <c:pt idx="46">
                  <c:v>155.75399999999999</c:v>
                </c:pt>
                <c:pt idx="47">
                  <c:v>155.69800000000001</c:v>
                </c:pt>
                <c:pt idx="48">
                  <c:v>155.804</c:v>
                </c:pt>
                <c:pt idx="49">
                  <c:v>155.77199999999999</c:v>
                </c:pt>
                <c:pt idx="50">
                  <c:v>155.822</c:v>
                </c:pt>
                <c:pt idx="51">
                  <c:v>155.74799999999999</c:v>
                </c:pt>
                <c:pt idx="52">
                  <c:v>155.83600000000001</c:v>
                </c:pt>
                <c:pt idx="53">
                  <c:v>155.76</c:v>
                </c:pt>
                <c:pt idx="54">
                  <c:v>155.84899999999999</c:v>
                </c:pt>
                <c:pt idx="55">
                  <c:v>155.81399999999999</c:v>
                </c:pt>
                <c:pt idx="56">
                  <c:v>155.92400000000001</c:v>
                </c:pt>
                <c:pt idx="57">
                  <c:v>155.81899999999999</c:v>
                </c:pt>
                <c:pt idx="58">
                  <c:v>155.88900000000001</c:v>
                </c:pt>
                <c:pt idx="59">
                  <c:v>155.82599999999999</c:v>
                </c:pt>
                <c:pt idx="60">
                  <c:v>155.89400000000001</c:v>
                </c:pt>
                <c:pt idx="61">
                  <c:v>155.82400000000001</c:v>
                </c:pt>
                <c:pt idx="62">
                  <c:v>155.90799999999999</c:v>
                </c:pt>
                <c:pt idx="63">
                  <c:v>155.83500000000001</c:v>
                </c:pt>
                <c:pt idx="64">
                  <c:v>155.88300000000001</c:v>
                </c:pt>
                <c:pt idx="65">
                  <c:v>155.84800000000001</c:v>
                </c:pt>
                <c:pt idx="66">
                  <c:v>155.87100000000001</c:v>
                </c:pt>
                <c:pt idx="67">
                  <c:v>155.83099999999999</c:v>
                </c:pt>
                <c:pt idx="68">
                  <c:v>155.91</c:v>
                </c:pt>
                <c:pt idx="69">
                  <c:v>155.85</c:v>
                </c:pt>
                <c:pt idx="70">
                  <c:v>155.80099999999999</c:v>
                </c:pt>
                <c:pt idx="71">
                  <c:v>155.751</c:v>
                </c:pt>
                <c:pt idx="72">
                  <c:v>155.84299999999999</c:v>
                </c:pt>
                <c:pt idx="73">
                  <c:v>155.77199999999999</c:v>
                </c:pt>
                <c:pt idx="74">
                  <c:v>155.90100000000001</c:v>
                </c:pt>
                <c:pt idx="75">
                  <c:v>155.839</c:v>
                </c:pt>
                <c:pt idx="76">
                  <c:v>155.92099999999999</c:v>
                </c:pt>
                <c:pt idx="77">
                  <c:v>155.857</c:v>
                </c:pt>
                <c:pt idx="78">
                  <c:v>155.89500000000001</c:v>
                </c:pt>
                <c:pt idx="79">
                  <c:v>155.89699999999999</c:v>
                </c:pt>
                <c:pt idx="80">
                  <c:v>155.92500000000001</c:v>
                </c:pt>
                <c:pt idx="81">
                  <c:v>155.876</c:v>
                </c:pt>
                <c:pt idx="82">
                  <c:v>155.85</c:v>
                </c:pt>
                <c:pt idx="83">
                  <c:v>155.857</c:v>
                </c:pt>
                <c:pt idx="84">
                  <c:v>155.744</c:v>
                </c:pt>
                <c:pt idx="85">
                  <c:v>155.74</c:v>
                </c:pt>
                <c:pt idx="86">
                  <c:v>155.75700000000001</c:v>
                </c:pt>
                <c:pt idx="87">
                  <c:v>155.726</c:v>
                </c:pt>
                <c:pt idx="88">
                  <c:v>155.74</c:v>
                </c:pt>
                <c:pt idx="89">
                  <c:v>155.72399999999999</c:v>
                </c:pt>
                <c:pt idx="90">
                  <c:v>155.77799999999999</c:v>
                </c:pt>
                <c:pt idx="91">
                  <c:v>155.78200000000001</c:v>
                </c:pt>
                <c:pt idx="92">
                  <c:v>155.822</c:v>
                </c:pt>
                <c:pt idx="93">
                  <c:v>155.827</c:v>
                </c:pt>
                <c:pt idx="94">
                  <c:v>155.81899999999999</c:v>
                </c:pt>
                <c:pt idx="95">
                  <c:v>155.75399999999999</c:v>
                </c:pt>
                <c:pt idx="96">
                  <c:v>155.77799999999999</c:v>
                </c:pt>
                <c:pt idx="97">
                  <c:v>155.84200000000001</c:v>
                </c:pt>
                <c:pt idx="98">
                  <c:v>155.83500000000001</c:v>
                </c:pt>
                <c:pt idx="99">
                  <c:v>155.78800000000001</c:v>
                </c:pt>
                <c:pt idx="100">
                  <c:v>155.74600000000001</c:v>
                </c:pt>
                <c:pt idx="101">
                  <c:v>155.74600000000001</c:v>
                </c:pt>
                <c:pt idx="102">
                  <c:v>156.02199999999999</c:v>
                </c:pt>
                <c:pt idx="103">
                  <c:v>155.91300000000001</c:v>
                </c:pt>
                <c:pt idx="104">
                  <c:v>155.977</c:v>
                </c:pt>
                <c:pt idx="105">
                  <c:v>155.92099999999999</c:v>
                </c:pt>
                <c:pt idx="106">
                  <c:v>155.928</c:v>
                </c:pt>
                <c:pt idx="107">
                  <c:v>155.89099999999999</c:v>
                </c:pt>
                <c:pt idx="108">
                  <c:v>155.90100000000001</c:v>
                </c:pt>
                <c:pt idx="109">
                  <c:v>155.90799999999999</c:v>
                </c:pt>
                <c:pt idx="110">
                  <c:v>155.886</c:v>
                </c:pt>
                <c:pt idx="111">
                  <c:v>155.88399999999999</c:v>
                </c:pt>
                <c:pt idx="112">
                  <c:v>155.94200000000001</c:v>
                </c:pt>
                <c:pt idx="113">
                  <c:v>155.93</c:v>
                </c:pt>
                <c:pt idx="114">
                  <c:v>155.94399999999999</c:v>
                </c:pt>
                <c:pt idx="115">
                  <c:v>155.94999999999999</c:v>
                </c:pt>
                <c:pt idx="116">
                  <c:v>155.89699999999999</c:v>
                </c:pt>
                <c:pt idx="117">
                  <c:v>155.88399999999999</c:v>
                </c:pt>
                <c:pt idx="118">
                  <c:v>155.905</c:v>
                </c:pt>
                <c:pt idx="119">
                  <c:v>155.863</c:v>
                </c:pt>
                <c:pt idx="120">
                  <c:v>155.85499999999999</c:v>
                </c:pt>
                <c:pt idx="121">
                  <c:v>155.88200000000001</c:v>
                </c:pt>
                <c:pt idx="122">
                  <c:v>156.06399999999999</c:v>
                </c:pt>
                <c:pt idx="123">
                  <c:v>155.97499999999999</c:v>
                </c:pt>
                <c:pt idx="124">
                  <c:v>155.935</c:v>
                </c:pt>
                <c:pt idx="125">
                  <c:v>155.9</c:v>
                </c:pt>
                <c:pt idx="126">
                  <c:v>155.96700000000001</c:v>
                </c:pt>
                <c:pt idx="127">
                  <c:v>155.92500000000001</c:v>
                </c:pt>
                <c:pt idx="128">
                  <c:v>155.774</c:v>
                </c:pt>
                <c:pt idx="129">
                  <c:v>155.78299999999999</c:v>
                </c:pt>
                <c:pt idx="130">
                  <c:v>155.78700000000001</c:v>
                </c:pt>
                <c:pt idx="131">
                  <c:v>155.85900000000001</c:v>
                </c:pt>
                <c:pt idx="132">
                  <c:v>155.86099999999999</c:v>
                </c:pt>
                <c:pt idx="133">
                  <c:v>155.75</c:v>
                </c:pt>
                <c:pt idx="134">
                  <c:v>155.82400000000001</c:v>
                </c:pt>
                <c:pt idx="135">
                  <c:v>155.816</c:v>
                </c:pt>
                <c:pt idx="136">
                  <c:v>155.86600000000001</c:v>
                </c:pt>
                <c:pt idx="137">
                  <c:v>155.79499999999999</c:v>
                </c:pt>
                <c:pt idx="138">
                  <c:v>155.86600000000001</c:v>
                </c:pt>
                <c:pt idx="139">
                  <c:v>155.81299999999999</c:v>
                </c:pt>
                <c:pt idx="140">
                  <c:v>155.82499999999999</c:v>
                </c:pt>
                <c:pt idx="141">
                  <c:v>155.845</c:v>
                </c:pt>
                <c:pt idx="142">
                  <c:v>155.89599999999999</c:v>
                </c:pt>
                <c:pt idx="143">
                  <c:v>155.905</c:v>
                </c:pt>
                <c:pt idx="144">
                  <c:v>155.923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9-4098-A26F-DE5452942BF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('AMP3-2'!$H$4,'AMP3-2'!$H$4)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59-4098-A26F-DE5452942BF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('AMP3-2'!$H$5,'AMP3-2'!$H$5)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59-4098-A26F-DE5452942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39200"/>
        <c:axId val="435239592"/>
      </c:scatterChart>
      <c:valAx>
        <c:axId val="43523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9592"/>
        <c:crosses val="autoZero"/>
        <c:crossBetween val="midCat"/>
      </c:valAx>
      <c:valAx>
        <c:axId val="435239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3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'AMP3-2'!$I$8</c:f>
              <c:strCache>
                <c:ptCount val="1"/>
                <c:pt idx="0">
                  <c:v>Dim 2_2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'AMP3-2'!$I$9:$I$153</c:f>
              <c:numCache>
                <c:formatCode>General</c:formatCode>
                <c:ptCount val="145"/>
                <c:pt idx="0">
                  <c:v>155.755</c:v>
                </c:pt>
                <c:pt idx="1">
                  <c:v>155.73699999999999</c:v>
                </c:pt>
                <c:pt idx="2">
                  <c:v>155.517</c:v>
                </c:pt>
                <c:pt idx="3">
                  <c:v>155.488</c:v>
                </c:pt>
                <c:pt idx="4">
                  <c:v>155.52699999999999</c:v>
                </c:pt>
                <c:pt idx="5">
                  <c:v>155.58600000000001</c:v>
                </c:pt>
                <c:pt idx="6">
                  <c:v>155.578</c:v>
                </c:pt>
                <c:pt idx="7">
                  <c:v>155.58500000000001</c:v>
                </c:pt>
                <c:pt idx="8">
                  <c:v>155.631</c:v>
                </c:pt>
                <c:pt idx="9">
                  <c:v>155.61099999999999</c:v>
                </c:pt>
                <c:pt idx="10">
                  <c:v>155.554</c:v>
                </c:pt>
                <c:pt idx="11">
                  <c:v>155.63999999999999</c:v>
                </c:pt>
                <c:pt idx="12">
                  <c:v>155.51300000000001</c:v>
                </c:pt>
                <c:pt idx="13">
                  <c:v>155.29400000000001</c:v>
                </c:pt>
                <c:pt idx="14">
                  <c:v>155.56299999999999</c:v>
                </c:pt>
                <c:pt idx="15">
                  <c:v>155.35400000000001</c:v>
                </c:pt>
                <c:pt idx="16">
                  <c:v>155.56299999999999</c:v>
                </c:pt>
                <c:pt idx="17">
                  <c:v>155.417</c:v>
                </c:pt>
                <c:pt idx="18">
                  <c:v>155.624</c:v>
                </c:pt>
                <c:pt idx="19">
                  <c:v>155.46899999999999</c:v>
                </c:pt>
                <c:pt idx="20">
                  <c:v>155.61199999999999</c:v>
                </c:pt>
                <c:pt idx="21">
                  <c:v>155.48500000000001</c:v>
                </c:pt>
                <c:pt idx="22">
                  <c:v>155.64599999999999</c:v>
                </c:pt>
                <c:pt idx="23">
                  <c:v>155.41200000000001</c:v>
                </c:pt>
                <c:pt idx="24">
                  <c:v>155.61699999999999</c:v>
                </c:pt>
                <c:pt idx="25">
                  <c:v>155.49</c:v>
                </c:pt>
                <c:pt idx="26">
                  <c:v>155.64400000000001</c:v>
                </c:pt>
                <c:pt idx="27">
                  <c:v>155.52799999999999</c:v>
                </c:pt>
                <c:pt idx="28">
                  <c:v>155.672</c:v>
                </c:pt>
                <c:pt idx="29">
                  <c:v>155.535</c:v>
                </c:pt>
                <c:pt idx="30">
                  <c:v>155.68799999999999</c:v>
                </c:pt>
                <c:pt idx="31">
                  <c:v>155.53800000000001</c:v>
                </c:pt>
                <c:pt idx="32">
                  <c:v>155.72200000000001</c:v>
                </c:pt>
                <c:pt idx="33">
                  <c:v>155.50899999999999</c:v>
                </c:pt>
                <c:pt idx="34">
                  <c:v>155.708</c:v>
                </c:pt>
                <c:pt idx="35">
                  <c:v>155.57</c:v>
                </c:pt>
                <c:pt idx="36">
                  <c:v>155.70699999999999</c:v>
                </c:pt>
                <c:pt idx="37">
                  <c:v>155.54</c:v>
                </c:pt>
                <c:pt idx="38">
                  <c:v>155.68199999999999</c:v>
                </c:pt>
                <c:pt idx="39">
                  <c:v>155.506</c:v>
                </c:pt>
                <c:pt idx="40">
                  <c:v>155.779</c:v>
                </c:pt>
                <c:pt idx="41">
                  <c:v>155.59899999999999</c:v>
                </c:pt>
                <c:pt idx="42">
                  <c:v>155.745</c:v>
                </c:pt>
                <c:pt idx="43">
                  <c:v>155.61199999999999</c:v>
                </c:pt>
                <c:pt idx="44">
                  <c:v>155.73400000000001</c:v>
                </c:pt>
                <c:pt idx="45">
                  <c:v>155.648</c:v>
                </c:pt>
                <c:pt idx="46">
                  <c:v>155.785</c:v>
                </c:pt>
                <c:pt idx="47">
                  <c:v>155.67099999999999</c:v>
                </c:pt>
                <c:pt idx="48">
                  <c:v>155.798</c:v>
                </c:pt>
                <c:pt idx="49">
                  <c:v>155.73699999999999</c:v>
                </c:pt>
                <c:pt idx="50">
                  <c:v>155.77199999999999</c:v>
                </c:pt>
                <c:pt idx="51">
                  <c:v>155.73699999999999</c:v>
                </c:pt>
                <c:pt idx="52">
                  <c:v>155.797</c:v>
                </c:pt>
                <c:pt idx="53">
                  <c:v>155.78700000000001</c:v>
                </c:pt>
                <c:pt idx="54">
                  <c:v>155.82300000000001</c:v>
                </c:pt>
                <c:pt idx="55">
                  <c:v>155.767</c:v>
                </c:pt>
                <c:pt idx="56">
                  <c:v>155.84</c:v>
                </c:pt>
                <c:pt idx="57">
                  <c:v>155.82400000000001</c:v>
                </c:pt>
                <c:pt idx="58">
                  <c:v>155.875</c:v>
                </c:pt>
                <c:pt idx="59">
                  <c:v>155.80000000000001</c:v>
                </c:pt>
                <c:pt idx="60">
                  <c:v>155.88200000000001</c:v>
                </c:pt>
                <c:pt idx="61">
                  <c:v>155.745</c:v>
                </c:pt>
                <c:pt idx="62">
                  <c:v>155.89599999999999</c:v>
                </c:pt>
                <c:pt idx="63">
                  <c:v>155.77600000000001</c:v>
                </c:pt>
                <c:pt idx="64">
                  <c:v>155.85</c:v>
                </c:pt>
                <c:pt idx="65">
                  <c:v>155.834</c:v>
                </c:pt>
                <c:pt idx="66">
                  <c:v>155.834</c:v>
                </c:pt>
                <c:pt idx="67">
                  <c:v>155.80500000000001</c:v>
                </c:pt>
                <c:pt idx="68">
                  <c:v>155.89400000000001</c:v>
                </c:pt>
                <c:pt idx="69">
                  <c:v>155.828</c:v>
                </c:pt>
                <c:pt idx="70">
                  <c:v>155.839</c:v>
                </c:pt>
                <c:pt idx="71">
                  <c:v>155.779</c:v>
                </c:pt>
                <c:pt idx="72">
                  <c:v>155.81899999999999</c:v>
                </c:pt>
                <c:pt idx="73">
                  <c:v>155.75700000000001</c:v>
                </c:pt>
                <c:pt idx="74">
                  <c:v>155.874</c:v>
                </c:pt>
                <c:pt idx="75">
                  <c:v>155.79400000000001</c:v>
                </c:pt>
                <c:pt idx="76">
                  <c:v>155.93</c:v>
                </c:pt>
                <c:pt idx="77">
                  <c:v>155.86500000000001</c:v>
                </c:pt>
                <c:pt idx="78">
                  <c:v>155.887</c:v>
                </c:pt>
                <c:pt idx="79">
                  <c:v>155.84299999999999</c:v>
                </c:pt>
                <c:pt idx="80">
                  <c:v>155.946</c:v>
                </c:pt>
                <c:pt idx="81">
                  <c:v>155.85</c:v>
                </c:pt>
                <c:pt idx="82">
                  <c:v>155.86699999999999</c:v>
                </c:pt>
                <c:pt idx="83">
                  <c:v>155.82300000000001</c:v>
                </c:pt>
                <c:pt idx="84">
                  <c:v>155.73500000000001</c:v>
                </c:pt>
                <c:pt idx="85">
                  <c:v>155.71</c:v>
                </c:pt>
                <c:pt idx="86">
                  <c:v>155.75299999999999</c:v>
                </c:pt>
                <c:pt idx="87">
                  <c:v>155.684</c:v>
                </c:pt>
                <c:pt idx="88">
                  <c:v>155.75700000000001</c:v>
                </c:pt>
                <c:pt idx="89">
                  <c:v>155.709</c:v>
                </c:pt>
                <c:pt idx="90">
                  <c:v>155.785</c:v>
                </c:pt>
                <c:pt idx="91">
                  <c:v>155.74100000000001</c:v>
                </c:pt>
                <c:pt idx="92">
                  <c:v>155.87799999999999</c:v>
                </c:pt>
                <c:pt idx="93">
                  <c:v>155.75200000000001</c:v>
                </c:pt>
                <c:pt idx="94">
                  <c:v>155.82499999999999</c:v>
                </c:pt>
                <c:pt idx="95">
                  <c:v>155.76900000000001</c:v>
                </c:pt>
                <c:pt idx="96">
                  <c:v>155.78899999999999</c:v>
                </c:pt>
                <c:pt idx="97">
                  <c:v>155.78800000000001</c:v>
                </c:pt>
                <c:pt idx="98">
                  <c:v>155.80000000000001</c:v>
                </c:pt>
                <c:pt idx="99">
                  <c:v>155.81200000000001</c:v>
                </c:pt>
                <c:pt idx="100">
                  <c:v>155.773</c:v>
                </c:pt>
                <c:pt idx="101">
                  <c:v>155.71199999999999</c:v>
                </c:pt>
                <c:pt idx="102">
                  <c:v>155.96799999999999</c:v>
                </c:pt>
                <c:pt idx="103">
                  <c:v>155.875</c:v>
                </c:pt>
                <c:pt idx="104">
                  <c:v>155.99700000000001</c:v>
                </c:pt>
                <c:pt idx="105">
                  <c:v>155.92599999999999</c:v>
                </c:pt>
                <c:pt idx="106">
                  <c:v>155.958</c:v>
                </c:pt>
                <c:pt idx="107">
                  <c:v>155.869</c:v>
                </c:pt>
                <c:pt idx="108">
                  <c:v>155.893</c:v>
                </c:pt>
                <c:pt idx="109">
                  <c:v>155.85900000000001</c:v>
                </c:pt>
                <c:pt idx="110">
                  <c:v>155.91300000000001</c:v>
                </c:pt>
                <c:pt idx="111">
                  <c:v>155.84899999999999</c:v>
                </c:pt>
                <c:pt idx="112">
                  <c:v>155.91300000000001</c:v>
                </c:pt>
                <c:pt idx="113">
                  <c:v>155.83000000000001</c:v>
                </c:pt>
                <c:pt idx="114">
                  <c:v>155.94499999999999</c:v>
                </c:pt>
                <c:pt idx="115">
                  <c:v>155.87299999999999</c:v>
                </c:pt>
                <c:pt idx="116">
                  <c:v>155.898</c:v>
                </c:pt>
                <c:pt idx="117">
                  <c:v>155.89599999999999</c:v>
                </c:pt>
                <c:pt idx="118">
                  <c:v>155.91399999999999</c:v>
                </c:pt>
                <c:pt idx="119">
                  <c:v>155.82900000000001</c:v>
                </c:pt>
                <c:pt idx="120">
                  <c:v>155.87899999999999</c:v>
                </c:pt>
                <c:pt idx="121">
                  <c:v>155.78200000000001</c:v>
                </c:pt>
                <c:pt idx="122">
                  <c:v>156.00399999999999</c:v>
                </c:pt>
                <c:pt idx="123">
                  <c:v>155.904</c:v>
                </c:pt>
                <c:pt idx="124">
                  <c:v>155.953</c:v>
                </c:pt>
                <c:pt idx="125">
                  <c:v>155.846</c:v>
                </c:pt>
                <c:pt idx="126">
                  <c:v>155.97900000000001</c:v>
                </c:pt>
                <c:pt idx="127">
                  <c:v>155.89400000000001</c:v>
                </c:pt>
                <c:pt idx="128">
                  <c:v>155.73599999999999</c:v>
                </c:pt>
                <c:pt idx="129">
                  <c:v>155.75299999999999</c:v>
                </c:pt>
                <c:pt idx="130">
                  <c:v>155.73699999999999</c:v>
                </c:pt>
                <c:pt idx="131">
                  <c:v>155.84800000000001</c:v>
                </c:pt>
                <c:pt idx="132">
                  <c:v>155.852</c:v>
                </c:pt>
                <c:pt idx="133">
                  <c:v>155.74299999999999</c:v>
                </c:pt>
                <c:pt idx="134">
                  <c:v>155.75800000000001</c:v>
                </c:pt>
                <c:pt idx="135">
                  <c:v>155.791</c:v>
                </c:pt>
                <c:pt idx="136">
                  <c:v>155.88399999999999</c:v>
                </c:pt>
                <c:pt idx="137">
                  <c:v>155.745</c:v>
                </c:pt>
                <c:pt idx="138">
                  <c:v>155.82900000000001</c:v>
                </c:pt>
                <c:pt idx="139">
                  <c:v>155.797</c:v>
                </c:pt>
                <c:pt idx="140">
                  <c:v>155.82</c:v>
                </c:pt>
                <c:pt idx="141">
                  <c:v>155.821</c:v>
                </c:pt>
                <c:pt idx="142">
                  <c:v>155.869</c:v>
                </c:pt>
                <c:pt idx="143">
                  <c:v>155.89400000000001</c:v>
                </c:pt>
                <c:pt idx="144">
                  <c:v>155.90600000000001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5-4F98-956E-82E68A1CA4E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('AMP3-2'!$I$4,'AMP3-2'!$I$4)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75-4F98-956E-82E68A1CA4E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('AMP3-2'!$I$5,'AMP3-2'!$I$5)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75-4F98-956E-82E68A1CA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0376"/>
        <c:axId val="435240768"/>
      </c:scatterChart>
      <c:valAx>
        <c:axId val="43524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0768"/>
        <c:crosses val="autoZero"/>
        <c:crossBetween val="midCat"/>
      </c:valAx>
      <c:valAx>
        <c:axId val="4352407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'AMP3-2'!$J$8</c:f>
              <c:strCache>
                <c:ptCount val="1"/>
                <c:pt idx="0">
                  <c:v>Dim 3_1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'AMP3-2'!$J$9:$J$153</c:f>
              <c:numCache>
                <c:formatCode>General</c:formatCode>
                <c:ptCount val="145"/>
                <c:pt idx="1">
                  <c:v>168.495</c:v>
                </c:pt>
                <c:pt idx="3">
                  <c:v>168.29</c:v>
                </c:pt>
                <c:pt idx="5">
                  <c:v>168.44300000000001</c:v>
                </c:pt>
                <c:pt idx="7">
                  <c:v>168.262</c:v>
                </c:pt>
                <c:pt idx="9">
                  <c:v>168.40600000000001</c:v>
                </c:pt>
                <c:pt idx="11">
                  <c:v>168.45099999999999</c:v>
                </c:pt>
                <c:pt idx="13">
                  <c:v>168.21899999999999</c:v>
                </c:pt>
                <c:pt idx="15">
                  <c:v>168.577</c:v>
                </c:pt>
                <c:pt idx="17">
                  <c:v>168.50299999999999</c:v>
                </c:pt>
                <c:pt idx="19">
                  <c:v>168.399</c:v>
                </c:pt>
                <c:pt idx="21">
                  <c:v>168.565</c:v>
                </c:pt>
                <c:pt idx="23">
                  <c:v>168.429</c:v>
                </c:pt>
                <c:pt idx="25">
                  <c:v>168.50299999999999</c:v>
                </c:pt>
                <c:pt idx="27">
                  <c:v>168.49100000000001</c:v>
                </c:pt>
                <c:pt idx="29">
                  <c:v>168.45699999999999</c:v>
                </c:pt>
                <c:pt idx="31">
                  <c:v>168.452</c:v>
                </c:pt>
                <c:pt idx="33">
                  <c:v>168.54499999999999</c:v>
                </c:pt>
                <c:pt idx="35">
                  <c:v>168.45699999999999</c:v>
                </c:pt>
                <c:pt idx="37">
                  <c:v>168.578</c:v>
                </c:pt>
                <c:pt idx="39">
                  <c:v>168.41800000000001</c:v>
                </c:pt>
                <c:pt idx="41">
                  <c:v>168.41399999999999</c:v>
                </c:pt>
                <c:pt idx="43">
                  <c:v>168.643</c:v>
                </c:pt>
                <c:pt idx="45">
                  <c:v>168.67500000000001</c:v>
                </c:pt>
                <c:pt idx="47">
                  <c:v>168.65600000000001</c:v>
                </c:pt>
                <c:pt idx="49">
                  <c:v>168.63499999999999</c:v>
                </c:pt>
                <c:pt idx="51">
                  <c:v>168.714</c:v>
                </c:pt>
                <c:pt idx="53">
                  <c:v>168.61099999999999</c:v>
                </c:pt>
                <c:pt idx="55">
                  <c:v>168.48500000000001</c:v>
                </c:pt>
                <c:pt idx="57">
                  <c:v>168.672</c:v>
                </c:pt>
                <c:pt idx="59">
                  <c:v>168.66</c:v>
                </c:pt>
                <c:pt idx="61">
                  <c:v>168.65600000000001</c:v>
                </c:pt>
                <c:pt idx="63">
                  <c:v>168.67</c:v>
                </c:pt>
                <c:pt idx="65">
                  <c:v>168.684</c:v>
                </c:pt>
                <c:pt idx="67">
                  <c:v>168.69200000000001</c:v>
                </c:pt>
                <c:pt idx="69">
                  <c:v>168.59200000000001</c:v>
                </c:pt>
                <c:pt idx="71">
                  <c:v>168.691</c:v>
                </c:pt>
                <c:pt idx="73">
                  <c:v>168.851</c:v>
                </c:pt>
                <c:pt idx="75">
                  <c:v>168.654</c:v>
                </c:pt>
                <c:pt idx="77">
                  <c:v>168.71299999999999</c:v>
                </c:pt>
                <c:pt idx="79">
                  <c:v>168.649</c:v>
                </c:pt>
                <c:pt idx="81">
                  <c:v>168.66200000000001</c:v>
                </c:pt>
                <c:pt idx="83">
                  <c:v>168.68199999999999</c:v>
                </c:pt>
                <c:pt idx="85">
                  <c:v>168.56800000000001</c:v>
                </c:pt>
                <c:pt idx="87">
                  <c:v>168.667</c:v>
                </c:pt>
                <c:pt idx="89">
                  <c:v>168.584</c:v>
                </c:pt>
                <c:pt idx="91">
                  <c:v>168.71899999999999</c:v>
                </c:pt>
                <c:pt idx="93">
                  <c:v>168.51</c:v>
                </c:pt>
                <c:pt idx="95">
                  <c:v>168.66300000000001</c:v>
                </c:pt>
                <c:pt idx="97">
                  <c:v>168.714</c:v>
                </c:pt>
                <c:pt idx="99">
                  <c:v>168.65100000000001</c:v>
                </c:pt>
                <c:pt idx="101">
                  <c:v>168.72200000000001</c:v>
                </c:pt>
                <c:pt idx="103">
                  <c:v>168.631</c:v>
                </c:pt>
                <c:pt idx="105">
                  <c:v>168.691</c:v>
                </c:pt>
                <c:pt idx="107">
                  <c:v>168.64</c:v>
                </c:pt>
                <c:pt idx="109">
                  <c:v>168.78100000000001</c:v>
                </c:pt>
                <c:pt idx="111">
                  <c:v>168.61099999999999</c:v>
                </c:pt>
                <c:pt idx="113">
                  <c:v>168.58199999999999</c:v>
                </c:pt>
                <c:pt idx="115">
                  <c:v>168.69800000000001</c:v>
                </c:pt>
                <c:pt idx="117">
                  <c:v>168.67599999999999</c:v>
                </c:pt>
                <c:pt idx="119">
                  <c:v>168.66499999999999</c:v>
                </c:pt>
                <c:pt idx="121">
                  <c:v>168.584</c:v>
                </c:pt>
                <c:pt idx="123">
                  <c:v>168.77099999999999</c:v>
                </c:pt>
                <c:pt idx="125">
                  <c:v>168.60900000000001</c:v>
                </c:pt>
                <c:pt idx="127">
                  <c:v>168.69499999999999</c:v>
                </c:pt>
                <c:pt idx="129">
                  <c:v>168.54900000000001</c:v>
                </c:pt>
                <c:pt idx="131">
                  <c:v>168.624</c:v>
                </c:pt>
                <c:pt idx="132">
                  <c:v>168.625</c:v>
                </c:pt>
                <c:pt idx="134">
                  <c:v>168.56800000000001</c:v>
                </c:pt>
                <c:pt idx="136">
                  <c:v>168.65199999999999</c:v>
                </c:pt>
                <c:pt idx="138">
                  <c:v>168.67099999999999</c:v>
                </c:pt>
                <c:pt idx="140">
                  <c:v>168.709</c:v>
                </c:pt>
                <c:pt idx="142">
                  <c:v>168.511</c:v>
                </c:pt>
                <c:pt idx="144">
                  <c:v>168.571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DCB-A1F6-C733026BD80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('AMP3-2'!$J$4,'AMP3-2'!$J$4)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2-4DCB-A1F6-C733026BD80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('AMP3-2'!$J$5,'AMP3-2'!$J$5)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F2-4DCB-A1F6-C733026BD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1552"/>
        <c:axId val="435241944"/>
      </c:scatterChart>
      <c:valAx>
        <c:axId val="43524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1944"/>
        <c:crosses val="autoZero"/>
        <c:crossBetween val="midCat"/>
      </c:valAx>
      <c:valAx>
        <c:axId val="4352419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'AMP3-2'!$K$8</c:f>
              <c:strCache>
                <c:ptCount val="1"/>
                <c:pt idx="0">
                  <c:v>Dim 3_2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'AMP3-2'!$K$9:$K$153</c:f>
              <c:numCache>
                <c:formatCode>General</c:formatCode>
                <c:ptCount val="145"/>
                <c:pt idx="1">
                  <c:v>168.61500000000001</c:v>
                </c:pt>
                <c:pt idx="3">
                  <c:v>168.416</c:v>
                </c:pt>
                <c:pt idx="5">
                  <c:v>168.541</c:v>
                </c:pt>
                <c:pt idx="7">
                  <c:v>168.41</c:v>
                </c:pt>
                <c:pt idx="9">
                  <c:v>168.583</c:v>
                </c:pt>
                <c:pt idx="11">
                  <c:v>168.572</c:v>
                </c:pt>
                <c:pt idx="13">
                  <c:v>168.26300000000001</c:v>
                </c:pt>
                <c:pt idx="15">
                  <c:v>168.661</c:v>
                </c:pt>
                <c:pt idx="17">
                  <c:v>168.58099999999999</c:v>
                </c:pt>
                <c:pt idx="19">
                  <c:v>168.55</c:v>
                </c:pt>
                <c:pt idx="21">
                  <c:v>168.63300000000001</c:v>
                </c:pt>
                <c:pt idx="23">
                  <c:v>168.59899999999999</c:v>
                </c:pt>
                <c:pt idx="25">
                  <c:v>168.65100000000001</c:v>
                </c:pt>
                <c:pt idx="27">
                  <c:v>168.648</c:v>
                </c:pt>
                <c:pt idx="29">
                  <c:v>168.63</c:v>
                </c:pt>
                <c:pt idx="31">
                  <c:v>168.63200000000001</c:v>
                </c:pt>
                <c:pt idx="33">
                  <c:v>168.62200000000001</c:v>
                </c:pt>
                <c:pt idx="35">
                  <c:v>168.74100000000001</c:v>
                </c:pt>
                <c:pt idx="37">
                  <c:v>168.71299999999999</c:v>
                </c:pt>
                <c:pt idx="39">
                  <c:v>168.49799999999999</c:v>
                </c:pt>
                <c:pt idx="41">
                  <c:v>168.66499999999999</c:v>
                </c:pt>
                <c:pt idx="43">
                  <c:v>168.77699999999999</c:v>
                </c:pt>
                <c:pt idx="45">
                  <c:v>168.62299999999999</c:v>
                </c:pt>
                <c:pt idx="47">
                  <c:v>168.70500000000001</c:v>
                </c:pt>
                <c:pt idx="49">
                  <c:v>168.667</c:v>
                </c:pt>
                <c:pt idx="51">
                  <c:v>168.72300000000001</c:v>
                </c:pt>
                <c:pt idx="53">
                  <c:v>168.76300000000001</c:v>
                </c:pt>
                <c:pt idx="55">
                  <c:v>168.62</c:v>
                </c:pt>
                <c:pt idx="57">
                  <c:v>168.74</c:v>
                </c:pt>
                <c:pt idx="59">
                  <c:v>168.697</c:v>
                </c:pt>
                <c:pt idx="61">
                  <c:v>168.62299999999999</c:v>
                </c:pt>
                <c:pt idx="63">
                  <c:v>168.751</c:v>
                </c:pt>
                <c:pt idx="65">
                  <c:v>168.79400000000001</c:v>
                </c:pt>
                <c:pt idx="67">
                  <c:v>168.66900000000001</c:v>
                </c:pt>
                <c:pt idx="69">
                  <c:v>168.631</c:v>
                </c:pt>
                <c:pt idx="71">
                  <c:v>168.80199999999999</c:v>
                </c:pt>
                <c:pt idx="73">
                  <c:v>168.95099999999999</c:v>
                </c:pt>
                <c:pt idx="75">
                  <c:v>168.76400000000001</c:v>
                </c:pt>
                <c:pt idx="77">
                  <c:v>168.81800000000001</c:v>
                </c:pt>
                <c:pt idx="79">
                  <c:v>168.827</c:v>
                </c:pt>
                <c:pt idx="81">
                  <c:v>168.691</c:v>
                </c:pt>
                <c:pt idx="83">
                  <c:v>168.73500000000001</c:v>
                </c:pt>
                <c:pt idx="85">
                  <c:v>168.71199999999999</c:v>
                </c:pt>
                <c:pt idx="87">
                  <c:v>168.75200000000001</c:v>
                </c:pt>
                <c:pt idx="89">
                  <c:v>168.67099999999999</c:v>
                </c:pt>
                <c:pt idx="91">
                  <c:v>168.74199999999999</c:v>
                </c:pt>
                <c:pt idx="93">
                  <c:v>168.65899999999999</c:v>
                </c:pt>
                <c:pt idx="95">
                  <c:v>168.91800000000001</c:v>
                </c:pt>
                <c:pt idx="97">
                  <c:v>168.773</c:v>
                </c:pt>
                <c:pt idx="99">
                  <c:v>168.86699999999999</c:v>
                </c:pt>
                <c:pt idx="101">
                  <c:v>168.767</c:v>
                </c:pt>
                <c:pt idx="103">
                  <c:v>168.71700000000001</c:v>
                </c:pt>
                <c:pt idx="105">
                  <c:v>168.85</c:v>
                </c:pt>
                <c:pt idx="107">
                  <c:v>168.768</c:v>
                </c:pt>
                <c:pt idx="109">
                  <c:v>168.852</c:v>
                </c:pt>
                <c:pt idx="111">
                  <c:v>168.68600000000001</c:v>
                </c:pt>
                <c:pt idx="113">
                  <c:v>168.756</c:v>
                </c:pt>
                <c:pt idx="115">
                  <c:v>168.71</c:v>
                </c:pt>
                <c:pt idx="117">
                  <c:v>168.84399999999999</c:v>
                </c:pt>
                <c:pt idx="119">
                  <c:v>168.79900000000001</c:v>
                </c:pt>
                <c:pt idx="121">
                  <c:v>168.71799999999999</c:v>
                </c:pt>
                <c:pt idx="123">
                  <c:v>168.91200000000001</c:v>
                </c:pt>
                <c:pt idx="125">
                  <c:v>168.71600000000001</c:v>
                </c:pt>
                <c:pt idx="127">
                  <c:v>168.803</c:v>
                </c:pt>
                <c:pt idx="129">
                  <c:v>168.68100000000001</c:v>
                </c:pt>
                <c:pt idx="131">
                  <c:v>168.61600000000001</c:v>
                </c:pt>
                <c:pt idx="132">
                  <c:v>168.62</c:v>
                </c:pt>
                <c:pt idx="134">
                  <c:v>168.55500000000001</c:v>
                </c:pt>
                <c:pt idx="136">
                  <c:v>168.703</c:v>
                </c:pt>
                <c:pt idx="138">
                  <c:v>168.70400000000001</c:v>
                </c:pt>
                <c:pt idx="140">
                  <c:v>168.876</c:v>
                </c:pt>
                <c:pt idx="142">
                  <c:v>168.59100000000001</c:v>
                </c:pt>
                <c:pt idx="144">
                  <c:v>168.85900000000001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93-492A-A93E-AE1FCC9DEAE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('AMP3-2'!$K$4,'AMP3-2'!$K$4)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93-492A-A93E-AE1FCC9DEAE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('AMP3-2'!$K$5,'AMP3-2'!$K$5)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93-492A-A93E-AE1FCC9D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2728"/>
        <c:axId val="435243120"/>
      </c:scatterChart>
      <c:valAx>
        <c:axId val="435242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3120"/>
        <c:crosses val="autoZero"/>
        <c:crossBetween val="midCat"/>
      </c:valAx>
      <c:valAx>
        <c:axId val="435243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2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'AMP3-2'!$L$8</c:f>
              <c:strCache>
                <c:ptCount val="1"/>
                <c:pt idx="0">
                  <c:v>Dim 4_1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'AMP3-2'!$L$9:$L$153</c:f>
              <c:numCache>
                <c:formatCode>General</c:formatCode>
                <c:ptCount val="145"/>
                <c:pt idx="0">
                  <c:v>155.88900000000001</c:v>
                </c:pt>
                <c:pt idx="1">
                  <c:v>155.92400000000001</c:v>
                </c:pt>
                <c:pt idx="2">
                  <c:v>155.619</c:v>
                </c:pt>
                <c:pt idx="3">
                  <c:v>155.613</c:v>
                </c:pt>
                <c:pt idx="4">
                  <c:v>155.608</c:v>
                </c:pt>
                <c:pt idx="5">
                  <c:v>155.666</c:v>
                </c:pt>
                <c:pt idx="6">
                  <c:v>155.661</c:v>
                </c:pt>
                <c:pt idx="7">
                  <c:v>155.702</c:v>
                </c:pt>
                <c:pt idx="8">
                  <c:v>155.739</c:v>
                </c:pt>
                <c:pt idx="9">
                  <c:v>155.667</c:v>
                </c:pt>
                <c:pt idx="10">
                  <c:v>155.66999999999999</c:v>
                </c:pt>
                <c:pt idx="11">
                  <c:v>155.68199999999999</c:v>
                </c:pt>
                <c:pt idx="12">
                  <c:v>155.583</c:v>
                </c:pt>
                <c:pt idx="13">
                  <c:v>155.43100000000001</c:v>
                </c:pt>
                <c:pt idx="14">
                  <c:v>155.643</c:v>
                </c:pt>
                <c:pt idx="15">
                  <c:v>155.553</c:v>
                </c:pt>
                <c:pt idx="16">
                  <c:v>155.63900000000001</c:v>
                </c:pt>
                <c:pt idx="17">
                  <c:v>155.535</c:v>
                </c:pt>
                <c:pt idx="18">
                  <c:v>155.72</c:v>
                </c:pt>
                <c:pt idx="19">
                  <c:v>155.63800000000001</c:v>
                </c:pt>
                <c:pt idx="20">
                  <c:v>155.71700000000001</c:v>
                </c:pt>
                <c:pt idx="21">
                  <c:v>155.59700000000001</c:v>
                </c:pt>
                <c:pt idx="22">
                  <c:v>155.75</c:v>
                </c:pt>
                <c:pt idx="23">
                  <c:v>155.62200000000001</c:v>
                </c:pt>
                <c:pt idx="24">
                  <c:v>155.71899999999999</c:v>
                </c:pt>
                <c:pt idx="25">
                  <c:v>155.61600000000001</c:v>
                </c:pt>
                <c:pt idx="26">
                  <c:v>155.76599999999999</c:v>
                </c:pt>
                <c:pt idx="27">
                  <c:v>155.70500000000001</c:v>
                </c:pt>
                <c:pt idx="28">
                  <c:v>155.77199999999999</c:v>
                </c:pt>
                <c:pt idx="29">
                  <c:v>155.702</c:v>
                </c:pt>
                <c:pt idx="30">
                  <c:v>155.77500000000001</c:v>
                </c:pt>
                <c:pt idx="31">
                  <c:v>155.68100000000001</c:v>
                </c:pt>
                <c:pt idx="32">
                  <c:v>155.80199999999999</c:v>
                </c:pt>
                <c:pt idx="33">
                  <c:v>155.69399999999999</c:v>
                </c:pt>
                <c:pt idx="34">
                  <c:v>155.84899999999999</c:v>
                </c:pt>
                <c:pt idx="35">
                  <c:v>155.71299999999999</c:v>
                </c:pt>
                <c:pt idx="36">
                  <c:v>155.77799999999999</c:v>
                </c:pt>
                <c:pt idx="37">
                  <c:v>155.69999999999999</c:v>
                </c:pt>
                <c:pt idx="38">
                  <c:v>155.749</c:v>
                </c:pt>
                <c:pt idx="39">
                  <c:v>155.673</c:v>
                </c:pt>
                <c:pt idx="40">
                  <c:v>155.89599999999999</c:v>
                </c:pt>
                <c:pt idx="41">
                  <c:v>155.786</c:v>
                </c:pt>
                <c:pt idx="42">
                  <c:v>155.76300000000001</c:v>
                </c:pt>
                <c:pt idx="43">
                  <c:v>155.76900000000001</c:v>
                </c:pt>
                <c:pt idx="44">
                  <c:v>155.73699999999999</c:v>
                </c:pt>
                <c:pt idx="45">
                  <c:v>155.72300000000001</c:v>
                </c:pt>
                <c:pt idx="46">
                  <c:v>155.75299999999999</c:v>
                </c:pt>
                <c:pt idx="47">
                  <c:v>155.749</c:v>
                </c:pt>
                <c:pt idx="48">
                  <c:v>155.82599999999999</c:v>
                </c:pt>
                <c:pt idx="49">
                  <c:v>155.80500000000001</c:v>
                </c:pt>
                <c:pt idx="50">
                  <c:v>155.83500000000001</c:v>
                </c:pt>
                <c:pt idx="51">
                  <c:v>155.82499999999999</c:v>
                </c:pt>
                <c:pt idx="52">
                  <c:v>155.874</c:v>
                </c:pt>
                <c:pt idx="53">
                  <c:v>155.82599999999999</c:v>
                </c:pt>
                <c:pt idx="54">
                  <c:v>155.893</c:v>
                </c:pt>
                <c:pt idx="55">
                  <c:v>155.89400000000001</c:v>
                </c:pt>
                <c:pt idx="56">
                  <c:v>155.923</c:v>
                </c:pt>
                <c:pt idx="57">
                  <c:v>155.864</c:v>
                </c:pt>
                <c:pt idx="58">
                  <c:v>155.916</c:v>
                </c:pt>
                <c:pt idx="59">
                  <c:v>155.857</c:v>
                </c:pt>
                <c:pt idx="60">
                  <c:v>155.88800000000001</c:v>
                </c:pt>
                <c:pt idx="61">
                  <c:v>155.875</c:v>
                </c:pt>
                <c:pt idx="62">
                  <c:v>155.941</c:v>
                </c:pt>
                <c:pt idx="63">
                  <c:v>155.89400000000001</c:v>
                </c:pt>
                <c:pt idx="64">
                  <c:v>155.93899999999999</c:v>
                </c:pt>
                <c:pt idx="65">
                  <c:v>155.91499999999999</c:v>
                </c:pt>
                <c:pt idx="66">
                  <c:v>155.899</c:v>
                </c:pt>
                <c:pt idx="67">
                  <c:v>155.869</c:v>
                </c:pt>
                <c:pt idx="68">
                  <c:v>155.92099999999999</c:v>
                </c:pt>
                <c:pt idx="69">
                  <c:v>155.90100000000001</c:v>
                </c:pt>
                <c:pt idx="70">
                  <c:v>155.86000000000001</c:v>
                </c:pt>
                <c:pt idx="71">
                  <c:v>155.822</c:v>
                </c:pt>
                <c:pt idx="72">
                  <c:v>155.876</c:v>
                </c:pt>
                <c:pt idx="73">
                  <c:v>155.816</c:v>
                </c:pt>
                <c:pt idx="74">
                  <c:v>155.89599999999999</c:v>
                </c:pt>
                <c:pt idx="75">
                  <c:v>155.86600000000001</c:v>
                </c:pt>
                <c:pt idx="76">
                  <c:v>155.96199999999999</c:v>
                </c:pt>
                <c:pt idx="77">
                  <c:v>155.923</c:v>
                </c:pt>
                <c:pt idx="78">
                  <c:v>155.917</c:v>
                </c:pt>
                <c:pt idx="79">
                  <c:v>155.91200000000001</c:v>
                </c:pt>
                <c:pt idx="80">
                  <c:v>155.953</c:v>
                </c:pt>
                <c:pt idx="81">
                  <c:v>155.93</c:v>
                </c:pt>
                <c:pt idx="82">
                  <c:v>155.928</c:v>
                </c:pt>
                <c:pt idx="83">
                  <c:v>155.88499999999999</c:v>
                </c:pt>
                <c:pt idx="84">
                  <c:v>155.75299999999999</c:v>
                </c:pt>
                <c:pt idx="85">
                  <c:v>155.77099999999999</c:v>
                </c:pt>
                <c:pt idx="86">
                  <c:v>155.78700000000001</c:v>
                </c:pt>
                <c:pt idx="87">
                  <c:v>155.79599999999999</c:v>
                </c:pt>
                <c:pt idx="88">
                  <c:v>155.75</c:v>
                </c:pt>
                <c:pt idx="89">
                  <c:v>155.749</c:v>
                </c:pt>
                <c:pt idx="90">
                  <c:v>155.79499999999999</c:v>
                </c:pt>
                <c:pt idx="91">
                  <c:v>155.791</c:v>
                </c:pt>
                <c:pt idx="92">
                  <c:v>155.82900000000001</c:v>
                </c:pt>
                <c:pt idx="93">
                  <c:v>155.83500000000001</c:v>
                </c:pt>
                <c:pt idx="94">
                  <c:v>155.82900000000001</c:v>
                </c:pt>
                <c:pt idx="95">
                  <c:v>155.83699999999999</c:v>
                </c:pt>
                <c:pt idx="96">
                  <c:v>155.80500000000001</c:v>
                </c:pt>
                <c:pt idx="97">
                  <c:v>155.86799999999999</c:v>
                </c:pt>
                <c:pt idx="98">
                  <c:v>155.833</c:v>
                </c:pt>
                <c:pt idx="99">
                  <c:v>155.82</c:v>
                </c:pt>
                <c:pt idx="100">
                  <c:v>155.77199999999999</c:v>
                </c:pt>
                <c:pt idx="101">
                  <c:v>155.78700000000001</c:v>
                </c:pt>
                <c:pt idx="102">
                  <c:v>156.006</c:v>
                </c:pt>
                <c:pt idx="103">
                  <c:v>155.95099999999999</c:v>
                </c:pt>
                <c:pt idx="104">
                  <c:v>156.01300000000001</c:v>
                </c:pt>
                <c:pt idx="105">
                  <c:v>155.96199999999999</c:v>
                </c:pt>
                <c:pt idx="106">
                  <c:v>155.93</c:v>
                </c:pt>
                <c:pt idx="107">
                  <c:v>155.94300000000001</c:v>
                </c:pt>
                <c:pt idx="108">
                  <c:v>155.91999999999999</c:v>
                </c:pt>
                <c:pt idx="109">
                  <c:v>155.91499999999999</c:v>
                </c:pt>
                <c:pt idx="110">
                  <c:v>155.923</c:v>
                </c:pt>
                <c:pt idx="111">
                  <c:v>155.92599999999999</c:v>
                </c:pt>
                <c:pt idx="112">
                  <c:v>155.96799999999999</c:v>
                </c:pt>
                <c:pt idx="113">
                  <c:v>156.00299999999999</c:v>
                </c:pt>
                <c:pt idx="114">
                  <c:v>155.98400000000001</c:v>
                </c:pt>
                <c:pt idx="115">
                  <c:v>155.982</c:v>
                </c:pt>
                <c:pt idx="116">
                  <c:v>155.923</c:v>
                </c:pt>
                <c:pt idx="117">
                  <c:v>155.94999999999999</c:v>
                </c:pt>
                <c:pt idx="118">
                  <c:v>155.92400000000001</c:v>
                </c:pt>
                <c:pt idx="119">
                  <c:v>155.95099999999999</c:v>
                </c:pt>
                <c:pt idx="120">
                  <c:v>155.92500000000001</c:v>
                </c:pt>
                <c:pt idx="121">
                  <c:v>155.90600000000001</c:v>
                </c:pt>
                <c:pt idx="122">
                  <c:v>156.071</c:v>
                </c:pt>
                <c:pt idx="123">
                  <c:v>156.05000000000001</c:v>
                </c:pt>
                <c:pt idx="124">
                  <c:v>155.994</c:v>
                </c:pt>
                <c:pt idx="125">
                  <c:v>156.005</c:v>
                </c:pt>
                <c:pt idx="126">
                  <c:v>155.95699999999999</c:v>
                </c:pt>
                <c:pt idx="127">
                  <c:v>156.035</c:v>
                </c:pt>
                <c:pt idx="128">
                  <c:v>155.792</c:v>
                </c:pt>
                <c:pt idx="129">
                  <c:v>155.80199999999999</c:v>
                </c:pt>
                <c:pt idx="130">
                  <c:v>155.816</c:v>
                </c:pt>
                <c:pt idx="131">
                  <c:v>155.90700000000001</c:v>
                </c:pt>
                <c:pt idx="132">
                  <c:v>155.90899999999999</c:v>
                </c:pt>
                <c:pt idx="133">
                  <c:v>155.76300000000001</c:v>
                </c:pt>
                <c:pt idx="134">
                  <c:v>155.852</c:v>
                </c:pt>
                <c:pt idx="135">
                  <c:v>155.82300000000001</c:v>
                </c:pt>
                <c:pt idx="136">
                  <c:v>155.88</c:v>
                </c:pt>
                <c:pt idx="137">
                  <c:v>155.84399999999999</c:v>
                </c:pt>
                <c:pt idx="138">
                  <c:v>155.87200000000001</c:v>
                </c:pt>
                <c:pt idx="139">
                  <c:v>155.83099999999999</c:v>
                </c:pt>
                <c:pt idx="140">
                  <c:v>155.84299999999999</c:v>
                </c:pt>
                <c:pt idx="141">
                  <c:v>155.84299999999999</c:v>
                </c:pt>
                <c:pt idx="142">
                  <c:v>155.89400000000001</c:v>
                </c:pt>
                <c:pt idx="143">
                  <c:v>155.911</c:v>
                </c:pt>
                <c:pt idx="144">
                  <c:v>155.953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F3-44FB-8866-0A889BDCB39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('AMP3-2'!$L$4,'AMP3-2'!$L$4)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F3-44FB-8866-0A889BDCB39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('AMP3-2'!$L$5,'AMP3-2'!$L$5)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F3-44FB-8866-0A889BDC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3904"/>
        <c:axId val="435244296"/>
      </c:scatterChart>
      <c:valAx>
        <c:axId val="43524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4296"/>
        <c:crosses val="autoZero"/>
        <c:crossBetween val="midCat"/>
      </c:valAx>
      <c:valAx>
        <c:axId val="435244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'AMP3-2'!$M$8</c:f>
              <c:strCache>
                <c:ptCount val="1"/>
                <c:pt idx="0">
                  <c:v>Dim 4_2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'AMP3-2'!$M$9:$M$153</c:f>
              <c:numCache>
                <c:formatCode>General</c:formatCode>
                <c:ptCount val="145"/>
                <c:pt idx="0">
                  <c:v>155.68199999999999</c:v>
                </c:pt>
                <c:pt idx="1">
                  <c:v>155.66499999999999</c:v>
                </c:pt>
                <c:pt idx="2">
                  <c:v>155.34800000000001</c:v>
                </c:pt>
                <c:pt idx="3">
                  <c:v>155.40899999999999</c:v>
                </c:pt>
                <c:pt idx="4">
                  <c:v>155.351</c:v>
                </c:pt>
                <c:pt idx="5">
                  <c:v>155.53299999999999</c:v>
                </c:pt>
                <c:pt idx="6">
                  <c:v>155.43100000000001</c:v>
                </c:pt>
                <c:pt idx="7">
                  <c:v>155.53800000000001</c:v>
                </c:pt>
                <c:pt idx="8">
                  <c:v>155.483</c:v>
                </c:pt>
                <c:pt idx="9">
                  <c:v>155.49</c:v>
                </c:pt>
                <c:pt idx="10">
                  <c:v>155.34299999999999</c:v>
                </c:pt>
                <c:pt idx="11">
                  <c:v>155.53899999999999</c:v>
                </c:pt>
                <c:pt idx="12">
                  <c:v>155.33699999999999</c:v>
                </c:pt>
                <c:pt idx="13">
                  <c:v>155.214</c:v>
                </c:pt>
                <c:pt idx="14">
                  <c:v>155.43899999999999</c:v>
                </c:pt>
                <c:pt idx="15">
                  <c:v>155.339</c:v>
                </c:pt>
                <c:pt idx="16">
                  <c:v>155.41200000000001</c:v>
                </c:pt>
                <c:pt idx="17">
                  <c:v>155.358</c:v>
                </c:pt>
                <c:pt idx="18">
                  <c:v>155.46100000000001</c:v>
                </c:pt>
                <c:pt idx="19">
                  <c:v>155.43899999999999</c:v>
                </c:pt>
                <c:pt idx="20">
                  <c:v>155.46899999999999</c:v>
                </c:pt>
                <c:pt idx="21">
                  <c:v>155.405</c:v>
                </c:pt>
                <c:pt idx="22">
                  <c:v>155.50700000000001</c:v>
                </c:pt>
                <c:pt idx="23">
                  <c:v>155.41</c:v>
                </c:pt>
                <c:pt idx="24">
                  <c:v>155.501</c:v>
                </c:pt>
                <c:pt idx="25">
                  <c:v>155.44200000000001</c:v>
                </c:pt>
                <c:pt idx="26">
                  <c:v>155.50299999999999</c:v>
                </c:pt>
                <c:pt idx="27">
                  <c:v>155.50299999999999</c:v>
                </c:pt>
                <c:pt idx="28">
                  <c:v>155.506</c:v>
                </c:pt>
                <c:pt idx="29">
                  <c:v>155.505</c:v>
                </c:pt>
                <c:pt idx="30">
                  <c:v>155.51900000000001</c:v>
                </c:pt>
                <c:pt idx="31">
                  <c:v>155.495</c:v>
                </c:pt>
                <c:pt idx="32">
                  <c:v>155.56</c:v>
                </c:pt>
                <c:pt idx="33">
                  <c:v>155.483</c:v>
                </c:pt>
                <c:pt idx="34">
                  <c:v>155.57900000000001</c:v>
                </c:pt>
                <c:pt idx="35">
                  <c:v>155.524</c:v>
                </c:pt>
                <c:pt idx="36">
                  <c:v>155.547</c:v>
                </c:pt>
                <c:pt idx="37">
                  <c:v>155.499</c:v>
                </c:pt>
                <c:pt idx="38">
                  <c:v>155.52500000000001</c:v>
                </c:pt>
                <c:pt idx="39">
                  <c:v>155.45500000000001</c:v>
                </c:pt>
                <c:pt idx="40">
                  <c:v>155.63300000000001</c:v>
                </c:pt>
                <c:pt idx="41">
                  <c:v>155.58799999999999</c:v>
                </c:pt>
                <c:pt idx="42">
                  <c:v>155.58000000000001</c:v>
                </c:pt>
                <c:pt idx="43">
                  <c:v>155.51900000000001</c:v>
                </c:pt>
                <c:pt idx="44">
                  <c:v>155.54</c:v>
                </c:pt>
                <c:pt idx="45">
                  <c:v>155.55099999999999</c:v>
                </c:pt>
                <c:pt idx="46">
                  <c:v>155.577</c:v>
                </c:pt>
                <c:pt idx="47">
                  <c:v>155.56800000000001</c:v>
                </c:pt>
                <c:pt idx="48">
                  <c:v>155.63200000000001</c:v>
                </c:pt>
                <c:pt idx="49">
                  <c:v>155.63300000000001</c:v>
                </c:pt>
                <c:pt idx="50">
                  <c:v>155.601</c:v>
                </c:pt>
                <c:pt idx="51">
                  <c:v>155.678</c:v>
                </c:pt>
                <c:pt idx="52">
                  <c:v>155.625</c:v>
                </c:pt>
                <c:pt idx="53">
                  <c:v>155.68899999999999</c:v>
                </c:pt>
                <c:pt idx="54">
                  <c:v>155.69200000000001</c:v>
                </c:pt>
                <c:pt idx="55">
                  <c:v>155.69499999999999</c:v>
                </c:pt>
                <c:pt idx="56">
                  <c:v>155.65899999999999</c:v>
                </c:pt>
                <c:pt idx="57">
                  <c:v>155.72300000000001</c:v>
                </c:pt>
                <c:pt idx="58">
                  <c:v>155.67400000000001</c:v>
                </c:pt>
                <c:pt idx="59">
                  <c:v>155.696</c:v>
                </c:pt>
                <c:pt idx="60">
                  <c:v>155.684</c:v>
                </c:pt>
                <c:pt idx="61">
                  <c:v>155.64099999999999</c:v>
                </c:pt>
                <c:pt idx="62">
                  <c:v>155.733</c:v>
                </c:pt>
                <c:pt idx="63">
                  <c:v>155.708</c:v>
                </c:pt>
                <c:pt idx="64">
                  <c:v>155.67699999999999</c:v>
                </c:pt>
                <c:pt idx="65">
                  <c:v>155.768</c:v>
                </c:pt>
                <c:pt idx="66">
                  <c:v>155.65899999999999</c:v>
                </c:pt>
                <c:pt idx="67">
                  <c:v>155.68799999999999</c:v>
                </c:pt>
                <c:pt idx="68">
                  <c:v>155.71700000000001</c:v>
                </c:pt>
                <c:pt idx="69">
                  <c:v>155.744</c:v>
                </c:pt>
                <c:pt idx="70">
                  <c:v>155.65799999999999</c:v>
                </c:pt>
                <c:pt idx="71">
                  <c:v>155.69800000000001</c:v>
                </c:pt>
                <c:pt idx="72">
                  <c:v>155.642</c:v>
                </c:pt>
                <c:pt idx="73">
                  <c:v>155.625</c:v>
                </c:pt>
                <c:pt idx="74">
                  <c:v>155.71</c:v>
                </c:pt>
                <c:pt idx="75">
                  <c:v>155.685</c:v>
                </c:pt>
                <c:pt idx="76">
                  <c:v>155.749</c:v>
                </c:pt>
                <c:pt idx="77">
                  <c:v>155.80099999999999</c:v>
                </c:pt>
                <c:pt idx="78">
                  <c:v>155.715</c:v>
                </c:pt>
                <c:pt idx="79">
                  <c:v>155.768</c:v>
                </c:pt>
                <c:pt idx="80">
                  <c:v>155.77500000000001</c:v>
                </c:pt>
                <c:pt idx="81">
                  <c:v>155.73699999999999</c:v>
                </c:pt>
                <c:pt idx="82">
                  <c:v>155.76</c:v>
                </c:pt>
                <c:pt idx="83">
                  <c:v>155.70400000000001</c:v>
                </c:pt>
                <c:pt idx="84">
                  <c:v>155.548</c:v>
                </c:pt>
                <c:pt idx="85">
                  <c:v>155.601</c:v>
                </c:pt>
                <c:pt idx="86">
                  <c:v>155.58099999999999</c:v>
                </c:pt>
                <c:pt idx="87">
                  <c:v>155.602</c:v>
                </c:pt>
                <c:pt idx="88">
                  <c:v>155.577</c:v>
                </c:pt>
                <c:pt idx="89">
                  <c:v>155.572</c:v>
                </c:pt>
                <c:pt idx="90">
                  <c:v>155.608</c:v>
                </c:pt>
                <c:pt idx="91">
                  <c:v>155.61199999999999</c:v>
                </c:pt>
                <c:pt idx="92">
                  <c:v>155.74100000000001</c:v>
                </c:pt>
                <c:pt idx="93">
                  <c:v>155.62700000000001</c:v>
                </c:pt>
                <c:pt idx="94">
                  <c:v>155.63800000000001</c:v>
                </c:pt>
                <c:pt idx="95">
                  <c:v>155.661</c:v>
                </c:pt>
                <c:pt idx="96">
                  <c:v>155.595</c:v>
                </c:pt>
                <c:pt idx="97">
                  <c:v>155.69</c:v>
                </c:pt>
                <c:pt idx="98">
                  <c:v>155.61799999999999</c:v>
                </c:pt>
                <c:pt idx="99">
                  <c:v>155.697</c:v>
                </c:pt>
                <c:pt idx="100">
                  <c:v>155.59299999999999</c:v>
                </c:pt>
                <c:pt idx="101">
                  <c:v>155.57499999999999</c:v>
                </c:pt>
                <c:pt idx="102">
                  <c:v>155.76599999999999</c:v>
                </c:pt>
                <c:pt idx="103">
                  <c:v>155.779</c:v>
                </c:pt>
                <c:pt idx="104">
                  <c:v>155.83799999999999</c:v>
                </c:pt>
                <c:pt idx="105">
                  <c:v>155.81299999999999</c:v>
                </c:pt>
                <c:pt idx="106">
                  <c:v>155.77699999999999</c:v>
                </c:pt>
                <c:pt idx="107">
                  <c:v>155.779</c:v>
                </c:pt>
                <c:pt idx="108">
                  <c:v>155.69800000000001</c:v>
                </c:pt>
                <c:pt idx="109">
                  <c:v>155.74799999999999</c:v>
                </c:pt>
                <c:pt idx="110">
                  <c:v>155.74600000000001</c:v>
                </c:pt>
                <c:pt idx="111">
                  <c:v>155.755</c:v>
                </c:pt>
                <c:pt idx="112">
                  <c:v>155.74700000000001</c:v>
                </c:pt>
                <c:pt idx="113">
                  <c:v>155.81299999999999</c:v>
                </c:pt>
                <c:pt idx="114">
                  <c:v>155.78299999999999</c:v>
                </c:pt>
                <c:pt idx="115">
                  <c:v>155.779</c:v>
                </c:pt>
                <c:pt idx="116">
                  <c:v>155.73400000000001</c:v>
                </c:pt>
                <c:pt idx="117">
                  <c:v>155.83699999999999</c:v>
                </c:pt>
                <c:pt idx="118">
                  <c:v>155.73400000000001</c:v>
                </c:pt>
                <c:pt idx="119">
                  <c:v>155.768</c:v>
                </c:pt>
                <c:pt idx="120">
                  <c:v>155.75299999999999</c:v>
                </c:pt>
                <c:pt idx="121">
                  <c:v>155.72399999999999</c:v>
                </c:pt>
                <c:pt idx="122">
                  <c:v>155.84700000000001</c:v>
                </c:pt>
                <c:pt idx="123">
                  <c:v>155.85599999999999</c:v>
                </c:pt>
                <c:pt idx="124">
                  <c:v>155.80699999999999</c:v>
                </c:pt>
                <c:pt idx="125">
                  <c:v>155.761</c:v>
                </c:pt>
                <c:pt idx="126">
                  <c:v>155.768</c:v>
                </c:pt>
                <c:pt idx="127">
                  <c:v>155.84700000000001</c:v>
                </c:pt>
                <c:pt idx="128">
                  <c:v>155.56700000000001</c:v>
                </c:pt>
                <c:pt idx="129">
                  <c:v>155.62</c:v>
                </c:pt>
                <c:pt idx="130">
                  <c:v>155.583</c:v>
                </c:pt>
                <c:pt idx="131">
                  <c:v>155.76300000000001</c:v>
                </c:pt>
                <c:pt idx="132">
                  <c:v>155.767</c:v>
                </c:pt>
                <c:pt idx="133">
                  <c:v>155.55600000000001</c:v>
                </c:pt>
                <c:pt idx="134">
                  <c:v>155.631</c:v>
                </c:pt>
                <c:pt idx="135">
                  <c:v>155.584</c:v>
                </c:pt>
                <c:pt idx="136">
                  <c:v>155.773</c:v>
                </c:pt>
                <c:pt idx="137">
                  <c:v>155.57499999999999</c:v>
                </c:pt>
                <c:pt idx="138">
                  <c:v>155.69999999999999</c:v>
                </c:pt>
                <c:pt idx="139">
                  <c:v>155.60599999999999</c:v>
                </c:pt>
                <c:pt idx="140">
                  <c:v>155.69399999999999</c:v>
                </c:pt>
                <c:pt idx="141">
                  <c:v>155.64699999999999</c:v>
                </c:pt>
                <c:pt idx="142">
                  <c:v>155.738</c:v>
                </c:pt>
                <c:pt idx="143">
                  <c:v>155.71199999999999</c:v>
                </c:pt>
                <c:pt idx="144">
                  <c:v>155.81399999999999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D-4692-9A96-D68C4B92AB5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('AMP3-2'!$M$4,'AMP3-2'!$M$4)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D-4692-9A96-D68C4B92AB5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('AMP3-2'!$M$5,'AMP3-2'!$M$5)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D-4692-9A96-D68C4B92A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5080"/>
        <c:axId val="435245472"/>
      </c:scatterChart>
      <c:valAx>
        <c:axId val="435245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5472"/>
        <c:crosses val="autoZero"/>
        <c:crossBetween val="midCat"/>
      </c:valAx>
      <c:valAx>
        <c:axId val="4352454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5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'AMP3-2'!$N$8</c:f>
              <c:strCache>
                <c:ptCount val="1"/>
                <c:pt idx="0">
                  <c:v>Dim 5_1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'AMP3-2'!$N$9:$N$153</c:f>
              <c:numCache>
                <c:formatCode>General</c:formatCode>
                <c:ptCount val="145"/>
                <c:pt idx="0">
                  <c:v>27.280999999999999</c:v>
                </c:pt>
                <c:pt idx="1">
                  <c:v>27.318999999999999</c:v>
                </c:pt>
                <c:pt idx="2">
                  <c:v>27.58</c:v>
                </c:pt>
                <c:pt idx="3">
                  <c:v>27.614000000000001</c:v>
                </c:pt>
                <c:pt idx="4">
                  <c:v>27.611000000000001</c:v>
                </c:pt>
                <c:pt idx="5">
                  <c:v>27.518999999999998</c:v>
                </c:pt>
                <c:pt idx="6">
                  <c:v>27.492999999999999</c:v>
                </c:pt>
                <c:pt idx="7">
                  <c:v>27.52</c:v>
                </c:pt>
                <c:pt idx="8">
                  <c:v>27.509</c:v>
                </c:pt>
                <c:pt idx="9">
                  <c:v>27.504000000000001</c:v>
                </c:pt>
                <c:pt idx="10">
                  <c:v>27.510999999999999</c:v>
                </c:pt>
                <c:pt idx="11">
                  <c:v>27.532</c:v>
                </c:pt>
                <c:pt idx="12">
                  <c:v>27.603999999999999</c:v>
                </c:pt>
                <c:pt idx="13">
                  <c:v>27.782</c:v>
                </c:pt>
                <c:pt idx="14">
                  <c:v>27.550999999999998</c:v>
                </c:pt>
                <c:pt idx="15">
                  <c:v>27.651</c:v>
                </c:pt>
                <c:pt idx="16">
                  <c:v>27.56</c:v>
                </c:pt>
                <c:pt idx="17">
                  <c:v>27.672000000000001</c:v>
                </c:pt>
                <c:pt idx="18">
                  <c:v>27.466000000000001</c:v>
                </c:pt>
                <c:pt idx="19">
                  <c:v>27.577000000000002</c:v>
                </c:pt>
                <c:pt idx="20">
                  <c:v>27.489000000000001</c:v>
                </c:pt>
                <c:pt idx="21">
                  <c:v>27.594999999999999</c:v>
                </c:pt>
                <c:pt idx="22">
                  <c:v>27.446999999999999</c:v>
                </c:pt>
                <c:pt idx="23">
                  <c:v>27.585999999999999</c:v>
                </c:pt>
                <c:pt idx="24">
                  <c:v>27.501000000000001</c:v>
                </c:pt>
                <c:pt idx="25">
                  <c:v>27.582999999999998</c:v>
                </c:pt>
                <c:pt idx="26">
                  <c:v>27.437999999999999</c:v>
                </c:pt>
                <c:pt idx="27">
                  <c:v>27.536999999999999</c:v>
                </c:pt>
                <c:pt idx="28">
                  <c:v>27.436</c:v>
                </c:pt>
                <c:pt idx="29">
                  <c:v>27.518000000000001</c:v>
                </c:pt>
                <c:pt idx="30">
                  <c:v>27.414000000000001</c:v>
                </c:pt>
                <c:pt idx="31">
                  <c:v>27.533000000000001</c:v>
                </c:pt>
                <c:pt idx="32">
                  <c:v>27.373999999999999</c:v>
                </c:pt>
                <c:pt idx="33">
                  <c:v>27.548999999999999</c:v>
                </c:pt>
                <c:pt idx="34">
                  <c:v>27.352</c:v>
                </c:pt>
                <c:pt idx="35">
                  <c:v>27.504999999999999</c:v>
                </c:pt>
                <c:pt idx="36">
                  <c:v>27.414999999999999</c:v>
                </c:pt>
                <c:pt idx="37">
                  <c:v>27.533999999999999</c:v>
                </c:pt>
                <c:pt idx="38">
                  <c:v>27.433</c:v>
                </c:pt>
                <c:pt idx="39">
                  <c:v>27.567</c:v>
                </c:pt>
                <c:pt idx="40">
                  <c:v>27.263999999999999</c:v>
                </c:pt>
                <c:pt idx="41">
                  <c:v>27.456</c:v>
                </c:pt>
                <c:pt idx="42">
                  <c:v>27.463999999999999</c:v>
                </c:pt>
                <c:pt idx="43">
                  <c:v>27.492000000000001</c:v>
                </c:pt>
                <c:pt idx="44">
                  <c:v>27.48</c:v>
                </c:pt>
                <c:pt idx="45">
                  <c:v>27.52</c:v>
                </c:pt>
                <c:pt idx="46">
                  <c:v>27.459</c:v>
                </c:pt>
                <c:pt idx="47">
                  <c:v>27.495000000000001</c:v>
                </c:pt>
                <c:pt idx="48">
                  <c:v>27.388999999999999</c:v>
                </c:pt>
                <c:pt idx="49">
                  <c:v>27.433</c:v>
                </c:pt>
                <c:pt idx="50">
                  <c:v>27.370999999999999</c:v>
                </c:pt>
                <c:pt idx="51">
                  <c:v>27.437000000000001</c:v>
                </c:pt>
                <c:pt idx="52">
                  <c:v>27.35</c:v>
                </c:pt>
                <c:pt idx="53">
                  <c:v>27.407</c:v>
                </c:pt>
                <c:pt idx="54">
                  <c:v>27.309000000000001</c:v>
                </c:pt>
                <c:pt idx="55">
                  <c:v>27.382000000000001</c:v>
                </c:pt>
                <c:pt idx="56">
                  <c:v>27.314</c:v>
                </c:pt>
                <c:pt idx="57">
                  <c:v>27.353999999999999</c:v>
                </c:pt>
                <c:pt idx="58">
                  <c:v>27.300999999999998</c:v>
                </c:pt>
                <c:pt idx="59">
                  <c:v>27.372</c:v>
                </c:pt>
                <c:pt idx="60">
                  <c:v>27.324999999999999</c:v>
                </c:pt>
                <c:pt idx="61">
                  <c:v>27.363</c:v>
                </c:pt>
                <c:pt idx="62">
                  <c:v>27.251999999999999</c:v>
                </c:pt>
                <c:pt idx="63">
                  <c:v>27.385999999999999</c:v>
                </c:pt>
                <c:pt idx="64">
                  <c:v>27.288</c:v>
                </c:pt>
                <c:pt idx="65">
                  <c:v>27.341999999999999</c:v>
                </c:pt>
                <c:pt idx="66">
                  <c:v>27.335999999999999</c:v>
                </c:pt>
                <c:pt idx="67">
                  <c:v>27.344000000000001</c:v>
                </c:pt>
                <c:pt idx="68">
                  <c:v>27.280999999999999</c:v>
                </c:pt>
                <c:pt idx="69">
                  <c:v>27.353000000000002</c:v>
                </c:pt>
                <c:pt idx="70">
                  <c:v>27.388000000000002</c:v>
                </c:pt>
                <c:pt idx="71">
                  <c:v>27.405000000000001</c:v>
                </c:pt>
                <c:pt idx="72">
                  <c:v>27.318000000000001</c:v>
                </c:pt>
                <c:pt idx="73">
                  <c:v>27.443999999999999</c:v>
                </c:pt>
                <c:pt idx="74">
                  <c:v>27.33</c:v>
                </c:pt>
                <c:pt idx="75">
                  <c:v>27.379000000000001</c:v>
                </c:pt>
                <c:pt idx="76">
                  <c:v>27.245000000000001</c:v>
                </c:pt>
                <c:pt idx="77">
                  <c:v>27.34</c:v>
                </c:pt>
                <c:pt idx="78">
                  <c:v>27.271999999999998</c:v>
                </c:pt>
                <c:pt idx="79">
                  <c:v>27.343</c:v>
                </c:pt>
                <c:pt idx="80">
                  <c:v>27.265999999999998</c:v>
                </c:pt>
                <c:pt idx="81">
                  <c:v>27.327999999999999</c:v>
                </c:pt>
                <c:pt idx="82">
                  <c:v>27.283999999999999</c:v>
                </c:pt>
                <c:pt idx="83">
                  <c:v>27.366</c:v>
                </c:pt>
                <c:pt idx="84">
                  <c:v>27.466000000000001</c:v>
                </c:pt>
                <c:pt idx="85">
                  <c:v>27.486000000000001</c:v>
                </c:pt>
                <c:pt idx="86">
                  <c:v>27.459</c:v>
                </c:pt>
                <c:pt idx="87">
                  <c:v>27.420999999999999</c:v>
                </c:pt>
                <c:pt idx="88">
                  <c:v>27.478000000000002</c:v>
                </c:pt>
                <c:pt idx="89">
                  <c:v>27.472999999999999</c:v>
                </c:pt>
                <c:pt idx="90">
                  <c:v>27.42</c:v>
                </c:pt>
                <c:pt idx="91">
                  <c:v>27.431999999999999</c:v>
                </c:pt>
                <c:pt idx="92">
                  <c:v>27.358000000000001</c:v>
                </c:pt>
                <c:pt idx="93">
                  <c:v>27.434000000000001</c:v>
                </c:pt>
                <c:pt idx="94">
                  <c:v>27.353000000000002</c:v>
                </c:pt>
                <c:pt idx="95">
                  <c:v>27.404</c:v>
                </c:pt>
                <c:pt idx="96">
                  <c:v>27.408000000000001</c:v>
                </c:pt>
                <c:pt idx="97">
                  <c:v>27.381</c:v>
                </c:pt>
                <c:pt idx="98">
                  <c:v>27.402000000000001</c:v>
                </c:pt>
                <c:pt idx="99">
                  <c:v>27.407</c:v>
                </c:pt>
                <c:pt idx="100">
                  <c:v>27.451000000000001</c:v>
                </c:pt>
                <c:pt idx="101">
                  <c:v>27.457000000000001</c:v>
                </c:pt>
                <c:pt idx="102">
                  <c:v>27.196999999999999</c:v>
                </c:pt>
                <c:pt idx="103">
                  <c:v>27.308</c:v>
                </c:pt>
                <c:pt idx="104">
                  <c:v>27.23</c:v>
                </c:pt>
                <c:pt idx="105">
                  <c:v>27.260999999999999</c:v>
                </c:pt>
                <c:pt idx="106">
                  <c:v>27.283000000000001</c:v>
                </c:pt>
                <c:pt idx="107">
                  <c:v>27.314</c:v>
                </c:pt>
                <c:pt idx="108">
                  <c:v>27.294</c:v>
                </c:pt>
                <c:pt idx="109">
                  <c:v>27.303000000000001</c:v>
                </c:pt>
                <c:pt idx="110">
                  <c:v>27.332000000000001</c:v>
                </c:pt>
                <c:pt idx="111">
                  <c:v>27.311</c:v>
                </c:pt>
                <c:pt idx="112">
                  <c:v>27.248999999999999</c:v>
                </c:pt>
                <c:pt idx="113">
                  <c:v>27.257000000000001</c:v>
                </c:pt>
                <c:pt idx="114">
                  <c:v>27.262</c:v>
                </c:pt>
                <c:pt idx="115">
                  <c:v>27.262</c:v>
                </c:pt>
                <c:pt idx="116">
                  <c:v>27.292999999999999</c:v>
                </c:pt>
                <c:pt idx="117">
                  <c:v>27.300999999999998</c:v>
                </c:pt>
                <c:pt idx="118">
                  <c:v>27.263999999999999</c:v>
                </c:pt>
                <c:pt idx="119">
                  <c:v>27.323</c:v>
                </c:pt>
                <c:pt idx="120">
                  <c:v>27.271999999999998</c:v>
                </c:pt>
                <c:pt idx="121">
                  <c:v>27.366</c:v>
                </c:pt>
                <c:pt idx="122">
                  <c:v>27.129000000000001</c:v>
                </c:pt>
                <c:pt idx="123">
                  <c:v>27.213000000000001</c:v>
                </c:pt>
                <c:pt idx="124">
                  <c:v>27.193999999999999</c:v>
                </c:pt>
                <c:pt idx="125">
                  <c:v>27.271000000000001</c:v>
                </c:pt>
                <c:pt idx="126">
                  <c:v>27.233000000000001</c:v>
                </c:pt>
                <c:pt idx="127">
                  <c:v>27.248999999999999</c:v>
                </c:pt>
                <c:pt idx="128">
                  <c:v>27.439</c:v>
                </c:pt>
                <c:pt idx="129">
                  <c:v>27.443000000000001</c:v>
                </c:pt>
                <c:pt idx="130">
                  <c:v>27.423999999999999</c:v>
                </c:pt>
                <c:pt idx="131">
                  <c:v>27.338000000000001</c:v>
                </c:pt>
                <c:pt idx="132">
                  <c:v>27.335999999999999</c:v>
                </c:pt>
                <c:pt idx="133">
                  <c:v>27.433</c:v>
                </c:pt>
                <c:pt idx="134">
                  <c:v>27.402000000000001</c:v>
                </c:pt>
                <c:pt idx="135">
                  <c:v>27.352</c:v>
                </c:pt>
                <c:pt idx="136">
                  <c:v>27.38</c:v>
                </c:pt>
                <c:pt idx="137">
                  <c:v>27.387</c:v>
                </c:pt>
                <c:pt idx="138">
                  <c:v>27.356999999999999</c:v>
                </c:pt>
                <c:pt idx="139">
                  <c:v>27.387</c:v>
                </c:pt>
                <c:pt idx="140">
                  <c:v>27.379000000000001</c:v>
                </c:pt>
                <c:pt idx="141">
                  <c:v>27.370999999999999</c:v>
                </c:pt>
                <c:pt idx="142">
                  <c:v>27.315999999999999</c:v>
                </c:pt>
                <c:pt idx="143">
                  <c:v>27.3</c:v>
                </c:pt>
                <c:pt idx="144">
                  <c:v>27.282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0-45E2-B77C-1FE6F0D5BC8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('AMP3-2'!$N$4,'AMP3-2'!$N$4)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50-45E2-B77C-1FE6F0D5BC8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('AMP3-2'!$N$5,'AMP3-2'!$N$5)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50-45E2-B77C-1FE6F0D5B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6256"/>
        <c:axId val="435246648"/>
      </c:scatterChart>
      <c:valAx>
        <c:axId val="43524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6648"/>
        <c:crosses val="autoZero"/>
        <c:crossBetween val="midCat"/>
      </c:valAx>
      <c:valAx>
        <c:axId val="435246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'AMP3-2'!$O$8</c:f>
              <c:strCache>
                <c:ptCount val="1"/>
                <c:pt idx="0">
                  <c:v>Dim 5_2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'AMP3-2'!$O$9:$O$153</c:f>
              <c:numCache>
                <c:formatCode>General</c:formatCode>
                <c:ptCount val="145"/>
                <c:pt idx="0">
                  <c:v>27.399000000000001</c:v>
                </c:pt>
                <c:pt idx="1">
                  <c:v>27.611000000000001</c:v>
                </c:pt>
                <c:pt idx="2">
                  <c:v>27.686</c:v>
                </c:pt>
                <c:pt idx="3">
                  <c:v>27.765000000000001</c:v>
                </c:pt>
                <c:pt idx="4">
                  <c:v>27.699000000000002</c:v>
                </c:pt>
                <c:pt idx="5">
                  <c:v>27.655000000000001</c:v>
                </c:pt>
                <c:pt idx="6">
                  <c:v>27.593</c:v>
                </c:pt>
                <c:pt idx="7">
                  <c:v>27.677</c:v>
                </c:pt>
                <c:pt idx="8">
                  <c:v>27.626000000000001</c:v>
                </c:pt>
                <c:pt idx="9">
                  <c:v>27.66</c:v>
                </c:pt>
                <c:pt idx="10">
                  <c:v>27.677</c:v>
                </c:pt>
                <c:pt idx="11">
                  <c:v>27.673999999999999</c:v>
                </c:pt>
                <c:pt idx="12">
                  <c:v>27.690999999999999</c:v>
                </c:pt>
                <c:pt idx="13">
                  <c:v>27.954000000000001</c:v>
                </c:pt>
                <c:pt idx="14">
                  <c:v>27.594000000000001</c:v>
                </c:pt>
                <c:pt idx="15">
                  <c:v>27.83</c:v>
                </c:pt>
                <c:pt idx="16">
                  <c:v>27.628</c:v>
                </c:pt>
                <c:pt idx="17">
                  <c:v>27.818000000000001</c:v>
                </c:pt>
                <c:pt idx="18">
                  <c:v>27.561</c:v>
                </c:pt>
                <c:pt idx="19">
                  <c:v>27.757000000000001</c:v>
                </c:pt>
                <c:pt idx="20">
                  <c:v>27.571999999999999</c:v>
                </c:pt>
                <c:pt idx="21">
                  <c:v>27.771999999999998</c:v>
                </c:pt>
                <c:pt idx="22">
                  <c:v>27.521999999999998</c:v>
                </c:pt>
                <c:pt idx="23">
                  <c:v>27.782</c:v>
                </c:pt>
                <c:pt idx="24">
                  <c:v>27.561</c:v>
                </c:pt>
                <c:pt idx="25">
                  <c:v>27.754999999999999</c:v>
                </c:pt>
                <c:pt idx="26">
                  <c:v>27.529</c:v>
                </c:pt>
                <c:pt idx="27">
                  <c:v>27.734999999999999</c:v>
                </c:pt>
                <c:pt idx="28">
                  <c:v>27.533000000000001</c:v>
                </c:pt>
                <c:pt idx="29">
                  <c:v>27.707000000000001</c:v>
                </c:pt>
                <c:pt idx="30">
                  <c:v>27.515000000000001</c:v>
                </c:pt>
                <c:pt idx="31">
                  <c:v>27.716000000000001</c:v>
                </c:pt>
                <c:pt idx="32">
                  <c:v>27.466999999999999</c:v>
                </c:pt>
                <c:pt idx="33">
                  <c:v>27.733000000000001</c:v>
                </c:pt>
                <c:pt idx="34">
                  <c:v>27.466999999999999</c:v>
                </c:pt>
                <c:pt idx="35">
                  <c:v>27.696000000000002</c:v>
                </c:pt>
                <c:pt idx="36">
                  <c:v>27.51</c:v>
                </c:pt>
                <c:pt idx="37">
                  <c:v>27.739000000000001</c:v>
                </c:pt>
                <c:pt idx="38">
                  <c:v>27.51</c:v>
                </c:pt>
                <c:pt idx="39">
                  <c:v>27.760999999999999</c:v>
                </c:pt>
                <c:pt idx="40">
                  <c:v>27.36</c:v>
                </c:pt>
                <c:pt idx="41">
                  <c:v>27.652999999999999</c:v>
                </c:pt>
                <c:pt idx="42">
                  <c:v>27.603999999999999</c:v>
                </c:pt>
                <c:pt idx="43">
                  <c:v>27.754000000000001</c:v>
                </c:pt>
                <c:pt idx="44">
                  <c:v>27.591999999999999</c:v>
                </c:pt>
                <c:pt idx="45">
                  <c:v>27.731999999999999</c:v>
                </c:pt>
                <c:pt idx="46">
                  <c:v>27.552</c:v>
                </c:pt>
                <c:pt idx="47">
                  <c:v>27.698</c:v>
                </c:pt>
                <c:pt idx="48">
                  <c:v>27.486999999999998</c:v>
                </c:pt>
                <c:pt idx="49">
                  <c:v>27.640999999999998</c:v>
                </c:pt>
                <c:pt idx="50">
                  <c:v>27.48</c:v>
                </c:pt>
                <c:pt idx="51">
                  <c:v>27.614999999999998</c:v>
                </c:pt>
                <c:pt idx="52">
                  <c:v>27.538</c:v>
                </c:pt>
                <c:pt idx="53">
                  <c:v>27.594999999999999</c:v>
                </c:pt>
                <c:pt idx="54">
                  <c:v>27.439</c:v>
                </c:pt>
                <c:pt idx="55">
                  <c:v>27.632999999999999</c:v>
                </c:pt>
                <c:pt idx="56">
                  <c:v>27.497</c:v>
                </c:pt>
                <c:pt idx="57">
                  <c:v>27.585000000000001</c:v>
                </c:pt>
                <c:pt idx="58">
                  <c:v>27.449000000000002</c:v>
                </c:pt>
                <c:pt idx="59">
                  <c:v>27.593</c:v>
                </c:pt>
                <c:pt idx="60">
                  <c:v>27.439</c:v>
                </c:pt>
                <c:pt idx="61">
                  <c:v>27.65</c:v>
                </c:pt>
                <c:pt idx="62">
                  <c:v>27.388000000000002</c:v>
                </c:pt>
                <c:pt idx="63">
                  <c:v>27.617000000000001</c:v>
                </c:pt>
                <c:pt idx="64">
                  <c:v>27.440999999999999</c:v>
                </c:pt>
                <c:pt idx="65">
                  <c:v>27.555</c:v>
                </c:pt>
                <c:pt idx="66">
                  <c:v>27.495000000000001</c:v>
                </c:pt>
                <c:pt idx="67">
                  <c:v>27.588000000000001</c:v>
                </c:pt>
                <c:pt idx="68">
                  <c:v>27.399000000000001</c:v>
                </c:pt>
                <c:pt idx="69">
                  <c:v>27.587</c:v>
                </c:pt>
                <c:pt idx="70">
                  <c:v>27.497</c:v>
                </c:pt>
                <c:pt idx="71">
                  <c:v>27.602</c:v>
                </c:pt>
                <c:pt idx="72">
                  <c:v>27.466999999999999</c:v>
                </c:pt>
                <c:pt idx="73">
                  <c:v>27.667999999999999</c:v>
                </c:pt>
                <c:pt idx="74">
                  <c:v>27.434999999999999</c:v>
                </c:pt>
                <c:pt idx="75">
                  <c:v>27.628</c:v>
                </c:pt>
                <c:pt idx="76">
                  <c:v>27.378</c:v>
                </c:pt>
                <c:pt idx="77">
                  <c:v>27.533000000000001</c:v>
                </c:pt>
                <c:pt idx="78">
                  <c:v>27.401</c:v>
                </c:pt>
                <c:pt idx="79">
                  <c:v>27.608000000000001</c:v>
                </c:pt>
                <c:pt idx="80">
                  <c:v>27.388999999999999</c:v>
                </c:pt>
                <c:pt idx="81">
                  <c:v>27.579000000000001</c:v>
                </c:pt>
                <c:pt idx="82">
                  <c:v>27.364999999999998</c:v>
                </c:pt>
                <c:pt idx="83">
                  <c:v>27.629000000000001</c:v>
                </c:pt>
                <c:pt idx="84">
                  <c:v>27.603000000000002</c:v>
                </c:pt>
                <c:pt idx="85">
                  <c:v>27.689</c:v>
                </c:pt>
                <c:pt idx="86">
                  <c:v>27.577999999999999</c:v>
                </c:pt>
                <c:pt idx="87">
                  <c:v>27.661000000000001</c:v>
                </c:pt>
                <c:pt idx="88">
                  <c:v>27.577999999999999</c:v>
                </c:pt>
                <c:pt idx="89">
                  <c:v>27.712</c:v>
                </c:pt>
                <c:pt idx="90">
                  <c:v>27.533000000000001</c:v>
                </c:pt>
                <c:pt idx="91">
                  <c:v>27.683</c:v>
                </c:pt>
                <c:pt idx="92">
                  <c:v>27.407</c:v>
                </c:pt>
                <c:pt idx="93">
                  <c:v>27.707000000000001</c:v>
                </c:pt>
                <c:pt idx="94">
                  <c:v>27.423999999999999</c:v>
                </c:pt>
                <c:pt idx="95">
                  <c:v>27.591999999999999</c:v>
                </c:pt>
                <c:pt idx="96">
                  <c:v>27.553999999999998</c:v>
                </c:pt>
                <c:pt idx="97">
                  <c:v>27.620999999999999</c:v>
                </c:pt>
                <c:pt idx="98">
                  <c:v>27.541</c:v>
                </c:pt>
                <c:pt idx="99">
                  <c:v>27.600999999999999</c:v>
                </c:pt>
                <c:pt idx="100">
                  <c:v>27.56</c:v>
                </c:pt>
                <c:pt idx="101">
                  <c:v>27.741</c:v>
                </c:pt>
                <c:pt idx="102">
                  <c:v>27.347999999999999</c:v>
                </c:pt>
                <c:pt idx="103">
                  <c:v>27.530999999999999</c:v>
                </c:pt>
                <c:pt idx="104">
                  <c:v>27.331</c:v>
                </c:pt>
                <c:pt idx="105">
                  <c:v>27.498999999999999</c:v>
                </c:pt>
                <c:pt idx="106">
                  <c:v>27.375</c:v>
                </c:pt>
                <c:pt idx="107">
                  <c:v>27.512</c:v>
                </c:pt>
                <c:pt idx="108">
                  <c:v>27.408000000000001</c:v>
                </c:pt>
                <c:pt idx="109">
                  <c:v>27.526</c:v>
                </c:pt>
                <c:pt idx="110">
                  <c:v>27.42</c:v>
                </c:pt>
                <c:pt idx="111">
                  <c:v>27.568000000000001</c:v>
                </c:pt>
                <c:pt idx="112">
                  <c:v>27.384</c:v>
                </c:pt>
                <c:pt idx="113">
                  <c:v>27.518000000000001</c:v>
                </c:pt>
                <c:pt idx="114">
                  <c:v>27.356000000000002</c:v>
                </c:pt>
                <c:pt idx="115">
                  <c:v>27.553000000000001</c:v>
                </c:pt>
                <c:pt idx="116">
                  <c:v>27.393000000000001</c:v>
                </c:pt>
                <c:pt idx="117">
                  <c:v>27.495000000000001</c:v>
                </c:pt>
                <c:pt idx="118">
                  <c:v>27.356999999999999</c:v>
                </c:pt>
                <c:pt idx="119">
                  <c:v>27.571999999999999</c:v>
                </c:pt>
                <c:pt idx="120">
                  <c:v>27.373000000000001</c:v>
                </c:pt>
                <c:pt idx="121">
                  <c:v>27.634</c:v>
                </c:pt>
                <c:pt idx="122">
                  <c:v>27.289000000000001</c:v>
                </c:pt>
                <c:pt idx="123">
                  <c:v>27.51</c:v>
                </c:pt>
                <c:pt idx="124">
                  <c:v>27.309000000000001</c:v>
                </c:pt>
                <c:pt idx="125">
                  <c:v>27.622</c:v>
                </c:pt>
                <c:pt idx="126">
                  <c:v>27.352</c:v>
                </c:pt>
                <c:pt idx="127">
                  <c:v>27.501999999999999</c:v>
                </c:pt>
                <c:pt idx="128">
                  <c:v>27.602</c:v>
                </c:pt>
                <c:pt idx="129">
                  <c:v>27.645</c:v>
                </c:pt>
                <c:pt idx="130">
                  <c:v>27.581</c:v>
                </c:pt>
                <c:pt idx="131">
                  <c:v>27.54</c:v>
                </c:pt>
                <c:pt idx="132">
                  <c:v>27.533999999999999</c:v>
                </c:pt>
                <c:pt idx="133">
                  <c:v>27.584</c:v>
                </c:pt>
                <c:pt idx="134">
                  <c:v>27.646999999999998</c:v>
                </c:pt>
                <c:pt idx="135">
                  <c:v>27.527999999999999</c:v>
                </c:pt>
                <c:pt idx="136">
                  <c:v>27.515000000000001</c:v>
                </c:pt>
                <c:pt idx="137">
                  <c:v>27.568000000000001</c:v>
                </c:pt>
                <c:pt idx="138">
                  <c:v>27.585000000000001</c:v>
                </c:pt>
                <c:pt idx="139">
                  <c:v>27.53</c:v>
                </c:pt>
                <c:pt idx="140">
                  <c:v>27.574999999999999</c:v>
                </c:pt>
                <c:pt idx="141">
                  <c:v>27.501999999999999</c:v>
                </c:pt>
                <c:pt idx="142">
                  <c:v>27.53</c:v>
                </c:pt>
                <c:pt idx="143">
                  <c:v>27.405999999999999</c:v>
                </c:pt>
                <c:pt idx="144">
                  <c:v>27.492000000000001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9-4139-B133-78EBD356CBF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('AMP3-2'!$O$4,'AMP3-2'!$O$4)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B9-4139-B133-78EBD356CBF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('AMP3-2'!$O$5,'AMP3-2'!$O$5)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B9-4139-B133-78EBD356C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7432"/>
        <c:axId val="435247824"/>
      </c:scatterChart>
      <c:valAx>
        <c:axId val="43524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7824"/>
        <c:crosses val="autoZero"/>
        <c:crossBetween val="midCat"/>
      </c:valAx>
      <c:valAx>
        <c:axId val="435247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7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'AMP3-2'!$R$8</c:f>
              <c:strCache>
                <c:ptCount val="1"/>
                <c:pt idx="0">
                  <c:v>Dim 9_1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'AMP3-2'!$R$9:$R$153</c:f>
              <c:numCache>
                <c:formatCode>General</c:formatCode>
                <c:ptCount val="145"/>
                <c:pt idx="0">
                  <c:v>17.344999999999999</c:v>
                </c:pt>
                <c:pt idx="1">
                  <c:v>17.245999999999999</c:v>
                </c:pt>
                <c:pt idx="2">
                  <c:v>17.349</c:v>
                </c:pt>
                <c:pt idx="3">
                  <c:v>17.245000000000001</c:v>
                </c:pt>
                <c:pt idx="4">
                  <c:v>17.350000000000001</c:v>
                </c:pt>
                <c:pt idx="5">
                  <c:v>17.265999999999998</c:v>
                </c:pt>
                <c:pt idx="6">
                  <c:v>17.350000000000001</c:v>
                </c:pt>
                <c:pt idx="7">
                  <c:v>17.242999999999999</c:v>
                </c:pt>
                <c:pt idx="8">
                  <c:v>17.361999999999998</c:v>
                </c:pt>
                <c:pt idx="9">
                  <c:v>17.268000000000001</c:v>
                </c:pt>
                <c:pt idx="10">
                  <c:v>17.346</c:v>
                </c:pt>
                <c:pt idx="11">
                  <c:v>17.224</c:v>
                </c:pt>
                <c:pt idx="12">
                  <c:v>17.337</c:v>
                </c:pt>
                <c:pt idx="13">
                  <c:v>17.268000000000001</c:v>
                </c:pt>
                <c:pt idx="14">
                  <c:v>17.347999999999999</c:v>
                </c:pt>
                <c:pt idx="15">
                  <c:v>17.253</c:v>
                </c:pt>
                <c:pt idx="16">
                  <c:v>17.331</c:v>
                </c:pt>
                <c:pt idx="17">
                  <c:v>17.265000000000001</c:v>
                </c:pt>
                <c:pt idx="18">
                  <c:v>17.356999999999999</c:v>
                </c:pt>
                <c:pt idx="19">
                  <c:v>17.228999999999999</c:v>
                </c:pt>
                <c:pt idx="20">
                  <c:v>17.356000000000002</c:v>
                </c:pt>
                <c:pt idx="21">
                  <c:v>17.245000000000001</c:v>
                </c:pt>
                <c:pt idx="22">
                  <c:v>17.337</c:v>
                </c:pt>
                <c:pt idx="23">
                  <c:v>17.260000000000002</c:v>
                </c:pt>
                <c:pt idx="24">
                  <c:v>17.324999999999999</c:v>
                </c:pt>
                <c:pt idx="25">
                  <c:v>17.251000000000001</c:v>
                </c:pt>
                <c:pt idx="26">
                  <c:v>17.341000000000001</c:v>
                </c:pt>
                <c:pt idx="27">
                  <c:v>17.241</c:v>
                </c:pt>
                <c:pt idx="28">
                  <c:v>17.34</c:v>
                </c:pt>
                <c:pt idx="29">
                  <c:v>17.247</c:v>
                </c:pt>
                <c:pt idx="30">
                  <c:v>17.329000000000001</c:v>
                </c:pt>
                <c:pt idx="31">
                  <c:v>17.260000000000002</c:v>
                </c:pt>
                <c:pt idx="32">
                  <c:v>17.347999999999999</c:v>
                </c:pt>
                <c:pt idx="33">
                  <c:v>17.248999999999999</c:v>
                </c:pt>
                <c:pt idx="34">
                  <c:v>17.335999999999999</c:v>
                </c:pt>
                <c:pt idx="35">
                  <c:v>17.276</c:v>
                </c:pt>
                <c:pt idx="36">
                  <c:v>17.327000000000002</c:v>
                </c:pt>
                <c:pt idx="37">
                  <c:v>17.236000000000001</c:v>
                </c:pt>
                <c:pt idx="38">
                  <c:v>17.327999999999999</c:v>
                </c:pt>
                <c:pt idx="39">
                  <c:v>17.251000000000001</c:v>
                </c:pt>
                <c:pt idx="40">
                  <c:v>17.353000000000002</c:v>
                </c:pt>
                <c:pt idx="41">
                  <c:v>17.283000000000001</c:v>
                </c:pt>
                <c:pt idx="42">
                  <c:v>17.265999999999998</c:v>
                </c:pt>
                <c:pt idx="43">
                  <c:v>17.228000000000002</c:v>
                </c:pt>
                <c:pt idx="44">
                  <c:v>17.247</c:v>
                </c:pt>
                <c:pt idx="45">
                  <c:v>17.22</c:v>
                </c:pt>
                <c:pt idx="46">
                  <c:v>17.238</c:v>
                </c:pt>
                <c:pt idx="47">
                  <c:v>17.233000000000001</c:v>
                </c:pt>
                <c:pt idx="48">
                  <c:v>17.234000000000002</c:v>
                </c:pt>
                <c:pt idx="49">
                  <c:v>17.215</c:v>
                </c:pt>
                <c:pt idx="50">
                  <c:v>17.25</c:v>
                </c:pt>
                <c:pt idx="51">
                  <c:v>17.207999999999998</c:v>
                </c:pt>
                <c:pt idx="52">
                  <c:v>17.219000000000001</c:v>
                </c:pt>
                <c:pt idx="53">
                  <c:v>17.216999999999999</c:v>
                </c:pt>
                <c:pt idx="54">
                  <c:v>17.225999999999999</c:v>
                </c:pt>
                <c:pt idx="55">
                  <c:v>17.212</c:v>
                </c:pt>
                <c:pt idx="56">
                  <c:v>17.228000000000002</c:v>
                </c:pt>
                <c:pt idx="57">
                  <c:v>17.225999999999999</c:v>
                </c:pt>
                <c:pt idx="58">
                  <c:v>17.239999999999998</c:v>
                </c:pt>
                <c:pt idx="59">
                  <c:v>17.274000000000001</c:v>
                </c:pt>
                <c:pt idx="60">
                  <c:v>17.260999999999999</c:v>
                </c:pt>
                <c:pt idx="61">
                  <c:v>17.242999999999999</c:v>
                </c:pt>
                <c:pt idx="62">
                  <c:v>17.251000000000001</c:v>
                </c:pt>
                <c:pt idx="63">
                  <c:v>17.233000000000001</c:v>
                </c:pt>
                <c:pt idx="64">
                  <c:v>17.228999999999999</c:v>
                </c:pt>
                <c:pt idx="65">
                  <c:v>17.238</c:v>
                </c:pt>
                <c:pt idx="66">
                  <c:v>17.245000000000001</c:v>
                </c:pt>
                <c:pt idx="67">
                  <c:v>17.254999999999999</c:v>
                </c:pt>
                <c:pt idx="68">
                  <c:v>17.242999999999999</c:v>
                </c:pt>
                <c:pt idx="69">
                  <c:v>17.221</c:v>
                </c:pt>
                <c:pt idx="70">
                  <c:v>17.219000000000001</c:v>
                </c:pt>
                <c:pt idx="71">
                  <c:v>17.236000000000001</c:v>
                </c:pt>
                <c:pt idx="72">
                  <c:v>17.21</c:v>
                </c:pt>
                <c:pt idx="73">
                  <c:v>17.292999999999999</c:v>
                </c:pt>
                <c:pt idx="74">
                  <c:v>17.279</c:v>
                </c:pt>
                <c:pt idx="75">
                  <c:v>17.247</c:v>
                </c:pt>
                <c:pt idx="76">
                  <c:v>17.260999999999999</c:v>
                </c:pt>
                <c:pt idx="77">
                  <c:v>17.256</c:v>
                </c:pt>
                <c:pt idx="78">
                  <c:v>17.256</c:v>
                </c:pt>
                <c:pt idx="79">
                  <c:v>17.245999999999999</c:v>
                </c:pt>
                <c:pt idx="80">
                  <c:v>17.260999999999999</c:v>
                </c:pt>
                <c:pt idx="81">
                  <c:v>17.256</c:v>
                </c:pt>
                <c:pt idx="82">
                  <c:v>17.212</c:v>
                </c:pt>
                <c:pt idx="83">
                  <c:v>17.234999999999999</c:v>
                </c:pt>
                <c:pt idx="84">
                  <c:v>17.248000000000001</c:v>
                </c:pt>
                <c:pt idx="85">
                  <c:v>17.227</c:v>
                </c:pt>
                <c:pt idx="86">
                  <c:v>17.248000000000001</c:v>
                </c:pt>
                <c:pt idx="87">
                  <c:v>17.222999999999999</c:v>
                </c:pt>
                <c:pt idx="88">
                  <c:v>17.238</c:v>
                </c:pt>
                <c:pt idx="89">
                  <c:v>17.225000000000001</c:v>
                </c:pt>
                <c:pt idx="90">
                  <c:v>17.247</c:v>
                </c:pt>
                <c:pt idx="91">
                  <c:v>17.248000000000001</c:v>
                </c:pt>
                <c:pt idx="92">
                  <c:v>17.265999999999998</c:v>
                </c:pt>
                <c:pt idx="93">
                  <c:v>17.228999999999999</c:v>
                </c:pt>
                <c:pt idx="94">
                  <c:v>17.260000000000002</c:v>
                </c:pt>
                <c:pt idx="95">
                  <c:v>17.206</c:v>
                </c:pt>
                <c:pt idx="96">
                  <c:v>17.245000000000001</c:v>
                </c:pt>
                <c:pt idx="97">
                  <c:v>17.236000000000001</c:v>
                </c:pt>
                <c:pt idx="98">
                  <c:v>17.25</c:v>
                </c:pt>
                <c:pt idx="99">
                  <c:v>17.222999999999999</c:v>
                </c:pt>
                <c:pt idx="100">
                  <c:v>17.23</c:v>
                </c:pt>
                <c:pt idx="101">
                  <c:v>17.234999999999999</c:v>
                </c:pt>
                <c:pt idx="102">
                  <c:v>17.236999999999998</c:v>
                </c:pt>
                <c:pt idx="103">
                  <c:v>17.253</c:v>
                </c:pt>
                <c:pt idx="104">
                  <c:v>17.236000000000001</c:v>
                </c:pt>
                <c:pt idx="105">
                  <c:v>17.236999999999998</c:v>
                </c:pt>
                <c:pt idx="106">
                  <c:v>17.245000000000001</c:v>
                </c:pt>
                <c:pt idx="107">
                  <c:v>17.242000000000001</c:v>
                </c:pt>
                <c:pt idx="108">
                  <c:v>17.227</c:v>
                </c:pt>
                <c:pt idx="109">
                  <c:v>17.283000000000001</c:v>
                </c:pt>
                <c:pt idx="110">
                  <c:v>17.228999999999999</c:v>
                </c:pt>
                <c:pt idx="111">
                  <c:v>17.236000000000001</c:v>
                </c:pt>
                <c:pt idx="112">
                  <c:v>17.228000000000002</c:v>
                </c:pt>
                <c:pt idx="113">
                  <c:v>17.242999999999999</c:v>
                </c:pt>
                <c:pt idx="114">
                  <c:v>17.21</c:v>
                </c:pt>
                <c:pt idx="115">
                  <c:v>17.218</c:v>
                </c:pt>
                <c:pt idx="116">
                  <c:v>17.260000000000002</c:v>
                </c:pt>
                <c:pt idx="117">
                  <c:v>17.251999999999999</c:v>
                </c:pt>
                <c:pt idx="118">
                  <c:v>17.233000000000001</c:v>
                </c:pt>
                <c:pt idx="119">
                  <c:v>17.253</c:v>
                </c:pt>
                <c:pt idx="120">
                  <c:v>17.225999999999999</c:v>
                </c:pt>
                <c:pt idx="121">
                  <c:v>17.207999999999998</c:v>
                </c:pt>
                <c:pt idx="122">
                  <c:v>17.244</c:v>
                </c:pt>
                <c:pt idx="123">
                  <c:v>17.215</c:v>
                </c:pt>
                <c:pt idx="124">
                  <c:v>17.234999999999999</c:v>
                </c:pt>
                <c:pt idx="125">
                  <c:v>17.257000000000001</c:v>
                </c:pt>
                <c:pt idx="126">
                  <c:v>17.260999999999999</c:v>
                </c:pt>
                <c:pt idx="127">
                  <c:v>17.234000000000002</c:v>
                </c:pt>
                <c:pt idx="128">
                  <c:v>17.271000000000001</c:v>
                </c:pt>
                <c:pt idx="129">
                  <c:v>17.21</c:v>
                </c:pt>
                <c:pt idx="130">
                  <c:v>17.251000000000001</c:v>
                </c:pt>
                <c:pt idx="131">
                  <c:v>17.218</c:v>
                </c:pt>
                <c:pt idx="132">
                  <c:v>17.215</c:v>
                </c:pt>
                <c:pt idx="133">
                  <c:v>17.247</c:v>
                </c:pt>
                <c:pt idx="134">
                  <c:v>17.201000000000001</c:v>
                </c:pt>
                <c:pt idx="135">
                  <c:v>17.247</c:v>
                </c:pt>
                <c:pt idx="136">
                  <c:v>17.22</c:v>
                </c:pt>
                <c:pt idx="137">
                  <c:v>17.242000000000001</c:v>
                </c:pt>
                <c:pt idx="138">
                  <c:v>17.212</c:v>
                </c:pt>
                <c:pt idx="139">
                  <c:v>17.248000000000001</c:v>
                </c:pt>
                <c:pt idx="140">
                  <c:v>17.245000000000001</c:v>
                </c:pt>
                <c:pt idx="141">
                  <c:v>17.239000000000001</c:v>
                </c:pt>
                <c:pt idx="142">
                  <c:v>17.234000000000002</c:v>
                </c:pt>
                <c:pt idx="143">
                  <c:v>17.239000000000001</c:v>
                </c:pt>
                <c:pt idx="144">
                  <c:v>17.216000000000001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8C-45C6-A177-6CC53EE316A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('AMP3-2'!$R$4,'AMP3-2'!$R$4)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8C-45C6-A177-6CC53EE316A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('AMP3-2'!$R$5,'AMP3-2'!$R$5)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8C-45C6-A177-6CC53EE3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48608"/>
        <c:axId val="447307872"/>
      </c:scatterChart>
      <c:valAx>
        <c:axId val="43524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07872"/>
        <c:crosses val="autoZero"/>
        <c:crossBetween val="midCat"/>
      </c:valAx>
      <c:valAx>
        <c:axId val="4473078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4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'AMP3-2'!$S$8</c:f>
              <c:strCache>
                <c:ptCount val="1"/>
                <c:pt idx="0">
                  <c:v>Dim 9_2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'AMP3-2'!$S$9:$S$153</c:f>
              <c:numCache>
                <c:formatCode>General</c:formatCode>
                <c:ptCount val="145"/>
                <c:pt idx="0">
                  <c:v>17.190000000000001</c:v>
                </c:pt>
                <c:pt idx="1">
                  <c:v>17.3</c:v>
                </c:pt>
                <c:pt idx="2">
                  <c:v>17.524000000000001</c:v>
                </c:pt>
                <c:pt idx="3">
                  <c:v>17.222999999999999</c:v>
                </c:pt>
                <c:pt idx="4">
                  <c:v>17.533999999999999</c:v>
                </c:pt>
                <c:pt idx="5">
                  <c:v>17.187999999999999</c:v>
                </c:pt>
                <c:pt idx="6">
                  <c:v>17.484999999999999</c:v>
                </c:pt>
                <c:pt idx="7">
                  <c:v>17.157</c:v>
                </c:pt>
                <c:pt idx="8">
                  <c:v>17.469000000000001</c:v>
                </c:pt>
                <c:pt idx="9">
                  <c:v>17.277999999999999</c:v>
                </c:pt>
                <c:pt idx="10">
                  <c:v>17.478999999999999</c:v>
                </c:pt>
                <c:pt idx="11">
                  <c:v>17.344000000000001</c:v>
                </c:pt>
                <c:pt idx="12">
                  <c:v>17.396000000000001</c:v>
                </c:pt>
                <c:pt idx="13">
                  <c:v>17.452999999999999</c:v>
                </c:pt>
                <c:pt idx="14">
                  <c:v>17.478000000000002</c:v>
                </c:pt>
                <c:pt idx="15">
                  <c:v>17.207999999999998</c:v>
                </c:pt>
                <c:pt idx="16">
                  <c:v>17.407</c:v>
                </c:pt>
                <c:pt idx="17">
                  <c:v>17.341000000000001</c:v>
                </c:pt>
                <c:pt idx="18">
                  <c:v>17.395</c:v>
                </c:pt>
                <c:pt idx="19">
                  <c:v>17.271000000000001</c:v>
                </c:pt>
                <c:pt idx="20">
                  <c:v>17.396999999999998</c:v>
                </c:pt>
                <c:pt idx="21">
                  <c:v>17.259</c:v>
                </c:pt>
                <c:pt idx="22">
                  <c:v>17.312999999999999</c:v>
                </c:pt>
                <c:pt idx="23">
                  <c:v>17.265000000000001</c:v>
                </c:pt>
                <c:pt idx="24">
                  <c:v>17.327000000000002</c:v>
                </c:pt>
                <c:pt idx="25">
                  <c:v>17.373999999999999</c:v>
                </c:pt>
                <c:pt idx="26">
                  <c:v>17.349</c:v>
                </c:pt>
                <c:pt idx="27">
                  <c:v>17.286999999999999</c:v>
                </c:pt>
                <c:pt idx="28">
                  <c:v>17.331</c:v>
                </c:pt>
                <c:pt idx="29">
                  <c:v>17.231000000000002</c:v>
                </c:pt>
                <c:pt idx="30">
                  <c:v>17.353999999999999</c:v>
                </c:pt>
                <c:pt idx="31">
                  <c:v>17.18</c:v>
                </c:pt>
                <c:pt idx="32">
                  <c:v>17.335000000000001</c:v>
                </c:pt>
                <c:pt idx="33">
                  <c:v>17.276</c:v>
                </c:pt>
                <c:pt idx="34">
                  <c:v>17.335999999999999</c:v>
                </c:pt>
                <c:pt idx="35">
                  <c:v>17.260999999999999</c:v>
                </c:pt>
                <c:pt idx="36">
                  <c:v>17.327999999999999</c:v>
                </c:pt>
                <c:pt idx="37">
                  <c:v>17.277999999999999</c:v>
                </c:pt>
                <c:pt idx="38">
                  <c:v>17.369</c:v>
                </c:pt>
                <c:pt idx="39">
                  <c:v>17.306000000000001</c:v>
                </c:pt>
                <c:pt idx="40">
                  <c:v>17.245999999999999</c:v>
                </c:pt>
                <c:pt idx="41">
                  <c:v>17.222000000000001</c:v>
                </c:pt>
                <c:pt idx="42">
                  <c:v>17.350000000000001</c:v>
                </c:pt>
                <c:pt idx="43">
                  <c:v>17.18</c:v>
                </c:pt>
                <c:pt idx="44">
                  <c:v>17.420000000000002</c:v>
                </c:pt>
                <c:pt idx="45">
                  <c:v>17.251999999999999</c:v>
                </c:pt>
                <c:pt idx="46">
                  <c:v>17.329999999999998</c:v>
                </c:pt>
                <c:pt idx="47">
                  <c:v>17.242999999999999</c:v>
                </c:pt>
                <c:pt idx="48">
                  <c:v>17.334</c:v>
                </c:pt>
                <c:pt idx="49">
                  <c:v>17.292999999999999</c:v>
                </c:pt>
                <c:pt idx="50">
                  <c:v>17.324999999999999</c:v>
                </c:pt>
                <c:pt idx="51">
                  <c:v>17.192</c:v>
                </c:pt>
                <c:pt idx="52">
                  <c:v>17.321000000000002</c:v>
                </c:pt>
                <c:pt idx="53">
                  <c:v>17.279</c:v>
                </c:pt>
                <c:pt idx="54">
                  <c:v>17.234000000000002</c:v>
                </c:pt>
                <c:pt idx="55">
                  <c:v>17.239000000000001</c:v>
                </c:pt>
                <c:pt idx="56">
                  <c:v>17.178000000000001</c:v>
                </c:pt>
                <c:pt idx="57">
                  <c:v>17.216999999999999</c:v>
                </c:pt>
                <c:pt idx="58">
                  <c:v>17.291</c:v>
                </c:pt>
                <c:pt idx="59">
                  <c:v>17.212</c:v>
                </c:pt>
                <c:pt idx="60">
                  <c:v>17.347000000000001</c:v>
                </c:pt>
                <c:pt idx="61">
                  <c:v>17.201000000000001</c:v>
                </c:pt>
                <c:pt idx="62">
                  <c:v>17.341000000000001</c:v>
                </c:pt>
                <c:pt idx="63">
                  <c:v>17.141999999999999</c:v>
                </c:pt>
                <c:pt idx="64">
                  <c:v>17.263000000000002</c:v>
                </c:pt>
                <c:pt idx="65">
                  <c:v>17.29</c:v>
                </c:pt>
                <c:pt idx="66">
                  <c:v>17.248999999999999</c:v>
                </c:pt>
                <c:pt idx="67">
                  <c:v>17.231000000000002</c:v>
                </c:pt>
                <c:pt idx="68">
                  <c:v>17.297999999999998</c:v>
                </c:pt>
                <c:pt idx="69">
                  <c:v>17.163</c:v>
                </c:pt>
                <c:pt idx="70">
                  <c:v>17.332000000000001</c:v>
                </c:pt>
                <c:pt idx="71">
                  <c:v>17.138000000000002</c:v>
                </c:pt>
                <c:pt idx="72">
                  <c:v>17.238</c:v>
                </c:pt>
                <c:pt idx="73">
                  <c:v>17.244</c:v>
                </c:pt>
                <c:pt idx="74">
                  <c:v>17.353000000000002</c:v>
                </c:pt>
                <c:pt idx="75">
                  <c:v>17.271000000000001</c:v>
                </c:pt>
                <c:pt idx="76">
                  <c:v>17.251000000000001</c:v>
                </c:pt>
                <c:pt idx="77">
                  <c:v>17.204000000000001</c:v>
                </c:pt>
                <c:pt idx="78">
                  <c:v>17.317</c:v>
                </c:pt>
                <c:pt idx="79">
                  <c:v>17.207000000000001</c:v>
                </c:pt>
                <c:pt idx="80">
                  <c:v>17.181999999999999</c:v>
                </c:pt>
                <c:pt idx="81">
                  <c:v>17.241</c:v>
                </c:pt>
                <c:pt idx="82">
                  <c:v>17.225000000000001</c:v>
                </c:pt>
                <c:pt idx="83">
                  <c:v>17.317</c:v>
                </c:pt>
                <c:pt idx="84">
                  <c:v>17.420000000000002</c:v>
                </c:pt>
                <c:pt idx="85">
                  <c:v>17.207000000000001</c:v>
                </c:pt>
                <c:pt idx="86">
                  <c:v>17.37</c:v>
                </c:pt>
                <c:pt idx="87">
                  <c:v>17.18</c:v>
                </c:pt>
                <c:pt idx="88">
                  <c:v>17.28</c:v>
                </c:pt>
                <c:pt idx="89">
                  <c:v>17.251999999999999</c:v>
                </c:pt>
                <c:pt idx="90">
                  <c:v>17.321000000000002</c:v>
                </c:pt>
                <c:pt idx="91">
                  <c:v>17.309999999999999</c:v>
                </c:pt>
                <c:pt idx="92">
                  <c:v>17.317</c:v>
                </c:pt>
                <c:pt idx="93">
                  <c:v>17.231000000000002</c:v>
                </c:pt>
                <c:pt idx="94">
                  <c:v>17.265999999999998</c:v>
                </c:pt>
                <c:pt idx="95">
                  <c:v>17.286000000000001</c:v>
                </c:pt>
                <c:pt idx="96">
                  <c:v>17.215</c:v>
                </c:pt>
                <c:pt idx="97">
                  <c:v>17.236999999999998</c:v>
                </c:pt>
                <c:pt idx="98">
                  <c:v>17.23</c:v>
                </c:pt>
                <c:pt idx="99">
                  <c:v>17.239999999999998</c:v>
                </c:pt>
                <c:pt idx="100">
                  <c:v>17.239000000000001</c:v>
                </c:pt>
                <c:pt idx="101">
                  <c:v>17.385000000000002</c:v>
                </c:pt>
                <c:pt idx="102">
                  <c:v>17.224</c:v>
                </c:pt>
                <c:pt idx="103">
                  <c:v>17.338000000000001</c:v>
                </c:pt>
                <c:pt idx="104">
                  <c:v>17.076000000000001</c:v>
                </c:pt>
                <c:pt idx="105">
                  <c:v>17.216000000000001</c:v>
                </c:pt>
                <c:pt idx="106">
                  <c:v>17.245000000000001</c:v>
                </c:pt>
                <c:pt idx="107">
                  <c:v>17.282</c:v>
                </c:pt>
                <c:pt idx="108">
                  <c:v>17.242000000000001</c:v>
                </c:pt>
                <c:pt idx="109">
                  <c:v>17.271999999999998</c:v>
                </c:pt>
                <c:pt idx="110">
                  <c:v>17.265000000000001</c:v>
                </c:pt>
                <c:pt idx="111">
                  <c:v>17.225000000000001</c:v>
                </c:pt>
                <c:pt idx="112">
                  <c:v>17.183</c:v>
                </c:pt>
                <c:pt idx="113">
                  <c:v>17.227</c:v>
                </c:pt>
                <c:pt idx="114">
                  <c:v>17.219000000000001</c:v>
                </c:pt>
                <c:pt idx="115">
                  <c:v>17.209</c:v>
                </c:pt>
                <c:pt idx="116">
                  <c:v>17.297000000000001</c:v>
                </c:pt>
                <c:pt idx="117">
                  <c:v>17.190000000000001</c:v>
                </c:pt>
                <c:pt idx="118">
                  <c:v>17.338000000000001</c:v>
                </c:pt>
                <c:pt idx="119">
                  <c:v>17.225000000000001</c:v>
                </c:pt>
                <c:pt idx="120">
                  <c:v>17.248000000000001</c:v>
                </c:pt>
                <c:pt idx="121">
                  <c:v>17.286999999999999</c:v>
                </c:pt>
                <c:pt idx="122">
                  <c:v>17.12</c:v>
                </c:pt>
                <c:pt idx="123">
                  <c:v>17.206</c:v>
                </c:pt>
                <c:pt idx="124">
                  <c:v>17.213999999999999</c:v>
                </c:pt>
                <c:pt idx="125">
                  <c:v>17.186</c:v>
                </c:pt>
                <c:pt idx="126">
                  <c:v>17.128</c:v>
                </c:pt>
                <c:pt idx="127">
                  <c:v>17.224</c:v>
                </c:pt>
                <c:pt idx="128">
                  <c:v>17.436</c:v>
                </c:pt>
                <c:pt idx="129">
                  <c:v>17.224</c:v>
                </c:pt>
                <c:pt idx="130">
                  <c:v>17.401</c:v>
                </c:pt>
                <c:pt idx="131">
                  <c:v>17.210999999999999</c:v>
                </c:pt>
                <c:pt idx="132">
                  <c:v>17.210999999999999</c:v>
                </c:pt>
                <c:pt idx="133">
                  <c:v>17.337</c:v>
                </c:pt>
                <c:pt idx="134">
                  <c:v>17.300999999999998</c:v>
                </c:pt>
                <c:pt idx="135">
                  <c:v>17.341000000000001</c:v>
                </c:pt>
                <c:pt idx="136">
                  <c:v>17.222000000000001</c:v>
                </c:pt>
                <c:pt idx="137">
                  <c:v>17.361999999999998</c:v>
                </c:pt>
                <c:pt idx="138">
                  <c:v>17.177</c:v>
                </c:pt>
                <c:pt idx="139">
                  <c:v>17.309000000000001</c:v>
                </c:pt>
                <c:pt idx="140">
                  <c:v>17.187999999999999</c:v>
                </c:pt>
                <c:pt idx="141">
                  <c:v>17.314</c:v>
                </c:pt>
                <c:pt idx="142">
                  <c:v>17.257999999999999</c:v>
                </c:pt>
                <c:pt idx="143">
                  <c:v>17.309000000000001</c:v>
                </c:pt>
                <c:pt idx="144">
                  <c:v>17.175999999999998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F-475B-AC85-3E023C37E48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('AMP3-2'!$S$4,'AMP3-2'!$S$4)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1F-475B-AC85-3E023C37E48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('AMP3-2'!$S$5,'AMP3-2'!$S$5)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1F-475B-AC85-3E023C37E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08656"/>
        <c:axId val="447309048"/>
      </c:scatterChart>
      <c:valAx>
        <c:axId val="44730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09048"/>
        <c:crosses val="autoZero"/>
        <c:crossBetween val="midCat"/>
      </c:valAx>
      <c:valAx>
        <c:axId val="4473090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0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'AMP3-2'!$T$9:$T$153</c:f>
              <c:numCache>
                <c:formatCode>General</c:formatCode>
                <c:ptCount val="145"/>
                <c:pt idx="0">
                  <c:v>34.036999999999999</c:v>
                </c:pt>
                <c:pt idx="1">
                  <c:v>36.859000000000002</c:v>
                </c:pt>
                <c:pt idx="2">
                  <c:v>34.021000000000001</c:v>
                </c:pt>
                <c:pt idx="3">
                  <c:v>36.344000000000001</c:v>
                </c:pt>
                <c:pt idx="4">
                  <c:v>34.079000000000001</c:v>
                </c:pt>
                <c:pt idx="5">
                  <c:v>35.890999999999998</c:v>
                </c:pt>
                <c:pt idx="6">
                  <c:v>34.302</c:v>
                </c:pt>
                <c:pt idx="7">
                  <c:v>34.878999999999998</c:v>
                </c:pt>
                <c:pt idx="8">
                  <c:v>34.079000000000001</c:v>
                </c:pt>
                <c:pt idx="9">
                  <c:v>37.189</c:v>
                </c:pt>
                <c:pt idx="10">
                  <c:v>34.045000000000002</c:v>
                </c:pt>
                <c:pt idx="11">
                  <c:v>38.506999999999998</c:v>
                </c:pt>
                <c:pt idx="12">
                  <c:v>34.363999999999997</c:v>
                </c:pt>
                <c:pt idx="13">
                  <c:v>36.926000000000002</c:v>
                </c:pt>
                <c:pt idx="14">
                  <c:v>33.993000000000002</c:v>
                </c:pt>
                <c:pt idx="15">
                  <c:v>39.354999999999997</c:v>
                </c:pt>
                <c:pt idx="16">
                  <c:v>33.981000000000002</c:v>
                </c:pt>
                <c:pt idx="17">
                  <c:v>37.655999999999999</c:v>
                </c:pt>
                <c:pt idx="18">
                  <c:v>34.097999999999999</c:v>
                </c:pt>
                <c:pt idx="19">
                  <c:v>36.609000000000002</c:v>
                </c:pt>
                <c:pt idx="20">
                  <c:v>34.283000000000001</c:v>
                </c:pt>
                <c:pt idx="21">
                  <c:v>38.368000000000002</c:v>
                </c:pt>
                <c:pt idx="22">
                  <c:v>33.991</c:v>
                </c:pt>
                <c:pt idx="23">
                  <c:v>33.536000000000001</c:v>
                </c:pt>
                <c:pt idx="24">
                  <c:v>34.140999999999998</c:v>
                </c:pt>
                <c:pt idx="25">
                  <c:v>37.406999999999996</c:v>
                </c:pt>
                <c:pt idx="26">
                  <c:v>33.982999999999997</c:v>
                </c:pt>
                <c:pt idx="27">
                  <c:v>38.655999999999999</c:v>
                </c:pt>
                <c:pt idx="28">
                  <c:v>34.002000000000002</c:v>
                </c:pt>
                <c:pt idx="29">
                  <c:v>36.313000000000002</c:v>
                </c:pt>
                <c:pt idx="30">
                  <c:v>33.975000000000001</c:v>
                </c:pt>
                <c:pt idx="31">
                  <c:v>37.548000000000002</c:v>
                </c:pt>
                <c:pt idx="32">
                  <c:v>34.156999999999996</c:v>
                </c:pt>
                <c:pt idx="33">
                  <c:v>38.247999999999998</c:v>
                </c:pt>
                <c:pt idx="34">
                  <c:v>34.023000000000003</c:v>
                </c:pt>
                <c:pt idx="35">
                  <c:v>37.389000000000003</c:v>
                </c:pt>
                <c:pt idx="36">
                  <c:v>33.948</c:v>
                </c:pt>
                <c:pt idx="37">
                  <c:v>37.792999999999999</c:v>
                </c:pt>
                <c:pt idx="38">
                  <c:v>34.026000000000003</c:v>
                </c:pt>
                <c:pt idx="39">
                  <c:v>39.023000000000003</c:v>
                </c:pt>
                <c:pt idx="40">
                  <c:v>33.927999999999997</c:v>
                </c:pt>
                <c:pt idx="41">
                  <c:v>34.765999999999998</c:v>
                </c:pt>
                <c:pt idx="42">
                  <c:v>34.276000000000003</c:v>
                </c:pt>
                <c:pt idx="43">
                  <c:v>36.942999999999998</c:v>
                </c:pt>
                <c:pt idx="44">
                  <c:v>34.301000000000002</c:v>
                </c:pt>
                <c:pt idx="45">
                  <c:v>36.957000000000001</c:v>
                </c:pt>
                <c:pt idx="46">
                  <c:v>34.290999999999997</c:v>
                </c:pt>
                <c:pt idx="47">
                  <c:v>37.411000000000001</c:v>
                </c:pt>
                <c:pt idx="48">
                  <c:v>34.241</c:v>
                </c:pt>
                <c:pt idx="49">
                  <c:v>37.021999999999998</c:v>
                </c:pt>
                <c:pt idx="50">
                  <c:v>34.215000000000003</c:v>
                </c:pt>
                <c:pt idx="51">
                  <c:v>37.609000000000002</c:v>
                </c:pt>
                <c:pt idx="52">
                  <c:v>34.341000000000001</c:v>
                </c:pt>
                <c:pt idx="53">
                  <c:v>35.081000000000003</c:v>
                </c:pt>
                <c:pt idx="54">
                  <c:v>34.17</c:v>
                </c:pt>
                <c:pt idx="55">
                  <c:v>35.11</c:v>
                </c:pt>
                <c:pt idx="56">
                  <c:v>34.168999999999997</c:v>
                </c:pt>
                <c:pt idx="57">
                  <c:v>35.856999999999999</c:v>
                </c:pt>
                <c:pt idx="58">
                  <c:v>34.270000000000003</c:v>
                </c:pt>
                <c:pt idx="59">
                  <c:v>36.659999999999997</c:v>
                </c:pt>
                <c:pt idx="60">
                  <c:v>34.201000000000001</c:v>
                </c:pt>
                <c:pt idx="61">
                  <c:v>37.719000000000001</c:v>
                </c:pt>
                <c:pt idx="62">
                  <c:v>34.029000000000003</c:v>
                </c:pt>
                <c:pt idx="63">
                  <c:v>36.728999999999999</c:v>
                </c:pt>
                <c:pt idx="64">
                  <c:v>33.415999999999997</c:v>
                </c:pt>
                <c:pt idx="65">
                  <c:v>39.156999999999996</c:v>
                </c:pt>
                <c:pt idx="66">
                  <c:v>33.970999999999997</c:v>
                </c:pt>
                <c:pt idx="67">
                  <c:v>37.901000000000003</c:v>
                </c:pt>
                <c:pt idx="68">
                  <c:v>33.951000000000001</c:v>
                </c:pt>
                <c:pt idx="69">
                  <c:v>36.972000000000001</c:v>
                </c:pt>
                <c:pt idx="70">
                  <c:v>34.154000000000003</c:v>
                </c:pt>
                <c:pt idx="71">
                  <c:v>37.244999999999997</c:v>
                </c:pt>
                <c:pt idx="72">
                  <c:v>34.109000000000002</c:v>
                </c:pt>
                <c:pt idx="73">
                  <c:v>36.701999999999998</c:v>
                </c:pt>
                <c:pt idx="74">
                  <c:v>34.188000000000002</c:v>
                </c:pt>
                <c:pt idx="75">
                  <c:v>36.875</c:v>
                </c:pt>
                <c:pt idx="76">
                  <c:v>34.368000000000002</c:v>
                </c:pt>
                <c:pt idx="77">
                  <c:v>38.252000000000002</c:v>
                </c:pt>
                <c:pt idx="78">
                  <c:v>34.14</c:v>
                </c:pt>
                <c:pt idx="79">
                  <c:v>36.784999999999997</c:v>
                </c:pt>
                <c:pt idx="80">
                  <c:v>33.762</c:v>
                </c:pt>
                <c:pt idx="81">
                  <c:v>37.078000000000003</c:v>
                </c:pt>
                <c:pt idx="82">
                  <c:v>34.055</c:v>
                </c:pt>
                <c:pt idx="83">
                  <c:v>37.076000000000001</c:v>
                </c:pt>
                <c:pt idx="84">
                  <c:v>33.948999999999998</c:v>
                </c:pt>
                <c:pt idx="85">
                  <c:v>38.831000000000003</c:v>
                </c:pt>
                <c:pt idx="86">
                  <c:v>34.037999999999997</c:v>
                </c:pt>
                <c:pt idx="87">
                  <c:v>36.804000000000002</c:v>
                </c:pt>
                <c:pt idx="88">
                  <c:v>34.122</c:v>
                </c:pt>
                <c:pt idx="89">
                  <c:v>37.4</c:v>
                </c:pt>
                <c:pt idx="90">
                  <c:v>34.209000000000003</c:v>
                </c:pt>
                <c:pt idx="91">
                  <c:v>37.725999999999999</c:v>
                </c:pt>
                <c:pt idx="92">
                  <c:v>34.344999999999999</c:v>
                </c:pt>
                <c:pt idx="93">
                  <c:v>37.337000000000003</c:v>
                </c:pt>
                <c:pt idx="94">
                  <c:v>33.97</c:v>
                </c:pt>
                <c:pt idx="95">
                  <c:v>36.813000000000002</c:v>
                </c:pt>
                <c:pt idx="96">
                  <c:v>33.97</c:v>
                </c:pt>
                <c:pt idx="97">
                  <c:v>39.412999999999997</c:v>
                </c:pt>
                <c:pt idx="98">
                  <c:v>34.183999999999997</c:v>
                </c:pt>
                <c:pt idx="99">
                  <c:v>38.716000000000001</c:v>
                </c:pt>
                <c:pt idx="100">
                  <c:v>33.929000000000002</c:v>
                </c:pt>
                <c:pt idx="101">
                  <c:v>37.853999999999999</c:v>
                </c:pt>
                <c:pt idx="102">
                  <c:v>33.957999999999998</c:v>
                </c:pt>
                <c:pt idx="103">
                  <c:v>35.162999999999997</c:v>
                </c:pt>
                <c:pt idx="104">
                  <c:v>33.972000000000001</c:v>
                </c:pt>
                <c:pt idx="105">
                  <c:v>35.860999999999997</c:v>
                </c:pt>
                <c:pt idx="106">
                  <c:v>34.125999999999998</c:v>
                </c:pt>
                <c:pt idx="107">
                  <c:v>37.597999999999999</c:v>
                </c:pt>
                <c:pt idx="108">
                  <c:v>34.182000000000002</c:v>
                </c:pt>
                <c:pt idx="109">
                  <c:v>35.944000000000003</c:v>
                </c:pt>
                <c:pt idx="110">
                  <c:v>33.722000000000001</c:v>
                </c:pt>
                <c:pt idx="111">
                  <c:v>39.878</c:v>
                </c:pt>
                <c:pt idx="112">
                  <c:v>33.777000000000001</c:v>
                </c:pt>
                <c:pt idx="113">
                  <c:v>39.905000000000001</c:v>
                </c:pt>
                <c:pt idx="114">
                  <c:v>34.209000000000003</c:v>
                </c:pt>
                <c:pt idx="115">
                  <c:v>40.625999999999998</c:v>
                </c:pt>
                <c:pt idx="116">
                  <c:v>34.472000000000001</c:v>
                </c:pt>
                <c:pt idx="117">
                  <c:v>37.549999999999997</c:v>
                </c:pt>
                <c:pt idx="118">
                  <c:v>34.616</c:v>
                </c:pt>
                <c:pt idx="119">
                  <c:v>35.377000000000002</c:v>
                </c:pt>
                <c:pt idx="120">
                  <c:v>34.203000000000003</c:v>
                </c:pt>
                <c:pt idx="121">
                  <c:v>35.374000000000002</c:v>
                </c:pt>
                <c:pt idx="122">
                  <c:v>33.945</c:v>
                </c:pt>
                <c:pt idx="123">
                  <c:v>36.811999999999998</c:v>
                </c:pt>
                <c:pt idx="124">
                  <c:v>34.249000000000002</c:v>
                </c:pt>
                <c:pt idx="125">
                  <c:v>36.043999999999997</c:v>
                </c:pt>
                <c:pt idx="126">
                  <c:v>34.159999999999997</c:v>
                </c:pt>
                <c:pt idx="127">
                  <c:v>37.847999999999999</c:v>
                </c:pt>
                <c:pt idx="128">
                  <c:v>34.279000000000003</c:v>
                </c:pt>
                <c:pt idx="129">
                  <c:v>36.372999999999998</c:v>
                </c:pt>
                <c:pt idx="130">
                  <c:v>34.177999999999997</c:v>
                </c:pt>
                <c:pt idx="131">
                  <c:v>37.667999999999999</c:v>
                </c:pt>
                <c:pt idx="132">
                  <c:v>37.668999999999997</c:v>
                </c:pt>
                <c:pt idx="133">
                  <c:v>34.100999999999999</c:v>
                </c:pt>
                <c:pt idx="134">
                  <c:v>36.771000000000001</c:v>
                </c:pt>
                <c:pt idx="135">
                  <c:v>34.008000000000003</c:v>
                </c:pt>
                <c:pt idx="136">
                  <c:v>35.887999999999998</c:v>
                </c:pt>
                <c:pt idx="137">
                  <c:v>33.905000000000001</c:v>
                </c:pt>
                <c:pt idx="138">
                  <c:v>37.18</c:v>
                </c:pt>
                <c:pt idx="139">
                  <c:v>33.972000000000001</c:v>
                </c:pt>
                <c:pt idx="140">
                  <c:v>36.158000000000001</c:v>
                </c:pt>
                <c:pt idx="141">
                  <c:v>34.024000000000001</c:v>
                </c:pt>
                <c:pt idx="142">
                  <c:v>34.612000000000002</c:v>
                </c:pt>
                <c:pt idx="143">
                  <c:v>34.404000000000003</c:v>
                </c:pt>
                <c:pt idx="144">
                  <c:v>35.383000000000003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A-4CD8-BC0B-A7B81A88A9C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('AMP3-2'!$T$4,'AMP3-2'!$T$4)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4A-4CD8-BC0B-A7B81A88A9C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('AMP3-2'!$T$5,'AMP3-2'!$T$5)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4A-4CD8-BC0B-A7B81A88A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09832"/>
        <c:axId val="447310224"/>
      </c:scatterChart>
      <c:valAx>
        <c:axId val="44730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0224"/>
        <c:crosses val="autoZero"/>
        <c:crossBetween val="midCat"/>
      </c:valAx>
      <c:valAx>
        <c:axId val="4473102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0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'AMP3-2'!$U$9:$U$153</c:f>
              <c:numCache>
                <c:formatCode>General</c:formatCode>
                <c:ptCount val="145"/>
                <c:pt idx="0">
                  <c:v>35.204000000000001</c:v>
                </c:pt>
                <c:pt idx="1">
                  <c:v>37.389000000000003</c:v>
                </c:pt>
                <c:pt idx="2">
                  <c:v>34.701000000000001</c:v>
                </c:pt>
                <c:pt idx="3">
                  <c:v>37.151000000000003</c:v>
                </c:pt>
                <c:pt idx="4">
                  <c:v>34.509</c:v>
                </c:pt>
                <c:pt idx="5">
                  <c:v>38.286000000000001</c:v>
                </c:pt>
                <c:pt idx="6">
                  <c:v>34.667999999999999</c:v>
                </c:pt>
                <c:pt idx="7">
                  <c:v>36.631999999999998</c:v>
                </c:pt>
                <c:pt idx="8">
                  <c:v>34.588000000000001</c:v>
                </c:pt>
                <c:pt idx="9">
                  <c:v>37.838000000000001</c:v>
                </c:pt>
                <c:pt idx="10">
                  <c:v>34.534999999999997</c:v>
                </c:pt>
                <c:pt idx="11">
                  <c:v>38.564</c:v>
                </c:pt>
                <c:pt idx="12">
                  <c:v>34.863</c:v>
                </c:pt>
                <c:pt idx="13">
                  <c:v>37.505000000000003</c:v>
                </c:pt>
                <c:pt idx="14">
                  <c:v>34.506</c:v>
                </c:pt>
                <c:pt idx="15">
                  <c:v>41.195</c:v>
                </c:pt>
                <c:pt idx="16">
                  <c:v>34.649000000000001</c:v>
                </c:pt>
                <c:pt idx="17">
                  <c:v>37.856000000000002</c:v>
                </c:pt>
                <c:pt idx="18">
                  <c:v>34.506</c:v>
                </c:pt>
                <c:pt idx="19">
                  <c:v>37.567</c:v>
                </c:pt>
                <c:pt idx="20">
                  <c:v>34.734999999999999</c:v>
                </c:pt>
                <c:pt idx="21">
                  <c:v>38.871000000000002</c:v>
                </c:pt>
                <c:pt idx="22">
                  <c:v>35.119999999999997</c:v>
                </c:pt>
                <c:pt idx="23">
                  <c:v>35.476999999999997</c:v>
                </c:pt>
                <c:pt idx="24">
                  <c:v>34.826000000000001</c:v>
                </c:pt>
                <c:pt idx="25">
                  <c:v>38.832999999999998</c:v>
                </c:pt>
                <c:pt idx="26">
                  <c:v>34.61</c:v>
                </c:pt>
                <c:pt idx="27">
                  <c:v>40.051000000000002</c:v>
                </c:pt>
                <c:pt idx="28">
                  <c:v>34.569000000000003</c:v>
                </c:pt>
                <c:pt idx="29">
                  <c:v>36.034999999999997</c:v>
                </c:pt>
                <c:pt idx="30">
                  <c:v>34.524999999999999</c:v>
                </c:pt>
                <c:pt idx="31">
                  <c:v>38.523000000000003</c:v>
                </c:pt>
                <c:pt idx="32">
                  <c:v>34.750999999999998</c:v>
                </c:pt>
                <c:pt idx="33">
                  <c:v>39.045999999999999</c:v>
                </c:pt>
                <c:pt idx="34">
                  <c:v>34.716999999999999</c:v>
                </c:pt>
                <c:pt idx="35">
                  <c:v>38.905999999999999</c:v>
                </c:pt>
                <c:pt idx="36">
                  <c:v>34.673999999999999</c:v>
                </c:pt>
                <c:pt idx="37">
                  <c:v>38.192</c:v>
                </c:pt>
                <c:pt idx="38">
                  <c:v>34.53</c:v>
                </c:pt>
                <c:pt idx="39">
                  <c:v>39.716999999999999</c:v>
                </c:pt>
                <c:pt idx="40">
                  <c:v>34.688000000000002</c:v>
                </c:pt>
                <c:pt idx="41">
                  <c:v>36.204999999999998</c:v>
                </c:pt>
                <c:pt idx="42">
                  <c:v>34.808999999999997</c:v>
                </c:pt>
                <c:pt idx="43">
                  <c:v>36.710999999999999</c:v>
                </c:pt>
                <c:pt idx="44">
                  <c:v>34.692</c:v>
                </c:pt>
                <c:pt idx="45">
                  <c:v>38.003999999999998</c:v>
                </c:pt>
                <c:pt idx="46">
                  <c:v>34.735999999999997</c:v>
                </c:pt>
                <c:pt idx="47">
                  <c:v>38.462000000000003</c:v>
                </c:pt>
                <c:pt idx="48">
                  <c:v>34.506999999999998</c:v>
                </c:pt>
                <c:pt idx="49">
                  <c:v>37.252000000000002</c:v>
                </c:pt>
                <c:pt idx="50">
                  <c:v>34.465000000000003</c:v>
                </c:pt>
                <c:pt idx="51">
                  <c:v>38.984000000000002</c:v>
                </c:pt>
                <c:pt idx="52">
                  <c:v>34.470999999999997</c:v>
                </c:pt>
                <c:pt idx="53">
                  <c:v>36.680999999999997</c:v>
                </c:pt>
                <c:pt idx="54">
                  <c:v>34.710999999999999</c:v>
                </c:pt>
                <c:pt idx="55">
                  <c:v>38.061999999999998</c:v>
                </c:pt>
                <c:pt idx="56">
                  <c:v>34.729999999999997</c:v>
                </c:pt>
                <c:pt idx="57">
                  <c:v>37.58</c:v>
                </c:pt>
                <c:pt idx="58">
                  <c:v>34.774000000000001</c:v>
                </c:pt>
                <c:pt idx="59">
                  <c:v>36.588000000000001</c:v>
                </c:pt>
                <c:pt idx="60">
                  <c:v>34.566000000000003</c:v>
                </c:pt>
                <c:pt idx="61">
                  <c:v>38.340000000000003</c:v>
                </c:pt>
                <c:pt idx="62">
                  <c:v>34.484999999999999</c:v>
                </c:pt>
                <c:pt idx="63">
                  <c:v>37.670999999999999</c:v>
                </c:pt>
                <c:pt idx="64">
                  <c:v>35.192999999999998</c:v>
                </c:pt>
                <c:pt idx="65">
                  <c:v>38.793999999999997</c:v>
                </c:pt>
                <c:pt idx="66">
                  <c:v>34.594999999999999</c:v>
                </c:pt>
                <c:pt idx="67">
                  <c:v>38.197000000000003</c:v>
                </c:pt>
                <c:pt idx="68">
                  <c:v>34.450000000000003</c:v>
                </c:pt>
                <c:pt idx="69">
                  <c:v>37.941000000000003</c:v>
                </c:pt>
                <c:pt idx="70">
                  <c:v>34.363999999999997</c:v>
                </c:pt>
                <c:pt idx="71">
                  <c:v>37.665999999999997</c:v>
                </c:pt>
                <c:pt idx="72">
                  <c:v>34.667999999999999</c:v>
                </c:pt>
                <c:pt idx="73">
                  <c:v>38.033000000000001</c:v>
                </c:pt>
                <c:pt idx="74">
                  <c:v>34.488999999999997</c:v>
                </c:pt>
                <c:pt idx="75">
                  <c:v>37.448</c:v>
                </c:pt>
                <c:pt idx="76">
                  <c:v>34.465000000000003</c:v>
                </c:pt>
                <c:pt idx="77">
                  <c:v>39.46</c:v>
                </c:pt>
                <c:pt idx="78">
                  <c:v>34.415999999999997</c:v>
                </c:pt>
                <c:pt idx="79">
                  <c:v>37.813000000000002</c:v>
                </c:pt>
                <c:pt idx="80">
                  <c:v>34.718000000000004</c:v>
                </c:pt>
                <c:pt idx="81">
                  <c:v>38.335999999999999</c:v>
                </c:pt>
                <c:pt idx="82">
                  <c:v>34.47</c:v>
                </c:pt>
                <c:pt idx="83">
                  <c:v>37.268999999999998</c:v>
                </c:pt>
                <c:pt idx="84">
                  <c:v>34.405000000000001</c:v>
                </c:pt>
                <c:pt idx="85">
                  <c:v>38.439</c:v>
                </c:pt>
                <c:pt idx="86">
                  <c:v>34.427999999999997</c:v>
                </c:pt>
                <c:pt idx="87">
                  <c:v>37.597000000000001</c:v>
                </c:pt>
                <c:pt idx="88">
                  <c:v>34.844999999999999</c:v>
                </c:pt>
                <c:pt idx="89">
                  <c:v>37.819000000000003</c:v>
                </c:pt>
                <c:pt idx="90">
                  <c:v>34.707999999999998</c:v>
                </c:pt>
                <c:pt idx="91">
                  <c:v>39.017000000000003</c:v>
                </c:pt>
                <c:pt idx="92">
                  <c:v>34.387</c:v>
                </c:pt>
                <c:pt idx="93">
                  <c:v>39.173999999999999</c:v>
                </c:pt>
                <c:pt idx="94">
                  <c:v>34.652999999999999</c:v>
                </c:pt>
                <c:pt idx="95">
                  <c:v>36.136000000000003</c:v>
                </c:pt>
                <c:pt idx="96">
                  <c:v>34.648000000000003</c:v>
                </c:pt>
                <c:pt idx="97">
                  <c:v>39.378999999999998</c:v>
                </c:pt>
                <c:pt idx="98">
                  <c:v>34.444000000000003</c:v>
                </c:pt>
                <c:pt idx="99">
                  <c:v>38.036000000000001</c:v>
                </c:pt>
                <c:pt idx="100">
                  <c:v>34.692999999999998</c:v>
                </c:pt>
                <c:pt idx="101">
                  <c:v>37.668999999999997</c:v>
                </c:pt>
                <c:pt idx="102">
                  <c:v>34.671999999999997</c:v>
                </c:pt>
                <c:pt idx="103">
                  <c:v>36.253</c:v>
                </c:pt>
                <c:pt idx="104">
                  <c:v>34.844999999999999</c:v>
                </c:pt>
                <c:pt idx="105">
                  <c:v>39.231000000000002</c:v>
                </c:pt>
                <c:pt idx="106">
                  <c:v>34.731000000000002</c:v>
                </c:pt>
                <c:pt idx="107">
                  <c:v>39.534999999999997</c:v>
                </c:pt>
                <c:pt idx="108">
                  <c:v>34.667999999999999</c:v>
                </c:pt>
                <c:pt idx="109">
                  <c:v>36.662999999999997</c:v>
                </c:pt>
                <c:pt idx="110">
                  <c:v>34.991</c:v>
                </c:pt>
                <c:pt idx="111">
                  <c:v>40.048000000000002</c:v>
                </c:pt>
                <c:pt idx="112">
                  <c:v>34.774999999999999</c:v>
                </c:pt>
                <c:pt idx="113">
                  <c:v>38.774000000000001</c:v>
                </c:pt>
                <c:pt idx="114">
                  <c:v>34.487000000000002</c:v>
                </c:pt>
                <c:pt idx="115">
                  <c:v>39.713000000000001</c:v>
                </c:pt>
                <c:pt idx="116">
                  <c:v>34.622</c:v>
                </c:pt>
                <c:pt idx="117">
                  <c:v>38.411999999999999</c:v>
                </c:pt>
                <c:pt idx="118">
                  <c:v>34.418999999999997</c:v>
                </c:pt>
                <c:pt idx="119">
                  <c:v>37.073999999999998</c:v>
                </c:pt>
                <c:pt idx="120">
                  <c:v>34.689</c:v>
                </c:pt>
                <c:pt idx="121">
                  <c:v>34.703000000000003</c:v>
                </c:pt>
                <c:pt idx="122">
                  <c:v>34.771000000000001</c:v>
                </c:pt>
                <c:pt idx="123">
                  <c:v>37.729999999999997</c:v>
                </c:pt>
                <c:pt idx="124">
                  <c:v>34.930999999999997</c:v>
                </c:pt>
                <c:pt idx="125">
                  <c:v>36.15</c:v>
                </c:pt>
                <c:pt idx="126">
                  <c:v>34.981999999999999</c:v>
                </c:pt>
                <c:pt idx="127">
                  <c:v>38.475999999999999</c:v>
                </c:pt>
                <c:pt idx="128">
                  <c:v>34.578000000000003</c:v>
                </c:pt>
                <c:pt idx="129">
                  <c:v>37.616</c:v>
                </c:pt>
                <c:pt idx="130">
                  <c:v>34.640999999999998</c:v>
                </c:pt>
                <c:pt idx="131">
                  <c:v>38.052</c:v>
                </c:pt>
                <c:pt idx="132">
                  <c:v>38.049999999999997</c:v>
                </c:pt>
                <c:pt idx="133">
                  <c:v>34.731000000000002</c:v>
                </c:pt>
                <c:pt idx="134">
                  <c:v>37.722999999999999</c:v>
                </c:pt>
                <c:pt idx="135">
                  <c:v>34.26</c:v>
                </c:pt>
                <c:pt idx="136">
                  <c:v>37.204999999999998</c:v>
                </c:pt>
                <c:pt idx="137">
                  <c:v>34.658000000000001</c:v>
                </c:pt>
                <c:pt idx="138">
                  <c:v>38.270000000000003</c:v>
                </c:pt>
                <c:pt idx="139">
                  <c:v>34.584000000000003</c:v>
                </c:pt>
                <c:pt idx="140">
                  <c:v>36.979999999999997</c:v>
                </c:pt>
                <c:pt idx="141">
                  <c:v>34.555999999999997</c:v>
                </c:pt>
                <c:pt idx="142">
                  <c:v>37.585000000000001</c:v>
                </c:pt>
                <c:pt idx="143">
                  <c:v>34.43</c:v>
                </c:pt>
                <c:pt idx="144">
                  <c:v>37.527000000000001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4C-4EC5-A33A-11191C742F3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('AMP3-2'!$U$4,'AMP3-2'!$U$4)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4C-4EC5-A33A-11191C742F3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('AMP3-2'!$U$5,'AMP3-2'!$U$5)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4C-4EC5-A33A-11191C742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1008"/>
        <c:axId val="447311400"/>
      </c:scatterChart>
      <c:valAx>
        <c:axId val="44731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1400"/>
        <c:crosses val="autoZero"/>
        <c:crossBetween val="midCat"/>
      </c:valAx>
      <c:valAx>
        <c:axId val="4473114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'AMP3-2'!$AB$8</c:f>
              <c:strCache>
                <c:ptCount val="1"/>
                <c:pt idx="0">
                  <c:v>T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'AMP3-2'!$AB$9:$AB$153</c:f>
              <c:numCache>
                <c:formatCode>General</c:formatCode>
                <c:ptCount val="145"/>
                <c:pt idx="0">
                  <c:v>-6.0999999999999999E-2</c:v>
                </c:pt>
                <c:pt idx="1">
                  <c:v>-0.19400000000000001</c:v>
                </c:pt>
                <c:pt idx="2">
                  <c:v>0.192</c:v>
                </c:pt>
                <c:pt idx="3">
                  <c:v>7.0000000000000007E-2</c:v>
                </c:pt>
                <c:pt idx="4">
                  <c:v>0.22</c:v>
                </c:pt>
                <c:pt idx="5">
                  <c:v>-4.2000000000000003E-2</c:v>
                </c:pt>
                <c:pt idx="6">
                  <c:v>9.0999999999999998E-2</c:v>
                </c:pt>
                <c:pt idx="7">
                  <c:v>-1.7000000000000001E-2</c:v>
                </c:pt>
                <c:pt idx="8">
                  <c:v>8.5000000000000006E-2</c:v>
                </c:pt>
                <c:pt idx="9">
                  <c:v>-0.107</c:v>
                </c:pt>
                <c:pt idx="10">
                  <c:v>0.223</c:v>
                </c:pt>
                <c:pt idx="11">
                  <c:v>-3.4000000000000002E-2</c:v>
                </c:pt>
                <c:pt idx="12">
                  <c:v>0.27500000000000002</c:v>
                </c:pt>
                <c:pt idx="13">
                  <c:v>0.317</c:v>
                </c:pt>
                <c:pt idx="14">
                  <c:v>0.09</c:v>
                </c:pt>
                <c:pt idx="15">
                  <c:v>0.20799999999999999</c:v>
                </c:pt>
                <c:pt idx="16">
                  <c:v>0.14199999999999999</c:v>
                </c:pt>
                <c:pt idx="17">
                  <c:v>0.14399999999999999</c:v>
                </c:pt>
                <c:pt idx="18">
                  <c:v>0.114</c:v>
                </c:pt>
                <c:pt idx="19">
                  <c:v>7.9000000000000001E-2</c:v>
                </c:pt>
                <c:pt idx="20">
                  <c:v>0.108</c:v>
                </c:pt>
                <c:pt idx="21">
                  <c:v>0.09</c:v>
                </c:pt>
                <c:pt idx="22">
                  <c:v>9.9000000000000005E-2</c:v>
                </c:pt>
                <c:pt idx="23">
                  <c:v>8.5999999999999993E-2</c:v>
                </c:pt>
                <c:pt idx="24">
                  <c:v>0.111</c:v>
                </c:pt>
                <c:pt idx="25">
                  <c:v>0.05</c:v>
                </c:pt>
                <c:pt idx="26">
                  <c:v>6.0999999999999999E-2</c:v>
                </c:pt>
                <c:pt idx="27">
                  <c:v>4.7E-2</c:v>
                </c:pt>
                <c:pt idx="28">
                  <c:v>9.1999999999999998E-2</c:v>
                </c:pt>
                <c:pt idx="29">
                  <c:v>6.0000000000000001E-3</c:v>
                </c:pt>
                <c:pt idx="30">
                  <c:v>9.1999999999999998E-2</c:v>
                </c:pt>
                <c:pt idx="31">
                  <c:v>2.3E-2</c:v>
                </c:pt>
                <c:pt idx="32">
                  <c:v>3.3000000000000002E-2</c:v>
                </c:pt>
                <c:pt idx="33">
                  <c:v>4.2000000000000003E-2</c:v>
                </c:pt>
                <c:pt idx="34">
                  <c:v>-2.9000000000000001E-2</c:v>
                </c:pt>
                <c:pt idx="35">
                  <c:v>-2.3E-2</c:v>
                </c:pt>
                <c:pt idx="36">
                  <c:v>8.7999999999999995E-2</c:v>
                </c:pt>
                <c:pt idx="37">
                  <c:v>1.0999999999999999E-2</c:v>
                </c:pt>
                <c:pt idx="38">
                  <c:v>9.9000000000000005E-2</c:v>
                </c:pt>
                <c:pt idx="39">
                  <c:v>5.1999999999999998E-2</c:v>
                </c:pt>
                <c:pt idx="40">
                  <c:v>-5.3999999999999999E-2</c:v>
                </c:pt>
                <c:pt idx="41">
                  <c:v>-8.3000000000000004E-2</c:v>
                </c:pt>
                <c:pt idx="42">
                  <c:v>0.13600000000000001</c:v>
                </c:pt>
                <c:pt idx="43">
                  <c:v>-8.0000000000000002E-3</c:v>
                </c:pt>
                <c:pt idx="44">
                  <c:v>0.153</c:v>
                </c:pt>
                <c:pt idx="45">
                  <c:v>2.3E-2</c:v>
                </c:pt>
                <c:pt idx="46">
                  <c:v>6.8000000000000005E-2</c:v>
                </c:pt>
                <c:pt idx="47">
                  <c:v>3.0000000000000001E-3</c:v>
                </c:pt>
                <c:pt idx="48">
                  <c:v>4.4999999999999998E-2</c:v>
                </c:pt>
                <c:pt idx="49">
                  <c:v>-8.1000000000000003E-2</c:v>
                </c:pt>
                <c:pt idx="50">
                  <c:v>7.9000000000000001E-2</c:v>
                </c:pt>
                <c:pt idx="51">
                  <c:v>-0.14299999999999999</c:v>
                </c:pt>
                <c:pt idx="52">
                  <c:v>2.3E-2</c:v>
                </c:pt>
                <c:pt idx="53">
                  <c:v>-0.127</c:v>
                </c:pt>
                <c:pt idx="54">
                  <c:v>-7.5999999999999998E-2</c:v>
                </c:pt>
                <c:pt idx="55">
                  <c:v>-0.10199999999999999</c:v>
                </c:pt>
                <c:pt idx="56">
                  <c:v>4.9000000000000002E-2</c:v>
                </c:pt>
                <c:pt idx="57">
                  <c:v>-0.189</c:v>
                </c:pt>
                <c:pt idx="58">
                  <c:v>3.2000000000000001E-2</c:v>
                </c:pt>
                <c:pt idx="59">
                  <c:v>-0.112</c:v>
                </c:pt>
                <c:pt idx="60">
                  <c:v>1.2999999999999999E-2</c:v>
                </c:pt>
                <c:pt idx="61">
                  <c:v>-6.9000000000000006E-2</c:v>
                </c:pt>
                <c:pt idx="62">
                  <c:v>-5.5E-2</c:v>
                </c:pt>
                <c:pt idx="63">
                  <c:v>-0.14299999999999999</c:v>
                </c:pt>
                <c:pt idx="64">
                  <c:v>-0.13200000000000001</c:v>
                </c:pt>
                <c:pt idx="65">
                  <c:v>-0.13300000000000001</c:v>
                </c:pt>
                <c:pt idx="66">
                  <c:v>0.02</c:v>
                </c:pt>
                <c:pt idx="67">
                  <c:v>-0.14000000000000001</c:v>
                </c:pt>
                <c:pt idx="68">
                  <c:v>-4.4999999999999998E-2</c:v>
                </c:pt>
                <c:pt idx="69">
                  <c:v>-0.16800000000000001</c:v>
                </c:pt>
                <c:pt idx="70">
                  <c:v>8.9999999999999993E-3</c:v>
                </c:pt>
                <c:pt idx="71">
                  <c:v>-0.109</c:v>
                </c:pt>
                <c:pt idx="72">
                  <c:v>6.0000000000000001E-3</c:v>
                </c:pt>
                <c:pt idx="73">
                  <c:v>-0.107</c:v>
                </c:pt>
                <c:pt idx="74">
                  <c:v>-2.7E-2</c:v>
                </c:pt>
                <c:pt idx="75">
                  <c:v>-5.2999999999999999E-2</c:v>
                </c:pt>
                <c:pt idx="76">
                  <c:v>-7.0999999999999994E-2</c:v>
                </c:pt>
                <c:pt idx="77">
                  <c:v>-0.23599999999999999</c:v>
                </c:pt>
                <c:pt idx="78">
                  <c:v>-0.13500000000000001</c:v>
                </c:pt>
                <c:pt idx="79">
                  <c:v>-0.11</c:v>
                </c:pt>
                <c:pt idx="80">
                  <c:v>-3.3000000000000002E-2</c:v>
                </c:pt>
                <c:pt idx="81">
                  <c:v>-0.13</c:v>
                </c:pt>
                <c:pt idx="82">
                  <c:v>-2.7E-2</c:v>
                </c:pt>
                <c:pt idx="83">
                  <c:v>-0.159</c:v>
                </c:pt>
                <c:pt idx="84">
                  <c:v>0.112</c:v>
                </c:pt>
                <c:pt idx="85">
                  <c:v>-3.0000000000000001E-3</c:v>
                </c:pt>
                <c:pt idx="86">
                  <c:v>0.10299999999999999</c:v>
                </c:pt>
                <c:pt idx="87">
                  <c:v>-4.3999999999999997E-2</c:v>
                </c:pt>
                <c:pt idx="88">
                  <c:v>0.14899999999999999</c:v>
                </c:pt>
                <c:pt idx="89">
                  <c:v>3.1E-2</c:v>
                </c:pt>
                <c:pt idx="90">
                  <c:v>8.3000000000000004E-2</c:v>
                </c:pt>
                <c:pt idx="91">
                  <c:v>-1.2E-2</c:v>
                </c:pt>
                <c:pt idx="92">
                  <c:v>-3.2000000000000001E-2</c:v>
                </c:pt>
                <c:pt idx="93">
                  <c:v>-7.3999999999999996E-2</c:v>
                </c:pt>
                <c:pt idx="94">
                  <c:v>3.0000000000000001E-3</c:v>
                </c:pt>
                <c:pt idx="95">
                  <c:v>-5.8999999999999997E-2</c:v>
                </c:pt>
                <c:pt idx="96">
                  <c:v>0.13400000000000001</c:v>
                </c:pt>
                <c:pt idx="97">
                  <c:v>-4.2000000000000003E-2</c:v>
                </c:pt>
                <c:pt idx="98">
                  <c:v>7.8E-2</c:v>
                </c:pt>
                <c:pt idx="99">
                  <c:v>-0.104</c:v>
                </c:pt>
                <c:pt idx="100">
                  <c:v>0.182</c:v>
                </c:pt>
                <c:pt idx="101">
                  <c:v>2.1000000000000001E-2</c:v>
                </c:pt>
                <c:pt idx="102">
                  <c:v>-0.115</c:v>
                </c:pt>
                <c:pt idx="103">
                  <c:v>-0.16300000000000001</c:v>
                </c:pt>
                <c:pt idx="104">
                  <c:v>-0.111</c:v>
                </c:pt>
                <c:pt idx="105">
                  <c:v>-0.22900000000000001</c:v>
                </c:pt>
                <c:pt idx="106">
                  <c:v>-6.4000000000000001E-2</c:v>
                </c:pt>
                <c:pt idx="107">
                  <c:v>-0.13600000000000001</c:v>
                </c:pt>
                <c:pt idx="108">
                  <c:v>6.0000000000000001E-3</c:v>
                </c:pt>
                <c:pt idx="109">
                  <c:v>-0.16</c:v>
                </c:pt>
                <c:pt idx="110">
                  <c:v>-7.0000000000000001E-3</c:v>
                </c:pt>
                <c:pt idx="111">
                  <c:v>-0.123</c:v>
                </c:pt>
                <c:pt idx="112">
                  <c:v>-0.09</c:v>
                </c:pt>
                <c:pt idx="113">
                  <c:v>-0.21199999999999999</c:v>
                </c:pt>
                <c:pt idx="114">
                  <c:v>-4.1000000000000002E-2</c:v>
                </c:pt>
                <c:pt idx="115">
                  <c:v>-0.19400000000000001</c:v>
                </c:pt>
                <c:pt idx="116">
                  <c:v>1.4999999999999999E-2</c:v>
                </c:pt>
                <c:pt idx="117">
                  <c:v>-0.124</c:v>
                </c:pt>
                <c:pt idx="118">
                  <c:v>-3.6999999999999998E-2</c:v>
                </c:pt>
                <c:pt idx="119">
                  <c:v>-0.13800000000000001</c:v>
                </c:pt>
                <c:pt idx="120">
                  <c:v>3.1E-2</c:v>
                </c:pt>
                <c:pt idx="121">
                  <c:v>-0.13700000000000001</c:v>
                </c:pt>
                <c:pt idx="122">
                  <c:v>-0.153</c:v>
                </c:pt>
                <c:pt idx="123">
                  <c:v>-0.252</c:v>
                </c:pt>
                <c:pt idx="124">
                  <c:v>-0.10100000000000001</c:v>
                </c:pt>
                <c:pt idx="125">
                  <c:v>-8.7999999999999995E-2</c:v>
                </c:pt>
                <c:pt idx="126">
                  <c:v>-7.8E-2</c:v>
                </c:pt>
                <c:pt idx="127">
                  <c:v>-0.17699999999999999</c:v>
                </c:pt>
                <c:pt idx="128">
                  <c:v>0.159</c:v>
                </c:pt>
                <c:pt idx="129">
                  <c:v>-8.4000000000000005E-2</c:v>
                </c:pt>
                <c:pt idx="130">
                  <c:v>0.06</c:v>
                </c:pt>
                <c:pt idx="131">
                  <c:v>-0.11899999999999999</c:v>
                </c:pt>
                <c:pt idx="132">
                  <c:v>-0.12</c:v>
                </c:pt>
                <c:pt idx="133">
                  <c:v>0.14699999999999999</c:v>
                </c:pt>
                <c:pt idx="134">
                  <c:v>-4.5999999999999999E-2</c:v>
                </c:pt>
                <c:pt idx="135">
                  <c:v>7.5999999999999998E-2</c:v>
                </c:pt>
                <c:pt idx="136">
                  <c:v>-0.17499999999999999</c:v>
                </c:pt>
                <c:pt idx="137">
                  <c:v>0.13200000000000001</c:v>
                </c:pt>
                <c:pt idx="138">
                  <c:v>-0.13100000000000001</c:v>
                </c:pt>
                <c:pt idx="139">
                  <c:v>9.7000000000000003E-2</c:v>
                </c:pt>
                <c:pt idx="140">
                  <c:v>-0.14399999999999999</c:v>
                </c:pt>
                <c:pt idx="141">
                  <c:v>2.5000000000000001E-2</c:v>
                </c:pt>
                <c:pt idx="142">
                  <c:v>-0.17199999999999999</c:v>
                </c:pt>
                <c:pt idx="143">
                  <c:v>-7.0000000000000007E-2</c:v>
                </c:pt>
                <c:pt idx="144">
                  <c:v>-0.17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2-4666-85CB-8A40970FDB5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('AMP3-2'!$AB$4,'AMP3-2'!$AB$4)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2-4666-85CB-8A40970FDB5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('AMP3-2'!$AB$5,'AMP3-2'!$AB$5)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22-4666-85CB-8A40970FD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2184"/>
        <c:axId val="447312576"/>
      </c:scatterChart>
      <c:valAx>
        <c:axId val="44731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2576"/>
        <c:crosses val="autoZero"/>
        <c:crossBetween val="midCat"/>
      </c:valAx>
      <c:valAx>
        <c:axId val="4473125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'AMP3-2'!$AC$8</c:f>
              <c:strCache>
                <c:ptCount val="1"/>
                <c:pt idx="0">
                  <c:v>T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'AMP3-2'!$AC$9:$AC$153</c:f>
              <c:numCache>
                <c:formatCode>General</c:formatCode>
                <c:ptCount val="145"/>
                <c:pt idx="0">
                  <c:v>-5.0999999999999997E-2</c:v>
                </c:pt>
                <c:pt idx="1">
                  <c:v>-0.02</c:v>
                </c:pt>
                <c:pt idx="2">
                  <c:v>0.188</c:v>
                </c:pt>
                <c:pt idx="3">
                  <c:v>0.20100000000000001</c:v>
                </c:pt>
                <c:pt idx="4">
                  <c:v>0.20599999999999999</c:v>
                </c:pt>
                <c:pt idx="5">
                  <c:v>0.113</c:v>
                </c:pt>
                <c:pt idx="6">
                  <c:v>9.4E-2</c:v>
                </c:pt>
                <c:pt idx="7">
                  <c:v>0.129</c:v>
                </c:pt>
                <c:pt idx="8">
                  <c:v>8.5999999999999993E-2</c:v>
                </c:pt>
                <c:pt idx="9">
                  <c:v>5.8000000000000003E-2</c:v>
                </c:pt>
                <c:pt idx="10">
                  <c:v>0.21299999999999999</c:v>
                </c:pt>
                <c:pt idx="11">
                  <c:v>0.113</c:v>
                </c:pt>
                <c:pt idx="12">
                  <c:v>0.26600000000000001</c:v>
                </c:pt>
                <c:pt idx="13">
                  <c:v>0.47499999999999998</c:v>
                </c:pt>
                <c:pt idx="14">
                  <c:v>8.5999999999999993E-2</c:v>
                </c:pt>
                <c:pt idx="15">
                  <c:v>0.38200000000000001</c:v>
                </c:pt>
                <c:pt idx="16">
                  <c:v>0.186</c:v>
                </c:pt>
                <c:pt idx="17">
                  <c:v>0.316</c:v>
                </c:pt>
                <c:pt idx="18">
                  <c:v>7.9000000000000001E-2</c:v>
                </c:pt>
                <c:pt idx="19">
                  <c:v>0.25600000000000001</c:v>
                </c:pt>
                <c:pt idx="20">
                  <c:v>0.12</c:v>
                </c:pt>
                <c:pt idx="21">
                  <c:v>0.26500000000000001</c:v>
                </c:pt>
                <c:pt idx="22">
                  <c:v>0.121</c:v>
                </c:pt>
                <c:pt idx="23">
                  <c:v>0.246</c:v>
                </c:pt>
                <c:pt idx="24">
                  <c:v>9.8000000000000004E-2</c:v>
                </c:pt>
                <c:pt idx="25">
                  <c:v>0.223</c:v>
                </c:pt>
                <c:pt idx="26">
                  <c:v>0.06</c:v>
                </c:pt>
                <c:pt idx="27">
                  <c:v>0.222</c:v>
                </c:pt>
                <c:pt idx="28">
                  <c:v>9.7000000000000003E-2</c:v>
                </c:pt>
                <c:pt idx="29">
                  <c:v>0.193</c:v>
                </c:pt>
                <c:pt idx="30">
                  <c:v>0.105</c:v>
                </c:pt>
                <c:pt idx="31">
                  <c:v>0.19700000000000001</c:v>
                </c:pt>
                <c:pt idx="32">
                  <c:v>3.9E-2</c:v>
                </c:pt>
                <c:pt idx="33">
                  <c:v>0.22500000000000001</c:v>
                </c:pt>
                <c:pt idx="34">
                  <c:v>-4.3999999999999997E-2</c:v>
                </c:pt>
                <c:pt idx="35">
                  <c:v>0.16</c:v>
                </c:pt>
                <c:pt idx="36">
                  <c:v>8.1000000000000003E-2</c:v>
                </c:pt>
                <c:pt idx="37">
                  <c:v>0.184</c:v>
                </c:pt>
                <c:pt idx="38">
                  <c:v>0.10199999999999999</c:v>
                </c:pt>
                <c:pt idx="39">
                  <c:v>0.24199999999999999</c:v>
                </c:pt>
                <c:pt idx="40">
                  <c:v>-6.5000000000000002E-2</c:v>
                </c:pt>
                <c:pt idx="41">
                  <c:v>0.10199999999999999</c:v>
                </c:pt>
                <c:pt idx="42">
                  <c:v>0.12</c:v>
                </c:pt>
                <c:pt idx="43">
                  <c:v>0.13500000000000001</c:v>
                </c:pt>
                <c:pt idx="44">
                  <c:v>0.14599999999999999</c:v>
                </c:pt>
                <c:pt idx="45">
                  <c:v>0.16</c:v>
                </c:pt>
                <c:pt idx="46">
                  <c:v>0.11899999999999999</c:v>
                </c:pt>
                <c:pt idx="47">
                  <c:v>0.14799999999999999</c:v>
                </c:pt>
                <c:pt idx="48">
                  <c:v>2.7E-2</c:v>
                </c:pt>
                <c:pt idx="49">
                  <c:v>6.7000000000000004E-2</c:v>
                </c:pt>
                <c:pt idx="50">
                  <c:v>7.8E-2</c:v>
                </c:pt>
                <c:pt idx="51">
                  <c:v>1.2999999999999999E-2</c:v>
                </c:pt>
                <c:pt idx="52">
                  <c:v>2.8000000000000001E-2</c:v>
                </c:pt>
                <c:pt idx="53">
                  <c:v>2.5999999999999999E-2</c:v>
                </c:pt>
                <c:pt idx="54">
                  <c:v>-7.3999999999999996E-2</c:v>
                </c:pt>
                <c:pt idx="55">
                  <c:v>5.2999999999999999E-2</c:v>
                </c:pt>
                <c:pt idx="56">
                  <c:v>5.3999999999999999E-2</c:v>
                </c:pt>
                <c:pt idx="57">
                  <c:v>-4.3999999999999997E-2</c:v>
                </c:pt>
                <c:pt idx="58">
                  <c:v>1.4E-2</c:v>
                </c:pt>
                <c:pt idx="59">
                  <c:v>4.1000000000000002E-2</c:v>
                </c:pt>
                <c:pt idx="60">
                  <c:v>1.2E-2</c:v>
                </c:pt>
                <c:pt idx="61">
                  <c:v>7.4999999999999997E-2</c:v>
                </c:pt>
                <c:pt idx="62">
                  <c:v>-6.4000000000000001E-2</c:v>
                </c:pt>
                <c:pt idx="63">
                  <c:v>1.4E-2</c:v>
                </c:pt>
                <c:pt idx="64">
                  <c:v>-0.126</c:v>
                </c:pt>
                <c:pt idx="65">
                  <c:v>2.8000000000000001E-2</c:v>
                </c:pt>
                <c:pt idx="66">
                  <c:v>0.02</c:v>
                </c:pt>
                <c:pt idx="67">
                  <c:v>2.5000000000000001E-2</c:v>
                </c:pt>
                <c:pt idx="68">
                  <c:v>-4.7E-2</c:v>
                </c:pt>
                <c:pt idx="69">
                  <c:v>-1.7000000000000001E-2</c:v>
                </c:pt>
                <c:pt idx="70">
                  <c:v>8.9999999999999993E-3</c:v>
                </c:pt>
                <c:pt idx="71">
                  <c:v>4.7E-2</c:v>
                </c:pt>
                <c:pt idx="72">
                  <c:v>0.01</c:v>
                </c:pt>
                <c:pt idx="73">
                  <c:v>4.2999999999999997E-2</c:v>
                </c:pt>
                <c:pt idx="74">
                  <c:v>-2.9000000000000001E-2</c:v>
                </c:pt>
                <c:pt idx="75">
                  <c:v>9.4E-2</c:v>
                </c:pt>
                <c:pt idx="76">
                  <c:v>-5.3999999999999999E-2</c:v>
                </c:pt>
                <c:pt idx="77">
                  <c:v>-8.2000000000000003E-2</c:v>
                </c:pt>
                <c:pt idx="78">
                  <c:v>-0.121</c:v>
                </c:pt>
                <c:pt idx="79">
                  <c:v>3.3000000000000002E-2</c:v>
                </c:pt>
                <c:pt idx="80">
                  <c:v>-1.4E-2</c:v>
                </c:pt>
                <c:pt idx="81">
                  <c:v>1.4E-2</c:v>
                </c:pt>
                <c:pt idx="82">
                  <c:v>-2.9000000000000001E-2</c:v>
                </c:pt>
                <c:pt idx="83">
                  <c:v>6.0000000000000001E-3</c:v>
                </c:pt>
                <c:pt idx="84">
                  <c:v>9.9000000000000005E-2</c:v>
                </c:pt>
                <c:pt idx="85">
                  <c:v>0.14299999999999999</c:v>
                </c:pt>
                <c:pt idx="86">
                  <c:v>8.8999999999999996E-2</c:v>
                </c:pt>
                <c:pt idx="87">
                  <c:v>0.106</c:v>
                </c:pt>
                <c:pt idx="88">
                  <c:v>0.13200000000000001</c:v>
                </c:pt>
                <c:pt idx="89">
                  <c:v>0.191</c:v>
                </c:pt>
                <c:pt idx="90">
                  <c:v>7.0999999999999994E-2</c:v>
                </c:pt>
                <c:pt idx="91">
                  <c:v>0.14099999999999999</c:v>
                </c:pt>
                <c:pt idx="92">
                  <c:v>-4.5999999999999999E-2</c:v>
                </c:pt>
                <c:pt idx="93">
                  <c:v>7.0000000000000007E-2</c:v>
                </c:pt>
                <c:pt idx="94">
                  <c:v>-8.0000000000000002E-3</c:v>
                </c:pt>
                <c:pt idx="95">
                  <c:v>9.2999999999999999E-2</c:v>
                </c:pt>
                <c:pt idx="96">
                  <c:v>0.13100000000000001</c:v>
                </c:pt>
                <c:pt idx="97">
                  <c:v>8.5999999999999993E-2</c:v>
                </c:pt>
                <c:pt idx="98">
                  <c:v>6.9000000000000006E-2</c:v>
                </c:pt>
                <c:pt idx="99">
                  <c:v>5.5E-2</c:v>
                </c:pt>
                <c:pt idx="100">
                  <c:v>0.184</c:v>
                </c:pt>
                <c:pt idx="101">
                  <c:v>0.16600000000000001</c:v>
                </c:pt>
                <c:pt idx="102">
                  <c:v>-0.111</c:v>
                </c:pt>
                <c:pt idx="103">
                  <c:v>-5.0000000000000001E-3</c:v>
                </c:pt>
                <c:pt idx="104">
                  <c:v>-0.108</c:v>
                </c:pt>
                <c:pt idx="105">
                  <c:v>-7.0999999999999994E-2</c:v>
                </c:pt>
                <c:pt idx="106">
                  <c:v>-7.6999999999999999E-2</c:v>
                </c:pt>
                <c:pt idx="107">
                  <c:v>0.03</c:v>
                </c:pt>
                <c:pt idx="108">
                  <c:v>8.0000000000000002E-3</c:v>
                </c:pt>
                <c:pt idx="109">
                  <c:v>-5.0000000000000001E-3</c:v>
                </c:pt>
                <c:pt idx="110">
                  <c:v>2E-3</c:v>
                </c:pt>
                <c:pt idx="111">
                  <c:v>5.3999999999999999E-2</c:v>
                </c:pt>
                <c:pt idx="112">
                  <c:v>-0.111</c:v>
                </c:pt>
                <c:pt idx="113">
                  <c:v>-4.2999999999999997E-2</c:v>
                </c:pt>
                <c:pt idx="114">
                  <c:v>-4.4999999999999998E-2</c:v>
                </c:pt>
                <c:pt idx="115">
                  <c:v>-3.6999999999999998E-2</c:v>
                </c:pt>
                <c:pt idx="116">
                  <c:v>1.7999999999999999E-2</c:v>
                </c:pt>
                <c:pt idx="117">
                  <c:v>0.01</c:v>
                </c:pt>
                <c:pt idx="118">
                  <c:v>-3.2000000000000001E-2</c:v>
                </c:pt>
                <c:pt idx="119">
                  <c:v>4.8000000000000001E-2</c:v>
                </c:pt>
                <c:pt idx="120">
                  <c:v>1.9E-2</c:v>
                </c:pt>
                <c:pt idx="121">
                  <c:v>2.1999999999999999E-2</c:v>
                </c:pt>
                <c:pt idx="122">
                  <c:v>-0.156</c:v>
                </c:pt>
                <c:pt idx="123">
                  <c:v>-8.8999999999999996E-2</c:v>
                </c:pt>
                <c:pt idx="124">
                  <c:v>-8.4000000000000005E-2</c:v>
                </c:pt>
                <c:pt idx="125">
                  <c:v>8.2000000000000003E-2</c:v>
                </c:pt>
                <c:pt idx="126">
                  <c:v>-8.4000000000000005E-2</c:v>
                </c:pt>
                <c:pt idx="127">
                  <c:v>-1.0999999999999999E-2</c:v>
                </c:pt>
                <c:pt idx="128">
                  <c:v>0.158</c:v>
                </c:pt>
                <c:pt idx="129">
                  <c:v>5.1999999999999998E-2</c:v>
                </c:pt>
                <c:pt idx="130">
                  <c:v>5.5E-2</c:v>
                </c:pt>
                <c:pt idx="131">
                  <c:v>3.3000000000000002E-2</c:v>
                </c:pt>
                <c:pt idx="132">
                  <c:v>3.2000000000000001E-2</c:v>
                </c:pt>
                <c:pt idx="133">
                  <c:v>0.13200000000000001</c:v>
                </c:pt>
                <c:pt idx="134">
                  <c:v>9.8000000000000004E-2</c:v>
                </c:pt>
                <c:pt idx="135">
                  <c:v>6.4000000000000001E-2</c:v>
                </c:pt>
                <c:pt idx="136">
                  <c:v>-3.5000000000000003E-2</c:v>
                </c:pt>
                <c:pt idx="137">
                  <c:v>0.11899999999999999</c:v>
                </c:pt>
                <c:pt idx="138">
                  <c:v>-3.0000000000000001E-3</c:v>
                </c:pt>
                <c:pt idx="139">
                  <c:v>0.106</c:v>
                </c:pt>
                <c:pt idx="140">
                  <c:v>7.0000000000000001E-3</c:v>
                </c:pt>
                <c:pt idx="141">
                  <c:v>2.8000000000000001E-2</c:v>
                </c:pt>
                <c:pt idx="142">
                  <c:v>-0.03</c:v>
                </c:pt>
                <c:pt idx="143">
                  <c:v>-7.9000000000000001E-2</c:v>
                </c:pt>
                <c:pt idx="144">
                  <c:v>-2.3E-2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6-427D-993C-75F7CCF7F95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('AMP3-2'!$AC$4,'AMP3-2'!$AC$4)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D6-427D-993C-75F7CCF7F95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('AMP3-2'!$AC$5,'AMP3-2'!$AC$5)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6-427D-993C-75F7CCF7F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3360"/>
        <c:axId val="447313752"/>
      </c:scatterChart>
      <c:valAx>
        <c:axId val="44731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3752"/>
        <c:crosses val="autoZero"/>
        <c:crossBetween val="midCat"/>
      </c:valAx>
      <c:valAx>
        <c:axId val="4473137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'AMP3-2'!$AD$8</c:f>
              <c:strCache>
                <c:ptCount val="1"/>
                <c:pt idx="0">
                  <c:v>T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'AMP3-2'!$AD$9:$AD$153</c:f>
              <c:numCache>
                <c:formatCode>General</c:formatCode>
                <c:ptCount val="145"/>
                <c:pt idx="0">
                  <c:v>0.17399999999999999</c:v>
                </c:pt>
                <c:pt idx="1">
                  <c:v>-0.214</c:v>
                </c:pt>
                <c:pt idx="2">
                  <c:v>1.2999999999999999E-2</c:v>
                </c:pt>
                <c:pt idx="3">
                  <c:v>0.107</c:v>
                </c:pt>
                <c:pt idx="4">
                  <c:v>8.0000000000000002E-3</c:v>
                </c:pt>
                <c:pt idx="5">
                  <c:v>1.7999999999999999E-2</c:v>
                </c:pt>
                <c:pt idx="6">
                  <c:v>-1.0999999999999999E-2</c:v>
                </c:pt>
                <c:pt idx="7">
                  <c:v>6.7000000000000004E-2</c:v>
                </c:pt>
                <c:pt idx="8">
                  <c:v>4.2999999999999997E-2</c:v>
                </c:pt>
                <c:pt idx="9">
                  <c:v>1E-3</c:v>
                </c:pt>
                <c:pt idx="10">
                  <c:v>0.27</c:v>
                </c:pt>
                <c:pt idx="11">
                  <c:v>-0.253</c:v>
                </c:pt>
                <c:pt idx="12">
                  <c:v>0.21</c:v>
                </c:pt>
                <c:pt idx="13">
                  <c:v>0.27700000000000002</c:v>
                </c:pt>
                <c:pt idx="14">
                  <c:v>-3.2000000000000001E-2</c:v>
                </c:pt>
                <c:pt idx="15">
                  <c:v>0.32400000000000001</c:v>
                </c:pt>
                <c:pt idx="16">
                  <c:v>0.115</c:v>
                </c:pt>
                <c:pt idx="17">
                  <c:v>0.11600000000000001</c:v>
                </c:pt>
                <c:pt idx="18">
                  <c:v>0.127</c:v>
                </c:pt>
                <c:pt idx="19">
                  <c:v>0.2</c:v>
                </c:pt>
                <c:pt idx="20">
                  <c:v>0.17599999999999999</c:v>
                </c:pt>
                <c:pt idx="21">
                  <c:v>0.184</c:v>
                </c:pt>
                <c:pt idx="22">
                  <c:v>0.16400000000000001</c:v>
                </c:pt>
                <c:pt idx="23">
                  <c:v>0.21199999999999999</c:v>
                </c:pt>
                <c:pt idx="24">
                  <c:v>0.13700000000000001</c:v>
                </c:pt>
                <c:pt idx="25">
                  <c:v>6.6000000000000003E-2</c:v>
                </c:pt>
                <c:pt idx="26">
                  <c:v>0.11600000000000001</c:v>
                </c:pt>
                <c:pt idx="27">
                  <c:v>0.115</c:v>
                </c:pt>
                <c:pt idx="28">
                  <c:v>0.14299999999999999</c:v>
                </c:pt>
                <c:pt idx="29">
                  <c:v>0.128</c:v>
                </c:pt>
                <c:pt idx="30">
                  <c:v>0.115</c:v>
                </c:pt>
                <c:pt idx="31">
                  <c:v>0.219</c:v>
                </c:pt>
                <c:pt idx="32">
                  <c:v>0.13</c:v>
                </c:pt>
                <c:pt idx="33">
                  <c:v>9.2999999999999999E-2</c:v>
                </c:pt>
                <c:pt idx="34">
                  <c:v>5.5E-2</c:v>
                </c:pt>
                <c:pt idx="35">
                  <c:v>0.158</c:v>
                </c:pt>
                <c:pt idx="36">
                  <c:v>0.111</c:v>
                </c:pt>
                <c:pt idx="37">
                  <c:v>5.5E-2</c:v>
                </c:pt>
                <c:pt idx="38">
                  <c:v>8.5000000000000006E-2</c:v>
                </c:pt>
                <c:pt idx="39">
                  <c:v>0.11</c:v>
                </c:pt>
                <c:pt idx="40">
                  <c:v>0.19700000000000001</c:v>
                </c:pt>
                <c:pt idx="41">
                  <c:v>0.16</c:v>
                </c:pt>
                <c:pt idx="42">
                  <c:v>0.16900000000000001</c:v>
                </c:pt>
                <c:pt idx="43">
                  <c:v>4.2000000000000003E-2</c:v>
                </c:pt>
                <c:pt idx="44">
                  <c:v>4.4999999999999998E-2</c:v>
                </c:pt>
                <c:pt idx="45">
                  <c:v>1.2E-2</c:v>
                </c:pt>
                <c:pt idx="46">
                  <c:v>0.11</c:v>
                </c:pt>
                <c:pt idx="47">
                  <c:v>3.9E-2</c:v>
                </c:pt>
                <c:pt idx="48">
                  <c:v>4.4999999999999998E-2</c:v>
                </c:pt>
                <c:pt idx="49">
                  <c:v>-0.10299999999999999</c:v>
                </c:pt>
                <c:pt idx="50">
                  <c:v>0.107</c:v>
                </c:pt>
                <c:pt idx="51">
                  <c:v>-0.109</c:v>
                </c:pt>
                <c:pt idx="52">
                  <c:v>0.109</c:v>
                </c:pt>
                <c:pt idx="53">
                  <c:v>-0.17499999999999999</c:v>
                </c:pt>
                <c:pt idx="54">
                  <c:v>5.2999999999999999E-2</c:v>
                </c:pt>
                <c:pt idx="55">
                  <c:v>1.2E-2</c:v>
                </c:pt>
                <c:pt idx="56">
                  <c:v>0.23400000000000001</c:v>
                </c:pt>
                <c:pt idx="57">
                  <c:v>-0.08</c:v>
                </c:pt>
                <c:pt idx="58">
                  <c:v>7.8E-2</c:v>
                </c:pt>
                <c:pt idx="59">
                  <c:v>-3.0000000000000001E-3</c:v>
                </c:pt>
                <c:pt idx="60">
                  <c:v>4.2000000000000003E-2</c:v>
                </c:pt>
                <c:pt idx="61">
                  <c:v>2.1999999999999999E-2</c:v>
                </c:pt>
                <c:pt idx="62">
                  <c:v>-2.5999999999999999E-2</c:v>
                </c:pt>
                <c:pt idx="63">
                  <c:v>4.8000000000000001E-2</c:v>
                </c:pt>
                <c:pt idx="64">
                  <c:v>-5.0999999999999997E-2</c:v>
                </c:pt>
                <c:pt idx="65">
                  <c:v>-0.12</c:v>
                </c:pt>
                <c:pt idx="66">
                  <c:v>8.8999999999999996E-2</c:v>
                </c:pt>
                <c:pt idx="67">
                  <c:v>-5.1999999999999998E-2</c:v>
                </c:pt>
                <c:pt idx="68">
                  <c:v>1.9E-2</c:v>
                </c:pt>
                <c:pt idx="69">
                  <c:v>-0.114</c:v>
                </c:pt>
                <c:pt idx="70">
                  <c:v>-4.1000000000000002E-2</c:v>
                </c:pt>
                <c:pt idx="71">
                  <c:v>-6.7000000000000004E-2</c:v>
                </c:pt>
                <c:pt idx="72">
                  <c:v>7.0000000000000007E-2</c:v>
                </c:pt>
                <c:pt idx="73">
                  <c:v>-5.8000000000000003E-2</c:v>
                </c:pt>
                <c:pt idx="74">
                  <c:v>2E-3</c:v>
                </c:pt>
                <c:pt idx="75">
                  <c:v>0.02</c:v>
                </c:pt>
                <c:pt idx="76">
                  <c:v>2.8000000000000001E-2</c:v>
                </c:pt>
                <c:pt idx="77">
                  <c:v>-5.8000000000000003E-2</c:v>
                </c:pt>
                <c:pt idx="78">
                  <c:v>-4.2999999999999997E-2</c:v>
                </c:pt>
                <c:pt idx="79">
                  <c:v>-3.9E-2</c:v>
                </c:pt>
                <c:pt idx="80">
                  <c:v>0.13200000000000001</c:v>
                </c:pt>
                <c:pt idx="81">
                  <c:v>-2.8000000000000001E-2</c:v>
                </c:pt>
                <c:pt idx="82">
                  <c:v>3.5999999999999997E-2</c:v>
                </c:pt>
                <c:pt idx="83">
                  <c:v>-0.16400000000000001</c:v>
                </c:pt>
                <c:pt idx="84">
                  <c:v>2.1999999999999999E-2</c:v>
                </c:pt>
                <c:pt idx="85">
                  <c:v>-2.1999999999999999E-2</c:v>
                </c:pt>
                <c:pt idx="86">
                  <c:v>7.9000000000000001E-2</c:v>
                </c:pt>
                <c:pt idx="87">
                  <c:v>-1.4E-2</c:v>
                </c:pt>
                <c:pt idx="88">
                  <c:v>0.16700000000000001</c:v>
                </c:pt>
                <c:pt idx="89">
                  <c:v>1E-3</c:v>
                </c:pt>
                <c:pt idx="90">
                  <c:v>0.104</c:v>
                </c:pt>
                <c:pt idx="91">
                  <c:v>-5.8999999999999997E-2</c:v>
                </c:pt>
                <c:pt idx="92">
                  <c:v>1.4E-2</c:v>
                </c:pt>
                <c:pt idx="93">
                  <c:v>-2.1999999999999999E-2</c:v>
                </c:pt>
                <c:pt idx="94">
                  <c:v>7.0000000000000007E-2</c:v>
                </c:pt>
                <c:pt idx="95">
                  <c:v>-7.0999999999999994E-2</c:v>
                </c:pt>
                <c:pt idx="96">
                  <c:v>0.22500000000000001</c:v>
                </c:pt>
                <c:pt idx="97">
                  <c:v>-6.3E-2</c:v>
                </c:pt>
                <c:pt idx="98">
                  <c:v>0.154</c:v>
                </c:pt>
                <c:pt idx="99">
                  <c:v>-0.11700000000000001</c:v>
                </c:pt>
                <c:pt idx="100">
                  <c:v>0.16600000000000001</c:v>
                </c:pt>
                <c:pt idx="101">
                  <c:v>-0.105</c:v>
                </c:pt>
                <c:pt idx="102">
                  <c:v>0.05</c:v>
                </c:pt>
                <c:pt idx="103">
                  <c:v>-7.0999999999999994E-2</c:v>
                </c:pt>
                <c:pt idx="104">
                  <c:v>0.14699999999999999</c:v>
                </c:pt>
                <c:pt idx="105">
                  <c:v>-0.11600000000000001</c:v>
                </c:pt>
                <c:pt idx="106">
                  <c:v>4.7E-2</c:v>
                </c:pt>
                <c:pt idx="107">
                  <c:v>-0.104</c:v>
                </c:pt>
                <c:pt idx="108">
                  <c:v>9.2999999999999999E-2</c:v>
                </c:pt>
                <c:pt idx="109">
                  <c:v>-2.9000000000000001E-2</c:v>
                </c:pt>
                <c:pt idx="110">
                  <c:v>6.7000000000000004E-2</c:v>
                </c:pt>
                <c:pt idx="111">
                  <c:v>-1.7999999999999999E-2</c:v>
                </c:pt>
                <c:pt idx="112">
                  <c:v>5.7000000000000002E-2</c:v>
                </c:pt>
                <c:pt idx="113">
                  <c:v>-0.11</c:v>
                </c:pt>
                <c:pt idx="114">
                  <c:v>6.4000000000000001E-2</c:v>
                </c:pt>
                <c:pt idx="115">
                  <c:v>-7.4999999999999997E-2</c:v>
                </c:pt>
                <c:pt idx="116">
                  <c:v>5.5E-2</c:v>
                </c:pt>
                <c:pt idx="117">
                  <c:v>-1.2999999999999999E-2</c:v>
                </c:pt>
                <c:pt idx="118">
                  <c:v>4.9000000000000002E-2</c:v>
                </c:pt>
                <c:pt idx="119">
                  <c:v>-6.7000000000000004E-2</c:v>
                </c:pt>
                <c:pt idx="120">
                  <c:v>0.14099999999999999</c:v>
                </c:pt>
                <c:pt idx="121">
                  <c:v>-0.11700000000000001</c:v>
                </c:pt>
                <c:pt idx="122">
                  <c:v>0.11600000000000001</c:v>
                </c:pt>
                <c:pt idx="123">
                  <c:v>-0.13800000000000001</c:v>
                </c:pt>
                <c:pt idx="124">
                  <c:v>-7.0000000000000001E-3</c:v>
                </c:pt>
                <c:pt idx="125">
                  <c:v>-1.0999999999999999E-2</c:v>
                </c:pt>
                <c:pt idx="126">
                  <c:v>0.14799999999999999</c:v>
                </c:pt>
                <c:pt idx="127">
                  <c:v>-5.2999999999999999E-2</c:v>
                </c:pt>
                <c:pt idx="128">
                  <c:v>8.8999999999999996E-2</c:v>
                </c:pt>
                <c:pt idx="129">
                  <c:v>-0.03</c:v>
                </c:pt>
                <c:pt idx="130">
                  <c:v>3.2000000000000001E-2</c:v>
                </c:pt>
                <c:pt idx="131">
                  <c:v>-3.2000000000000001E-2</c:v>
                </c:pt>
                <c:pt idx="132">
                  <c:v>-3.5999999999999997E-2</c:v>
                </c:pt>
                <c:pt idx="133">
                  <c:v>0.14899999999999999</c:v>
                </c:pt>
                <c:pt idx="134">
                  <c:v>-9.6000000000000002E-2</c:v>
                </c:pt>
                <c:pt idx="135">
                  <c:v>0.121</c:v>
                </c:pt>
                <c:pt idx="136">
                  <c:v>-0.126</c:v>
                </c:pt>
                <c:pt idx="137">
                  <c:v>9.1999999999999998E-2</c:v>
                </c:pt>
                <c:pt idx="138">
                  <c:v>-2.4E-2</c:v>
                </c:pt>
                <c:pt idx="139">
                  <c:v>0.104</c:v>
                </c:pt>
                <c:pt idx="140">
                  <c:v>-8.3000000000000004E-2</c:v>
                </c:pt>
                <c:pt idx="141">
                  <c:v>0.112</c:v>
                </c:pt>
                <c:pt idx="142">
                  <c:v>-0.13500000000000001</c:v>
                </c:pt>
                <c:pt idx="143">
                  <c:v>-1.4E-2</c:v>
                </c:pt>
                <c:pt idx="144">
                  <c:v>-4.5999999999999999E-2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3-4C3F-94D0-EA4D80A377F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('AMP3-2'!$AD$4,'AMP3-2'!$AD$4)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93-4C3F-94D0-EA4D80A377F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('AMP3-2'!$AD$5,'AMP3-2'!$AD$5)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93-4C3F-94D0-EA4D80A37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4536"/>
        <c:axId val="447314928"/>
      </c:scatterChart>
      <c:valAx>
        <c:axId val="44731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4928"/>
        <c:crosses val="autoZero"/>
        <c:crossBetween val="midCat"/>
      </c:valAx>
      <c:valAx>
        <c:axId val="4473149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'AMP3-2'!$AE$8</c:f>
              <c:strCache>
                <c:ptCount val="1"/>
                <c:pt idx="0">
                  <c:v>T 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'AMP3-2'!$AE$9:$AE$153</c:f>
              <c:numCache>
                <c:formatCode>General</c:formatCode>
                <c:ptCount val="145"/>
                <c:pt idx="0">
                  <c:v>-5.1999999999999998E-2</c:v>
                </c:pt>
                <c:pt idx="1">
                  <c:v>-2E-3</c:v>
                </c:pt>
                <c:pt idx="2">
                  <c:v>-0.109</c:v>
                </c:pt>
                <c:pt idx="3">
                  <c:v>0.28899999999999998</c:v>
                </c:pt>
                <c:pt idx="4">
                  <c:v>-0.20799999999999999</c:v>
                </c:pt>
                <c:pt idx="5">
                  <c:v>0.17599999999999999</c:v>
                </c:pt>
                <c:pt idx="6">
                  <c:v>-0.22700000000000001</c:v>
                </c:pt>
                <c:pt idx="7">
                  <c:v>0.16500000000000001</c:v>
                </c:pt>
                <c:pt idx="8">
                  <c:v>-0.17199999999999999</c:v>
                </c:pt>
                <c:pt idx="9">
                  <c:v>8.5000000000000006E-2</c:v>
                </c:pt>
                <c:pt idx="10">
                  <c:v>5.3999999999999999E-2</c:v>
                </c:pt>
                <c:pt idx="11">
                  <c:v>-0.105</c:v>
                </c:pt>
                <c:pt idx="12">
                  <c:v>3.0000000000000001E-3</c:v>
                </c:pt>
                <c:pt idx="13">
                  <c:v>0.47399999999999998</c:v>
                </c:pt>
                <c:pt idx="14">
                  <c:v>-0.23599999999999999</c:v>
                </c:pt>
                <c:pt idx="15">
                  <c:v>0.54200000000000004</c:v>
                </c:pt>
                <c:pt idx="16">
                  <c:v>-8.6999999999999994E-2</c:v>
                </c:pt>
                <c:pt idx="17">
                  <c:v>0.32500000000000001</c:v>
                </c:pt>
                <c:pt idx="18">
                  <c:v>-0.123</c:v>
                </c:pt>
                <c:pt idx="19">
                  <c:v>0.35399999999999998</c:v>
                </c:pt>
                <c:pt idx="20">
                  <c:v>-5.5E-2</c:v>
                </c:pt>
                <c:pt idx="21">
                  <c:v>0.29799999999999999</c:v>
                </c:pt>
                <c:pt idx="22">
                  <c:v>0.17499999999999999</c:v>
                </c:pt>
                <c:pt idx="23">
                  <c:v>0.36699999999999999</c:v>
                </c:pt>
                <c:pt idx="24">
                  <c:v>-9.8000000000000004E-2</c:v>
                </c:pt>
                <c:pt idx="25">
                  <c:v>0.27800000000000002</c:v>
                </c:pt>
                <c:pt idx="26">
                  <c:v>-4.2000000000000003E-2</c:v>
                </c:pt>
                <c:pt idx="27">
                  <c:v>0.30099999999999999</c:v>
                </c:pt>
                <c:pt idx="28">
                  <c:v>-5.7000000000000002E-2</c:v>
                </c:pt>
                <c:pt idx="29">
                  <c:v>0.307</c:v>
                </c:pt>
                <c:pt idx="30">
                  <c:v>-0.114</c:v>
                </c:pt>
                <c:pt idx="31">
                  <c:v>0.36299999999999999</c:v>
                </c:pt>
                <c:pt idx="32">
                  <c:v>-9.8000000000000004E-2</c:v>
                </c:pt>
                <c:pt idx="33">
                  <c:v>0.28000000000000003</c:v>
                </c:pt>
                <c:pt idx="34">
                  <c:v>-0.16800000000000001</c:v>
                </c:pt>
                <c:pt idx="35">
                  <c:v>0.27900000000000003</c:v>
                </c:pt>
                <c:pt idx="36">
                  <c:v>-7.3999999999999996E-2</c:v>
                </c:pt>
                <c:pt idx="37">
                  <c:v>0.248</c:v>
                </c:pt>
                <c:pt idx="38">
                  <c:v>-0.13900000000000001</c:v>
                </c:pt>
                <c:pt idx="39">
                  <c:v>0.31900000000000001</c:v>
                </c:pt>
                <c:pt idx="40">
                  <c:v>-1.0999999999999999E-2</c:v>
                </c:pt>
                <c:pt idx="41">
                  <c:v>0.32</c:v>
                </c:pt>
                <c:pt idx="42">
                  <c:v>-6.6000000000000003E-2</c:v>
                </c:pt>
                <c:pt idx="43">
                  <c:v>0.14799999999999999</c:v>
                </c:pt>
                <c:pt idx="44">
                  <c:v>-0.121</c:v>
                </c:pt>
                <c:pt idx="45">
                  <c:v>0.16300000000000001</c:v>
                </c:pt>
                <c:pt idx="46">
                  <c:v>-0.14699999999999999</c:v>
                </c:pt>
                <c:pt idx="47">
                  <c:v>0.11</c:v>
                </c:pt>
                <c:pt idx="48">
                  <c:v>-0.16200000000000001</c:v>
                </c:pt>
                <c:pt idx="49">
                  <c:v>-2.1000000000000001E-2</c:v>
                </c:pt>
                <c:pt idx="50">
                  <c:v>-8.7999999999999995E-2</c:v>
                </c:pt>
                <c:pt idx="51">
                  <c:v>-4.2999999999999997E-2</c:v>
                </c:pt>
                <c:pt idx="52">
                  <c:v>-0.08</c:v>
                </c:pt>
                <c:pt idx="53">
                  <c:v>-0.104</c:v>
                </c:pt>
                <c:pt idx="54">
                  <c:v>-0.16700000000000001</c:v>
                </c:pt>
                <c:pt idx="55">
                  <c:v>4.2999999999999997E-2</c:v>
                </c:pt>
                <c:pt idx="56">
                  <c:v>2.1000000000000001E-2</c:v>
                </c:pt>
                <c:pt idx="57">
                  <c:v>-4.5999999999999999E-2</c:v>
                </c:pt>
                <c:pt idx="58">
                  <c:v>-0.222</c:v>
                </c:pt>
                <c:pt idx="59">
                  <c:v>4.2000000000000003E-2</c:v>
                </c:pt>
                <c:pt idx="60">
                  <c:v>-0.16900000000000001</c:v>
                </c:pt>
                <c:pt idx="61">
                  <c:v>0.14199999999999999</c:v>
                </c:pt>
                <c:pt idx="62">
                  <c:v>-0.24199999999999999</c:v>
                </c:pt>
                <c:pt idx="63">
                  <c:v>8.7999999999999995E-2</c:v>
                </c:pt>
                <c:pt idx="64">
                  <c:v>-0.27500000000000002</c:v>
                </c:pt>
                <c:pt idx="65">
                  <c:v>-3.9E-2</c:v>
                </c:pt>
                <c:pt idx="66">
                  <c:v>-0.109</c:v>
                </c:pt>
                <c:pt idx="67">
                  <c:v>8.1000000000000003E-2</c:v>
                </c:pt>
                <c:pt idx="68">
                  <c:v>-0.186</c:v>
                </c:pt>
                <c:pt idx="69">
                  <c:v>-4.4999999999999998E-2</c:v>
                </c:pt>
                <c:pt idx="70">
                  <c:v>-0.27600000000000002</c:v>
                </c:pt>
                <c:pt idx="71">
                  <c:v>0.127</c:v>
                </c:pt>
                <c:pt idx="72">
                  <c:v>-0.247</c:v>
                </c:pt>
                <c:pt idx="73">
                  <c:v>0.16500000000000001</c:v>
                </c:pt>
                <c:pt idx="74">
                  <c:v>-0.23300000000000001</c:v>
                </c:pt>
                <c:pt idx="75">
                  <c:v>9.9000000000000005E-2</c:v>
                </c:pt>
                <c:pt idx="76">
                  <c:v>-0.19400000000000001</c:v>
                </c:pt>
                <c:pt idx="77">
                  <c:v>5.5E-2</c:v>
                </c:pt>
                <c:pt idx="78">
                  <c:v>-0.26800000000000002</c:v>
                </c:pt>
                <c:pt idx="79">
                  <c:v>8.3000000000000004E-2</c:v>
                </c:pt>
                <c:pt idx="80">
                  <c:v>-6.2E-2</c:v>
                </c:pt>
                <c:pt idx="81">
                  <c:v>4.2000000000000003E-2</c:v>
                </c:pt>
                <c:pt idx="82">
                  <c:v>-0.17100000000000001</c:v>
                </c:pt>
                <c:pt idx="83">
                  <c:v>-8.2000000000000003E-2</c:v>
                </c:pt>
                <c:pt idx="84">
                  <c:v>-0.21299999999999999</c:v>
                </c:pt>
                <c:pt idx="85">
                  <c:v>0.14699999999999999</c:v>
                </c:pt>
                <c:pt idx="86">
                  <c:v>-0.182</c:v>
                </c:pt>
                <c:pt idx="87">
                  <c:v>0.121</c:v>
                </c:pt>
                <c:pt idx="88">
                  <c:v>-6.4000000000000001E-2</c:v>
                </c:pt>
                <c:pt idx="89">
                  <c:v>0.16500000000000001</c:v>
                </c:pt>
                <c:pt idx="90">
                  <c:v>-0.109</c:v>
                </c:pt>
                <c:pt idx="91">
                  <c:v>0.11899999999999999</c:v>
                </c:pt>
                <c:pt idx="92">
                  <c:v>-0.187</c:v>
                </c:pt>
                <c:pt idx="93">
                  <c:v>0.128</c:v>
                </c:pt>
                <c:pt idx="94">
                  <c:v>-0.16900000000000001</c:v>
                </c:pt>
                <c:pt idx="95">
                  <c:v>7.6999999999999999E-2</c:v>
                </c:pt>
                <c:pt idx="96">
                  <c:v>-2.1999999999999999E-2</c:v>
                </c:pt>
                <c:pt idx="97">
                  <c:v>2.5000000000000001E-2</c:v>
                </c:pt>
                <c:pt idx="98">
                  <c:v>-0.104</c:v>
                </c:pt>
                <c:pt idx="99">
                  <c:v>1.4999999999999999E-2</c:v>
                </c:pt>
                <c:pt idx="100">
                  <c:v>2.5000000000000001E-2</c:v>
                </c:pt>
                <c:pt idx="101">
                  <c:v>1.4E-2</c:v>
                </c:pt>
                <c:pt idx="102">
                  <c:v>-0.14699999999999999</c:v>
                </c:pt>
                <c:pt idx="103">
                  <c:v>7.0000000000000007E-2</c:v>
                </c:pt>
                <c:pt idx="104">
                  <c:v>-8.5999999999999993E-2</c:v>
                </c:pt>
                <c:pt idx="105">
                  <c:v>-0.09</c:v>
                </c:pt>
                <c:pt idx="106">
                  <c:v>-0.20200000000000001</c:v>
                </c:pt>
                <c:pt idx="107">
                  <c:v>1.4E-2</c:v>
                </c:pt>
                <c:pt idx="108">
                  <c:v>-9.4E-2</c:v>
                </c:pt>
                <c:pt idx="109">
                  <c:v>0</c:v>
                </c:pt>
                <c:pt idx="110">
                  <c:v>-0.16500000000000001</c:v>
                </c:pt>
                <c:pt idx="111">
                  <c:v>0.11</c:v>
                </c:pt>
                <c:pt idx="112">
                  <c:v>-0.14599999999999999</c:v>
                </c:pt>
                <c:pt idx="113">
                  <c:v>-1.2E-2</c:v>
                </c:pt>
                <c:pt idx="114">
                  <c:v>-0.128</c:v>
                </c:pt>
                <c:pt idx="115">
                  <c:v>-4.5999999999999999E-2</c:v>
                </c:pt>
                <c:pt idx="116">
                  <c:v>-0.188</c:v>
                </c:pt>
                <c:pt idx="117">
                  <c:v>8.9999999999999993E-3</c:v>
                </c:pt>
                <c:pt idx="118">
                  <c:v>-0.27900000000000003</c:v>
                </c:pt>
                <c:pt idx="119">
                  <c:v>8.8999999999999996E-2</c:v>
                </c:pt>
                <c:pt idx="120">
                  <c:v>-9.7000000000000003E-2</c:v>
                </c:pt>
                <c:pt idx="121">
                  <c:v>-4.4999999999999998E-2</c:v>
                </c:pt>
                <c:pt idx="122">
                  <c:v>-0.13200000000000001</c:v>
                </c:pt>
                <c:pt idx="123">
                  <c:v>-2.5999999999999999E-2</c:v>
                </c:pt>
                <c:pt idx="124">
                  <c:v>-0.192</c:v>
                </c:pt>
                <c:pt idx="125">
                  <c:v>0.21199999999999999</c:v>
                </c:pt>
                <c:pt idx="126">
                  <c:v>-0.14000000000000001</c:v>
                </c:pt>
                <c:pt idx="127">
                  <c:v>2.5000000000000001E-2</c:v>
                </c:pt>
                <c:pt idx="128">
                  <c:v>-0.13300000000000001</c:v>
                </c:pt>
                <c:pt idx="129">
                  <c:v>7.8E-2</c:v>
                </c:pt>
                <c:pt idx="130">
                  <c:v>-0.192</c:v>
                </c:pt>
                <c:pt idx="131">
                  <c:v>1.2999999999999999E-2</c:v>
                </c:pt>
                <c:pt idx="132">
                  <c:v>7.0000000000000001E-3</c:v>
                </c:pt>
                <c:pt idx="133">
                  <c:v>-6.9000000000000006E-2</c:v>
                </c:pt>
                <c:pt idx="134">
                  <c:v>5.2999999999999999E-2</c:v>
                </c:pt>
                <c:pt idx="135">
                  <c:v>-7.9000000000000001E-2</c:v>
                </c:pt>
                <c:pt idx="136">
                  <c:v>-1.2999999999999999E-2</c:v>
                </c:pt>
                <c:pt idx="137">
                  <c:v>-0.13800000000000001</c:v>
                </c:pt>
                <c:pt idx="138">
                  <c:v>-1.0999999999999999E-2</c:v>
                </c:pt>
                <c:pt idx="139">
                  <c:v>-8.1000000000000003E-2</c:v>
                </c:pt>
                <c:pt idx="140">
                  <c:v>9.7000000000000003E-2</c:v>
                </c:pt>
                <c:pt idx="141">
                  <c:v>-0.11899999999999999</c:v>
                </c:pt>
                <c:pt idx="142">
                  <c:v>-2.5000000000000001E-2</c:v>
                </c:pt>
                <c:pt idx="143">
                  <c:v>-0.221</c:v>
                </c:pt>
                <c:pt idx="144">
                  <c:v>-2.9000000000000001E-2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46-46AA-8384-F7829895740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('AMP3-2'!$AE$4,'AMP3-2'!$AE$4)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46-46AA-8384-F7829895740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('AMP3-2'!$AE$5,'AMP3-2'!$AE$5)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46-46AA-8384-F7829895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6104"/>
        <c:axId val="447316496"/>
      </c:scatterChart>
      <c:valAx>
        <c:axId val="44731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6496"/>
        <c:crosses val="autoZero"/>
        <c:crossBetween val="midCat"/>
      </c:valAx>
      <c:valAx>
        <c:axId val="4473164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6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'AMP3-2'!$AF$8</c:f>
              <c:strCache>
                <c:ptCount val="1"/>
                <c:pt idx="0">
                  <c:v>T 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'AMP3-2'!$AF$9:$AF$153</c:f>
              <c:numCache>
                <c:formatCode>General</c:formatCode>
                <c:ptCount val="145"/>
                <c:pt idx="0">
                  <c:v>-0.02</c:v>
                </c:pt>
                <c:pt idx="1">
                  <c:v>0.22500000000000001</c:v>
                </c:pt>
                <c:pt idx="2">
                  <c:v>0.193</c:v>
                </c:pt>
                <c:pt idx="3">
                  <c:v>0.39600000000000002</c:v>
                </c:pt>
                <c:pt idx="4">
                  <c:v>5.0999999999999997E-2</c:v>
                </c:pt>
                <c:pt idx="5">
                  <c:v>0.34200000000000003</c:v>
                </c:pt>
                <c:pt idx="6">
                  <c:v>0.11899999999999999</c:v>
                </c:pt>
                <c:pt idx="7">
                  <c:v>0.28299999999999997</c:v>
                </c:pt>
                <c:pt idx="8">
                  <c:v>2.8000000000000001E-2</c:v>
                </c:pt>
                <c:pt idx="9">
                  <c:v>0.26800000000000002</c:v>
                </c:pt>
                <c:pt idx="10">
                  <c:v>4.2000000000000003E-2</c:v>
                </c:pt>
                <c:pt idx="11">
                  <c:v>0.216</c:v>
                </c:pt>
                <c:pt idx="12">
                  <c:v>0.28000000000000003</c:v>
                </c:pt>
                <c:pt idx="13">
                  <c:v>0.53800000000000003</c:v>
                </c:pt>
                <c:pt idx="14">
                  <c:v>0.126</c:v>
                </c:pt>
                <c:pt idx="15">
                  <c:v>0.46600000000000003</c:v>
                </c:pt>
                <c:pt idx="16">
                  <c:v>0.11799999999999999</c:v>
                </c:pt>
                <c:pt idx="17">
                  <c:v>0.377</c:v>
                </c:pt>
                <c:pt idx="18">
                  <c:v>7.0999999999999994E-2</c:v>
                </c:pt>
                <c:pt idx="19">
                  <c:v>0.30599999999999999</c:v>
                </c:pt>
                <c:pt idx="20">
                  <c:v>4.7E-2</c:v>
                </c:pt>
                <c:pt idx="21">
                  <c:v>0.38</c:v>
                </c:pt>
                <c:pt idx="22">
                  <c:v>0.08</c:v>
                </c:pt>
                <c:pt idx="23">
                  <c:v>0.29499999999999998</c:v>
                </c:pt>
                <c:pt idx="24">
                  <c:v>0.03</c:v>
                </c:pt>
                <c:pt idx="25">
                  <c:v>0.36199999999999999</c:v>
                </c:pt>
                <c:pt idx="26">
                  <c:v>5.1999999999999998E-2</c:v>
                </c:pt>
                <c:pt idx="27">
                  <c:v>0.29199999999999998</c:v>
                </c:pt>
                <c:pt idx="28">
                  <c:v>3.5999999999999997E-2</c:v>
                </c:pt>
                <c:pt idx="29">
                  <c:v>0.26200000000000001</c:v>
                </c:pt>
                <c:pt idx="30">
                  <c:v>0.06</c:v>
                </c:pt>
                <c:pt idx="31">
                  <c:v>0.20699999999999999</c:v>
                </c:pt>
                <c:pt idx="32">
                  <c:v>1.2E-2</c:v>
                </c:pt>
                <c:pt idx="33">
                  <c:v>0.33200000000000002</c:v>
                </c:pt>
                <c:pt idx="34">
                  <c:v>-7.0000000000000001E-3</c:v>
                </c:pt>
                <c:pt idx="35">
                  <c:v>0.23799999999999999</c:v>
                </c:pt>
                <c:pt idx="36">
                  <c:v>6.0999999999999999E-2</c:v>
                </c:pt>
                <c:pt idx="37">
                  <c:v>0.26800000000000002</c:v>
                </c:pt>
                <c:pt idx="38">
                  <c:v>9.9000000000000005E-2</c:v>
                </c:pt>
                <c:pt idx="39">
                  <c:v>0.25900000000000001</c:v>
                </c:pt>
                <c:pt idx="40">
                  <c:v>-7.2999999999999995E-2</c:v>
                </c:pt>
                <c:pt idx="41">
                  <c:v>0.105</c:v>
                </c:pt>
                <c:pt idx="42">
                  <c:v>7.1999999999999995E-2</c:v>
                </c:pt>
                <c:pt idx="43">
                  <c:v>0.22600000000000001</c:v>
                </c:pt>
                <c:pt idx="44">
                  <c:v>0.1</c:v>
                </c:pt>
                <c:pt idx="45">
                  <c:v>0.214</c:v>
                </c:pt>
                <c:pt idx="46">
                  <c:v>0.129</c:v>
                </c:pt>
                <c:pt idx="47">
                  <c:v>0.16400000000000001</c:v>
                </c:pt>
                <c:pt idx="48">
                  <c:v>2.1999999999999999E-2</c:v>
                </c:pt>
                <c:pt idx="49">
                  <c:v>9.0999999999999998E-2</c:v>
                </c:pt>
                <c:pt idx="50">
                  <c:v>4.0000000000000001E-3</c:v>
                </c:pt>
                <c:pt idx="51">
                  <c:v>6.4000000000000001E-2</c:v>
                </c:pt>
                <c:pt idx="52">
                  <c:v>-1.2E-2</c:v>
                </c:pt>
                <c:pt idx="53">
                  <c:v>6.5000000000000002E-2</c:v>
                </c:pt>
                <c:pt idx="54">
                  <c:v>-1.7000000000000001E-2</c:v>
                </c:pt>
                <c:pt idx="55">
                  <c:v>8.5999999999999993E-2</c:v>
                </c:pt>
                <c:pt idx="56">
                  <c:v>-5.2999999999999999E-2</c:v>
                </c:pt>
                <c:pt idx="57">
                  <c:v>-1.7000000000000001E-2</c:v>
                </c:pt>
                <c:pt idx="58">
                  <c:v>1.4E-2</c:v>
                </c:pt>
                <c:pt idx="59">
                  <c:v>0.06</c:v>
                </c:pt>
                <c:pt idx="60">
                  <c:v>5.0000000000000001E-3</c:v>
                </c:pt>
                <c:pt idx="61">
                  <c:v>9.6000000000000002E-2</c:v>
                </c:pt>
                <c:pt idx="62">
                  <c:v>-1.6E-2</c:v>
                </c:pt>
                <c:pt idx="63">
                  <c:v>3.5999999999999997E-2</c:v>
                </c:pt>
                <c:pt idx="64">
                  <c:v>-0.107</c:v>
                </c:pt>
                <c:pt idx="65">
                  <c:v>0.14599999999999999</c:v>
                </c:pt>
                <c:pt idx="66">
                  <c:v>-5.6000000000000001E-2</c:v>
                </c:pt>
                <c:pt idx="67">
                  <c:v>4.3999999999999997E-2</c:v>
                </c:pt>
                <c:pt idx="68">
                  <c:v>-7.2999999999999995E-2</c:v>
                </c:pt>
                <c:pt idx="69">
                  <c:v>5.0000000000000001E-3</c:v>
                </c:pt>
                <c:pt idx="70">
                  <c:v>4.0000000000000001E-3</c:v>
                </c:pt>
                <c:pt idx="71">
                  <c:v>9.7000000000000003E-2</c:v>
                </c:pt>
                <c:pt idx="72">
                  <c:v>4.9000000000000002E-2</c:v>
                </c:pt>
                <c:pt idx="73">
                  <c:v>-1.0999999999999999E-2</c:v>
                </c:pt>
                <c:pt idx="74">
                  <c:v>-4.9000000000000002E-2</c:v>
                </c:pt>
                <c:pt idx="75">
                  <c:v>0.13200000000000001</c:v>
                </c:pt>
                <c:pt idx="76">
                  <c:v>-0.14299999999999999</c:v>
                </c:pt>
                <c:pt idx="77">
                  <c:v>-9.6000000000000002E-2</c:v>
                </c:pt>
                <c:pt idx="78">
                  <c:v>-0.1</c:v>
                </c:pt>
                <c:pt idx="79">
                  <c:v>5.8999999999999997E-2</c:v>
                </c:pt>
                <c:pt idx="80">
                  <c:v>-4.3999999999999997E-2</c:v>
                </c:pt>
                <c:pt idx="81">
                  <c:v>5.0000000000000001E-3</c:v>
                </c:pt>
                <c:pt idx="82">
                  <c:v>-3.1E-2</c:v>
                </c:pt>
                <c:pt idx="83">
                  <c:v>4.3999999999999997E-2</c:v>
                </c:pt>
                <c:pt idx="84">
                  <c:v>7.8E-2</c:v>
                </c:pt>
                <c:pt idx="85">
                  <c:v>0.13500000000000001</c:v>
                </c:pt>
                <c:pt idx="86">
                  <c:v>6.5000000000000002E-2</c:v>
                </c:pt>
                <c:pt idx="87">
                  <c:v>0.13600000000000001</c:v>
                </c:pt>
                <c:pt idx="88">
                  <c:v>0.111</c:v>
                </c:pt>
                <c:pt idx="89">
                  <c:v>0.22500000000000001</c:v>
                </c:pt>
                <c:pt idx="90">
                  <c:v>6.8000000000000005E-2</c:v>
                </c:pt>
                <c:pt idx="91">
                  <c:v>0.14299999999999999</c:v>
                </c:pt>
                <c:pt idx="92">
                  <c:v>-3.5999999999999997E-2</c:v>
                </c:pt>
                <c:pt idx="93">
                  <c:v>-1.0999999999999999E-2</c:v>
                </c:pt>
                <c:pt idx="94">
                  <c:v>-0.01</c:v>
                </c:pt>
                <c:pt idx="95">
                  <c:v>0.12</c:v>
                </c:pt>
                <c:pt idx="96">
                  <c:v>7.6999999999999999E-2</c:v>
                </c:pt>
                <c:pt idx="97">
                  <c:v>0.12</c:v>
                </c:pt>
                <c:pt idx="98">
                  <c:v>8.9999999999999993E-3</c:v>
                </c:pt>
                <c:pt idx="99">
                  <c:v>0.104</c:v>
                </c:pt>
                <c:pt idx="100">
                  <c:v>0.17100000000000001</c:v>
                </c:pt>
                <c:pt idx="101">
                  <c:v>0.189</c:v>
                </c:pt>
                <c:pt idx="102">
                  <c:v>-8.6999999999999994E-2</c:v>
                </c:pt>
                <c:pt idx="103">
                  <c:v>-5.7000000000000002E-2</c:v>
                </c:pt>
                <c:pt idx="104">
                  <c:v>-0.17399999999999999</c:v>
                </c:pt>
                <c:pt idx="105">
                  <c:v>-0.10199999999999999</c:v>
                </c:pt>
                <c:pt idx="106">
                  <c:v>-6.7000000000000004E-2</c:v>
                </c:pt>
                <c:pt idx="107">
                  <c:v>3.3000000000000002E-2</c:v>
                </c:pt>
                <c:pt idx="108">
                  <c:v>-4.8000000000000001E-2</c:v>
                </c:pt>
                <c:pt idx="109">
                  <c:v>-3.0000000000000001E-3</c:v>
                </c:pt>
                <c:pt idx="110">
                  <c:v>-5.0000000000000001E-3</c:v>
                </c:pt>
                <c:pt idx="111">
                  <c:v>5.5E-2</c:v>
                </c:pt>
                <c:pt idx="112">
                  <c:v>-0.105</c:v>
                </c:pt>
                <c:pt idx="113">
                  <c:v>-3.1E-2</c:v>
                </c:pt>
                <c:pt idx="114">
                  <c:v>-0.06</c:v>
                </c:pt>
                <c:pt idx="115">
                  <c:v>-2.5000000000000001E-2</c:v>
                </c:pt>
                <c:pt idx="116">
                  <c:v>-1.4999999999999999E-2</c:v>
                </c:pt>
                <c:pt idx="117">
                  <c:v>0.128</c:v>
                </c:pt>
                <c:pt idx="118">
                  <c:v>-3.2000000000000001E-2</c:v>
                </c:pt>
                <c:pt idx="119">
                  <c:v>2.4E-2</c:v>
                </c:pt>
                <c:pt idx="120">
                  <c:v>-2.1999999999999999E-2</c:v>
                </c:pt>
                <c:pt idx="121">
                  <c:v>-4.8000000000000001E-2</c:v>
                </c:pt>
                <c:pt idx="122">
                  <c:v>-0.16400000000000001</c:v>
                </c:pt>
                <c:pt idx="123">
                  <c:v>-6.4000000000000001E-2</c:v>
                </c:pt>
                <c:pt idx="124">
                  <c:v>-3.0000000000000001E-3</c:v>
                </c:pt>
                <c:pt idx="125">
                  <c:v>0.128</c:v>
                </c:pt>
                <c:pt idx="126">
                  <c:v>-6.8000000000000005E-2</c:v>
                </c:pt>
                <c:pt idx="127">
                  <c:v>4.1000000000000002E-2</c:v>
                </c:pt>
                <c:pt idx="128">
                  <c:v>5.5E-2</c:v>
                </c:pt>
                <c:pt idx="129">
                  <c:v>8.5000000000000006E-2</c:v>
                </c:pt>
                <c:pt idx="130">
                  <c:v>1.9E-2</c:v>
                </c:pt>
                <c:pt idx="131">
                  <c:v>0.13200000000000001</c:v>
                </c:pt>
                <c:pt idx="132">
                  <c:v>0.13500000000000001</c:v>
                </c:pt>
                <c:pt idx="133">
                  <c:v>8.5999999999999993E-2</c:v>
                </c:pt>
                <c:pt idx="134">
                  <c:v>0.13200000000000001</c:v>
                </c:pt>
                <c:pt idx="135">
                  <c:v>1.6E-2</c:v>
                </c:pt>
                <c:pt idx="136">
                  <c:v>-0.04</c:v>
                </c:pt>
                <c:pt idx="137">
                  <c:v>8.4000000000000005E-2</c:v>
                </c:pt>
                <c:pt idx="138">
                  <c:v>8.3000000000000004E-2</c:v>
                </c:pt>
                <c:pt idx="139">
                  <c:v>3.5999999999999997E-2</c:v>
                </c:pt>
                <c:pt idx="140">
                  <c:v>1.4E-2</c:v>
                </c:pt>
                <c:pt idx="141">
                  <c:v>3.0000000000000001E-3</c:v>
                </c:pt>
                <c:pt idx="142">
                  <c:v>4.8000000000000001E-2</c:v>
                </c:pt>
                <c:pt idx="143">
                  <c:v>-9.8000000000000004E-2</c:v>
                </c:pt>
                <c:pt idx="144">
                  <c:v>4.9000000000000002E-2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AF-4C82-9536-C751C8A501F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('AMP3-2'!$AF$4,'AMP3-2'!$AF$4)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AF-4C82-9536-C751C8A501F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('AMP3-2'!$AF$5,'AMP3-2'!$AF$5)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AF-4C82-9536-C751C8A50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6888"/>
        <c:axId val="447317280"/>
      </c:scatterChart>
      <c:valAx>
        <c:axId val="447316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7280"/>
        <c:crosses val="autoZero"/>
        <c:crossBetween val="midCat"/>
      </c:valAx>
      <c:valAx>
        <c:axId val="4473172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'AMP3-2'!$AG$8</c:f>
              <c:strCache>
                <c:ptCount val="1"/>
                <c:pt idx="0">
                  <c:v>T 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'AMP3-2'!$AG$9:$AG$153</c:f>
              <c:numCache>
                <c:formatCode>General</c:formatCode>
                <c:ptCount val="145"/>
                <c:pt idx="0">
                  <c:v>-6.3E-2</c:v>
                </c:pt>
                <c:pt idx="1">
                  <c:v>0.13700000000000001</c:v>
                </c:pt>
                <c:pt idx="2">
                  <c:v>0.17799999999999999</c:v>
                </c:pt>
                <c:pt idx="3">
                  <c:v>0.33100000000000002</c:v>
                </c:pt>
                <c:pt idx="4">
                  <c:v>8.8999999999999996E-2</c:v>
                </c:pt>
                <c:pt idx="5">
                  <c:v>0.27600000000000002</c:v>
                </c:pt>
                <c:pt idx="6">
                  <c:v>9.9000000000000005E-2</c:v>
                </c:pt>
                <c:pt idx="7">
                  <c:v>0.218</c:v>
                </c:pt>
                <c:pt idx="8">
                  <c:v>-2E-3</c:v>
                </c:pt>
                <c:pt idx="9">
                  <c:v>0.19600000000000001</c:v>
                </c:pt>
                <c:pt idx="10">
                  <c:v>1E-3</c:v>
                </c:pt>
                <c:pt idx="11">
                  <c:v>0.127</c:v>
                </c:pt>
                <c:pt idx="12">
                  <c:v>0.26400000000000001</c:v>
                </c:pt>
                <c:pt idx="13">
                  <c:v>0.46200000000000002</c:v>
                </c:pt>
                <c:pt idx="14">
                  <c:v>0.123</c:v>
                </c:pt>
                <c:pt idx="15">
                  <c:v>0.39300000000000002</c:v>
                </c:pt>
                <c:pt idx="16">
                  <c:v>9.6000000000000002E-2</c:v>
                </c:pt>
                <c:pt idx="17">
                  <c:v>0.30099999999999999</c:v>
                </c:pt>
                <c:pt idx="18">
                  <c:v>5.2999999999999999E-2</c:v>
                </c:pt>
                <c:pt idx="19">
                  <c:v>0.23799999999999999</c:v>
                </c:pt>
                <c:pt idx="20">
                  <c:v>2.5000000000000001E-2</c:v>
                </c:pt>
                <c:pt idx="21">
                  <c:v>0.29899999999999999</c:v>
                </c:pt>
                <c:pt idx="22">
                  <c:v>6.3E-2</c:v>
                </c:pt>
                <c:pt idx="23">
                  <c:v>0.19700000000000001</c:v>
                </c:pt>
                <c:pt idx="24">
                  <c:v>-6.0000000000000001E-3</c:v>
                </c:pt>
                <c:pt idx="25">
                  <c:v>0.27900000000000003</c:v>
                </c:pt>
                <c:pt idx="26">
                  <c:v>1.7999999999999999E-2</c:v>
                </c:pt>
                <c:pt idx="27">
                  <c:v>0.20799999999999999</c:v>
                </c:pt>
                <c:pt idx="28">
                  <c:v>0</c:v>
                </c:pt>
                <c:pt idx="29">
                  <c:v>0.159</c:v>
                </c:pt>
                <c:pt idx="30">
                  <c:v>8.0000000000000002E-3</c:v>
                </c:pt>
                <c:pt idx="31">
                  <c:v>0.11799999999999999</c:v>
                </c:pt>
                <c:pt idx="32">
                  <c:v>1.2999999999999999E-2</c:v>
                </c:pt>
                <c:pt idx="33">
                  <c:v>0.23499999999999999</c:v>
                </c:pt>
                <c:pt idx="34">
                  <c:v>-4.1000000000000002E-2</c:v>
                </c:pt>
                <c:pt idx="35">
                  <c:v>0.156</c:v>
                </c:pt>
                <c:pt idx="36">
                  <c:v>4.2999999999999997E-2</c:v>
                </c:pt>
                <c:pt idx="37">
                  <c:v>0.2</c:v>
                </c:pt>
                <c:pt idx="38">
                  <c:v>6.7000000000000004E-2</c:v>
                </c:pt>
                <c:pt idx="39">
                  <c:v>0.16300000000000001</c:v>
                </c:pt>
                <c:pt idx="40">
                  <c:v>-0.1</c:v>
                </c:pt>
                <c:pt idx="41">
                  <c:v>8.0000000000000002E-3</c:v>
                </c:pt>
                <c:pt idx="42">
                  <c:v>7.9000000000000001E-2</c:v>
                </c:pt>
                <c:pt idx="43">
                  <c:v>0.159</c:v>
                </c:pt>
                <c:pt idx="44">
                  <c:v>0.10100000000000001</c:v>
                </c:pt>
                <c:pt idx="45">
                  <c:v>0.151</c:v>
                </c:pt>
                <c:pt idx="46">
                  <c:v>0.106</c:v>
                </c:pt>
                <c:pt idx="47">
                  <c:v>8.7999999999999995E-2</c:v>
                </c:pt>
                <c:pt idx="48">
                  <c:v>6.0000000000000001E-3</c:v>
                </c:pt>
                <c:pt idx="49">
                  <c:v>2.9000000000000001E-2</c:v>
                </c:pt>
                <c:pt idx="50">
                  <c:v>-3.1E-2</c:v>
                </c:pt>
                <c:pt idx="51">
                  <c:v>-1.0999999999999999E-2</c:v>
                </c:pt>
                <c:pt idx="52">
                  <c:v>-5.1999999999999998E-2</c:v>
                </c:pt>
                <c:pt idx="53">
                  <c:v>-1.4999999999999999E-2</c:v>
                </c:pt>
                <c:pt idx="54">
                  <c:v>-2.4E-2</c:v>
                </c:pt>
                <c:pt idx="55">
                  <c:v>2E-3</c:v>
                </c:pt>
                <c:pt idx="56">
                  <c:v>-0.105</c:v>
                </c:pt>
                <c:pt idx="57">
                  <c:v>-0.09</c:v>
                </c:pt>
                <c:pt idx="58">
                  <c:v>-2.1000000000000001E-2</c:v>
                </c:pt>
                <c:pt idx="59">
                  <c:v>-1.4999999999999999E-2</c:v>
                </c:pt>
                <c:pt idx="60">
                  <c:v>-2.9000000000000001E-2</c:v>
                </c:pt>
                <c:pt idx="61">
                  <c:v>1.9E-2</c:v>
                </c:pt>
                <c:pt idx="62">
                  <c:v>-5.5E-2</c:v>
                </c:pt>
                <c:pt idx="63">
                  <c:v>-0.05</c:v>
                </c:pt>
                <c:pt idx="64">
                  <c:v>-0.13900000000000001</c:v>
                </c:pt>
                <c:pt idx="65">
                  <c:v>6.8000000000000005E-2</c:v>
                </c:pt>
                <c:pt idx="66">
                  <c:v>-6.5000000000000002E-2</c:v>
                </c:pt>
                <c:pt idx="67">
                  <c:v>-4.2000000000000003E-2</c:v>
                </c:pt>
                <c:pt idx="68">
                  <c:v>-9.7000000000000003E-2</c:v>
                </c:pt>
                <c:pt idx="69">
                  <c:v>-6.8000000000000005E-2</c:v>
                </c:pt>
                <c:pt idx="70">
                  <c:v>-3.2000000000000001E-2</c:v>
                </c:pt>
                <c:pt idx="71">
                  <c:v>2.8000000000000001E-2</c:v>
                </c:pt>
                <c:pt idx="72">
                  <c:v>3.4000000000000002E-2</c:v>
                </c:pt>
                <c:pt idx="73">
                  <c:v>-7.0000000000000007E-2</c:v>
                </c:pt>
                <c:pt idx="74">
                  <c:v>-0.08</c:v>
                </c:pt>
                <c:pt idx="75">
                  <c:v>5.0999999999999997E-2</c:v>
                </c:pt>
                <c:pt idx="76">
                  <c:v>-0.153</c:v>
                </c:pt>
                <c:pt idx="77">
                  <c:v>-0.159</c:v>
                </c:pt>
                <c:pt idx="78">
                  <c:v>-0.106</c:v>
                </c:pt>
                <c:pt idx="79">
                  <c:v>-6.0000000000000001E-3</c:v>
                </c:pt>
                <c:pt idx="80">
                  <c:v>-8.1000000000000003E-2</c:v>
                </c:pt>
                <c:pt idx="81">
                  <c:v>-7.4999999999999997E-2</c:v>
                </c:pt>
                <c:pt idx="82">
                  <c:v>-5.8000000000000003E-2</c:v>
                </c:pt>
                <c:pt idx="83">
                  <c:v>-3.6999999999999998E-2</c:v>
                </c:pt>
                <c:pt idx="84">
                  <c:v>6.4000000000000001E-2</c:v>
                </c:pt>
                <c:pt idx="85">
                  <c:v>7.1999999999999995E-2</c:v>
                </c:pt>
                <c:pt idx="86">
                  <c:v>5.8999999999999997E-2</c:v>
                </c:pt>
                <c:pt idx="87">
                  <c:v>7.3999999999999996E-2</c:v>
                </c:pt>
                <c:pt idx="88">
                  <c:v>0.10299999999999999</c:v>
                </c:pt>
                <c:pt idx="89">
                  <c:v>0.159</c:v>
                </c:pt>
                <c:pt idx="90">
                  <c:v>5.3999999999999999E-2</c:v>
                </c:pt>
                <c:pt idx="91">
                  <c:v>0.08</c:v>
                </c:pt>
                <c:pt idx="92">
                  <c:v>-3.5000000000000003E-2</c:v>
                </c:pt>
                <c:pt idx="93">
                  <c:v>-8.8999999999999996E-2</c:v>
                </c:pt>
                <c:pt idx="94">
                  <c:v>-2.7E-2</c:v>
                </c:pt>
                <c:pt idx="95">
                  <c:v>5.2999999999999999E-2</c:v>
                </c:pt>
                <c:pt idx="96">
                  <c:v>7.1999999999999995E-2</c:v>
                </c:pt>
                <c:pt idx="97">
                  <c:v>4.1000000000000002E-2</c:v>
                </c:pt>
                <c:pt idx="98">
                  <c:v>-2.5999999999999999E-2</c:v>
                </c:pt>
                <c:pt idx="99">
                  <c:v>0.03</c:v>
                </c:pt>
                <c:pt idx="100">
                  <c:v>0.13400000000000001</c:v>
                </c:pt>
                <c:pt idx="101">
                  <c:v>0.107</c:v>
                </c:pt>
                <c:pt idx="102">
                  <c:v>-0.11799999999999999</c:v>
                </c:pt>
                <c:pt idx="103">
                  <c:v>-0.14899999999999999</c:v>
                </c:pt>
                <c:pt idx="104">
                  <c:v>-0.20399999999999999</c:v>
                </c:pt>
                <c:pt idx="105">
                  <c:v>-0.161</c:v>
                </c:pt>
                <c:pt idx="106">
                  <c:v>-9.6000000000000002E-2</c:v>
                </c:pt>
                <c:pt idx="107">
                  <c:v>-5.7000000000000002E-2</c:v>
                </c:pt>
                <c:pt idx="108">
                  <c:v>-6.8000000000000005E-2</c:v>
                </c:pt>
                <c:pt idx="109">
                  <c:v>-8.7999999999999995E-2</c:v>
                </c:pt>
                <c:pt idx="110">
                  <c:v>-4.2999999999999997E-2</c:v>
                </c:pt>
                <c:pt idx="111">
                  <c:v>-0.04</c:v>
                </c:pt>
                <c:pt idx="112">
                  <c:v>-0.13900000000000001</c:v>
                </c:pt>
                <c:pt idx="113">
                  <c:v>-0.124</c:v>
                </c:pt>
                <c:pt idx="114">
                  <c:v>-8.8999999999999996E-2</c:v>
                </c:pt>
                <c:pt idx="115">
                  <c:v>-0.108</c:v>
                </c:pt>
                <c:pt idx="116">
                  <c:v>-5.7000000000000002E-2</c:v>
                </c:pt>
                <c:pt idx="117">
                  <c:v>3.4000000000000002E-2</c:v>
                </c:pt>
                <c:pt idx="118">
                  <c:v>-6.6000000000000003E-2</c:v>
                </c:pt>
                <c:pt idx="119">
                  <c:v>-6.4000000000000001E-2</c:v>
                </c:pt>
                <c:pt idx="120">
                  <c:v>-6.3E-2</c:v>
                </c:pt>
                <c:pt idx="121">
                  <c:v>-0.14799999999999999</c:v>
                </c:pt>
                <c:pt idx="122">
                  <c:v>-0.20399999999999999</c:v>
                </c:pt>
                <c:pt idx="123">
                  <c:v>-0.16300000000000001</c:v>
                </c:pt>
                <c:pt idx="124">
                  <c:v>-4.7E-2</c:v>
                </c:pt>
                <c:pt idx="125">
                  <c:v>3.6999999999999998E-2</c:v>
                </c:pt>
                <c:pt idx="126">
                  <c:v>-0.152</c:v>
                </c:pt>
                <c:pt idx="127">
                  <c:v>-0.05</c:v>
                </c:pt>
                <c:pt idx="128">
                  <c:v>3.6999999999999998E-2</c:v>
                </c:pt>
                <c:pt idx="129">
                  <c:v>0.02</c:v>
                </c:pt>
                <c:pt idx="130">
                  <c:v>-1.4999999999999999E-2</c:v>
                </c:pt>
                <c:pt idx="131">
                  <c:v>7.0999999999999994E-2</c:v>
                </c:pt>
                <c:pt idx="132">
                  <c:v>7.5999999999999998E-2</c:v>
                </c:pt>
                <c:pt idx="133">
                  <c:v>7.0999999999999994E-2</c:v>
                </c:pt>
                <c:pt idx="134">
                  <c:v>5.7000000000000002E-2</c:v>
                </c:pt>
                <c:pt idx="135">
                  <c:v>-1.9E-2</c:v>
                </c:pt>
                <c:pt idx="136">
                  <c:v>-0.122</c:v>
                </c:pt>
                <c:pt idx="137">
                  <c:v>5.8000000000000003E-2</c:v>
                </c:pt>
                <c:pt idx="138">
                  <c:v>7.0000000000000001E-3</c:v>
                </c:pt>
                <c:pt idx="139">
                  <c:v>-5.0000000000000001E-3</c:v>
                </c:pt>
                <c:pt idx="140">
                  <c:v>-7.0999999999999994E-2</c:v>
                </c:pt>
                <c:pt idx="141">
                  <c:v>-2.7E-2</c:v>
                </c:pt>
                <c:pt idx="142">
                  <c:v>-2.1000000000000001E-2</c:v>
                </c:pt>
                <c:pt idx="143">
                  <c:v>-0.11600000000000001</c:v>
                </c:pt>
                <c:pt idx="144">
                  <c:v>-8.0000000000000002E-3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3E-48A7-8AF4-413AEA09D46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('AMP3-2'!$AG$4,'AMP3-2'!$AG$4)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3E-48A7-8AF4-413AEA09D46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('AMP3-2'!$AG$5,'AMP3-2'!$AG$5)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3E-48A7-8AF4-413AEA09D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8064"/>
        <c:axId val="447318456"/>
      </c:scatterChart>
      <c:valAx>
        <c:axId val="4473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8456"/>
        <c:crosses val="autoZero"/>
        <c:crossBetween val="midCat"/>
      </c:valAx>
      <c:valAx>
        <c:axId val="4473184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'AMP3-2'!$AH$8</c:f>
              <c:strCache>
                <c:ptCount val="1"/>
                <c:pt idx="0">
                  <c:v>T 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'AMP3-2'!$AH$9:$AH$153</c:f>
              <c:numCache>
                <c:formatCode>General</c:formatCode>
                <c:ptCount val="145"/>
                <c:pt idx="0">
                  <c:v>-0.123</c:v>
                </c:pt>
                <c:pt idx="1">
                  <c:v>0.14799999999999999</c:v>
                </c:pt>
                <c:pt idx="2">
                  <c:v>-0.20300000000000001</c:v>
                </c:pt>
                <c:pt idx="3">
                  <c:v>0.34300000000000003</c:v>
                </c:pt>
                <c:pt idx="4">
                  <c:v>-0.29199999999999998</c:v>
                </c:pt>
                <c:pt idx="5">
                  <c:v>0.28599999999999998</c:v>
                </c:pt>
                <c:pt idx="6">
                  <c:v>-0.20200000000000001</c:v>
                </c:pt>
                <c:pt idx="7">
                  <c:v>0.26700000000000002</c:v>
                </c:pt>
                <c:pt idx="8">
                  <c:v>-0.20499999999999999</c:v>
                </c:pt>
                <c:pt idx="9">
                  <c:v>0.25600000000000001</c:v>
                </c:pt>
                <c:pt idx="10">
                  <c:v>-0.156</c:v>
                </c:pt>
                <c:pt idx="11">
                  <c:v>-0.114</c:v>
                </c:pt>
                <c:pt idx="12">
                  <c:v>3.1E-2</c:v>
                </c:pt>
                <c:pt idx="13">
                  <c:v>0.32200000000000001</c:v>
                </c:pt>
                <c:pt idx="14">
                  <c:v>-0.19800000000000001</c:v>
                </c:pt>
                <c:pt idx="15">
                  <c:v>0.439</c:v>
                </c:pt>
                <c:pt idx="16">
                  <c:v>-0.14199999999999999</c:v>
                </c:pt>
                <c:pt idx="17">
                  <c:v>0.2</c:v>
                </c:pt>
                <c:pt idx="18">
                  <c:v>-0.114</c:v>
                </c:pt>
                <c:pt idx="19">
                  <c:v>0.33300000000000002</c:v>
                </c:pt>
                <c:pt idx="20">
                  <c:v>-7.5999999999999998E-2</c:v>
                </c:pt>
                <c:pt idx="21">
                  <c:v>0.32700000000000001</c:v>
                </c:pt>
                <c:pt idx="22">
                  <c:v>-2.1999999999999999E-2</c:v>
                </c:pt>
                <c:pt idx="23">
                  <c:v>0.307</c:v>
                </c:pt>
                <c:pt idx="24">
                  <c:v>-0.11799999999999999</c:v>
                </c:pt>
                <c:pt idx="25">
                  <c:v>0.249</c:v>
                </c:pt>
                <c:pt idx="26">
                  <c:v>-0.122</c:v>
                </c:pt>
                <c:pt idx="27">
                  <c:v>0.23499999999999999</c:v>
                </c:pt>
                <c:pt idx="28">
                  <c:v>-0.121</c:v>
                </c:pt>
                <c:pt idx="29">
                  <c:v>0.249</c:v>
                </c:pt>
                <c:pt idx="30">
                  <c:v>-0.152</c:v>
                </c:pt>
                <c:pt idx="31">
                  <c:v>0.26800000000000002</c:v>
                </c:pt>
                <c:pt idx="32">
                  <c:v>-7.1999999999999995E-2</c:v>
                </c:pt>
                <c:pt idx="33">
                  <c:v>0.31</c:v>
                </c:pt>
                <c:pt idx="34">
                  <c:v>-0.158</c:v>
                </c:pt>
                <c:pt idx="35">
                  <c:v>0.27500000000000002</c:v>
                </c:pt>
                <c:pt idx="36">
                  <c:v>-0.14499999999999999</c:v>
                </c:pt>
                <c:pt idx="37">
                  <c:v>0.26800000000000002</c:v>
                </c:pt>
                <c:pt idx="38">
                  <c:v>-0.122</c:v>
                </c:pt>
                <c:pt idx="39">
                  <c:v>0.20100000000000001</c:v>
                </c:pt>
                <c:pt idx="40">
                  <c:v>-0.03</c:v>
                </c:pt>
                <c:pt idx="41">
                  <c:v>0.218</c:v>
                </c:pt>
                <c:pt idx="42">
                  <c:v>-2.5000000000000001E-2</c:v>
                </c:pt>
                <c:pt idx="43">
                  <c:v>0.155</c:v>
                </c:pt>
                <c:pt idx="44">
                  <c:v>-0.17</c:v>
                </c:pt>
                <c:pt idx="45">
                  <c:v>0.106</c:v>
                </c:pt>
                <c:pt idx="46">
                  <c:v>-3.9E-2</c:v>
                </c:pt>
                <c:pt idx="47">
                  <c:v>6.6000000000000003E-2</c:v>
                </c:pt>
                <c:pt idx="48">
                  <c:v>-0.115</c:v>
                </c:pt>
                <c:pt idx="49">
                  <c:v>-4.2000000000000003E-2</c:v>
                </c:pt>
                <c:pt idx="50">
                  <c:v>-9.2999999999999999E-2</c:v>
                </c:pt>
                <c:pt idx="51">
                  <c:v>-7.0000000000000001E-3</c:v>
                </c:pt>
                <c:pt idx="52">
                  <c:v>-0.125</c:v>
                </c:pt>
                <c:pt idx="53">
                  <c:v>-8.6999999999999994E-2</c:v>
                </c:pt>
                <c:pt idx="54">
                  <c:v>-1.4E-2</c:v>
                </c:pt>
                <c:pt idx="55">
                  <c:v>0.09</c:v>
                </c:pt>
                <c:pt idx="56">
                  <c:v>-3.4000000000000002E-2</c:v>
                </c:pt>
                <c:pt idx="57">
                  <c:v>-7.0000000000000001E-3</c:v>
                </c:pt>
                <c:pt idx="58">
                  <c:v>-8.5000000000000006E-2</c:v>
                </c:pt>
                <c:pt idx="59">
                  <c:v>7.1999999999999995E-2</c:v>
                </c:pt>
                <c:pt idx="60">
                  <c:v>-0.13500000000000001</c:v>
                </c:pt>
                <c:pt idx="61">
                  <c:v>0.106</c:v>
                </c:pt>
                <c:pt idx="62">
                  <c:v>-0.159</c:v>
                </c:pt>
                <c:pt idx="63">
                  <c:v>0.129</c:v>
                </c:pt>
                <c:pt idx="64">
                  <c:v>-0.20300000000000001</c:v>
                </c:pt>
                <c:pt idx="65">
                  <c:v>9.2999999999999999E-2</c:v>
                </c:pt>
                <c:pt idx="66">
                  <c:v>-0.1</c:v>
                </c:pt>
                <c:pt idx="67">
                  <c:v>-3.0000000000000001E-3</c:v>
                </c:pt>
                <c:pt idx="68">
                  <c:v>-0.17599999999999999</c:v>
                </c:pt>
                <c:pt idx="69">
                  <c:v>-1.9E-2</c:v>
                </c:pt>
                <c:pt idx="70">
                  <c:v>-0.16200000000000001</c:v>
                </c:pt>
                <c:pt idx="71">
                  <c:v>7.4999999999999997E-2</c:v>
                </c:pt>
                <c:pt idx="72">
                  <c:v>2.3E-2</c:v>
                </c:pt>
                <c:pt idx="73">
                  <c:v>-0.122</c:v>
                </c:pt>
                <c:pt idx="74">
                  <c:v>-0.187</c:v>
                </c:pt>
                <c:pt idx="75">
                  <c:v>0.126</c:v>
                </c:pt>
                <c:pt idx="76">
                  <c:v>-0.155</c:v>
                </c:pt>
                <c:pt idx="77">
                  <c:v>-4.0000000000000001E-3</c:v>
                </c:pt>
                <c:pt idx="78">
                  <c:v>-0.16900000000000001</c:v>
                </c:pt>
                <c:pt idx="79">
                  <c:v>4.7E-2</c:v>
                </c:pt>
                <c:pt idx="80">
                  <c:v>0.04</c:v>
                </c:pt>
                <c:pt idx="81">
                  <c:v>0</c:v>
                </c:pt>
                <c:pt idx="82">
                  <c:v>-0.114</c:v>
                </c:pt>
                <c:pt idx="83">
                  <c:v>-5.7000000000000002E-2</c:v>
                </c:pt>
                <c:pt idx="84">
                  <c:v>-0.151</c:v>
                </c:pt>
                <c:pt idx="85">
                  <c:v>2.5999999999999999E-2</c:v>
                </c:pt>
                <c:pt idx="86">
                  <c:v>-9.2999999999999999E-2</c:v>
                </c:pt>
                <c:pt idx="87">
                  <c:v>0.05</c:v>
                </c:pt>
                <c:pt idx="88">
                  <c:v>3.5000000000000003E-2</c:v>
                </c:pt>
                <c:pt idx="89">
                  <c:v>0.10199999999999999</c:v>
                </c:pt>
                <c:pt idx="90">
                  <c:v>-5.1999999999999998E-2</c:v>
                </c:pt>
                <c:pt idx="91">
                  <c:v>-2.8000000000000001E-2</c:v>
                </c:pt>
                <c:pt idx="92">
                  <c:v>-0.128</c:v>
                </c:pt>
                <c:pt idx="93">
                  <c:v>-8.0000000000000002E-3</c:v>
                </c:pt>
                <c:pt idx="94">
                  <c:v>-7.5999999999999998E-2</c:v>
                </c:pt>
                <c:pt idx="95">
                  <c:v>2.8000000000000001E-2</c:v>
                </c:pt>
                <c:pt idx="96">
                  <c:v>2.9000000000000001E-2</c:v>
                </c:pt>
                <c:pt idx="97">
                  <c:v>2.7E-2</c:v>
                </c:pt>
                <c:pt idx="98">
                  <c:v>-5.8999999999999997E-2</c:v>
                </c:pt>
                <c:pt idx="99">
                  <c:v>2.8000000000000001E-2</c:v>
                </c:pt>
                <c:pt idx="100">
                  <c:v>3.9E-2</c:v>
                </c:pt>
                <c:pt idx="101">
                  <c:v>3.3000000000000002E-2</c:v>
                </c:pt>
                <c:pt idx="102">
                  <c:v>-7.4999999999999997E-2</c:v>
                </c:pt>
                <c:pt idx="103">
                  <c:v>-7.2999999999999995E-2</c:v>
                </c:pt>
                <c:pt idx="104">
                  <c:v>-0.02</c:v>
                </c:pt>
                <c:pt idx="105">
                  <c:v>-7.9000000000000001E-2</c:v>
                </c:pt>
                <c:pt idx="106">
                  <c:v>-0.124</c:v>
                </c:pt>
                <c:pt idx="107">
                  <c:v>-1.2E-2</c:v>
                </c:pt>
                <c:pt idx="108">
                  <c:v>-9.7000000000000003E-2</c:v>
                </c:pt>
                <c:pt idx="109">
                  <c:v>3.2000000000000001E-2</c:v>
                </c:pt>
                <c:pt idx="110">
                  <c:v>-0.10299999999999999</c:v>
                </c:pt>
                <c:pt idx="111">
                  <c:v>6.5000000000000002E-2</c:v>
                </c:pt>
                <c:pt idx="112">
                  <c:v>-9.4E-2</c:v>
                </c:pt>
                <c:pt idx="113">
                  <c:v>-1.9E-2</c:v>
                </c:pt>
                <c:pt idx="114">
                  <c:v>-0.10199999999999999</c:v>
                </c:pt>
                <c:pt idx="115">
                  <c:v>-2.5999999999999999E-2</c:v>
                </c:pt>
                <c:pt idx="116">
                  <c:v>-9.7000000000000003E-2</c:v>
                </c:pt>
                <c:pt idx="117">
                  <c:v>0.156</c:v>
                </c:pt>
                <c:pt idx="118">
                  <c:v>-0.253</c:v>
                </c:pt>
                <c:pt idx="119">
                  <c:v>3.4000000000000002E-2</c:v>
                </c:pt>
                <c:pt idx="120">
                  <c:v>-9.6000000000000002E-2</c:v>
                </c:pt>
                <c:pt idx="121">
                  <c:v>-0.105</c:v>
                </c:pt>
                <c:pt idx="122">
                  <c:v>-3.1E-2</c:v>
                </c:pt>
                <c:pt idx="123">
                  <c:v>-4.1000000000000002E-2</c:v>
                </c:pt>
                <c:pt idx="124">
                  <c:v>-4.4999999999999998E-2</c:v>
                </c:pt>
                <c:pt idx="125">
                  <c:v>0.14899999999999999</c:v>
                </c:pt>
                <c:pt idx="126">
                  <c:v>1.7000000000000001E-2</c:v>
                </c:pt>
                <c:pt idx="127">
                  <c:v>9.5000000000000001E-2</c:v>
                </c:pt>
                <c:pt idx="128">
                  <c:v>-0.13800000000000001</c:v>
                </c:pt>
                <c:pt idx="129">
                  <c:v>-5.0000000000000001E-3</c:v>
                </c:pt>
                <c:pt idx="130">
                  <c:v>-0.105</c:v>
                </c:pt>
                <c:pt idx="131">
                  <c:v>8.1000000000000003E-2</c:v>
                </c:pt>
                <c:pt idx="132">
                  <c:v>8.2000000000000003E-2</c:v>
                </c:pt>
                <c:pt idx="133">
                  <c:v>-2.8000000000000001E-2</c:v>
                </c:pt>
                <c:pt idx="134">
                  <c:v>-7.2999999999999995E-2</c:v>
                </c:pt>
                <c:pt idx="135">
                  <c:v>-0.1</c:v>
                </c:pt>
                <c:pt idx="136">
                  <c:v>-7.8E-2</c:v>
                </c:pt>
                <c:pt idx="137">
                  <c:v>-0.187</c:v>
                </c:pt>
                <c:pt idx="138">
                  <c:v>7.5999999999999998E-2</c:v>
                </c:pt>
                <c:pt idx="139">
                  <c:v>-7.9000000000000001E-2</c:v>
                </c:pt>
                <c:pt idx="140">
                  <c:v>-2.7E-2</c:v>
                </c:pt>
                <c:pt idx="141">
                  <c:v>-5.0999999999999997E-2</c:v>
                </c:pt>
                <c:pt idx="142">
                  <c:v>6.0000000000000001E-3</c:v>
                </c:pt>
                <c:pt idx="143">
                  <c:v>-0.16600000000000001</c:v>
                </c:pt>
                <c:pt idx="144">
                  <c:v>8.1000000000000003E-2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6-4F04-A09A-797C4A928AA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('AMP3-2'!$AH$4,'AMP3-2'!$AH$4)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96-4F04-A09A-797C4A928AA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('AMP3-2'!$AH$5,'AMP3-2'!$AH$5)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96-4F04-A09A-797C4A928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19240"/>
        <c:axId val="447319632"/>
      </c:scatterChart>
      <c:valAx>
        <c:axId val="44731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9632"/>
        <c:crosses val="autoZero"/>
        <c:crossBetween val="midCat"/>
      </c:valAx>
      <c:valAx>
        <c:axId val="4473196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1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'AMP3-2'!$AI$8</c:f>
              <c:strCache>
                <c:ptCount val="1"/>
                <c:pt idx="0">
                  <c:v>T 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'AMP3-2'!$C$9:$C$153</c:f>
              <c:numCache>
                <c:formatCode>m/d/yy\ h:mm;@</c:formatCode>
                <c:ptCount val="145"/>
                <c:pt idx="0">
                  <c:v>43698.515601851854</c:v>
                </c:pt>
                <c:pt idx="1">
                  <c:v>43698.517638888887</c:v>
                </c:pt>
                <c:pt idx="2">
                  <c:v>43698.620428240742</c:v>
                </c:pt>
                <c:pt idx="3">
                  <c:v>43698.622511574074</c:v>
                </c:pt>
                <c:pt idx="4">
                  <c:v>43698.778726851851</c:v>
                </c:pt>
                <c:pt idx="5">
                  <c:v>43698.784594907411</c:v>
                </c:pt>
                <c:pt idx="6">
                  <c:v>43698.835682870369</c:v>
                </c:pt>
                <c:pt idx="7">
                  <c:v>43698.837731481479</c:v>
                </c:pt>
                <c:pt idx="8">
                  <c:v>43698.884699074071</c:v>
                </c:pt>
                <c:pt idx="9">
                  <c:v>43698.886712962965</c:v>
                </c:pt>
                <c:pt idx="10">
                  <c:v>43698.980138888888</c:v>
                </c:pt>
                <c:pt idx="11">
                  <c:v>43698.982210648152</c:v>
                </c:pt>
                <c:pt idx="12">
                  <c:v>43700.468773148146</c:v>
                </c:pt>
                <c:pt idx="13">
                  <c:v>43700.470462962963</c:v>
                </c:pt>
                <c:pt idx="14">
                  <c:v>43700.559930555559</c:v>
                </c:pt>
                <c:pt idx="15">
                  <c:v>43700.561550925922</c:v>
                </c:pt>
                <c:pt idx="16">
                  <c:v>43700.678703703707</c:v>
                </c:pt>
                <c:pt idx="17">
                  <c:v>43700.682928240742</c:v>
                </c:pt>
                <c:pt idx="18">
                  <c:v>43700.708391203705</c:v>
                </c:pt>
                <c:pt idx="19">
                  <c:v>43700.714166666665</c:v>
                </c:pt>
                <c:pt idx="20">
                  <c:v>43701.329629629632</c:v>
                </c:pt>
                <c:pt idx="21">
                  <c:v>43701.34138888889</c:v>
                </c:pt>
                <c:pt idx="22">
                  <c:v>43701.413206018522</c:v>
                </c:pt>
                <c:pt idx="23">
                  <c:v>43701.414826388886</c:v>
                </c:pt>
                <c:pt idx="24">
                  <c:v>43701.48710648148</c:v>
                </c:pt>
                <c:pt idx="25">
                  <c:v>43701.49322916667</c:v>
                </c:pt>
                <c:pt idx="26">
                  <c:v>43701.580740740741</c:v>
                </c:pt>
                <c:pt idx="27">
                  <c:v>43701.582499999997</c:v>
                </c:pt>
                <c:pt idx="28">
                  <c:v>43701.664386574077</c:v>
                </c:pt>
                <c:pt idx="29">
                  <c:v>43701.666956018518</c:v>
                </c:pt>
                <c:pt idx="30">
                  <c:v>43701.703472222223</c:v>
                </c:pt>
                <c:pt idx="31">
                  <c:v>43701.705092592594</c:v>
                </c:pt>
                <c:pt idx="32">
                  <c:v>43702.330613425926</c:v>
                </c:pt>
                <c:pt idx="33">
                  <c:v>43702.33222222222</c:v>
                </c:pt>
                <c:pt idx="34">
                  <c:v>43702.416828703703</c:v>
                </c:pt>
                <c:pt idx="35">
                  <c:v>43702.418483796297</c:v>
                </c:pt>
                <c:pt idx="36">
                  <c:v>43702.507372685184</c:v>
                </c:pt>
                <c:pt idx="37">
                  <c:v>43702.508969907409</c:v>
                </c:pt>
                <c:pt idx="38">
                  <c:v>43702.592118055552</c:v>
                </c:pt>
                <c:pt idx="39">
                  <c:v>43702.593680555554</c:v>
                </c:pt>
                <c:pt idx="40">
                  <c:v>43702.725844907407</c:v>
                </c:pt>
                <c:pt idx="41">
                  <c:v>43702.729143518518</c:v>
                </c:pt>
                <c:pt idx="42">
                  <c:v>43703.397546296299</c:v>
                </c:pt>
                <c:pt idx="43">
                  <c:v>43703.399224537039</c:v>
                </c:pt>
                <c:pt idx="44">
                  <c:v>43703.497118055559</c:v>
                </c:pt>
                <c:pt idx="45">
                  <c:v>43703.498692129629</c:v>
                </c:pt>
                <c:pt idx="46">
                  <c:v>43703.5784375</c:v>
                </c:pt>
                <c:pt idx="47">
                  <c:v>43703.580011574071</c:v>
                </c:pt>
                <c:pt idx="48">
                  <c:v>43703.692094907405</c:v>
                </c:pt>
                <c:pt idx="49">
                  <c:v>43703.693668981483</c:v>
                </c:pt>
                <c:pt idx="50">
                  <c:v>43703.749803240738</c:v>
                </c:pt>
                <c:pt idx="51">
                  <c:v>43703.75167824074</c:v>
                </c:pt>
                <c:pt idx="52">
                  <c:v>43703.843657407408</c:v>
                </c:pt>
                <c:pt idx="53">
                  <c:v>43703.845266203702</c:v>
                </c:pt>
                <c:pt idx="54">
                  <c:v>43703.916435185187</c:v>
                </c:pt>
                <c:pt idx="55">
                  <c:v>43703.918553240743</c:v>
                </c:pt>
                <c:pt idx="56">
                  <c:v>43704.001875000002</c:v>
                </c:pt>
                <c:pt idx="57">
                  <c:v>43704.00341435185</c:v>
                </c:pt>
                <c:pt idx="58">
                  <c:v>43704.30673611111</c:v>
                </c:pt>
                <c:pt idx="59">
                  <c:v>43704.310162037036</c:v>
                </c:pt>
                <c:pt idx="60">
                  <c:v>43704.389293981483</c:v>
                </c:pt>
                <c:pt idx="61">
                  <c:v>43704.391331018516</c:v>
                </c:pt>
                <c:pt idx="62">
                  <c:v>43704.491620370369</c:v>
                </c:pt>
                <c:pt idx="63">
                  <c:v>43704.493750000001</c:v>
                </c:pt>
                <c:pt idx="64">
                  <c:v>43704.558391203704</c:v>
                </c:pt>
                <c:pt idx="65">
                  <c:v>43704.560972222222</c:v>
                </c:pt>
                <c:pt idx="66">
                  <c:v>43704.686597222222</c:v>
                </c:pt>
                <c:pt idx="67">
                  <c:v>43704.688969907409</c:v>
                </c:pt>
                <c:pt idx="68">
                  <c:v>43704.809837962966</c:v>
                </c:pt>
                <c:pt idx="69">
                  <c:v>43704.811354166668</c:v>
                </c:pt>
                <c:pt idx="70">
                  <c:v>43704.894884259258</c:v>
                </c:pt>
                <c:pt idx="71">
                  <c:v>43704.896435185183</c:v>
                </c:pt>
                <c:pt idx="72">
                  <c:v>43704.987303240741</c:v>
                </c:pt>
                <c:pt idx="73">
                  <c:v>43704.988807870373</c:v>
                </c:pt>
                <c:pt idx="74">
                  <c:v>43705.532407407409</c:v>
                </c:pt>
                <c:pt idx="75">
                  <c:v>43705.534490740742</c:v>
                </c:pt>
                <c:pt idx="76">
                  <c:v>43705.713518518518</c:v>
                </c:pt>
                <c:pt idx="77">
                  <c:v>43705.715057870373</c:v>
                </c:pt>
                <c:pt idx="78">
                  <c:v>43705.726342592592</c:v>
                </c:pt>
                <c:pt idx="79">
                  <c:v>43705.72792824074</c:v>
                </c:pt>
                <c:pt idx="80">
                  <c:v>43705.837152777778</c:v>
                </c:pt>
                <c:pt idx="81">
                  <c:v>43705.838634259257</c:v>
                </c:pt>
                <c:pt idx="82">
                  <c:v>43705.967766203707</c:v>
                </c:pt>
                <c:pt idx="83">
                  <c:v>43705.969548611109</c:v>
                </c:pt>
                <c:pt idx="84">
                  <c:v>43705.986250000002</c:v>
                </c:pt>
                <c:pt idx="85">
                  <c:v>43705.987870370373</c:v>
                </c:pt>
                <c:pt idx="86">
                  <c:v>43706.027418981481</c:v>
                </c:pt>
                <c:pt idx="87">
                  <c:v>43706.028912037036</c:v>
                </c:pt>
                <c:pt idx="88">
                  <c:v>43706.340081018519</c:v>
                </c:pt>
                <c:pt idx="89">
                  <c:v>43706.342233796298</c:v>
                </c:pt>
                <c:pt idx="90">
                  <c:v>43706.436608796299</c:v>
                </c:pt>
                <c:pt idx="91">
                  <c:v>43706.438761574071</c:v>
                </c:pt>
                <c:pt idx="92">
                  <c:v>43706.58085648148</c:v>
                </c:pt>
                <c:pt idx="93">
                  <c:v>43706.582916666666</c:v>
                </c:pt>
                <c:pt idx="94">
                  <c:v>43706.625497685185</c:v>
                </c:pt>
                <c:pt idx="95">
                  <c:v>43706.627743055556</c:v>
                </c:pt>
                <c:pt idx="96">
                  <c:v>43706.724490740744</c:v>
                </c:pt>
                <c:pt idx="97">
                  <c:v>43706.726493055554</c:v>
                </c:pt>
                <c:pt idx="98">
                  <c:v>43706.791041666664</c:v>
                </c:pt>
                <c:pt idx="99">
                  <c:v>43706.793090277781</c:v>
                </c:pt>
                <c:pt idx="100">
                  <c:v>43706.905659722222</c:v>
                </c:pt>
                <c:pt idx="101">
                  <c:v>43706.927245370367</c:v>
                </c:pt>
                <c:pt idx="102">
                  <c:v>43706.998993055553</c:v>
                </c:pt>
                <c:pt idx="103">
                  <c:v>43707.001840277779</c:v>
                </c:pt>
                <c:pt idx="104">
                  <c:v>43707.04619212963</c:v>
                </c:pt>
                <c:pt idx="105">
                  <c:v>43707.048263888886</c:v>
                </c:pt>
                <c:pt idx="106">
                  <c:v>43707.336423611108</c:v>
                </c:pt>
                <c:pt idx="107">
                  <c:v>43707.339699074073</c:v>
                </c:pt>
                <c:pt idx="108">
                  <c:v>43707.420335648145</c:v>
                </c:pt>
                <c:pt idx="109">
                  <c:v>43707.422511574077</c:v>
                </c:pt>
                <c:pt idx="110">
                  <c:v>43707.517337962963</c:v>
                </c:pt>
                <c:pt idx="111">
                  <c:v>43707.528171296297</c:v>
                </c:pt>
                <c:pt idx="112">
                  <c:v>43707.609513888892</c:v>
                </c:pt>
                <c:pt idx="113">
                  <c:v>43707.614074074074</c:v>
                </c:pt>
                <c:pt idx="114">
                  <c:v>43707.689467592594</c:v>
                </c:pt>
                <c:pt idx="115">
                  <c:v>43707.693113425928</c:v>
                </c:pt>
                <c:pt idx="116">
                  <c:v>43708.310810185183</c:v>
                </c:pt>
                <c:pt idx="117">
                  <c:v>43708.313356481478</c:v>
                </c:pt>
                <c:pt idx="118">
                  <c:v>43708.397858796299</c:v>
                </c:pt>
                <c:pt idx="119">
                  <c:v>43708.400752314818</c:v>
                </c:pt>
                <c:pt idx="120">
                  <c:v>43708.491053240738</c:v>
                </c:pt>
                <c:pt idx="121">
                  <c:v>43708.493263888886</c:v>
                </c:pt>
                <c:pt idx="122">
                  <c:v>43708.658587962964</c:v>
                </c:pt>
                <c:pt idx="123">
                  <c:v>43708.660752314812</c:v>
                </c:pt>
                <c:pt idx="124">
                  <c:v>43711.32949074074</c:v>
                </c:pt>
                <c:pt idx="125">
                  <c:v>43711.334004629629</c:v>
                </c:pt>
                <c:pt idx="126">
                  <c:v>43711.391284722224</c:v>
                </c:pt>
                <c:pt idx="127">
                  <c:v>43711.39334490741</c:v>
                </c:pt>
                <c:pt idx="128">
                  <c:v>43711.498310185183</c:v>
                </c:pt>
                <c:pt idx="129">
                  <c:v>43711.500428240739</c:v>
                </c:pt>
                <c:pt idx="130">
                  <c:v>43711.595937500002</c:v>
                </c:pt>
                <c:pt idx="131">
                  <c:v>43711.598067129627</c:v>
                </c:pt>
                <c:pt idx="132">
                  <c:v>43711.62060185185</c:v>
                </c:pt>
                <c:pt idx="133">
                  <c:v>43711.701736111114</c:v>
                </c:pt>
                <c:pt idx="134">
                  <c:v>43711.706550925926</c:v>
                </c:pt>
                <c:pt idx="135">
                  <c:v>43711.780972222223</c:v>
                </c:pt>
                <c:pt idx="136">
                  <c:v>43711.783668981479</c:v>
                </c:pt>
                <c:pt idx="137">
                  <c:v>43711.853576388887</c:v>
                </c:pt>
                <c:pt idx="138">
                  <c:v>43711.855787037035</c:v>
                </c:pt>
                <c:pt idx="139">
                  <c:v>43711.955462962964</c:v>
                </c:pt>
                <c:pt idx="140">
                  <c:v>43711.957499999997</c:v>
                </c:pt>
                <c:pt idx="141">
                  <c:v>43712.030486111114</c:v>
                </c:pt>
                <c:pt idx="142">
                  <c:v>43712.032534722224</c:v>
                </c:pt>
                <c:pt idx="143">
                  <c:v>43712.325219907405</c:v>
                </c:pt>
                <c:pt idx="144">
                  <c:v>43712.327291666668</c:v>
                </c:pt>
              </c:numCache>
            </c:numRef>
          </c:xVal>
          <c:yVal>
            <c:numRef>
              <c:f>'AMP3-2'!$AI$9:$AI$153</c:f>
              <c:numCache>
                <c:formatCode>General</c:formatCode>
                <c:ptCount val="145"/>
                <c:pt idx="0">
                  <c:v>0.122</c:v>
                </c:pt>
                <c:pt idx="1">
                  <c:v>0.123</c:v>
                </c:pt>
                <c:pt idx="2">
                  <c:v>-2.5000000000000001E-2</c:v>
                </c:pt>
                <c:pt idx="3">
                  <c:v>0.41899999999999998</c:v>
                </c:pt>
                <c:pt idx="4">
                  <c:v>-9.6000000000000002E-2</c:v>
                </c:pt>
                <c:pt idx="5">
                  <c:v>0.36599999999999999</c:v>
                </c:pt>
                <c:pt idx="6">
                  <c:v>-4.2000000000000003E-2</c:v>
                </c:pt>
                <c:pt idx="7">
                  <c:v>0.33700000000000002</c:v>
                </c:pt>
                <c:pt idx="8">
                  <c:v>-9.7000000000000003E-2</c:v>
                </c:pt>
                <c:pt idx="9">
                  <c:v>0.315</c:v>
                </c:pt>
                <c:pt idx="10">
                  <c:v>-1.2E-2</c:v>
                </c:pt>
                <c:pt idx="11">
                  <c:v>-6.2E-2</c:v>
                </c:pt>
                <c:pt idx="12">
                  <c:v>0.19</c:v>
                </c:pt>
                <c:pt idx="13">
                  <c:v>0.438</c:v>
                </c:pt>
                <c:pt idx="14">
                  <c:v>-2.9000000000000001E-2</c:v>
                </c:pt>
                <c:pt idx="15">
                  <c:v>0.53</c:v>
                </c:pt>
                <c:pt idx="16">
                  <c:v>1.7000000000000001E-2</c:v>
                </c:pt>
                <c:pt idx="17">
                  <c:v>0.26700000000000002</c:v>
                </c:pt>
                <c:pt idx="18">
                  <c:v>1.7000000000000001E-2</c:v>
                </c:pt>
                <c:pt idx="19">
                  <c:v>0.31</c:v>
                </c:pt>
                <c:pt idx="20">
                  <c:v>0.04</c:v>
                </c:pt>
                <c:pt idx="21">
                  <c:v>0.377</c:v>
                </c:pt>
                <c:pt idx="22">
                  <c:v>9.5000000000000001E-2</c:v>
                </c:pt>
                <c:pt idx="23">
                  <c:v>0.307</c:v>
                </c:pt>
                <c:pt idx="24">
                  <c:v>7.0000000000000001E-3</c:v>
                </c:pt>
                <c:pt idx="25">
                  <c:v>0.27500000000000002</c:v>
                </c:pt>
                <c:pt idx="26">
                  <c:v>1.6E-2</c:v>
                </c:pt>
                <c:pt idx="27">
                  <c:v>0.245</c:v>
                </c:pt>
                <c:pt idx="28">
                  <c:v>2.1000000000000001E-2</c:v>
                </c:pt>
                <c:pt idx="29">
                  <c:v>0.25</c:v>
                </c:pt>
                <c:pt idx="30">
                  <c:v>-6.0000000000000001E-3</c:v>
                </c:pt>
                <c:pt idx="31">
                  <c:v>0.28100000000000003</c:v>
                </c:pt>
                <c:pt idx="32">
                  <c:v>4.1000000000000002E-2</c:v>
                </c:pt>
                <c:pt idx="33">
                  <c:v>0.28299999999999997</c:v>
                </c:pt>
                <c:pt idx="34">
                  <c:v>-3.4000000000000002E-2</c:v>
                </c:pt>
                <c:pt idx="35">
                  <c:v>0.28100000000000003</c:v>
                </c:pt>
                <c:pt idx="36">
                  <c:v>3.5999999999999997E-2</c:v>
                </c:pt>
                <c:pt idx="37">
                  <c:v>0.218</c:v>
                </c:pt>
                <c:pt idx="38">
                  <c:v>1.7000000000000001E-2</c:v>
                </c:pt>
                <c:pt idx="39">
                  <c:v>0.19700000000000001</c:v>
                </c:pt>
                <c:pt idx="40">
                  <c:v>4.5999999999999999E-2</c:v>
                </c:pt>
                <c:pt idx="41">
                  <c:v>0.19400000000000001</c:v>
                </c:pt>
                <c:pt idx="42">
                  <c:v>0.14799999999999999</c:v>
                </c:pt>
                <c:pt idx="43">
                  <c:v>0.25600000000000001</c:v>
                </c:pt>
                <c:pt idx="44">
                  <c:v>5.7000000000000002E-2</c:v>
                </c:pt>
                <c:pt idx="45">
                  <c:v>0.19600000000000001</c:v>
                </c:pt>
                <c:pt idx="46">
                  <c:v>0.125</c:v>
                </c:pt>
                <c:pt idx="47">
                  <c:v>0.14199999999999999</c:v>
                </c:pt>
                <c:pt idx="48">
                  <c:v>2.9000000000000001E-2</c:v>
                </c:pt>
                <c:pt idx="49">
                  <c:v>2.1000000000000001E-2</c:v>
                </c:pt>
                <c:pt idx="50">
                  <c:v>1.7999999999999999E-2</c:v>
                </c:pt>
                <c:pt idx="51">
                  <c:v>4.1000000000000002E-2</c:v>
                </c:pt>
                <c:pt idx="52">
                  <c:v>2.7E-2</c:v>
                </c:pt>
                <c:pt idx="53">
                  <c:v>-4.8000000000000001E-2</c:v>
                </c:pt>
                <c:pt idx="54">
                  <c:v>0.124</c:v>
                </c:pt>
                <c:pt idx="55">
                  <c:v>0.11600000000000001</c:v>
                </c:pt>
                <c:pt idx="56">
                  <c:v>0.109</c:v>
                </c:pt>
                <c:pt idx="57">
                  <c:v>2.8000000000000001E-2</c:v>
                </c:pt>
                <c:pt idx="58">
                  <c:v>5.5E-2</c:v>
                </c:pt>
                <c:pt idx="59">
                  <c:v>0.121</c:v>
                </c:pt>
                <c:pt idx="60">
                  <c:v>1.4E-2</c:v>
                </c:pt>
                <c:pt idx="61">
                  <c:v>0.114</c:v>
                </c:pt>
                <c:pt idx="62">
                  <c:v>-3.2000000000000001E-2</c:v>
                </c:pt>
                <c:pt idx="63">
                  <c:v>0.13600000000000001</c:v>
                </c:pt>
                <c:pt idx="64">
                  <c:v>-5.7000000000000002E-2</c:v>
                </c:pt>
                <c:pt idx="65">
                  <c:v>9.9000000000000005E-2</c:v>
                </c:pt>
                <c:pt idx="66">
                  <c:v>5.8999999999999997E-2</c:v>
                </c:pt>
                <c:pt idx="67">
                  <c:v>3.2000000000000001E-2</c:v>
                </c:pt>
                <c:pt idx="68">
                  <c:v>-3.1E-2</c:v>
                </c:pt>
                <c:pt idx="69">
                  <c:v>-3.0000000000000001E-3</c:v>
                </c:pt>
                <c:pt idx="70">
                  <c:v>-4.7E-2</c:v>
                </c:pt>
                <c:pt idx="71">
                  <c:v>7.8E-2</c:v>
                </c:pt>
                <c:pt idx="72">
                  <c:v>0.14399999999999999</c:v>
                </c:pt>
                <c:pt idx="73">
                  <c:v>2.1999999999999999E-2</c:v>
                </c:pt>
                <c:pt idx="74">
                  <c:v>-5.5E-2</c:v>
                </c:pt>
                <c:pt idx="75">
                  <c:v>0.112</c:v>
                </c:pt>
                <c:pt idx="76">
                  <c:v>-3.4000000000000002E-2</c:v>
                </c:pt>
                <c:pt idx="77">
                  <c:v>1E-3</c:v>
                </c:pt>
                <c:pt idx="78">
                  <c:v>-4.3999999999999997E-2</c:v>
                </c:pt>
                <c:pt idx="79">
                  <c:v>7.9000000000000001E-2</c:v>
                </c:pt>
                <c:pt idx="80">
                  <c:v>9.4E-2</c:v>
                </c:pt>
                <c:pt idx="81">
                  <c:v>8.0000000000000002E-3</c:v>
                </c:pt>
                <c:pt idx="82">
                  <c:v>0.03</c:v>
                </c:pt>
                <c:pt idx="83">
                  <c:v>-3.1E-2</c:v>
                </c:pt>
                <c:pt idx="84">
                  <c:v>1.4999999999999999E-2</c:v>
                </c:pt>
                <c:pt idx="85">
                  <c:v>7.1999999999999995E-2</c:v>
                </c:pt>
                <c:pt idx="86">
                  <c:v>7.8E-2</c:v>
                </c:pt>
                <c:pt idx="87">
                  <c:v>0.13100000000000001</c:v>
                </c:pt>
                <c:pt idx="88">
                  <c:v>0.19700000000000001</c:v>
                </c:pt>
                <c:pt idx="89">
                  <c:v>0.16600000000000001</c:v>
                </c:pt>
                <c:pt idx="90">
                  <c:v>0.111</c:v>
                </c:pt>
                <c:pt idx="91">
                  <c:v>3.3000000000000002E-2</c:v>
                </c:pt>
                <c:pt idx="92">
                  <c:v>2.9000000000000001E-2</c:v>
                </c:pt>
                <c:pt idx="93">
                  <c:v>-5.0000000000000001E-3</c:v>
                </c:pt>
                <c:pt idx="94">
                  <c:v>8.8999999999999996E-2</c:v>
                </c:pt>
                <c:pt idx="95">
                  <c:v>2.5000000000000001E-2</c:v>
                </c:pt>
                <c:pt idx="96">
                  <c:v>0.20399999999999999</c:v>
                </c:pt>
                <c:pt idx="97">
                  <c:v>3.3000000000000002E-2</c:v>
                </c:pt>
                <c:pt idx="98">
                  <c:v>0.10299999999999999</c:v>
                </c:pt>
                <c:pt idx="99">
                  <c:v>2.9000000000000001E-2</c:v>
                </c:pt>
                <c:pt idx="100">
                  <c:v>0.22500000000000001</c:v>
                </c:pt>
                <c:pt idx="101">
                  <c:v>1.0999999999999999E-2</c:v>
                </c:pt>
                <c:pt idx="102">
                  <c:v>1.7000000000000001E-2</c:v>
                </c:pt>
                <c:pt idx="103">
                  <c:v>-7.6999999999999999E-2</c:v>
                </c:pt>
                <c:pt idx="104">
                  <c:v>8.4000000000000005E-2</c:v>
                </c:pt>
                <c:pt idx="105">
                  <c:v>-8.6999999999999994E-2</c:v>
                </c:pt>
                <c:pt idx="106">
                  <c:v>1.4999999999999999E-2</c:v>
                </c:pt>
                <c:pt idx="107">
                  <c:v>-5.0000000000000001E-3</c:v>
                </c:pt>
                <c:pt idx="108">
                  <c:v>0.05</c:v>
                </c:pt>
                <c:pt idx="109">
                  <c:v>-1E-3</c:v>
                </c:pt>
                <c:pt idx="110">
                  <c:v>3.1E-2</c:v>
                </c:pt>
                <c:pt idx="111">
                  <c:v>2.9000000000000001E-2</c:v>
                </c:pt>
                <c:pt idx="112">
                  <c:v>0.04</c:v>
                </c:pt>
                <c:pt idx="113">
                  <c:v>-4.9000000000000002E-2</c:v>
                </c:pt>
                <c:pt idx="114">
                  <c:v>0.04</c:v>
                </c:pt>
                <c:pt idx="115">
                  <c:v>-5.1999999999999998E-2</c:v>
                </c:pt>
                <c:pt idx="116">
                  <c:v>1.6E-2</c:v>
                </c:pt>
                <c:pt idx="117">
                  <c:v>0.13100000000000001</c:v>
                </c:pt>
                <c:pt idx="118">
                  <c:v>-4.3999999999999997E-2</c:v>
                </c:pt>
                <c:pt idx="119">
                  <c:v>1.4999999999999999E-2</c:v>
                </c:pt>
                <c:pt idx="120">
                  <c:v>6.3E-2</c:v>
                </c:pt>
                <c:pt idx="121">
                  <c:v>-0.17799999999999999</c:v>
                </c:pt>
                <c:pt idx="122">
                  <c:v>5.3999999999999999E-2</c:v>
                </c:pt>
                <c:pt idx="123">
                  <c:v>-6.7000000000000004E-2</c:v>
                </c:pt>
                <c:pt idx="124">
                  <c:v>8.1000000000000003E-2</c:v>
                </c:pt>
                <c:pt idx="125">
                  <c:v>0.122</c:v>
                </c:pt>
                <c:pt idx="126">
                  <c:v>9.5000000000000001E-2</c:v>
                </c:pt>
                <c:pt idx="127">
                  <c:v>4.2000000000000003E-2</c:v>
                </c:pt>
                <c:pt idx="128">
                  <c:v>0.01</c:v>
                </c:pt>
                <c:pt idx="129">
                  <c:v>0.106</c:v>
                </c:pt>
                <c:pt idx="130">
                  <c:v>4.0000000000000001E-3</c:v>
                </c:pt>
                <c:pt idx="131">
                  <c:v>0.14199999999999999</c:v>
                </c:pt>
                <c:pt idx="132">
                  <c:v>0.14299999999999999</c:v>
                </c:pt>
                <c:pt idx="133">
                  <c:v>0.12</c:v>
                </c:pt>
                <c:pt idx="134">
                  <c:v>1.7000000000000001E-2</c:v>
                </c:pt>
                <c:pt idx="135">
                  <c:v>4.8000000000000001E-2</c:v>
                </c:pt>
                <c:pt idx="136">
                  <c:v>-4.4999999999999998E-2</c:v>
                </c:pt>
                <c:pt idx="137">
                  <c:v>7.4999999999999997E-2</c:v>
                </c:pt>
                <c:pt idx="138">
                  <c:v>0.11899999999999999</c:v>
                </c:pt>
                <c:pt idx="139">
                  <c:v>8.4000000000000005E-2</c:v>
                </c:pt>
                <c:pt idx="140">
                  <c:v>2.9000000000000001E-2</c:v>
                </c:pt>
                <c:pt idx="141">
                  <c:v>6.3E-2</c:v>
                </c:pt>
                <c:pt idx="142">
                  <c:v>2.1999999999999999E-2</c:v>
                </c:pt>
                <c:pt idx="143">
                  <c:v>-0.05</c:v>
                </c:pt>
                <c:pt idx="144">
                  <c:v>0.128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DF-4D96-8BBF-DF3975BFC6F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('AMP3-2'!$AI$4,'AMP3-2'!$AI$4)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DF-4D96-8BBF-DF3975BFC6F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('AMP3-2'!$C$1,'AMP3-2'!$C$2)</c:f>
              <c:numCache>
                <c:formatCode>m/d/yy\ h:mm;@</c:formatCode>
                <c:ptCount val="2"/>
                <c:pt idx="0">
                  <c:v>43698.515601851854</c:v>
                </c:pt>
                <c:pt idx="1">
                  <c:v>43712.327291666668</c:v>
                </c:pt>
              </c:numCache>
            </c:numRef>
          </c:xVal>
          <c:yVal>
            <c:numRef>
              <c:f>('AMP3-2'!$AI$5,'AMP3-2'!$AI$5)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DF-4D96-8BBF-DF3975BF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20416"/>
        <c:axId val="447320808"/>
      </c:scatterChart>
      <c:valAx>
        <c:axId val="44732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20808"/>
        <c:crosses val="autoZero"/>
        <c:crossBetween val="midCat"/>
      </c:valAx>
      <c:valAx>
        <c:axId val="4473208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2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'AMP3-4'!$F$8</c:f>
              <c:strCache>
                <c:ptCount val="1"/>
                <c:pt idx="0">
                  <c:v>Dim 1_1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'AMP3-4'!$F$9:$F$150</c:f>
              <c:numCache>
                <c:formatCode>General</c:formatCode>
                <c:ptCount val="142"/>
                <c:pt idx="0">
                  <c:v>41.082999999999998</c:v>
                </c:pt>
                <c:pt idx="2">
                  <c:v>41.15</c:v>
                </c:pt>
                <c:pt idx="4">
                  <c:v>41.195999999999998</c:v>
                </c:pt>
                <c:pt idx="6">
                  <c:v>41.140999999999998</c:v>
                </c:pt>
                <c:pt idx="8">
                  <c:v>41.185000000000002</c:v>
                </c:pt>
                <c:pt idx="10">
                  <c:v>41.228000000000002</c:v>
                </c:pt>
                <c:pt idx="12">
                  <c:v>41.061</c:v>
                </c:pt>
                <c:pt idx="14">
                  <c:v>40.954999999999998</c:v>
                </c:pt>
                <c:pt idx="16">
                  <c:v>41.005000000000003</c:v>
                </c:pt>
                <c:pt idx="18">
                  <c:v>41.036999999999999</c:v>
                </c:pt>
                <c:pt idx="20">
                  <c:v>41.064</c:v>
                </c:pt>
                <c:pt idx="22">
                  <c:v>40.997</c:v>
                </c:pt>
                <c:pt idx="24">
                  <c:v>40.893999999999998</c:v>
                </c:pt>
                <c:pt idx="26">
                  <c:v>40.984000000000002</c:v>
                </c:pt>
                <c:pt idx="28">
                  <c:v>41.006</c:v>
                </c:pt>
                <c:pt idx="30">
                  <c:v>40.978000000000002</c:v>
                </c:pt>
                <c:pt idx="32">
                  <c:v>40.715000000000003</c:v>
                </c:pt>
                <c:pt idx="34">
                  <c:v>40.924999999999997</c:v>
                </c:pt>
                <c:pt idx="36">
                  <c:v>40.878</c:v>
                </c:pt>
                <c:pt idx="38">
                  <c:v>41.188000000000002</c:v>
                </c:pt>
                <c:pt idx="40">
                  <c:v>41.311999999999998</c:v>
                </c:pt>
                <c:pt idx="42">
                  <c:v>41.292000000000002</c:v>
                </c:pt>
                <c:pt idx="44">
                  <c:v>41.259</c:v>
                </c:pt>
                <c:pt idx="46">
                  <c:v>41.268999999999998</c:v>
                </c:pt>
                <c:pt idx="48">
                  <c:v>41.265000000000001</c:v>
                </c:pt>
                <c:pt idx="50">
                  <c:v>41.353999999999999</c:v>
                </c:pt>
                <c:pt idx="52">
                  <c:v>41.265000000000001</c:v>
                </c:pt>
                <c:pt idx="54">
                  <c:v>41.216000000000001</c:v>
                </c:pt>
                <c:pt idx="56">
                  <c:v>41.274000000000001</c:v>
                </c:pt>
                <c:pt idx="58">
                  <c:v>41.18</c:v>
                </c:pt>
                <c:pt idx="60">
                  <c:v>41.125</c:v>
                </c:pt>
                <c:pt idx="62">
                  <c:v>41.136000000000003</c:v>
                </c:pt>
                <c:pt idx="64">
                  <c:v>41.223999999999997</c:v>
                </c:pt>
                <c:pt idx="66">
                  <c:v>41.014000000000003</c:v>
                </c:pt>
                <c:pt idx="69">
                  <c:v>41.125999999999998</c:v>
                </c:pt>
                <c:pt idx="70">
                  <c:v>41.258000000000003</c:v>
                </c:pt>
                <c:pt idx="72">
                  <c:v>41.152999999999999</c:v>
                </c:pt>
                <c:pt idx="74">
                  <c:v>41.127000000000002</c:v>
                </c:pt>
                <c:pt idx="76">
                  <c:v>41.094999999999999</c:v>
                </c:pt>
                <c:pt idx="78">
                  <c:v>41.17</c:v>
                </c:pt>
                <c:pt idx="80">
                  <c:v>41.212000000000003</c:v>
                </c:pt>
                <c:pt idx="82">
                  <c:v>41.384999999999998</c:v>
                </c:pt>
                <c:pt idx="84">
                  <c:v>41.393999999999998</c:v>
                </c:pt>
                <c:pt idx="86">
                  <c:v>41.277000000000001</c:v>
                </c:pt>
                <c:pt idx="88">
                  <c:v>41.253999999999998</c:v>
                </c:pt>
                <c:pt idx="90">
                  <c:v>41.305</c:v>
                </c:pt>
                <c:pt idx="92">
                  <c:v>41.232999999999997</c:v>
                </c:pt>
                <c:pt idx="94">
                  <c:v>41.295999999999999</c:v>
                </c:pt>
                <c:pt idx="96">
                  <c:v>41.377000000000002</c:v>
                </c:pt>
                <c:pt idx="98">
                  <c:v>41.197000000000003</c:v>
                </c:pt>
                <c:pt idx="100">
                  <c:v>41.268999999999998</c:v>
                </c:pt>
                <c:pt idx="102">
                  <c:v>41.213999999999999</c:v>
                </c:pt>
                <c:pt idx="104">
                  <c:v>41.338000000000001</c:v>
                </c:pt>
                <c:pt idx="106">
                  <c:v>41.234999999999999</c:v>
                </c:pt>
                <c:pt idx="108">
                  <c:v>41.195999999999998</c:v>
                </c:pt>
                <c:pt idx="110">
                  <c:v>41.234000000000002</c:v>
                </c:pt>
                <c:pt idx="112">
                  <c:v>41.152999999999999</c:v>
                </c:pt>
                <c:pt idx="114">
                  <c:v>41.085999999999999</c:v>
                </c:pt>
                <c:pt idx="116">
                  <c:v>41.220999999999997</c:v>
                </c:pt>
                <c:pt idx="118">
                  <c:v>41.078000000000003</c:v>
                </c:pt>
                <c:pt idx="120">
                  <c:v>41.009</c:v>
                </c:pt>
                <c:pt idx="122">
                  <c:v>41.218000000000004</c:v>
                </c:pt>
                <c:pt idx="124">
                  <c:v>41.148000000000003</c:v>
                </c:pt>
                <c:pt idx="126">
                  <c:v>41.231000000000002</c:v>
                </c:pt>
                <c:pt idx="128">
                  <c:v>41.381</c:v>
                </c:pt>
                <c:pt idx="130">
                  <c:v>41.235999999999997</c:v>
                </c:pt>
                <c:pt idx="132">
                  <c:v>41.328000000000003</c:v>
                </c:pt>
                <c:pt idx="134">
                  <c:v>41.369</c:v>
                </c:pt>
                <c:pt idx="136">
                  <c:v>41.302999999999997</c:v>
                </c:pt>
                <c:pt idx="138">
                  <c:v>41.305999999999997</c:v>
                </c:pt>
                <c:pt idx="140">
                  <c:v>41.371000000000002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0-4614-AC59-8D59BB36F1C4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B8C0-4614-AC59-8D59BB36F1C4}"/>
              </c:ext>
            </c:extLst>
          </c:dPt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('AMP3-4'!$F$4,'AMP3-4'!$F$4)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0-4614-AC59-8D59BB36F1C4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C0-4614-AC59-8D59BB36F1C4}"/>
              </c:ext>
            </c:extLst>
          </c:dPt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('AMP3-4'!$F$5,'AMP3-4'!$F$5)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8C0-4614-AC59-8D59BB36F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22376"/>
        <c:axId val="447322768"/>
      </c:scatterChart>
      <c:valAx>
        <c:axId val="44732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22768"/>
        <c:crosses val="autoZero"/>
        <c:crossBetween val="midCat"/>
      </c:valAx>
      <c:valAx>
        <c:axId val="4473227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2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'AMP3-4'!$G$8</c:f>
              <c:strCache>
                <c:ptCount val="1"/>
                <c:pt idx="0">
                  <c:v>Dim 1_2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'AMP3-4'!$G$9:$G$150</c:f>
              <c:numCache>
                <c:formatCode>General</c:formatCode>
                <c:ptCount val="142"/>
                <c:pt idx="0">
                  <c:v>40.933999999999997</c:v>
                </c:pt>
                <c:pt idx="2">
                  <c:v>41.018000000000001</c:v>
                </c:pt>
                <c:pt idx="4">
                  <c:v>40.984999999999999</c:v>
                </c:pt>
                <c:pt idx="6">
                  <c:v>41.093000000000004</c:v>
                </c:pt>
                <c:pt idx="8">
                  <c:v>41.021999999999998</c:v>
                </c:pt>
                <c:pt idx="10">
                  <c:v>41.034999999999997</c:v>
                </c:pt>
                <c:pt idx="12">
                  <c:v>40.941000000000003</c:v>
                </c:pt>
                <c:pt idx="14">
                  <c:v>40.691000000000003</c:v>
                </c:pt>
                <c:pt idx="16">
                  <c:v>40.853999999999999</c:v>
                </c:pt>
                <c:pt idx="18">
                  <c:v>40.933</c:v>
                </c:pt>
                <c:pt idx="20">
                  <c:v>40.82</c:v>
                </c:pt>
                <c:pt idx="22">
                  <c:v>40.817999999999998</c:v>
                </c:pt>
                <c:pt idx="24">
                  <c:v>40.706000000000003</c:v>
                </c:pt>
                <c:pt idx="26">
                  <c:v>40.793999999999997</c:v>
                </c:pt>
                <c:pt idx="28">
                  <c:v>40.865000000000002</c:v>
                </c:pt>
                <c:pt idx="30">
                  <c:v>40.770000000000003</c:v>
                </c:pt>
                <c:pt idx="32">
                  <c:v>40.648000000000003</c:v>
                </c:pt>
                <c:pt idx="34">
                  <c:v>40.747</c:v>
                </c:pt>
                <c:pt idx="36">
                  <c:v>40.74</c:v>
                </c:pt>
                <c:pt idx="38">
                  <c:v>40.883000000000003</c:v>
                </c:pt>
                <c:pt idx="40">
                  <c:v>41.27</c:v>
                </c:pt>
                <c:pt idx="42">
                  <c:v>41.26</c:v>
                </c:pt>
                <c:pt idx="44">
                  <c:v>41.253</c:v>
                </c:pt>
                <c:pt idx="46">
                  <c:v>41.206000000000003</c:v>
                </c:pt>
                <c:pt idx="48">
                  <c:v>41.183</c:v>
                </c:pt>
                <c:pt idx="50">
                  <c:v>41.247</c:v>
                </c:pt>
                <c:pt idx="52">
                  <c:v>41.215000000000003</c:v>
                </c:pt>
                <c:pt idx="54">
                  <c:v>41.067999999999998</c:v>
                </c:pt>
                <c:pt idx="56">
                  <c:v>41.256999999999998</c:v>
                </c:pt>
                <c:pt idx="58">
                  <c:v>40.948999999999998</c:v>
                </c:pt>
                <c:pt idx="60">
                  <c:v>41.072000000000003</c:v>
                </c:pt>
                <c:pt idx="62">
                  <c:v>40.944000000000003</c:v>
                </c:pt>
                <c:pt idx="64">
                  <c:v>41.185000000000002</c:v>
                </c:pt>
                <c:pt idx="66">
                  <c:v>40.941000000000003</c:v>
                </c:pt>
                <c:pt idx="69">
                  <c:v>40.994999999999997</c:v>
                </c:pt>
                <c:pt idx="70">
                  <c:v>41.088999999999999</c:v>
                </c:pt>
                <c:pt idx="72">
                  <c:v>41.039000000000001</c:v>
                </c:pt>
                <c:pt idx="74">
                  <c:v>41.097999999999999</c:v>
                </c:pt>
                <c:pt idx="76">
                  <c:v>41.064</c:v>
                </c:pt>
                <c:pt idx="78">
                  <c:v>40.987000000000002</c:v>
                </c:pt>
                <c:pt idx="80">
                  <c:v>41.063000000000002</c:v>
                </c:pt>
                <c:pt idx="82">
                  <c:v>41.253</c:v>
                </c:pt>
                <c:pt idx="84">
                  <c:v>41.292000000000002</c:v>
                </c:pt>
                <c:pt idx="86">
                  <c:v>40.957999999999998</c:v>
                </c:pt>
                <c:pt idx="88">
                  <c:v>41.122999999999998</c:v>
                </c:pt>
                <c:pt idx="90">
                  <c:v>41.19</c:v>
                </c:pt>
                <c:pt idx="92">
                  <c:v>41.067</c:v>
                </c:pt>
                <c:pt idx="94">
                  <c:v>41.177</c:v>
                </c:pt>
                <c:pt idx="96">
                  <c:v>41.232999999999997</c:v>
                </c:pt>
                <c:pt idx="98">
                  <c:v>40.994</c:v>
                </c:pt>
                <c:pt idx="100">
                  <c:v>41.030999999999999</c:v>
                </c:pt>
                <c:pt idx="102">
                  <c:v>41.110999999999997</c:v>
                </c:pt>
                <c:pt idx="104">
                  <c:v>41.16</c:v>
                </c:pt>
                <c:pt idx="106">
                  <c:v>41.072000000000003</c:v>
                </c:pt>
                <c:pt idx="108">
                  <c:v>41.063000000000002</c:v>
                </c:pt>
                <c:pt idx="110">
                  <c:v>41.216999999999999</c:v>
                </c:pt>
                <c:pt idx="112">
                  <c:v>41.067</c:v>
                </c:pt>
                <c:pt idx="114">
                  <c:v>41.003</c:v>
                </c:pt>
                <c:pt idx="116">
                  <c:v>41.23</c:v>
                </c:pt>
                <c:pt idx="118">
                  <c:v>40.953000000000003</c:v>
                </c:pt>
                <c:pt idx="120">
                  <c:v>40.799999999999997</c:v>
                </c:pt>
                <c:pt idx="122">
                  <c:v>41.000999999999998</c:v>
                </c:pt>
                <c:pt idx="124">
                  <c:v>41.027999999999999</c:v>
                </c:pt>
                <c:pt idx="126">
                  <c:v>41.075000000000003</c:v>
                </c:pt>
                <c:pt idx="128">
                  <c:v>41.244</c:v>
                </c:pt>
                <c:pt idx="130">
                  <c:v>41.357999999999997</c:v>
                </c:pt>
                <c:pt idx="132">
                  <c:v>41.253</c:v>
                </c:pt>
                <c:pt idx="134">
                  <c:v>41.32</c:v>
                </c:pt>
                <c:pt idx="136">
                  <c:v>41.207000000000001</c:v>
                </c:pt>
                <c:pt idx="138">
                  <c:v>41.317</c:v>
                </c:pt>
                <c:pt idx="140">
                  <c:v>41.213999999999999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C7-4A17-9C5F-CABE7AF58A3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('AMP3-4'!$G$4,'AMP3-4'!$G$4)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C7-4A17-9C5F-CABE7AF58A3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('AMP3-4'!$G$5,'AMP3-4'!$G$5)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C7-4A17-9C5F-CABE7AF58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23552"/>
        <c:axId val="460053232"/>
      </c:scatterChart>
      <c:valAx>
        <c:axId val="44732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3232"/>
        <c:crosses val="autoZero"/>
        <c:crossBetween val="midCat"/>
      </c:valAx>
      <c:valAx>
        <c:axId val="4600532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2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'AMP3-4'!$H$8</c:f>
              <c:strCache>
                <c:ptCount val="1"/>
                <c:pt idx="0">
                  <c:v>Dim 2_1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'AMP3-4'!$H$9:$H$150</c:f>
              <c:numCache>
                <c:formatCode>General</c:formatCode>
                <c:ptCount val="142"/>
                <c:pt idx="0">
                  <c:v>155.86099999999999</c:v>
                </c:pt>
                <c:pt idx="1">
                  <c:v>155.87899999999999</c:v>
                </c:pt>
                <c:pt idx="2">
                  <c:v>155.69</c:v>
                </c:pt>
                <c:pt idx="3">
                  <c:v>155.71299999999999</c:v>
                </c:pt>
                <c:pt idx="4">
                  <c:v>155.733</c:v>
                </c:pt>
                <c:pt idx="5">
                  <c:v>155.797</c:v>
                </c:pt>
                <c:pt idx="6">
                  <c:v>155.714</c:v>
                </c:pt>
                <c:pt idx="7">
                  <c:v>155.77699999999999</c:v>
                </c:pt>
                <c:pt idx="8">
                  <c:v>155.74</c:v>
                </c:pt>
                <c:pt idx="9">
                  <c:v>155.83000000000001</c:v>
                </c:pt>
                <c:pt idx="10">
                  <c:v>155.733</c:v>
                </c:pt>
                <c:pt idx="11">
                  <c:v>155.768</c:v>
                </c:pt>
                <c:pt idx="12">
                  <c:v>155.74100000000001</c:v>
                </c:pt>
                <c:pt idx="13">
                  <c:v>155.96899999999999</c:v>
                </c:pt>
                <c:pt idx="14">
                  <c:v>155.715</c:v>
                </c:pt>
                <c:pt idx="15">
                  <c:v>155.952</c:v>
                </c:pt>
                <c:pt idx="16">
                  <c:v>155.72499999999999</c:v>
                </c:pt>
                <c:pt idx="17">
                  <c:v>155.94499999999999</c:v>
                </c:pt>
                <c:pt idx="18">
                  <c:v>155.745</c:v>
                </c:pt>
                <c:pt idx="19">
                  <c:v>155.983</c:v>
                </c:pt>
                <c:pt idx="20">
                  <c:v>155.71199999999999</c:v>
                </c:pt>
                <c:pt idx="21">
                  <c:v>155.87299999999999</c:v>
                </c:pt>
                <c:pt idx="22">
                  <c:v>155.76499999999999</c:v>
                </c:pt>
                <c:pt idx="23">
                  <c:v>155.95699999999999</c:v>
                </c:pt>
                <c:pt idx="24">
                  <c:v>155.685</c:v>
                </c:pt>
                <c:pt idx="25">
                  <c:v>155.947</c:v>
                </c:pt>
                <c:pt idx="26">
                  <c:v>155.82499999999999</c:v>
                </c:pt>
                <c:pt idx="27">
                  <c:v>155.96199999999999</c:v>
                </c:pt>
                <c:pt idx="28">
                  <c:v>155.904</c:v>
                </c:pt>
                <c:pt idx="29">
                  <c:v>156.12100000000001</c:v>
                </c:pt>
                <c:pt idx="30">
                  <c:v>155.82499999999999</c:v>
                </c:pt>
                <c:pt idx="31">
                  <c:v>156.035</c:v>
                </c:pt>
                <c:pt idx="32">
                  <c:v>155.87299999999999</c:v>
                </c:pt>
                <c:pt idx="33">
                  <c:v>156.10900000000001</c:v>
                </c:pt>
                <c:pt idx="34">
                  <c:v>155.87899999999999</c:v>
                </c:pt>
                <c:pt idx="35">
                  <c:v>156.05699999999999</c:v>
                </c:pt>
                <c:pt idx="36">
                  <c:v>155.898</c:v>
                </c:pt>
                <c:pt idx="37">
                  <c:v>156.07300000000001</c:v>
                </c:pt>
                <c:pt idx="38">
                  <c:v>155.63200000000001</c:v>
                </c:pt>
                <c:pt idx="39">
                  <c:v>155.70500000000001</c:v>
                </c:pt>
                <c:pt idx="40">
                  <c:v>155.69900000000001</c:v>
                </c:pt>
                <c:pt idx="41">
                  <c:v>155.72</c:v>
                </c:pt>
                <c:pt idx="42">
                  <c:v>155.74700000000001</c:v>
                </c:pt>
                <c:pt idx="43">
                  <c:v>155.81</c:v>
                </c:pt>
                <c:pt idx="44">
                  <c:v>155.72399999999999</c:v>
                </c:pt>
                <c:pt idx="45">
                  <c:v>155.78899999999999</c:v>
                </c:pt>
                <c:pt idx="46">
                  <c:v>155.768</c:v>
                </c:pt>
                <c:pt idx="47">
                  <c:v>155.81899999999999</c:v>
                </c:pt>
                <c:pt idx="48">
                  <c:v>155.74700000000001</c:v>
                </c:pt>
                <c:pt idx="49">
                  <c:v>155.79599999999999</c:v>
                </c:pt>
                <c:pt idx="50">
                  <c:v>155.74799999999999</c:v>
                </c:pt>
                <c:pt idx="51">
                  <c:v>155.78899999999999</c:v>
                </c:pt>
                <c:pt idx="52">
                  <c:v>155.75200000000001</c:v>
                </c:pt>
                <c:pt idx="53">
                  <c:v>155.93100000000001</c:v>
                </c:pt>
                <c:pt idx="54">
                  <c:v>155.82400000000001</c:v>
                </c:pt>
                <c:pt idx="55">
                  <c:v>155.87799999999999</c:v>
                </c:pt>
                <c:pt idx="56">
                  <c:v>155.79300000000001</c:v>
                </c:pt>
                <c:pt idx="57">
                  <c:v>155.83199999999999</c:v>
                </c:pt>
                <c:pt idx="58">
                  <c:v>155.81399999999999</c:v>
                </c:pt>
                <c:pt idx="59">
                  <c:v>155.87700000000001</c:v>
                </c:pt>
                <c:pt idx="60">
                  <c:v>155.88300000000001</c:v>
                </c:pt>
                <c:pt idx="61">
                  <c:v>155.89099999999999</c:v>
                </c:pt>
                <c:pt idx="62">
                  <c:v>155.822</c:v>
                </c:pt>
                <c:pt idx="63">
                  <c:v>155.83199999999999</c:v>
                </c:pt>
                <c:pt idx="64">
                  <c:v>155.80799999999999</c:v>
                </c:pt>
                <c:pt idx="65">
                  <c:v>155.87299999999999</c:v>
                </c:pt>
                <c:pt idx="66">
                  <c:v>155.941</c:v>
                </c:pt>
                <c:pt idx="67">
                  <c:v>156.066</c:v>
                </c:pt>
                <c:pt idx="68">
                  <c:v>155.81899999999999</c:v>
                </c:pt>
                <c:pt idx="69">
                  <c:v>155.81299999999999</c:v>
                </c:pt>
                <c:pt idx="70">
                  <c:v>155.744</c:v>
                </c:pt>
                <c:pt idx="71">
                  <c:v>155.81399999999999</c:v>
                </c:pt>
                <c:pt idx="72">
                  <c:v>155.86699999999999</c:v>
                </c:pt>
                <c:pt idx="73">
                  <c:v>155.93700000000001</c:v>
                </c:pt>
                <c:pt idx="74">
                  <c:v>155.88300000000001</c:v>
                </c:pt>
                <c:pt idx="75">
                  <c:v>155.892</c:v>
                </c:pt>
                <c:pt idx="76">
                  <c:v>155.84399999999999</c:v>
                </c:pt>
                <c:pt idx="77">
                  <c:v>155.86000000000001</c:v>
                </c:pt>
                <c:pt idx="78">
                  <c:v>155.85400000000001</c:v>
                </c:pt>
                <c:pt idx="79">
                  <c:v>155.87799999999999</c:v>
                </c:pt>
                <c:pt idx="80">
                  <c:v>155.82</c:v>
                </c:pt>
                <c:pt idx="81">
                  <c:v>155.858</c:v>
                </c:pt>
                <c:pt idx="82">
                  <c:v>155.679</c:v>
                </c:pt>
                <c:pt idx="83">
                  <c:v>155.71299999999999</c:v>
                </c:pt>
                <c:pt idx="84">
                  <c:v>155.72999999999999</c:v>
                </c:pt>
                <c:pt idx="85">
                  <c:v>155.745</c:v>
                </c:pt>
                <c:pt idx="86">
                  <c:v>155.76599999999999</c:v>
                </c:pt>
                <c:pt idx="87">
                  <c:v>155.773</c:v>
                </c:pt>
                <c:pt idx="88">
                  <c:v>155.79</c:v>
                </c:pt>
                <c:pt idx="89">
                  <c:v>155.74199999999999</c:v>
                </c:pt>
                <c:pt idx="90">
                  <c:v>155.816</c:v>
                </c:pt>
                <c:pt idx="91">
                  <c:v>155.768</c:v>
                </c:pt>
                <c:pt idx="92">
                  <c:v>155.81</c:v>
                </c:pt>
                <c:pt idx="93">
                  <c:v>155.81700000000001</c:v>
                </c:pt>
                <c:pt idx="94">
                  <c:v>155.80500000000001</c:v>
                </c:pt>
                <c:pt idx="95">
                  <c:v>155.80799999999999</c:v>
                </c:pt>
                <c:pt idx="96">
                  <c:v>155.74600000000001</c:v>
                </c:pt>
                <c:pt idx="97">
                  <c:v>155.75800000000001</c:v>
                </c:pt>
                <c:pt idx="98">
                  <c:v>155.84399999999999</c:v>
                </c:pt>
                <c:pt idx="99">
                  <c:v>155.846</c:v>
                </c:pt>
                <c:pt idx="100">
                  <c:v>155.864</c:v>
                </c:pt>
                <c:pt idx="101">
                  <c:v>155.91200000000001</c:v>
                </c:pt>
                <c:pt idx="102">
                  <c:v>155.85300000000001</c:v>
                </c:pt>
                <c:pt idx="103">
                  <c:v>155.905</c:v>
                </c:pt>
                <c:pt idx="104">
                  <c:v>155.786</c:v>
                </c:pt>
                <c:pt idx="105">
                  <c:v>155.89400000000001</c:v>
                </c:pt>
                <c:pt idx="106">
                  <c:v>155.828</c:v>
                </c:pt>
                <c:pt idx="107">
                  <c:v>155.89400000000001</c:v>
                </c:pt>
                <c:pt idx="108">
                  <c:v>155.827</c:v>
                </c:pt>
                <c:pt idx="109">
                  <c:v>155.87200000000001</c:v>
                </c:pt>
                <c:pt idx="110">
                  <c:v>155.96199999999999</c:v>
                </c:pt>
                <c:pt idx="111">
                  <c:v>156.03800000000001</c:v>
                </c:pt>
                <c:pt idx="112">
                  <c:v>155.84100000000001</c:v>
                </c:pt>
                <c:pt idx="113">
                  <c:v>155.92099999999999</c:v>
                </c:pt>
                <c:pt idx="114">
                  <c:v>155.91</c:v>
                </c:pt>
                <c:pt idx="115">
                  <c:v>156.02199999999999</c:v>
                </c:pt>
                <c:pt idx="116">
                  <c:v>155.91200000000001</c:v>
                </c:pt>
                <c:pt idx="117">
                  <c:v>155.876</c:v>
                </c:pt>
                <c:pt idx="118">
                  <c:v>155.94300000000001</c:v>
                </c:pt>
                <c:pt idx="119">
                  <c:v>156.048</c:v>
                </c:pt>
                <c:pt idx="120">
                  <c:v>155.96100000000001</c:v>
                </c:pt>
                <c:pt idx="121">
                  <c:v>156.018</c:v>
                </c:pt>
                <c:pt idx="122">
                  <c:v>155.93</c:v>
                </c:pt>
                <c:pt idx="123">
                  <c:v>155.96899999999999</c:v>
                </c:pt>
                <c:pt idx="124">
                  <c:v>155.92400000000001</c:v>
                </c:pt>
                <c:pt idx="125">
                  <c:v>155.99700000000001</c:v>
                </c:pt>
                <c:pt idx="126">
                  <c:v>155.67699999999999</c:v>
                </c:pt>
                <c:pt idx="127">
                  <c:v>155.68899999999999</c:v>
                </c:pt>
                <c:pt idx="128">
                  <c:v>155.71600000000001</c:v>
                </c:pt>
                <c:pt idx="129">
                  <c:v>155.71100000000001</c:v>
                </c:pt>
                <c:pt idx="130">
                  <c:v>155.792</c:v>
                </c:pt>
                <c:pt idx="131">
                  <c:v>155.74100000000001</c:v>
                </c:pt>
                <c:pt idx="132">
                  <c:v>155.73400000000001</c:v>
                </c:pt>
                <c:pt idx="133">
                  <c:v>155.696</c:v>
                </c:pt>
                <c:pt idx="134">
                  <c:v>155.733</c:v>
                </c:pt>
                <c:pt idx="135">
                  <c:v>155.71100000000001</c:v>
                </c:pt>
                <c:pt idx="136">
                  <c:v>155.81200000000001</c:v>
                </c:pt>
                <c:pt idx="137">
                  <c:v>155.80199999999999</c:v>
                </c:pt>
                <c:pt idx="138">
                  <c:v>155.744</c:v>
                </c:pt>
                <c:pt idx="139">
                  <c:v>155.76599999999999</c:v>
                </c:pt>
                <c:pt idx="140">
                  <c:v>155.78399999999999</c:v>
                </c:pt>
                <c:pt idx="141">
                  <c:v>155.78299999999999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1-42BA-BF9A-B131A2FE344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('AMP3-4'!$H$4,'AMP3-4'!$H$4)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1-42BA-BF9A-B131A2FE344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('AMP3-4'!$H$5,'AMP3-4'!$H$5)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B1-42BA-BF9A-B131A2FE3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54016"/>
        <c:axId val="460054408"/>
      </c:scatterChart>
      <c:valAx>
        <c:axId val="46005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4408"/>
        <c:crosses val="autoZero"/>
        <c:crossBetween val="midCat"/>
      </c:valAx>
      <c:valAx>
        <c:axId val="4600544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'AMP3-4'!$I$8</c:f>
              <c:strCache>
                <c:ptCount val="1"/>
                <c:pt idx="0">
                  <c:v>Dim 2_2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'AMP3-4'!$I$9:$I$150</c:f>
              <c:numCache>
                <c:formatCode>General</c:formatCode>
                <c:ptCount val="142"/>
                <c:pt idx="0">
                  <c:v>155.77699999999999</c:v>
                </c:pt>
                <c:pt idx="1">
                  <c:v>155.904</c:v>
                </c:pt>
                <c:pt idx="2">
                  <c:v>155.69300000000001</c:v>
                </c:pt>
                <c:pt idx="3">
                  <c:v>155.75399999999999</c:v>
                </c:pt>
                <c:pt idx="4">
                  <c:v>155.74</c:v>
                </c:pt>
                <c:pt idx="5">
                  <c:v>155.83199999999999</c:v>
                </c:pt>
                <c:pt idx="6">
                  <c:v>155.75800000000001</c:v>
                </c:pt>
                <c:pt idx="7">
                  <c:v>155.79300000000001</c:v>
                </c:pt>
                <c:pt idx="8">
                  <c:v>155.751</c:v>
                </c:pt>
                <c:pt idx="9">
                  <c:v>155.85499999999999</c:v>
                </c:pt>
                <c:pt idx="10">
                  <c:v>155.72900000000001</c:v>
                </c:pt>
                <c:pt idx="11">
                  <c:v>155.81299999999999</c:v>
                </c:pt>
                <c:pt idx="12">
                  <c:v>155.68600000000001</c:v>
                </c:pt>
                <c:pt idx="13">
                  <c:v>156.03299999999999</c:v>
                </c:pt>
                <c:pt idx="14">
                  <c:v>155.69999999999999</c:v>
                </c:pt>
                <c:pt idx="15">
                  <c:v>156.011</c:v>
                </c:pt>
                <c:pt idx="16">
                  <c:v>155.71100000000001</c:v>
                </c:pt>
                <c:pt idx="17">
                  <c:v>156.02000000000001</c:v>
                </c:pt>
                <c:pt idx="18">
                  <c:v>155.70500000000001</c:v>
                </c:pt>
                <c:pt idx="19">
                  <c:v>156.048</c:v>
                </c:pt>
                <c:pt idx="20">
                  <c:v>155.73400000000001</c:v>
                </c:pt>
                <c:pt idx="21">
                  <c:v>155.95500000000001</c:v>
                </c:pt>
                <c:pt idx="22">
                  <c:v>155.80500000000001</c:v>
                </c:pt>
                <c:pt idx="23">
                  <c:v>156.017</c:v>
                </c:pt>
                <c:pt idx="24">
                  <c:v>155.76599999999999</c:v>
                </c:pt>
                <c:pt idx="25">
                  <c:v>156.00899999999999</c:v>
                </c:pt>
                <c:pt idx="26">
                  <c:v>155.791</c:v>
                </c:pt>
                <c:pt idx="27">
                  <c:v>156.03100000000001</c:v>
                </c:pt>
                <c:pt idx="28">
                  <c:v>155.84899999999999</c:v>
                </c:pt>
                <c:pt idx="29">
                  <c:v>156.15600000000001</c:v>
                </c:pt>
                <c:pt idx="30">
                  <c:v>155.78399999999999</c:v>
                </c:pt>
                <c:pt idx="31">
                  <c:v>156.108</c:v>
                </c:pt>
                <c:pt idx="32">
                  <c:v>155.86500000000001</c:v>
                </c:pt>
                <c:pt idx="33">
                  <c:v>156.096</c:v>
                </c:pt>
                <c:pt idx="34">
                  <c:v>155.83500000000001</c:v>
                </c:pt>
                <c:pt idx="35">
                  <c:v>156.11600000000001</c:v>
                </c:pt>
                <c:pt idx="36">
                  <c:v>155.846</c:v>
                </c:pt>
                <c:pt idx="37">
                  <c:v>156.131</c:v>
                </c:pt>
                <c:pt idx="38">
                  <c:v>155.672</c:v>
                </c:pt>
                <c:pt idx="39">
                  <c:v>155.76499999999999</c:v>
                </c:pt>
                <c:pt idx="40">
                  <c:v>155.631</c:v>
                </c:pt>
                <c:pt idx="41">
                  <c:v>155.779</c:v>
                </c:pt>
                <c:pt idx="42">
                  <c:v>155.74299999999999</c:v>
                </c:pt>
                <c:pt idx="43">
                  <c:v>155.84200000000001</c:v>
                </c:pt>
                <c:pt idx="44">
                  <c:v>155.72200000000001</c:v>
                </c:pt>
                <c:pt idx="45">
                  <c:v>155.83500000000001</c:v>
                </c:pt>
                <c:pt idx="46">
                  <c:v>155.75</c:v>
                </c:pt>
                <c:pt idx="47">
                  <c:v>155.85599999999999</c:v>
                </c:pt>
                <c:pt idx="48">
                  <c:v>155.708</c:v>
                </c:pt>
                <c:pt idx="49">
                  <c:v>155.87899999999999</c:v>
                </c:pt>
                <c:pt idx="50">
                  <c:v>155.78399999999999</c:v>
                </c:pt>
                <c:pt idx="51">
                  <c:v>155.85599999999999</c:v>
                </c:pt>
                <c:pt idx="52">
                  <c:v>155.74700000000001</c:v>
                </c:pt>
                <c:pt idx="53">
                  <c:v>155.90299999999999</c:v>
                </c:pt>
                <c:pt idx="54">
                  <c:v>155.80199999999999</c:v>
                </c:pt>
                <c:pt idx="55">
                  <c:v>155.916</c:v>
                </c:pt>
                <c:pt idx="56">
                  <c:v>155.78100000000001</c:v>
                </c:pt>
                <c:pt idx="57">
                  <c:v>155.88900000000001</c:v>
                </c:pt>
                <c:pt idx="58">
                  <c:v>155.80000000000001</c:v>
                </c:pt>
                <c:pt idx="59">
                  <c:v>155.90100000000001</c:v>
                </c:pt>
                <c:pt idx="60">
                  <c:v>155.869</c:v>
                </c:pt>
                <c:pt idx="61">
                  <c:v>155.94900000000001</c:v>
                </c:pt>
                <c:pt idx="62">
                  <c:v>155.81200000000001</c:v>
                </c:pt>
                <c:pt idx="63">
                  <c:v>155.89599999999999</c:v>
                </c:pt>
                <c:pt idx="64">
                  <c:v>155.82499999999999</c:v>
                </c:pt>
                <c:pt idx="65">
                  <c:v>155.91499999999999</c:v>
                </c:pt>
                <c:pt idx="66">
                  <c:v>156.11000000000001</c:v>
                </c:pt>
                <c:pt idx="67">
                  <c:v>156.465</c:v>
                </c:pt>
                <c:pt idx="68">
                  <c:v>155.88399999999999</c:v>
                </c:pt>
                <c:pt idx="69">
                  <c:v>155.816</c:v>
                </c:pt>
                <c:pt idx="70">
                  <c:v>155.78</c:v>
                </c:pt>
                <c:pt idx="71">
                  <c:v>155.88499999999999</c:v>
                </c:pt>
                <c:pt idx="72">
                  <c:v>155.845</c:v>
                </c:pt>
                <c:pt idx="73">
                  <c:v>155.97499999999999</c:v>
                </c:pt>
                <c:pt idx="74">
                  <c:v>155.864</c:v>
                </c:pt>
                <c:pt idx="75">
                  <c:v>155.94200000000001</c:v>
                </c:pt>
                <c:pt idx="76">
                  <c:v>155.851</c:v>
                </c:pt>
                <c:pt idx="77">
                  <c:v>155.904</c:v>
                </c:pt>
                <c:pt idx="78">
                  <c:v>155.85400000000001</c:v>
                </c:pt>
                <c:pt idx="79">
                  <c:v>155.94999999999999</c:v>
                </c:pt>
                <c:pt idx="80">
                  <c:v>155.834</c:v>
                </c:pt>
                <c:pt idx="81">
                  <c:v>155.93100000000001</c:v>
                </c:pt>
                <c:pt idx="82">
                  <c:v>155.643</c:v>
                </c:pt>
                <c:pt idx="83">
                  <c:v>155.81100000000001</c:v>
                </c:pt>
                <c:pt idx="84">
                  <c:v>155.726</c:v>
                </c:pt>
                <c:pt idx="85">
                  <c:v>155.80600000000001</c:v>
                </c:pt>
                <c:pt idx="86">
                  <c:v>155.78100000000001</c:v>
                </c:pt>
                <c:pt idx="87">
                  <c:v>155.822</c:v>
                </c:pt>
                <c:pt idx="88">
                  <c:v>155.79900000000001</c:v>
                </c:pt>
                <c:pt idx="89">
                  <c:v>155.839</c:v>
                </c:pt>
                <c:pt idx="90">
                  <c:v>155.81</c:v>
                </c:pt>
                <c:pt idx="91">
                  <c:v>155.81100000000001</c:v>
                </c:pt>
                <c:pt idx="92">
                  <c:v>155.851</c:v>
                </c:pt>
                <c:pt idx="93">
                  <c:v>155.88800000000001</c:v>
                </c:pt>
                <c:pt idx="94">
                  <c:v>155.83600000000001</c:v>
                </c:pt>
                <c:pt idx="95">
                  <c:v>155.88</c:v>
                </c:pt>
                <c:pt idx="96">
                  <c:v>155.75399999999999</c:v>
                </c:pt>
                <c:pt idx="97">
                  <c:v>155.81</c:v>
                </c:pt>
                <c:pt idx="98">
                  <c:v>155.83799999999999</c:v>
                </c:pt>
                <c:pt idx="99">
                  <c:v>155.89599999999999</c:v>
                </c:pt>
                <c:pt idx="100">
                  <c:v>155.876</c:v>
                </c:pt>
                <c:pt idx="101">
                  <c:v>155.97399999999999</c:v>
                </c:pt>
                <c:pt idx="102">
                  <c:v>155.85499999999999</c:v>
                </c:pt>
                <c:pt idx="103">
                  <c:v>155.95500000000001</c:v>
                </c:pt>
                <c:pt idx="104">
                  <c:v>155.833</c:v>
                </c:pt>
                <c:pt idx="105">
                  <c:v>155.893</c:v>
                </c:pt>
                <c:pt idx="106">
                  <c:v>155.83000000000001</c:v>
                </c:pt>
                <c:pt idx="107">
                  <c:v>155.965</c:v>
                </c:pt>
                <c:pt idx="108">
                  <c:v>155.816</c:v>
                </c:pt>
                <c:pt idx="109">
                  <c:v>156</c:v>
                </c:pt>
                <c:pt idx="110">
                  <c:v>155.90199999999999</c:v>
                </c:pt>
                <c:pt idx="111">
                  <c:v>156.07400000000001</c:v>
                </c:pt>
                <c:pt idx="112">
                  <c:v>155.87700000000001</c:v>
                </c:pt>
                <c:pt idx="113">
                  <c:v>155.95699999999999</c:v>
                </c:pt>
                <c:pt idx="114">
                  <c:v>155.928</c:v>
                </c:pt>
                <c:pt idx="115">
                  <c:v>156.01</c:v>
                </c:pt>
                <c:pt idx="116">
                  <c:v>155.95099999999999</c:v>
                </c:pt>
                <c:pt idx="117">
                  <c:v>155.84899999999999</c:v>
                </c:pt>
                <c:pt idx="118">
                  <c:v>155.92599999999999</c:v>
                </c:pt>
                <c:pt idx="119">
                  <c:v>156.072</c:v>
                </c:pt>
                <c:pt idx="120">
                  <c:v>155.952</c:v>
                </c:pt>
                <c:pt idx="121">
                  <c:v>156.04300000000001</c:v>
                </c:pt>
                <c:pt idx="122">
                  <c:v>155.91</c:v>
                </c:pt>
                <c:pt idx="123">
                  <c:v>156.041</c:v>
                </c:pt>
                <c:pt idx="124">
                  <c:v>155.876</c:v>
                </c:pt>
                <c:pt idx="125">
                  <c:v>156.065</c:v>
                </c:pt>
                <c:pt idx="126">
                  <c:v>155.69900000000001</c:v>
                </c:pt>
                <c:pt idx="127">
                  <c:v>155.70500000000001</c:v>
                </c:pt>
                <c:pt idx="128">
                  <c:v>155.751</c:v>
                </c:pt>
                <c:pt idx="129">
                  <c:v>155.767</c:v>
                </c:pt>
                <c:pt idx="130">
                  <c:v>155.81399999999999</c:v>
                </c:pt>
                <c:pt idx="131">
                  <c:v>155.786</c:v>
                </c:pt>
                <c:pt idx="132">
                  <c:v>155.768</c:v>
                </c:pt>
                <c:pt idx="133">
                  <c:v>155.745</c:v>
                </c:pt>
                <c:pt idx="134">
                  <c:v>155.79499999999999</c:v>
                </c:pt>
                <c:pt idx="135">
                  <c:v>155.76900000000001</c:v>
                </c:pt>
                <c:pt idx="136">
                  <c:v>155.881</c:v>
                </c:pt>
                <c:pt idx="137">
                  <c:v>155.84100000000001</c:v>
                </c:pt>
                <c:pt idx="138">
                  <c:v>155.78399999999999</c:v>
                </c:pt>
                <c:pt idx="139">
                  <c:v>155.715</c:v>
                </c:pt>
                <c:pt idx="140">
                  <c:v>155.85300000000001</c:v>
                </c:pt>
                <c:pt idx="141">
                  <c:v>155.81899999999999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B3-4A59-B6D5-6A76F0FC29D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('AMP3-4'!$I$4,'AMP3-4'!$I$4)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B3-4A59-B6D5-6A76F0FC29D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('AMP3-4'!$I$5,'AMP3-4'!$I$5)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B3-4A59-B6D5-6A76F0FC2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55192"/>
        <c:axId val="460055584"/>
      </c:scatterChart>
      <c:valAx>
        <c:axId val="46005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5584"/>
        <c:crosses val="autoZero"/>
        <c:crossBetween val="midCat"/>
      </c:valAx>
      <c:valAx>
        <c:axId val="4600555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'AMP3-4'!$J$8</c:f>
              <c:strCache>
                <c:ptCount val="1"/>
                <c:pt idx="0">
                  <c:v>Dim 3_1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'AMP3-4'!$J$9:$J$150</c:f>
              <c:numCache>
                <c:formatCode>General</c:formatCode>
                <c:ptCount val="142"/>
                <c:pt idx="1">
                  <c:v>168.744</c:v>
                </c:pt>
                <c:pt idx="3">
                  <c:v>168.63200000000001</c:v>
                </c:pt>
                <c:pt idx="5">
                  <c:v>168.78100000000001</c:v>
                </c:pt>
                <c:pt idx="7">
                  <c:v>168.62299999999999</c:v>
                </c:pt>
                <c:pt idx="9">
                  <c:v>168.73400000000001</c:v>
                </c:pt>
                <c:pt idx="11">
                  <c:v>168.816</c:v>
                </c:pt>
                <c:pt idx="13">
                  <c:v>168.85400000000001</c:v>
                </c:pt>
                <c:pt idx="15">
                  <c:v>168.708</c:v>
                </c:pt>
                <c:pt idx="17">
                  <c:v>168.732</c:v>
                </c:pt>
                <c:pt idx="19">
                  <c:v>168.834</c:v>
                </c:pt>
                <c:pt idx="21">
                  <c:v>168.679</c:v>
                </c:pt>
                <c:pt idx="23">
                  <c:v>168.709</c:v>
                </c:pt>
                <c:pt idx="25">
                  <c:v>168.648</c:v>
                </c:pt>
                <c:pt idx="27">
                  <c:v>168.792</c:v>
                </c:pt>
                <c:pt idx="29">
                  <c:v>168.922</c:v>
                </c:pt>
                <c:pt idx="31">
                  <c:v>168.79300000000001</c:v>
                </c:pt>
                <c:pt idx="33">
                  <c:v>168.58500000000001</c:v>
                </c:pt>
                <c:pt idx="35">
                  <c:v>168.762</c:v>
                </c:pt>
                <c:pt idx="37">
                  <c:v>168.768</c:v>
                </c:pt>
                <c:pt idx="39">
                  <c:v>168.654</c:v>
                </c:pt>
                <c:pt idx="41">
                  <c:v>168.727</c:v>
                </c:pt>
                <c:pt idx="43">
                  <c:v>168.79900000000001</c:v>
                </c:pt>
                <c:pt idx="45">
                  <c:v>168.71199999999999</c:v>
                </c:pt>
                <c:pt idx="47">
                  <c:v>168.77799999999999</c:v>
                </c:pt>
                <c:pt idx="49">
                  <c:v>168.78399999999999</c:v>
                </c:pt>
                <c:pt idx="51">
                  <c:v>168.81700000000001</c:v>
                </c:pt>
                <c:pt idx="53">
                  <c:v>168.79</c:v>
                </c:pt>
                <c:pt idx="55">
                  <c:v>168.74600000000001</c:v>
                </c:pt>
                <c:pt idx="57">
                  <c:v>168.82900000000001</c:v>
                </c:pt>
                <c:pt idx="59">
                  <c:v>168.761</c:v>
                </c:pt>
                <c:pt idx="61">
                  <c:v>168.81</c:v>
                </c:pt>
                <c:pt idx="63">
                  <c:v>168.73699999999999</c:v>
                </c:pt>
                <c:pt idx="65">
                  <c:v>168.81899999999999</c:v>
                </c:pt>
                <c:pt idx="67">
                  <c:v>168.828</c:v>
                </c:pt>
                <c:pt idx="68">
                  <c:v>168.684</c:v>
                </c:pt>
                <c:pt idx="71">
                  <c:v>168.72200000000001</c:v>
                </c:pt>
                <c:pt idx="73">
                  <c:v>168.79400000000001</c:v>
                </c:pt>
                <c:pt idx="75">
                  <c:v>168.797</c:v>
                </c:pt>
                <c:pt idx="77">
                  <c:v>168.69200000000001</c:v>
                </c:pt>
                <c:pt idx="79">
                  <c:v>168.774</c:v>
                </c:pt>
                <c:pt idx="81">
                  <c:v>168.78200000000001</c:v>
                </c:pt>
                <c:pt idx="83">
                  <c:v>168.745</c:v>
                </c:pt>
                <c:pt idx="85">
                  <c:v>168.83799999999999</c:v>
                </c:pt>
                <c:pt idx="87">
                  <c:v>168.76</c:v>
                </c:pt>
                <c:pt idx="89">
                  <c:v>168.75899999999999</c:v>
                </c:pt>
                <c:pt idx="91">
                  <c:v>168.84399999999999</c:v>
                </c:pt>
                <c:pt idx="93">
                  <c:v>168.74100000000001</c:v>
                </c:pt>
                <c:pt idx="95">
                  <c:v>168.77600000000001</c:v>
                </c:pt>
                <c:pt idx="97">
                  <c:v>168.834</c:v>
                </c:pt>
                <c:pt idx="99">
                  <c:v>168.744</c:v>
                </c:pt>
                <c:pt idx="101">
                  <c:v>168.852</c:v>
                </c:pt>
                <c:pt idx="103">
                  <c:v>168.72900000000001</c:v>
                </c:pt>
                <c:pt idx="105">
                  <c:v>168.86500000000001</c:v>
                </c:pt>
                <c:pt idx="107">
                  <c:v>168.804</c:v>
                </c:pt>
                <c:pt idx="109">
                  <c:v>168.82499999999999</c:v>
                </c:pt>
                <c:pt idx="111">
                  <c:v>168.983</c:v>
                </c:pt>
                <c:pt idx="113">
                  <c:v>168.75399999999999</c:v>
                </c:pt>
                <c:pt idx="115">
                  <c:v>168.739</c:v>
                </c:pt>
                <c:pt idx="117">
                  <c:v>168.71899999999999</c:v>
                </c:pt>
                <c:pt idx="119">
                  <c:v>168.8</c:v>
                </c:pt>
                <c:pt idx="121">
                  <c:v>168.73599999999999</c:v>
                </c:pt>
                <c:pt idx="123">
                  <c:v>168.89099999999999</c:v>
                </c:pt>
                <c:pt idx="125">
                  <c:v>168.864</c:v>
                </c:pt>
                <c:pt idx="127">
                  <c:v>168.572</c:v>
                </c:pt>
                <c:pt idx="129">
                  <c:v>168.77500000000001</c:v>
                </c:pt>
                <c:pt idx="131">
                  <c:v>168.68199999999999</c:v>
                </c:pt>
                <c:pt idx="133">
                  <c:v>168.72900000000001</c:v>
                </c:pt>
                <c:pt idx="135">
                  <c:v>168.77600000000001</c:v>
                </c:pt>
                <c:pt idx="137">
                  <c:v>168.79900000000001</c:v>
                </c:pt>
                <c:pt idx="139">
                  <c:v>168.673</c:v>
                </c:pt>
                <c:pt idx="141">
                  <c:v>168.822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F-4CAE-9723-6FA47DE2D13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('AMP3-4'!$J$4,'AMP3-4'!$J$4)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F-4CAE-9723-6FA47DE2D13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('AMP3-4'!$J$5,'AMP3-4'!$J$5)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4F-4CAE-9723-6FA47DE2D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56368"/>
        <c:axId val="460056760"/>
      </c:scatterChart>
      <c:valAx>
        <c:axId val="46005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6760"/>
        <c:crosses val="autoZero"/>
        <c:crossBetween val="midCat"/>
      </c:valAx>
      <c:valAx>
        <c:axId val="4600567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'AMP3-4'!$K$8</c:f>
              <c:strCache>
                <c:ptCount val="1"/>
                <c:pt idx="0">
                  <c:v>Dim 3_2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'AMP3-4'!$K$9:$K$150</c:f>
              <c:numCache>
                <c:formatCode>General</c:formatCode>
                <c:ptCount val="142"/>
                <c:pt idx="1">
                  <c:v>168.708</c:v>
                </c:pt>
                <c:pt idx="3">
                  <c:v>168.49600000000001</c:v>
                </c:pt>
                <c:pt idx="5">
                  <c:v>168.65100000000001</c:v>
                </c:pt>
                <c:pt idx="7">
                  <c:v>168.50299999999999</c:v>
                </c:pt>
                <c:pt idx="9">
                  <c:v>168.673</c:v>
                </c:pt>
                <c:pt idx="11">
                  <c:v>168.648</c:v>
                </c:pt>
                <c:pt idx="13">
                  <c:v>168.71199999999999</c:v>
                </c:pt>
                <c:pt idx="15">
                  <c:v>168.57</c:v>
                </c:pt>
                <c:pt idx="17">
                  <c:v>168.56800000000001</c:v>
                </c:pt>
                <c:pt idx="19">
                  <c:v>168.63900000000001</c:v>
                </c:pt>
                <c:pt idx="21">
                  <c:v>168.59100000000001</c:v>
                </c:pt>
                <c:pt idx="23">
                  <c:v>168.51400000000001</c:v>
                </c:pt>
                <c:pt idx="25">
                  <c:v>168.49100000000001</c:v>
                </c:pt>
                <c:pt idx="27">
                  <c:v>168.62799999999999</c:v>
                </c:pt>
                <c:pt idx="29">
                  <c:v>168.71299999999999</c:v>
                </c:pt>
                <c:pt idx="31">
                  <c:v>168.63</c:v>
                </c:pt>
                <c:pt idx="33">
                  <c:v>168.45599999999999</c:v>
                </c:pt>
                <c:pt idx="35">
                  <c:v>168.52799999999999</c:v>
                </c:pt>
                <c:pt idx="37">
                  <c:v>168.61199999999999</c:v>
                </c:pt>
                <c:pt idx="39">
                  <c:v>168.42500000000001</c:v>
                </c:pt>
                <c:pt idx="41">
                  <c:v>168.63499999999999</c:v>
                </c:pt>
                <c:pt idx="43">
                  <c:v>168.756</c:v>
                </c:pt>
                <c:pt idx="45">
                  <c:v>168.58</c:v>
                </c:pt>
                <c:pt idx="47">
                  <c:v>168.66</c:v>
                </c:pt>
                <c:pt idx="49">
                  <c:v>168.642</c:v>
                </c:pt>
                <c:pt idx="51">
                  <c:v>168.67099999999999</c:v>
                </c:pt>
                <c:pt idx="53">
                  <c:v>168.63399999999999</c:v>
                </c:pt>
                <c:pt idx="55">
                  <c:v>168.63499999999999</c:v>
                </c:pt>
                <c:pt idx="57">
                  <c:v>168.68700000000001</c:v>
                </c:pt>
                <c:pt idx="59">
                  <c:v>168.66499999999999</c:v>
                </c:pt>
                <c:pt idx="61">
                  <c:v>168.709</c:v>
                </c:pt>
                <c:pt idx="63">
                  <c:v>168.59200000000001</c:v>
                </c:pt>
                <c:pt idx="65">
                  <c:v>168.679</c:v>
                </c:pt>
                <c:pt idx="67">
                  <c:v>168.65299999999999</c:v>
                </c:pt>
                <c:pt idx="68">
                  <c:v>168.58</c:v>
                </c:pt>
                <c:pt idx="71">
                  <c:v>168.54499999999999</c:v>
                </c:pt>
                <c:pt idx="73">
                  <c:v>168.70699999999999</c:v>
                </c:pt>
                <c:pt idx="75">
                  <c:v>168.67400000000001</c:v>
                </c:pt>
                <c:pt idx="77">
                  <c:v>168.56200000000001</c:v>
                </c:pt>
                <c:pt idx="79">
                  <c:v>168.70500000000001</c:v>
                </c:pt>
                <c:pt idx="81">
                  <c:v>168.63</c:v>
                </c:pt>
                <c:pt idx="83">
                  <c:v>168.61500000000001</c:v>
                </c:pt>
                <c:pt idx="85">
                  <c:v>168.75800000000001</c:v>
                </c:pt>
                <c:pt idx="87">
                  <c:v>168.636</c:v>
                </c:pt>
                <c:pt idx="89">
                  <c:v>168.66</c:v>
                </c:pt>
                <c:pt idx="91">
                  <c:v>168.63</c:v>
                </c:pt>
                <c:pt idx="93">
                  <c:v>168.59100000000001</c:v>
                </c:pt>
                <c:pt idx="95">
                  <c:v>168.55099999999999</c:v>
                </c:pt>
                <c:pt idx="97">
                  <c:v>168.501</c:v>
                </c:pt>
                <c:pt idx="99">
                  <c:v>168.54</c:v>
                </c:pt>
                <c:pt idx="101">
                  <c:v>168.65600000000001</c:v>
                </c:pt>
                <c:pt idx="103">
                  <c:v>168.65100000000001</c:v>
                </c:pt>
                <c:pt idx="105">
                  <c:v>168.703</c:v>
                </c:pt>
                <c:pt idx="107">
                  <c:v>168.68600000000001</c:v>
                </c:pt>
                <c:pt idx="109">
                  <c:v>168.64599999999999</c:v>
                </c:pt>
                <c:pt idx="111">
                  <c:v>168.893</c:v>
                </c:pt>
                <c:pt idx="113">
                  <c:v>168.642</c:v>
                </c:pt>
                <c:pt idx="115">
                  <c:v>168.64099999999999</c:v>
                </c:pt>
                <c:pt idx="117">
                  <c:v>168.80199999999999</c:v>
                </c:pt>
                <c:pt idx="119">
                  <c:v>168.66900000000001</c:v>
                </c:pt>
                <c:pt idx="121">
                  <c:v>168.637</c:v>
                </c:pt>
                <c:pt idx="123">
                  <c:v>168.79400000000001</c:v>
                </c:pt>
                <c:pt idx="125">
                  <c:v>168.75800000000001</c:v>
                </c:pt>
                <c:pt idx="127">
                  <c:v>168.45599999999999</c:v>
                </c:pt>
                <c:pt idx="129">
                  <c:v>168.68</c:v>
                </c:pt>
                <c:pt idx="131">
                  <c:v>168.922</c:v>
                </c:pt>
                <c:pt idx="133">
                  <c:v>168.584</c:v>
                </c:pt>
                <c:pt idx="135">
                  <c:v>168.63</c:v>
                </c:pt>
                <c:pt idx="137">
                  <c:v>168.76499999999999</c:v>
                </c:pt>
                <c:pt idx="139">
                  <c:v>168.55099999999999</c:v>
                </c:pt>
                <c:pt idx="141">
                  <c:v>168.685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3-4EA2-8713-F6720DCC71C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('AMP3-4'!$K$4,'AMP3-4'!$K$4)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63-4EA2-8713-F6720DCC71C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('AMP3-4'!$K$5,'AMP3-4'!$K$5)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63-4EA2-8713-F6720DCC7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57544"/>
        <c:axId val="460057936"/>
      </c:scatterChart>
      <c:valAx>
        <c:axId val="46005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7936"/>
        <c:crosses val="autoZero"/>
        <c:crossBetween val="midCat"/>
      </c:valAx>
      <c:valAx>
        <c:axId val="4600579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7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'AMP3-4'!$L$8</c:f>
              <c:strCache>
                <c:ptCount val="1"/>
                <c:pt idx="0">
                  <c:v>Dim 4_1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'AMP3-4'!$L$9:$L$150</c:f>
              <c:numCache>
                <c:formatCode>General</c:formatCode>
                <c:ptCount val="142"/>
                <c:pt idx="0">
                  <c:v>155.93100000000001</c:v>
                </c:pt>
                <c:pt idx="1">
                  <c:v>156.06</c:v>
                </c:pt>
                <c:pt idx="2">
                  <c:v>155.77099999999999</c:v>
                </c:pt>
                <c:pt idx="3">
                  <c:v>155.887</c:v>
                </c:pt>
                <c:pt idx="4">
                  <c:v>155.84</c:v>
                </c:pt>
                <c:pt idx="5">
                  <c:v>155.93899999999999</c:v>
                </c:pt>
                <c:pt idx="6">
                  <c:v>155.81399999999999</c:v>
                </c:pt>
                <c:pt idx="7">
                  <c:v>155.90799999999999</c:v>
                </c:pt>
                <c:pt idx="8">
                  <c:v>155.815</c:v>
                </c:pt>
                <c:pt idx="9">
                  <c:v>155.94900000000001</c:v>
                </c:pt>
                <c:pt idx="10">
                  <c:v>155.798</c:v>
                </c:pt>
                <c:pt idx="11">
                  <c:v>155.90899999999999</c:v>
                </c:pt>
                <c:pt idx="12">
                  <c:v>155.84299999999999</c:v>
                </c:pt>
                <c:pt idx="13">
                  <c:v>156.12299999999999</c:v>
                </c:pt>
                <c:pt idx="14">
                  <c:v>155.80699999999999</c:v>
                </c:pt>
                <c:pt idx="15">
                  <c:v>156.08799999999999</c:v>
                </c:pt>
                <c:pt idx="16">
                  <c:v>155.815</c:v>
                </c:pt>
                <c:pt idx="17">
                  <c:v>156.102</c:v>
                </c:pt>
                <c:pt idx="18">
                  <c:v>155.84700000000001</c:v>
                </c:pt>
                <c:pt idx="19">
                  <c:v>156.16</c:v>
                </c:pt>
                <c:pt idx="20">
                  <c:v>155.80099999999999</c:v>
                </c:pt>
                <c:pt idx="21">
                  <c:v>156.03399999999999</c:v>
                </c:pt>
                <c:pt idx="22">
                  <c:v>155.874</c:v>
                </c:pt>
                <c:pt idx="23">
                  <c:v>156.15199999999999</c:v>
                </c:pt>
                <c:pt idx="24">
                  <c:v>155.87200000000001</c:v>
                </c:pt>
                <c:pt idx="25">
                  <c:v>156.13399999999999</c:v>
                </c:pt>
                <c:pt idx="26">
                  <c:v>155.90799999999999</c:v>
                </c:pt>
                <c:pt idx="27">
                  <c:v>156.15199999999999</c:v>
                </c:pt>
                <c:pt idx="28">
                  <c:v>155.97499999999999</c:v>
                </c:pt>
                <c:pt idx="29">
                  <c:v>156.27799999999999</c:v>
                </c:pt>
                <c:pt idx="30">
                  <c:v>155.91399999999999</c:v>
                </c:pt>
                <c:pt idx="31">
                  <c:v>156.22800000000001</c:v>
                </c:pt>
                <c:pt idx="32">
                  <c:v>155.964</c:v>
                </c:pt>
                <c:pt idx="33">
                  <c:v>156.22399999999999</c:v>
                </c:pt>
                <c:pt idx="34">
                  <c:v>155.988</c:v>
                </c:pt>
                <c:pt idx="35">
                  <c:v>156.232</c:v>
                </c:pt>
                <c:pt idx="36">
                  <c:v>155.97200000000001</c:v>
                </c:pt>
                <c:pt idx="37">
                  <c:v>156.256</c:v>
                </c:pt>
                <c:pt idx="38">
                  <c:v>155.71899999999999</c:v>
                </c:pt>
                <c:pt idx="39">
                  <c:v>155.779</c:v>
                </c:pt>
                <c:pt idx="40">
                  <c:v>155.75899999999999</c:v>
                </c:pt>
                <c:pt idx="41">
                  <c:v>155.80799999999999</c:v>
                </c:pt>
                <c:pt idx="42">
                  <c:v>155.839</c:v>
                </c:pt>
                <c:pt idx="43">
                  <c:v>155.86199999999999</c:v>
                </c:pt>
                <c:pt idx="44">
                  <c:v>155.785</c:v>
                </c:pt>
                <c:pt idx="45">
                  <c:v>155.84899999999999</c:v>
                </c:pt>
                <c:pt idx="46">
                  <c:v>155.84399999999999</c:v>
                </c:pt>
                <c:pt idx="47">
                  <c:v>155.892</c:v>
                </c:pt>
                <c:pt idx="48">
                  <c:v>155.80199999999999</c:v>
                </c:pt>
                <c:pt idx="49">
                  <c:v>155.86099999999999</c:v>
                </c:pt>
                <c:pt idx="50">
                  <c:v>155.827</c:v>
                </c:pt>
                <c:pt idx="51">
                  <c:v>155.87700000000001</c:v>
                </c:pt>
                <c:pt idx="52">
                  <c:v>155.88499999999999</c:v>
                </c:pt>
                <c:pt idx="53">
                  <c:v>155.96799999999999</c:v>
                </c:pt>
                <c:pt idx="54">
                  <c:v>155.886</c:v>
                </c:pt>
                <c:pt idx="55">
                  <c:v>155.97300000000001</c:v>
                </c:pt>
                <c:pt idx="56">
                  <c:v>155.852</c:v>
                </c:pt>
                <c:pt idx="57">
                  <c:v>155.917</c:v>
                </c:pt>
                <c:pt idx="58">
                  <c:v>155.90799999999999</c:v>
                </c:pt>
                <c:pt idx="59">
                  <c:v>155.95500000000001</c:v>
                </c:pt>
                <c:pt idx="60">
                  <c:v>155.946</c:v>
                </c:pt>
                <c:pt idx="61">
                  <c:v>155.99100000000001</c:v>
                </c:pt>
                <c:pt idx="62">
                  <c:v>155.869</c:v>
                </c:pt>
                <c:pt idx="63">
                  <c:v>155.93199999999999</c:v>
                </c:pt>
                <c:pt idx="64">
                  <c:v>155.90299999999999</c:v>
                </c:pt>
                <c:pt idx="65">
                  <c:v>155.95699999999999</c:v>
                </c:pt>
                <c:pt idx="66">
                  <c:v>156.01300000000001</c:v>
                </c:pt>
                <c:pt idx="67">
                  <c:v>156.059</c:v>
                </c:pt>
                <c:pt idx="68">
                  <c:v>155.91200000000001</c:v>
                </c:pt>
                <c:pt idx="69">
                  <c:v>155.88900000000001</c:v>
                </c:pt>
                <c:pt idx="70">
                  <c:v>155.83699999999999</c:v>
                </c:pt>
                <c:pt idx="71">
                  <c:v>155.88200000000001</c:v>
                </c:pt>
                <c:pt idx="72">
                  <c:v>155.995</c:v>
                </c:pt>
                <c:pt idx="73">
                  <c:v>155.94800000000001</c:v>
                </c:pt>
                <c:pt idx="74">
                  <c:v>155.94499999999999</c:v>
                </c:pt>
                <c:pt idx="75">
                  <c:v>156.006</c:v>
                </c:pt>
                <c:pt idx="76">
                  <c:v>155.92400000000001</c:v>
                </c:pt>
                <c:pt idx="77">
                  <c:v>155.93299999999999</c:v>
                </c:pt>
                <c:pt idx="78">
                  <c:v>155.90700000000001</c:v>
                </c:pt>
                <c:pt idx="79">
                  <c:v>155.99199999999999</c:v>
                </c:pt>
                <c:pt idx="80">
                  <c:v>155.90199999999999</c:v>
                </c:pt>
                <c:pt idx="81">
                  <c:v>155.958</c:v>
                </c:pt>
                <c:pt idx="82">
                  <c:v>155.75</c:v>
                </c:pt>
                <c:pt idx="83">
                  <c:v>155.80600000000001</c:v>
                </c:pt>
                <c:pt idx="84">
                  <c:v>155.78800000000001</c:v>
                </c:pt>
                <c:pt idx="85">
                  <c:v>155.797</c:v>
                </c:pt>
                <c:pt idx="86">
                  <c:v>155.83199999999999</c:v>
                </c:pt>
                <c:pt idx="87">
                  <c:v>155.83000000000001</c:v>
                </c:pt>
                <c:pt idx="88">
                  <c:v>155.84899999999999</c:v>
                </c:pt>
                <c:pt idx="89">
                  <c:v>155.82</c:v>
                </c:pt>
                <c:pt idx="90">
                  <c:v>155.875</c:v>
                </c:pt>
                <c:pt idx="91">
                  <c:v>155.86099999999999</c:v>
                </c:pt>
                <c:pt idx="92">
                  <c:v>155.88800000000001</c:v>
                </c:pt>
                <c:pt idx="93">
                  <c:v>155.89400000000001</c:v>
                </c:pt>
                <c:pt idx="94">
                  <c:v>155.86600000000001</c:v>
                </c:pt>
                <c:pt idx="95">
                  <c:v>155.863</c:v>
                </c:pt>
                <c:pt idx="96">
                  <c:v>155.809</c:v>
                </c:pt>
                <c:pt idx="97">
                  <c:v>155.84200000000001</c:v>
                </c:pt>
                <c:pt idx="98">
                  <c:v>155.91</c:v>
                </c:pt>
                <c:pt idx="99">
                  <c:v>155.92400000000001</c:v>
                </c:pt>
                <c:pt idx="100">
                  <c:v>155.95400000000001</c:v>
                </c:pt>
                <c:pt idx="101">
                  <c:v>155.952</c:v>
                </c:pt>
                <c:pt idx="102">
                  <c:v>155.93100000000001</c:v>
                </c:pt>
                <c:pt idx="103">
                  <c:v>155.964</c:v>
                </c:pt>
                <c:pt idx="104">
                  <c:v>155.90299999999999</c:v>
                </c:pt>
                <c:pt idx="105">
                  <c:v>155.94300000000001</c:v>
                </c:pt>
                <c:pt idx="106">
                  <c:v>155.91399999999999</c:v>
                </c:pt>
                <c:pt idx="107">
                  <c:v>155.96899999999999</c:v>
                </c:pt>
                <c:pt idx="108">
                  <c:v>155.93299999999999</c:v>
                </c:pt>
                <c:pt idx="109">
                  <c:v>155.99</c:v>
                </c:pt>
                <c:pt idx="110">
                  <c:v>156.137</c:v>
                </c:pt>
                <c:pt idx="111">
                  <c:v>156.114</c:v>
                </c:pt>
                <c:pt idx="112">
                  <c:v>155.934</c:v>
                </c:pt>
                <c:pt idx="113">
                  <c:v>155.98699999999999</c:v>
                </c:pt>
                <c:pt idx="114">
                  <c:v>156.10599999999999</c:v>
                </c:pt>
                <c:pt idx="115">
                  <c:v>155.994</c:v>
                </c:pt>
                <c:pt idx="116">
                  <c:v>155.94499999999999</c:v>
                </c:pt>
                <c:pt idx="117">
                  <c:v>155.98400000000001</c:v>
                </c:pt>
                <c:pt idx="118">
                  <c:v>156.03899999999999</c:v>
                </c:pt>
                <c:pt idx="119">
                  <c:v>156.07499999999999</c:v>
                </c:pt>
                <c:pt idx="120">
                  <c:v>156.05600000000001</c:v>
                </c:pt>
                <c:pt idx="121">
                  <c:v>156.119</c:v>
                </c:pt>
                <c:pt idx="122">
                  <c:v>155.976</c:v>
                </c:pt>
                <c:pt idx="123">
                  <c:v>156.08199999999999</c:v>
                </c:pt>
                <c:pt idx="124">
                  <c:v>155.99600000000001</c:v>
                </c:pt>
                <c:pt idx="125">
                  <c:v>156.071</c:v>
                </c:pt>
                <c:pt idx="126">
                  <c:v>155.73599999999999</c:v>
                </c:pt>
                <c:pt idx="127">
                  <c:v>155.76400000000001</c:v>
                </c:pt>
                <c:pt idx="128">
                  <c:v>155.815</c:v>
                </c:pt>
                <c:pt idx="129">
                  <c:v>155.761</c:v>
                </c:pt>
                <c:pt idx="130">
                  <c:v>155.87299999999999</c:v>
                </c:pt>
                <c:pt idx="131">
                  <c:v>155.85599999999999</c:v>
                </c:pt>
                <c:pt idx="132">
                  <c:v>155.815</c:v>
                </c:pt>
                <c:pt idx="133">
                  <c:v>155.79499999999999</c:v>
                </c:pt>
                <c:pt idx="134">
                  <c:v>155.828</c:v>
                </c:pt>
                <c:pt idx="135">
                  <c:v>155.804</c:v>
                </c:pt>
                <c:pt idx="136">
                  <c:v>155.87100000000001</c:v>
                </c:pt>
                <c:pt idx="137">
                  <c:v>155.86000000000001</c:v>
                </c:pt>
                <c:pt idx="138">
                  <c:v>155.83500000000001</c:v>
                </c:pt>
                <c:pt idx="139">
                  <c:v>155.80099999999999</c:v>
                </c:pt>
                <c:pt idx="140">
                  <c:v>155.86500000000001</c:v>
                </c:pt>
                <c:pt idx="141">
                  <c:v>155.83000000000001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3D-4E74-BD9B-C5A41AA8FC1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('AMP3-4'!$L$4,'AMP3-4'!$L$4)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3D-4E74-BD9B-C5A41AA8FC1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('AMP3-4'!$L$5,'AMP3-4'!$L$5)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3D-4E74-BD9B-C5A41AA8F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58720"/>
        <c:axId val="460059112"/>
      </c:scatterChart>
      <c:valAx>
        <c:axId val="46005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9112"/>
        <c:crosses val="autoZero"/>
        <c:crossBetween val="midCat"/>
      </c:valAx>
      <c:valAx>
        <c:axId val="4600591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'AMP3-4'!$M$8</c:f>
              <c:strCache>
                <c:ptCount val="1"/>
                <c:pt idx="0">
                  <c:v>Dim 4_2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'AMP3-4'!$M$9:$M$150</c:f>
              <c:numCache>
                <c:formatCode>General</c:formatCode>
                <c:ptCount val="142"/>
                <c:pt idx="0">
                  <c:v>155.71299999999999</c:v>
                </c:pt>
                <c:pt idx="1">
                  <c:v>155.845</c:v>
                </c:pt>
                <c:pt idx="2">
                  <c:v>155.607</c:v>
                </c:pt>
                <c:pt idx="3">
                  <c:v>155.666</c:v>
                </c:pt>
                <c:pt idx="4">
                  <c:v>155.68600000000001</c:v>
                </c:pt>
                <c:pt idx="5">
                  <c:v>155.71199999999999</c:v>
                </c:pt>
                <c:pt idx="6">
                  <c:v>155.655</c:v>
                </c:pt>
                <c:pt idx="7">
                  <c:v>155.68700000000001</c:v>
                </c:pt>
                <c:pt idx="8">
                  <c:v>155.67400000000001</c:v>
                </c:pt>
                <c:pt idx="9">
                  <c:v>155.739</c:v>
                </c:pt>
                <c:pt idx="10">
                  <c:v>155.63800000000001</c:v>
                </c:pt>
                <c:pt idx="11">
                  <c:v>155.69200000000001</c:v>
                </c:pt>
                <c:pt idx="12">
                  <c:v>155.62700000000001</c:v>
                </c:pt>
                <c:pt idx="13">
                  <c:v>155.93700000000001</c:v>
                </c:pt>
                <c:pt idx="14">
                  <c:v>155.608</c:v>
                </c:pt>
                <c:pt idx="15">
                  <c:v>155.91</c:v>
                </c:pt>
                <c:pt idx="16">
                  <c:v>155.65</c:v>
                </c:pt>
                <c:pt idx="17">
                  <c:v>155.94300000000001</c:v>
                </c:pt>
                <c:pt idx="18">
                  <c:v>155.63900000000001</c:v>
                </c:pt>
                <c:pt idx="19">
                  <c:v>155.983</c:v>
                </c:pt>
                <c:pt idx="20">
                  <c:v>155.64599999999999</c:v>
                </c:pt>
                <c:pt idx="21">
                  <c:v>155.852</c:v>
                </c:pt>
                <c:pt idx="22">
                  <c:v>155.66900000000001</c:v>
                </c:pt>
                <c:pt idx="23">
                  <c:v>155.97399999999999</c:v>
                </c:pt>
                <c:pt idx="24">
                  <c:v>155.702</c:v>
                </c:pt>
                <c:pt idx="25">
                  <c:v>155.946</c:v>
                </c:pt>
                <c:pt idx="26">
                  <c:v>155.71700000000001</c:v>
                </c:pt>
                <c:pt idx="27">
                  <c:v>155.96600000000001</c:v>
                </c:pt>
                <c:pt idx="28">
                  <c:v>155.77699999999999</c:v>
                </c:pt>
                <c:pt idx="29">
                  <c:v>156.08799999999999</c:v>
                </c:pt>
                <c:pt idx="30">
                  <c:v>155.68299999999999</c:v>
                </c:pt>
                <c:pt idx="31">
                  <c:v>156.09</c:v>
                </c:pt>
                <c:pt idx="32">
                  <c:v>155.75899999999999</c:v>
                </c:pt>
                <c:pt idx="33">
                  <c:v>156.04599999999999</c:v>
                </c:pt>
                <c:pt idx="34">
                  <c:v>155.76400000000001</c:v>
                </c:pt>
                <c:pt idx="35">
                  <c:v>156.071</c:v>
                </c:pt>
                <c:pt idx="36">
                  <c:v>155.73099999999999</c:v>
                </c:pt>
                <c:pt idx="37">
                  <c:v>156.102</c:v>
                </c:pt>
                <c:pt idx="38">
                  <c:v>155.54400000000001</c:v>
                </c:pt>
                <c:pt idx="39">
                  <c:v>155.64699999999999</c:v>
                </c:pt>
                <c:pt idx="40">
                  <c:v>155.59200000000001</c:v>
                </c:pt>
                <c:pt idx="41">
                  <c:v>155.66</c:v>
                </c:pt>
                <c:pt idx="42">
                  <c:v>155.67699999999999</c:v>
                </c:pt>
                <c:pt idx="43">
                  <c:v>155.714</c:v>
                </c:pt>
                <c:pt idx="44">
                  <c:v>155.63900000000001</c:v>
                </c:pt>
                <c:pt idx="45">
                  <c:v>155.721</c:v>
                </c:pt>
                <c:pt idx="46">
                  <c:v>155.66999999999999</c:v>
                </c:pt>
                <c:pt idx="47">
                  <c:v>155.75299999999999</c:v>
                </c:pt>
                <c:pt idx="48">
                  <c:v>155.59100000000001</c:v>
                </c:pt>
                <c:pt idx="49">
                  <c:v>155.75800000000001</c:v>
                </c:pt>
                <c:pt idx="50">
                  <c:v>155.67599999999999</c:v>
                </c:pt>
                <c:pt idx="51">
                  <c:v>155.779</c:v>
                </c:pt>
                <c:pt idx="52">
                  <c:v>155.65299999999999</c:v>
                </c:pt>
                <c:pt idx="53">
                  <c:v>155.80600000000001</c:v>
                </c:pt>
                <c:pt idx="54">
                  <c:v>155.696</c:v>
                </c:pt>
                <c:pt idx="55">
                  <c:v>155.834</c:v>
                </c:pt>
                <c:pt idx="56">
                  <c:v>155.66499999999999</c:v>
                </c:pt>
                <c:pt idx="57">
                  <c:v>155.79400000000001</c:v>
                </c:pt>
                <c:pt idx="58">
                  <c:v>155.69499999999999</c:v>
                </c:pt>
                <c:pt idx="59">
                  <c:v>155.79400000000001</c:v>
                </c:pt>
                <c:pt idx="60">
                  <c:v>155.76499999999999</c:v>
                </c:pt>
                <c:pt idx="61">
                  <c:v>155.86500000000001</c:v>
                </c:pt>
                <c:pt idx="62">
                  <c:v>155.71299999999999</c:v>
                </c:pt>
                <c:pt idx="63">
                  <c:v>155.81</c:v>
                </c:pt>
                <c:pt idx="64">
                  <c:v>155.751</c:v>
                </c:pt>
                <c:pt idx="65">
                  <c:v>155.834</c:v>
                </c:pt>
                <c:pt idx="66">
                  <c:v>155.84299999999999</c:v>
                </c:pt>
                <c:pt idx="67">
                  <c:v>155.94999999999999</c:v>
                </c:pt>
                <c:pt idx="68">
                  <c:v>155.82599999999999</c:v>
                </c:pt>
                <c:pt idx="69">
                  <c:v>155.71899999999999</c:v>
                </c:pt>
                <c:pt idx="70">
                  <c:v>155.67099999999999</c:v>
                </c:pt>
                <c:pt idx="71">
                  <c:v>155.77600000000001</c:v>
                </c:pt>
                <c:pt idx="72">
                  <c:v>155.83500000000001</c:v>
                </c:pt>
                <c:pt idx="73">
                  <c:v>155.84800000000001</c:v>
                </c:pt>
                <c:pt idx="74">
                  <c:v>155.79499999999999</c:v>
                </c:pt>
                <c:pt idx="75">
                  <c:v>155.869</c:v>
                </c:pt>
                <c:pt idx="76">
                  <c:v>155.755</c:v>
                </c:pt>
                <c:pt idx="77">
                  <c:v>155.80600000000001</c:v>
                </c:pt>
                <c:pt idx="78">
                  <c:v>155.733</c:v>
                </c:pt>
                <c:pt idx="79">
                  <c:v>155.89500000000001</c:v>
                </c:pt>
                <c:pt idx="80">
                  <c:v>155.73500000000001</c:v>
                </c:pt>
                <c:pt idx="81">
                  <c:v>155.85</c:v>
                </c:pt>
                <c:pt idx="82">
                  <c:v>155.535</c:v>
                </c:pt>
                <c:pt idx="83">
                  <c:v>155.721</c:v>
                </c:pt>
                <c:pt idx="84">
                  <c:v>155.608</c:v>
                </c:pt>
                <c:pt idx="85">
                  <c:v>155.65600000000001</c:v>
                </c:pt>
                <c:pt idx="86">
                  <c:v>155.71600000000001</c:v>
                </c:pt>
                <c:pt idx="87">
                  <c:v>155.69499999999999</c:v>
                </c:pt>
                <c:pt idx="88">
                  <c:v>155.68</c:v>
                </c:pt>
                <c:pt idx="89">
                  <c:v>155.73500000000001</c:v>
                </c:pt>
                <c:pt idx="90">
                  <c:v>155.71100000000001</c:v>
                </c:pt>
                <c:pt idx="91">
                  <c:v>155.733</c:v>
                </c:pt>
                <c:pt idx="92">
                  <c:v>155.774</c:v>
                </c:pt>
                <c:pt idx="93">
                  <c:v>155.77799999999999</c:v>
                </c:pt>
                <c:pt idx="94">
                  <c:v>155.733</c:v>
                </c:pt>
                <c:pt idx="95">
                  <c:v>155.761</c:v>
                </c:pt>
                <c:pt idx="96">
                  <c:v>155.62100000000001</c:v>
                </c:pt>
                <c:pt idx="97">
                  <c:v>155.68799999999999</c:v>
                </c:pt>
                <c:pt idx="98">
                  <c:v>155.738</c:v>
                </c:pt>
                <c:pt idx="99">
                  <c:v>155.77000000000001</c:v>
                </c:pt>
                <c:pt idx="100">
                  <c:v>155.79400000000001</c:v>
                </c:pt>
                <c:pt idx="101">
                  <c:v>155.804</c:v>
                </c:pt>
                <c:pt idx="102">
                  <c:v>155.779</c:v>
                </c:pt>
                <c:pt idx="103">
                  <c:v>155.84299999999999</c:v>
                </c:pt>
                <c:pt idx="104">
                  <c:v>155.75299999999999</c:v>
                </c:pt>
                <c:pt idx="105">
                  <c:v>155.78200000000001</c:v>
                </c:pt>
                <c:pt idx="106">
                  <c:v>155.74299999999999</c:v>
                </c:pt>
                <c:pt idx="107">
                  <c:v>155.85</c:v>
                </c:pt>
                <c:pt idx="108">
                  <c:v>155.72200000000001</c:v>
                </c:pt>
                <c:pt idx="109">
                  <c:v>155.90700000000001</c:v>
                </c:pt>
                <c:pt idx="110">
                  <c:v>155.899</c:v>
                </c:pt>
                <c:pt idx="111">
                  <c:v>155.98599999999999</c:v>
                </c:pt>
                <c:pt idx="112">
                  <c:v>155.77500000000001</c:v>
                </c:pt>
                <c:pt idx="113">
                  <c:v>155.84700000000001</c:v>
                </c:pt>
                <c:pt idx="114">
                  <c:v>155.95699999999999</c:v>
                </c:pt>
                <c:pt idx="115">
                  <c:v>155.85400000000001</c:v>
                </c:pt>
                <c:pt idx="116">
                  <c:v>155.75899999999999</c:v>
                </c:pt>
                <c:pt idx="117">
                  <c:v>155.797</c:v>
                </c:pt>
                <c:pt idx="118">
                  <c:v>155.833</c:v>
                </c:pt>
                <c:pt idx="119">
                  <c:v>155.94</c:v>
                </c:pt>
                <c:pt idx="120">
                  <c:v>155.887</c:v>
                </c:pt>
                <c:pt idx="121">
                  <c:v>155.97900000000001</c:v>
                </c:pt>
                <c:pt idx="122">
                  <c:v>155.798</c:v>
                </c:pt>
                <c:pt idx="123">
                  <c:v>155.97499999999999</c:v>
                </c:pt>
                <c:pt idx="124">
                  <c:v>155.749</c:v>
                </c:pt>
                <c:pt idx="125">
                  <c:v>155.98400000000001</c:v>
                </c:pt>
                <c:pt idx="126">
                  <c:v>155.61799999999999</c:v>
                </c:pt>
                <c:pt idx="127">
                  <c:v>155.58199999999999</c:v>
                </c:pt>
                <c:pt idx="128">
                  <c:v>155.684</c:v>
                </c:pt>
                <c:pt idx="129">
                  <c:v>155.596</c:v>
                </c:pt>
                <c:pt idx="130">
                  <c:v>155.75800000000001</c:v>
                </c:pt>
                <c:pt idx="131">
                  <c:v>155.68899999999999</c:v>
                </c:pt>
                <c:pt idx="132">
                  <c:v>155.66900000000001</c:v>
                </c:pt>
                <c:pt idx="133">
                  <c:v>155.61799999999999</c:v>
                </c:pt>
                <c:pt idx="134">
                  <c:v>155.69300000000001</c:v>
                </c:pt>
                <c:pt idx="135">
                  <c:v>155.63200000000001</c:v>
                </c:pt>
                <c:pt idx="136">
                  <c:v>155.81200000000001</c:v>
                </c:pt>
                <c:pt idx="137">
                  <c:v>155.70400000000001</c:v>
                </c:pt>
                <c:pt idx="138">
                  <c:v>155.678</c:v>
                </c:pt>
                <c:pt idx="139">
                  <c:v>155.65700000000001</c:v>
                </c:pt>
                <c:pt idx="140">
                  <c:v>155.749</c:v>
                </c:pt>
                <c:pt idx="141">
                  <c:v>155.684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0-4AF6-B71B-3D20BDAE5E3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('AMP3-4'!$M$4,'AMP3-4'!$M$4)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B0-4AF6-B71B-3D20BDAE5E3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('AMP3-4'!$M$5,'AMP3-4'!$M$5)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B0-4AF6-B71B-3D20BDAE5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59896"/>
        <c:axId val="460060288"/>
      </c:scatterChart>
      <c:valAx>
        <c:axId val="46005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0288"/>
        <c:crosses val="autoZero"/>
        <c:crossBetween val="midCat"/>
      </c:valAx>
      <c:valAx>
        <c:axId val="4600602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5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'AMP3-4'!$N$8</c:f>
              <c:strCache>
                <c:ptCount val="1"/>
                <c:pt idx="0">
                  <c:v>Dim 5_1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'AMP3-4'!$N$9:$N$150</c:f>
              <c:numCache>
                <c:formatCode>General</c:formatCode>
                <c:ptCount val="142"/>
                <c:pt idx="0">
                  <c:v>27.297999999999998</c:v>
                </c:pt>
                <c:pt idx="1">
                  <c:v>27.164999999999999</c:v>
                </c:pt>
                <c:pt idx="2">
                  <c:v>27.47</c:v>
                </c:pt>
                <c:pt idx="3">
                  <c:v>27.326000000000001</c:v>
                </c:pt>
                <c:pt idx="4">
                  <c:v>27.396000000000001</c:v>
                </c:pt>
                <c:pt idx="5">
                  <c:v>27.292000000000002</c:v>
                </c:pt>
                <c:pt idx="6">
                  <c:v>27.391999999999999</c:v>
                </c:pt>
                <c:pt idx="7">
                  <c:v>27.324000000000002</c:v>
                </c:pt>
                <c:pt idx="8">
                  <c:v>27.405999999999999</c:v>
                </c:pt>
                <c:pt idx="9">
                  <c:v>27.283999999999999</c:v>
                </c:pt>
                <c:pt idx="10">
                  <c:v>27.396999999999998</c:v>
                </c:pt>
                <c:pt idx="11">
                  <c:v>27.337</c:v>
                </c:pt>
                <c:pt idx="12">
                  <c:v>27.382999999999999</c:v>
                </c:pt>
                <c:pt idx="13">
                  <c:v>27.103999999999999</c:v>
                </c:pt>
                <c:pt idx="14">
                  <c:v>27.363</c:v>
                </c:pt>
                <c:pt idx="15">
                  <c:v>27.155999999999999</c:v>
                </c:pt>
                <c:pt idx="16">
                  <c:v>27.414999999999999</c:v>
                </c:pt>
                <c:pt idx="17">
                  <c:v>27.132000000000001</c:v>
                </c:pt>
                <c:pt idx="18">
                  <c:v>27.364999999999998</c:v>
                </c:pt>
                <c:pt idx="19">
                  <c:v>27.096</c:v>
                </c:pt>
                <c:pt idx="20">
                  <c:v>27.449000000000002</c:v>
                </c:pt>
                <c:pt idx="21">
                  <c:v>27.192</c:v>
                </c:pt>
                <c:pt idx="22">
                  <c:v>27.358000000000001</c:v>
                </c:pt>
                <c:pt idx="23">
                  <c:v>27.106000000000002</c:v>
                </c:pt>
                <c:pt idx="24">
                  <c:v>27.341999999999999</c:v>
                </c:pt>
                <c:pt idx="25">
                  <c:v>27.137</c:v>
                </c:pt>
                <c:pt idx="26">
                  <c:v>27.321000000000002</c:v>
                </c:pt>
                <c:pt idx="27">
                  <c:v>27.097000000000001</c:v>
                </c:pt>
                <c:pt idx="28">
                  <c:v>27.271000000000001</c:v>
                </c:pt>
                <c:pt idx="29">
                  <c:v>26.972000000000001</c:v>
                </c:pt>
                <c:pt idx="30">
                  <c:v>27.323</c:v>
                </c:pt>
                <c:pt idx="31">
                  <c:v>27.024000000000001</c:v>
                </c:pt>
                <c:pt idx="32">
                  <c:v>27.231999999999999</c:v>
                </c:pt>
                <c:pt idx="33">
                  <c:v>27.036000000000001</c:v>
                </c:pt>
                <c:pt idx="34">
                  <c:v>27.292000000000002</c:v>
                </c:pt>
                <c:pt idx="35">
                  <c:v>26.989000000000001</c:v>
                </c:pt>
                <c:pt idx="36">
                  <c:v>27.225000000000001</c:v>
                </c:pt>
                <c:pt idx="37">
                  <c:v>27.003</c:v>
                </c:pt>
                <c:pt idx="38">
                  <c:v>27.437000000000001</c:v>
                </c:pt>
                <c:pt idx="39">
                  <c:v>27.35</c:v>
                </c:pt>
                <c:pt idx="40">
                  <c:v>27.37</c:v>
                </c:pt>
                <c:pt idx="41">
                  <c:v>27.355</c:v>
                </c:pt>
                <c:pt idx="42">
                  <c:v>27.298999999999999</c:v>
                </c:pt>
                <c:pt idx="43">
                  <c:v>27.297999999999998</c:v>
                </c:pt>
                <c:pt idx="44">
                  <c:v>27.33</c:v>
                </c:pt>
                <c:pt idx="45">
                  <c:v>27.303999999999998</c:v>
                </c:pt>
                <c:pt idx="46">
                  <c:v>27.292000000000002</c:v>
                </c:pt>
                <c:pt idx="47">
                  <c:v>27.25</c:v>
                </c:pt>
                <c:pt idx="48">
                  <c:v>27.33</c:v>
                </c:pt>
                <c:pt idx="49">
                  <c:v>27.271000000000001</c:v>
                </c:pt>
                <c:pt idx="50">
                  <c:v>27.329000000000001</c:v>
                </c:pt>
                <c:pt idx="51">
                  <c:v>27.273</c:v>
                </c:pt>
                <c:pt idx="52">
                  <c:v>27.242999999999999</c:v>
                </c:pt>
                <c:pt idx="53">
                  <c:v>27.190999999999999</c:v>
                </c:pt>
                <c:pt idx="54">
                  <c:v>27.251000000000001</c:v>
                </c:pt>
                <c:pt idx="55">
                  <c:v>27.187999999999999</c:v>
                </c:pt>
                <c:pt idx="56">
                  <c:v>27.279</c:v>
                </c:pt>
                <c:pt idx="57">
                  <c:v>27.241</c:v>
                </c:pt>
                <c:pt idx="58">
                  <c:v>27.263000000000002</c:v>
                </c:pt>
                <c:pt idx="59">
                  <c:v>27.178999999999998</c:v>
                </c:pt>
                <c:pt idx="60">
                  <c:v>27.199000000000002</c:v>
                </c:pt>
                <c:pt idx="61">
                  <c:v>27.158999999999999</c:v>
                </c:pt>
                <c:pt idx="62">
                  <c:v>27.28</c:v>
                </c:pt>
                <c:pt idx="63">
                  <c:v>27.221</c:v>
                </c:pt>
                <c:pt idx="64">
                  <c:v>27.218</c:v>
                </c:pt>
                <c:pt idx="65">
                  <c:v>27.228999999999999</c:v>
                </c:pt>
                <c:pt idx="66">
                  <c:v>27.117999999999999</c:v>
                </c:pt>
                <c:pt idx="67">
                  <c:v>27.097000000000001</c:v>
                </c:pt>
                <c:pt idx="68">
                  <c:v>27.234999999999999</c:v>
                </c:pt>
                <c:pt idx="69">
                  <c:v>27.253</c:v>
                </c:pt>
                <c:pt idx="70">
                  <c:v>27.314</c:v>
                </c:pt>
                <c:pt idx="71">
                  <c:v>27.26</c:v>
                </c:pt>
                <c:pt idx="72">
                  <c:v>27.146999999999998</c:v>
                </c:pt>
                <c:pt idx="73">
                  <c:v>27.244</c:v>
                </c:pt>
                <c:pt idx="74">
                  <c:v>27.195</c:v>
                </c:pt>
                <c:pt idx="75">
                  <c:v>27.184000000000001</c:v>
                </c:pt>
                <c:pt idx="76">
                  <c:v>27.172999999999998</c:v>
                </c:pt>
                <c:pt idx="77">
                  <c:v>27.244</c:v>
                </c:pt>
                <c:pt idx="78">
                  <c:v>27.225999999999999</c:v>
                </c:pt>
                <c:pt idx="79">
                  <c:v>27.167000000000002</c:v>
                </c:pt>
                <c:pt idx="80">
                  <c:v>27.242000000000001</c:v>
                </c:pt>
                <c:pt idx="81">
                  <c:v>27.204000000000001</c:v>
                </c:pt>
                <c:pt idx="82">
                  <c:v>27.396000000000001</c:v>
                </c:pt>
                <c:pt idx="83">
                  <c:v>27.347000000000001</c:v>
                </c:pt>
                <c:pt idx="84">
                  <c:v>27.353000000000002</c:v>
                </c:pt>
                <c:pt idx="85">
                  <c:v>27.353999999999999</c:v>
                </c:pt>
                <c:pt idx="86">
                  <c:v>27.31</c:v>
                </c:pt>
                <c:pt idx="87">
                  <c:v>27.312000000000001</c:v>
                </c:pt>
                <c:pt idx="88">
                  <c:v>27.315999999999999</c:v>
                </c:pt>
                <c:pt idx="89">
                  <c:v>27.306000000000001</c:v>
                </c:pt>
                <c:pt idx="90">
                  <c:v>27.3</c:v>
                </c:pt>
                <c:pt idx="91">
                  <c:v>27.262</c:v>
                </c:pt>
                <c:pt idx="92">
                  <c:v>27.256</c:v>
                </c:pt>
                <c:pt idx="93">
                  <c:v>27.262</c:v>
                </c:pt>
                <c:pt idx="94">
                  <c:v>27.288</c:v>
                </c:pt>
                <c:pt idx="95">
                  <c:v>27.259</c:v>
                </c:pt>
                <c:pt idx="96">
                  <c:v>27.346</c:v>
                </c:pt>
                <c:pt idx="97">
                  <c:v>27.298999999999999</c:v>
                </c:pt>
                <c:pt idx="98">
                  <c:v>27.244</c:v>
                </c:pt>
                <c:pt idx="99">
                  <c:v>27.228999999999999</c:v>
                </c:pt>
                <c:pt idx="100">
                  <c:v>27.193999999999999</c:v>
                </c:pt>
                <c:pt idx="101">
                  <c:v>27.207000000000001</c:v>
                </c:pt>
                <c:pt idx="102">
                  <c:v>27.21</c:v>
                </c:pt>
                <c:pt idx="103">
                  <c:v>27.193000000000001</c:v>
                </c:pt>
                <c:pt idx="104">
                  <c:v>27.201000000000001</c:v>
                </c:pt>
                <c:pt idx="105">
                  <c:v>27.303999999999998</c:v>
                </c:pt>
                <c:pt idx="106">
                  <c:v>27.239000000000001</c:v>
                </c:pt>
                <c:pt idx="107">
                  <c:v>27.178000000000001</c:v>
                </c:pt>
                <c:pt idx="108">
                  <c:v>27.207999999999998</c:v>
                </c:pt>
                <c:pt idx="109">
                  <c:v>27.16</c:v>
                </c:pt>
                <c:pt idx="110">
                  <c:v>26.954000000000001</c:v>
                </c:pt>
                <c:pt idx="111">
                  <c:v>27.105</c:v>
                </c:pt>
                <c:pt idx="112">
                  <c:v>27.181999999999999</c:v>
                </c:pt>
                <c:pt idx="113">
                  <c:v>27.187000000000001</c:v>
                </c:pt>
                <c:pt idx="114">
                  <c:v>27.024999999999999</c:v>
                </c:pt>
                <c:pt idx="115">
                  <c:v>27.172000000000001</c:v>
                </c:pt>
                <c:pt idx="116">
                  <c:v>27.277999999999999</c:v>
                </c:pt>
                <c:pt idx="117">
                  <c:v>27.273</c:v>
                </c:pt>
                <c:pt idx="118">
                  <c:v>27.103000000000002</c:v>
                </c:pt>
                <c:pt idx="119">
                  <c:v>27.068999999999999</c:v>
                </c:pt>
                <c:pt idx="120">
                  <c:v>27.042999999999999</c:v>
                </c:pt>
                <c:pt idx="121">
                  <c:v>27.065999999999999</c:v>
                </c:pt>
                <c:pt idx="122">
                  <c:v>27.132999999999999</c:v>
                </c:pt>
                <c:pt idx="123">
                  <c:v>27.12</c:v>
                </c:pt>
                <c:pt idx="124">
                  <c:v>27.143000000000001</c:v>
                </c:pt>
                <c:pt idx="125">
                  <c:v>27.096</c:v>
                </c:pt>
                <c:pt idx="126">
                  <c:v>27.367000000000001</c:v>
                </c:pt>
                <c:pt idx="127">
                  <c:v>27.399000000000001</c:v>
                </c:pt>
                <c:pt idx="128">
                  <c:v>27.349</c:v>
                </c:pt>
                <c:pt idx="129">
                  <c:v>27.381</c:v>
                </c:pt>
                <c:pt idx="130">
                  <c:v>27.292999999999999</c:v>
                </c:pt>
                <c:pt idx="131">
                  <c:v>27.315999999999999</c:v>
                </c:pt>
                <c:pt idx="132">
                  <c:v>27.321000000000002</c:v>
                </c:pt>
                <c:pt idx="133">
                  <c:v>27.364000000000001</c:v>
                </c:pt>
                <c:pt idx="134">
                  <c:v>27.338000000000001</c:v>
                </c:pt>
                <c:pt idx="135">
                  <c:v>27.370999999999999</c:v>
                </c:pt>
                <c:pt idx="136">
                  <c:v>27.25</c:v>
                </c:pt>
                <c:pt idx="137">
                  <c:v>27.303000000000001</c:v>
                </c:pt>
                <c:pt idx="138">
                  <c:v>27.295999999999999</c:v>
                </c:pt>
                <c:pt idx="139">
                  <c:v>27.350999999999999</c:v>
                </c:pt>
                <c:pt idx="140">
                  <c:v>27.262</c:v>
                </c:pt>
                <c:pt idx="141">
                  <c:v>27.318000000000001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D-4502-9923-F0E9D9564E9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('AMP3-4'!$N$4,'AMP3-4'!$N$4)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D-4502-9923-F0E9D9564E9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('AMP3-4'!$N$5,'AMP3-4'!$N$5)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D-4502-9923-F0E9D9564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61072"/>
        <c:axId val="460061464"/>
      </c:scatterChart>
      <c:valAx>
        <c:axId val="46006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1464"/>
        <c:crosses val="autoZero"/>
        <c:crossBetween val="midCat"/>
      </c:valAx>
      <c:valAx>
        <c:axId val="4600614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'AMP3-4'!$O$8</c:f>
              <c:strCache>
                <c:ptCount val="1"/>
                <c:pt idx="0">
                  <c:v>Dim 5_2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'AMP3-4'!$O$9:$O$150</c:f>
              <c:numCache>
                <c:formatCode>General</c:formatCode>
                <c:ptCount val="142"/>
                <c:pt idx="0">
                  <c:v>27.42</c:v>
                </c:pt>
                <c:pt idx="1">
                  <c:v>27.436</c:v>
                </c:pt>
                <c:pt idx="2">
                  <c:v>27.524999999999999</c:v>
                </c:pt>
                <c:pt idx="3">
                  <c:v>27.587</c:v>
                </c:pt>
                <c:pt idx="4">
                  <c:v>27.469000000000001</c:v>
                </c:pt>
                <c:pt idx="5">
                  <c:v>27.552</c:v>
                </c:pt>
                <c:pt idx="6">
                  <c:v>27.48</c:v>
                </c:pt>
                <c:pt idx="7">
                  <c:v>27.579000000000001</c:v>
                </c:pt>
                <c:pt idx="8">
                  <c:v>27.466999999999999</c:v>
                </c:pt>
                <c:pt idx="9">
                  <c:v>27.530999999999999</c:v>
                </c:pt>
                <c:pt idx="10">
                  <c:v>27.466000000000001</c:v>
                </c:pt>
                <c:pt idx="11">
                  <c:v>27.577000000000002</c:v>
                </c:pt>
                <c:pt idx="12">
                  <c:v>27.492999999999999</c:v>
                </c:pt>
                <c:pt idx="13">
                  <c:v>27.303999999999998</c:v>
                </c:pt>
                <c:pt idx="14">
                  <c:v>27.492000000000001</c:v>
                </c:pt>
                <c:pt idx="15">
                  <c:v>27.349</c:v>
                </c:pt>
                <c:pt idx="16">
                  <c:v>27.507999999999999</c:v>
                </c:pt>
                <c:pt idx="17">
                  <c:v>27.332000000000001</c:v>
                </c:pt>
                <c:pt idx="18">
                  <c:v>27.48</c:v>
                </c:pt>
                <c:pt idx="19">
                  <c:v>27.315999999999999</c:v>
                </c:pt>
                <c:pt idx="20">
                  <c:v>27.495000000000001</c:v>
                </c:pt>
                <c:pt idx="21">
                  <c:v>27.420999999999999</c:v>
                </c:pt>
                <c:pt idx="22">
                  <c:v>27.512</c:v>
                </c:pt>
                <c:pt idx="23">
                  <c:v>27.33</c:v>
                </c:pt>
                <c:pt idx="24">
                  <c:v>27.446000000000002</c:v>
                </c:pt>
                <c:pt idx="25">
                  <c:v>27.361000000000001</c:v>
                </c:pt>
                <c:pt idx="26">
                  <c:v>27.422999999999998</c:v>
                </c:pt>
                <c:pt idx="27">
                  <c:v>27.338999999999999</c:v>
                </c:pt>
                <c:pt idx="28">
                  <c:v>27.373999999999999</c:v>
                </c:pt>
                <c:pt idx="29">
                  <c:v>27.199000000000002</c:v>
                </c:pt>
                <c:pt idx="30">
                  <c:v>27.446999999999999</c:v>
                </c:pt>
                <c:pt idx="31">
                  <c:v>27.216000000000001</c:v>
                </c:pt>
                <c:pt idx="32">
                  <c:v>27.341000000000001</c:v>
                </c:pt>
                <c:pt idx="33">
                  <c:v>27.24</c:v>
                </c:pt>
                <c:pt idx="34">
                  <c:v>27.404</c:v>
                </c:pt>
                <c:pt idx="35">
                  <c:v>27.206</c:v>
                </c:pt>
                <c:pt idx="36">
                  <c:v>27.376000000000001</c:v>
                </c:pt>
                <c:pt idx="37">
                  <c:v>27.196999999999999</c:v>
                </c:pt>
                <c:pt idx="38">
                  <c:v>27.556999999999999</c:v>
                </c:pt>
                <c:pt idx="39">
                  <c:v>27.561</c:v>
                </c:pt>
                <c:pt idx="40">
                  <c:v>27.536000000000001</c:v>
                </c:pt>
                <c:pt idx="41">
                  <c:v>27.588000000000001</c:v>
                </c:pt>
                <c:pt idx="42">
                  <c:v>27.449000000000002</c:v>
                </c:pt>
                <c:pt idx="43">
                  <c:v>27.553999999999998</c:v>
                </c:pt>
                <c:pt idx="44">
                  <c:v>27.454000000000001</c:v>
                </c:pt>
                <c:pt idx="45">
                  <c:v>27.53</c:v>
                </c:pt>
                <c:pt idx="46">
                  <c:v>27.443999999999999</c:v>
                </c:pt>
                <c:pt idx="47">
                  <c:v>27.503</c:v>
                </c:pt>
                <c:pt idx="48">
                  <c:v>27.515999999999998</c:v>
                </c:pt>
                <c:pt idx="49">
                  <c:v>27.486999999999998</c:v>
                </c:pt>
                <c:pt idx="50">
                  <c:v>27.423999999999999</c:v>
                </c:pt>
                <c:pt idx="51">
                  <c:v>27.492000000000001</c:v>
                </c:pt>
                <c:pt idx="52">
                  <c:v>27.457000000000001</c:v>
                </c:pt>
                <c:pt idx="53">
                  <c:v>27.466999999999999</c:v>
                </c:pt>
                <c:pt idx="54">
                  <c:v>27.422999999999998</c:v>
                </c:pt>
                <c:pt idx="55">
                  <c:v>27.443000000000001</c:v>
                </c:pt>
                <c:pt idx="56">
                  <c:v>27.468</c:v>
                </c:pt>
                <c:pt idx="57">
                  <c:v>27.481000000000002</c:v>
                </c:pt>
                <c:pt idx="58">
                  <c:v>27.416</c:v>
                </c:pt>
                <c:pt idx="59">
                  <c:v>27.469000000000001</c:v>
                </c:pt>
                <c:pt idx="60">
                  <c:v>27.347000000000001</c:v>
                </c:pt>
                <c:pt idx="61">
                  <c:v>27.398</c:v>
                </c:pt>
                <c:pt idx="62">
                  <c:v>27.425999999999998</c:v>
                </c:pt>
                <c:pt idx="63">
                  <c:v>27.463999999999999</c:v>
                </c:pt>
                <c:pt idx="64">
                  <c:v>27.341000000000001</c:v>
                </c:pt>
                <c:pt idx="65">
                  <c:v>27.46</c:v>
                </c:pt>
                <c:pt idx="66">
                  <c:v>27.260999999999999</c:v>
                </c:pt>
                <c:pt idx="67">
                  <c:v>27.321000000000002</c:v>
                </c:pt>
                <c:pt idx="68">
                  <c:v>27.427</c:v>
                </c:pt>
                <c:pt idx="69">
                  <c:v>27.396000000000001</c:v>
                </c:pt>
                <c:pt idx="70">
                  <c:v>27.436</c:v>
                </c:pt>
                <c:pt idx="71">
                  <c:v>27.466000000000001</c:v>
                </c:pt>
                <c:pt idx="72">
                  <c:v>27.308</c:v>
                </c:pt>
                <c:pt idx="73">
                  <c:v>27.443999999999999</c:v>
                </c:pt>
                <c:pt idx="74">
                  <c:v>27.314</c:v>
                </c:pt>
                <c:pt idx="75">
                  <c:v>27.417999999999999</c:v>
                </c:pt>
                <c:pt idx="76">
                  <c:v>27.303000000000001</c:v>
                </c:pt>
                <c:pt idx="77">
                  <c:v>27.469000000000001</c:v>
                </c:pt>
                <c:pt idx="78">
                  <c:v>27.347999999999999</c:v>
                </c:pt>
                <c:pt idx="79">
                  <c:v>27.373999999999999</c:v>
                </c:pt>
                <c:pt idx="80">
                  <c:v>27.372</c:v>
                </c:pt>
                <c:pt idx="81">
                  <c:v>27.44</c:v>
                </c:pt>
                <c:pt idx="82">
                  <c:v>27.600999999999999</c:v>
                </c:pt>
                <c:pt idx="83">
                  <c:v>27.533000000000001</c:v>
                </c:pt>
                <c:pt idx="84">
                  <c:v>27.497</c:v>
                </c:pt>
                <c:pt idx="85">
                  <c:v>27.594999999999999</c:v>
                </c:pt>
                <c:pt idx="86">
                  <c:v>27.433</c:v>
                </c:pt>
                <c:pt idx="87">
                  <c:v>27.564</c:v>
                </c:pt>
                <c:pt idx="88">
                  <c:v>27.451000000000001</c:v>
                </c:pt>
                <c:pt idx="89">
                  <c:v>27.498999999999999</c:v>
                </c:pt>
                <c:pt idx="90">
                  <c:v>27.440999999999999</c:v>
                </c:pt>
                <c:pt idx="91">
                  <c:v>27.526</c:v>
                </c:pt>
                <c:pt idx="92">
                  <c:v>27.352</c:v>
                </c:pt>
                <c:pt idx="93">
                  <c:v>27.489000000000001</c:v>
                </c:pt>
                <c:pt idx="94">
                  <c:v>27.390999999999998</c:v>
                </c:pt>
                <c:pt idx="95">
                  <c:v>27.489000000000001</c:v>
                </c:pt>
                <c:pt idx="96">
                  <c:v>27.484000000000002</c:v>
                </c:pt>
                <c:pt idx="97">
                  <c:v>27.541</c:v>
                </c:pt>
                <c:pt idx="98">
                  <c:v>27.387</c:v>
                </c:pt>
                <c:pt idx="99">
                  <c:v>27.504999999999999</c:v>
                </c:pt>
                <c:pt idx="100">
                  <c:v>27.337</c:v>
                </c:pt>
                <c:pt idx="101">
                  <c:v>27.477</c:v>
                </c:pt>
                <c:pt idx="102">
                  <c:v>27.363</c:v>
                </c:pt>
                <c:pt idx="103">
                  <c:v>27.427</c:v>
                </c:pt>
                <c:pt idx="104">
                  <c:v>27.349</c:v>
                </c:pt>
                <c:pt idx="105">
                  <c:v>27.559000000000001</c:v>
                </c:pt>
                <c:pt idx="106">
                  <c:v>27.387</c:v>
                </c:pt>
                <c:pt idx="107">
                  <c:v>27.414000000000001</c:v>
                </c:pt>
                <c:pt idx="108">
                  <c:v>27.390999999999998</c:v>
                </c:pt>
                <c:pt idx="109">
                  <c:v>27.353000000000002</c:v>
                </c:pt>
                <c:pt idx="110">
                  <c:v>27.189</c:v>
                </c:pt>
                <c:pt idx="111">
                  <c:v>27.321000000000002</c:v>
                </c:pt>
                <c:pt idx="112">
                  <c:v>27.335000000000001</c:v>
                </c:pt>
                <c:pt idx="113">
                  <c:v>27.411999999999999</c:v>
                </c:pt>
                <c:pt idx="114">
                  <c:v>27.149000000000001</c:v>
                </c:pt>
                <c:pt idx="115">
                  <c:v>27.440999999999999</c:v>
                </c:pt>
                <c:pt idx="116">
                  <c:v>27.369</c:v>
                </c:pt>
                <c:pt idx="117">
                  <c:v>27.553000000000001</c:v>
                </c:pt>
                <c:pt idx="118">
                  <c:v>27.274999999999999</c:v>
                </c:pt>
                <c:pt idx="119">
                  <c:v>27.335999999999999</c:v>
                </c:pt>
                <c:pt idx="120">
                  <c:v>27.207000000000001</c:v>
                </c:pt>
                <c:pt idx="121">
                  <c:v>27.314</c:v>
                </c:pt>
                <c:pt idx="122">
                  <c:v>27.305</c:v>
                </c:pt>
                <c:pt idx="123">
                  <c:v>27.335999999999999</c:v>
                </c:pt>
                <c:pt idx="124">
                  <c:v>27.347000000000001</c:v>
                </c:pt>
                <c:pt idx="125">
                  <c:v>27.308</c:v>
                </c:pt>
                <c:pt idx="126">
                  <c:v>27.521000000000001</c:v>
                </c:pt>
                <c:pt idx="127">
                  <c:v>27.667999999999999</c:v>
                </c:pt>
                <c:pt idx="128">
                  <c:v>27.459</c:v>
                </c:pt>
                <c:pt idx="129">
                  <c:v>27.623999999999999</c:v>
                </c:pt>
                <c:pt idx="130">
                  <c:v>27.408000000000001</c:v>
                </c:pt>
                <c:pt idx="131">
                  <c:v>27.62</c:v>
                </c:pt>
                <c:pt idx="132">
                  <c:v>27.44</c:v>
                </c:pt>
                <c:pt idx="133">
                  <c:v>27.629000000000001</c:v>
                </c:pt>
                <c:pt idx="134">
                  <c:v>27.452999999999999</c:v>
                </c:pt>
                <c:pt idx="135">
                  <c:v>27.637</c:v>
                </c:pt>
                <c:pt idx="136">
                  <c:v>27.303000000000001</c:v>
                </c:pt>
                <c:pt idx="137">
                  <c:v>27.545999999999999</c:v>
                </c:pt>
                <c:pt idx="138">
                  <c:v>27.443999999999999</c:v>
                </c:pt>
                <c:pt idx="139">
                  <c:v>27.59</c:v>
                </c:pt>
                <c:pt idx="140">
                  <c:v>27.359000000000002</c:v>
                </c:pt>
                <c:pt idx="141">
                  <c:v>27.562999999999999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0-40DB-B16D-5A05A857961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('AMP3-4'!$O$4,'AMP3-4'!$O$4)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0-40DB-B16D-5A05A857961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('AMP3-4'!$O$5,'AMP3-4'!$O$5)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00-40DB-B16D-5A05A857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62248"/>
        <c:axId val="460062640"/>
      </c:scatterChart>
      <c:valAx>
        <c:axId val="46006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2640"/>
        <c:crosses val="autoZero"/>
        <c:crossBetween val="midCat"/>
      </c:valAx>
      <c:valAx>
        <c:axId val="4600626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'AMP3-4'!$R$8</c:f>
              <c:strCache>
                <c:ptCount val="1"/>
                <c:pt idx="0">
                  <c:v>Dim 9_1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'AMP3-4'!$R$9:$R$150</c:f>
              <c:numCache>
                <c:formatCode>General</c:formatCode>
                <c:ptCount val="142"/>
                <c:pt idx="0">
                  <c:v>17.196999999999999</c:v>
                </c:pt>
                <c:pt idx="1">
                  <c:v>17.251999999999999</c:v>
                </c:pt>
                <c:pt idx="2">
                  <c:v>17.215</c:v>
                </c:pt>
                <c:pt idx="3">
                  <c:v>17.245000000000001</c:v>
                </c:pt>
                <c:pt idx="4">
                  <c:v>17.225000000000001</c:v>
                </c:pt>
                <c:pt idx="5">
                  <c:v>17.234000000000002</c:v>
                </c:pt>
                <c:pt idx="6">
                  <c:v>17.236000000000001</c:v>
                </c:pt>
                <c:pt idx="7">
                  <c:v>17.253</c:v>
                </c:pt>
                <c:pt idx="8">
                  <c:v>17.234000000000002</c:v>
                </c:pt>
                <c:pt idx="9">
                  <c:v>17.247</c:v>
                </c:pt>
                <c:pt idx="10">
                  <c:v>17.228999999999999</c:v>
                </c:pt>
                <c:pt idx="11">
                  <c:v>17.228999999999999</c:v>
                </c:pt>
                <c:pt idx="12">
                  <c:v>17.247</c:v>
                </c:pt>
                <c:pt idx="13">
                  <c:v>17.244</c:v>
                </c:pt>
                <c:pt idx="14">
                  <c:v>17.238</c:v>
                </c:pt>
                <c:pt idx="15">
                  <c:v>17.201000000000001</c:v>
                </c:pt>
                <c:pt idx="16">
                  <c:v>17.244</c:v>
                </c:pt>
                <c:pt idx="17">
                  <c:v>17.236999999999998</c:v>
                </c:pt>
                <c:pt idx="18">
                  <c:v>17.247</c:v>
                </c:pt>
                <c:pt idx="19">
                  <c:v>17.225999999999999</c:v>
                </c:pt>
                <c:pt idx="20">
                  <c:v>17.222000000000001</c:v>
                </c:pt>
                <c:pt idx="21">
                  <c:v>17.266999999999999</c:v>
                </c:pt>
                <c:pt idx="22">
                  <c:v>17.224</c:v>
                </c:pt>
                <c:pt idx="23">
                  <c:v>17.233000000000001</c:v>
                </c:pt>
                <c:pt idx="24">
                  <c:v>17.222000000000001</c:v>
                </c:pt>
                <c:pt idx="25">
                  <c:v>17.225000000000001</c:v>
                </c:pt>
                <c:pt idx="26">
                  <c:v>17.241</c:v>
                </c:pt>
                <c:pt idx="27">
                  <c:v>17.238</c:v>
                </c:pt>
                <c:pt idx="28">
                  <c:v>17.210999999999999</c:v>
                </c:pt>
                <c:pt idx="29">
                  <c:v>17.251000000000001</c:v>
                </c:pt>
                <c:pt idx="30">
                  <c:v>17.248000000000001</c:v>
                </c:pt>
                <c:pt idx="31">
                  <c:v>17.254000000000001</c:v>
                </c:pt>
                <c:pt idx="32">
                  <c:v>17.241</c:v>
                </c:pt>
                <c:pt idx="33">
                  <c:v>17.207999999999998</c:v>
                </c:pt>
                <c:pt idx="34">
                  <c:v>17.218</c:v>
                </c:pt>
                <c:pt idx="35">
                  <c:v>17.271000000000001</c:v>
                </c:pt>
                <c:pt idx="36">
                  <c:v>17.239000000000001</c:v>
                </c:pt>
                <c:pt idx="37">
                  <c:v>17.241</c:v>
                </c:pt>
                <c:pt idx="38">
                  <c:v>17.256</c:v>
                </c:pt>
                <c:pt idx="39">
                  <c:v>17.233000000000001</c:v>
                </c:pt>
                <c:pt idx="40">
                  <c:v>17.274000000000001</c:v>
                </c:pt>
                <c:pt idx="41">
                  <c:v>17.239000000000001</c:v>
                </c:pt>
                <c:pt idx="42">
                  <c:v>17.234000000000002</c:v>
                </c:pt>
                <c:pt idx="43">
                  <c:v>17.248999999999999</c:v>
                </c:pt>
                <c:pt idx="44">
                  <c:v>17.236000000000001</c:v>
                </c:pt>
                <c:pt idx="45">
                  <c:v>17.256</c:v>
                </c:pt>
                <c:pt idx="46">
                  <c:v>17.213000000000001</c:v>
                </c:pt>
                <c:pt idx="47">
                  <c:v>17.244</c:v>
                </c:pt>
                <c:pt idx="48">
                  <c:v>17.228000000000002</c:v>
                </c:pt>
                <c:pt idx="49">
                  <c:v>17.227</c:v>
                </c:pt>
                <c:pt idx="50">
                  <c:v>17.207000000000001</c:v>
                </c:pt>
                <c:pt idx="51">
                  <c:v>17.266999999999999</c:v>
                </c:pt>
                <c:pt idx="52">
                  <c:v>17.184000000000001</c:v>
                </c:pt>
                <c:pt idx="53">
                  <c:v>17.257000000000001</c:v>
                </c:pt>
                <c:pt idx="54">
                  <c:v>17.227</c:v>
                </c:pt>
                <c:pt idx="55">
                  <c:v>17.213000000000001</c:v>
                </c:pt>
                <c:pt idx="56">
                  <c:v>17.231000000000002</c:v>
                </c:pt>
                <c:pt idx="57">
                  <c:v>17.248999999999999</c:v>
                </c:pt>
                <c:pt idx="58">
                  <c:v>17.207999999999998</c:v>
                </c:pt>
                <c:pt idx="59">
                  <c:v>17.263000000000002</c:v>
                </c:pt>
                <c:pt idx="60">
                  <c:v>17.209</c:v>
                </c:pt>
                <c:pt idx="61">
                  <c:v>17.263999999999999</c:v>
                </c:pt>
                <c:pt idx="62">
                  <c:v>17.238</c:v>
                </c:pt>
                <c:pt idx="63">
                  <c:v>17.254000000000001</c:v>
                </c:pt>
                <c:pt idx="64">
                  <c:v>17.204999999999998</c:v>
                </c:pt>
                <c:pt idx="65">
                  <c:v>17.222000000000001</c:v>
                </c:pt>
                <c:pt idx="66">
                  <c:v>17.22</c:v>
                </c:pt>
                <c:pt idx="67">
                  <c:v>17.225000000000001</c:v>
                </c:pt>
                <c:pt idx="68">
                  <c:v>17.228000000000002</c:v>
                </c:pt>
                <c:pt idx="69">
                  <c:v>17.239000000000001</c:v>
                </c:pt>
                <c:pt idx="70">
                  <c:v>17.198</c:v>
                </c:pt>
                <c:pt idx="71">
                  <c:v>17.254999999999999</c:v>
                </c:pt>
                <c:pt idx="72">
                  <c:v>17.231000000000002</c:v>
                </c:pt>
                <c:pt idx="73">
                  <c:v>17.265999999999998</c:v>
                </c:pt>
                <c:pt idx="74">
                  <c:v>17.209</c:v>
                </c:pt>
                <c:pt idx="75">
                  <c:v>17.242999999999999</c:v>
                </c:pt>
                <c:pt idx="76">
                  <c:v>17.210999999999999</c:v>
                </c:pt>
                <c:pt idx="77">
                  <c:v>17.231999999999999</c:v>
                </c:pt>
                <c:pt idx="78">
                  <c:v>17.210999999999999</c:v>
                </c:pt>
                <c:pt idx="79">
                  <c:v>17.228000000000002</c:v>
                </c:pt>
                <c:pt idx="80">
                  <c:v>17.209</c:v>
                </c:pt>
                <c:pt idx="81">
                  <c:v>17.273</c:v>
                </c:pt>
                <c:pt idx="82">
                  <c:v>17.242999999999999</c:v>
                </c:pt>
                <c:pt idx="83">
                  <c:v>17.221</c:v>
                </c:pt>
                <c:pt idx="84">
                  <c:v>17.234000000000002</c:v>
                </c:pt>
                <c:pt idx="85">
                  <c:v>17.254000000000001</c:v>
                </c:pt>
                <c:pt idx="86">
                  <c:v>17.231000000000002</c:v>
                </c:pt>
                <c:pt idx="87">
                  <c:v>17.277999999999999</c:v>
                </c:pt>
                <c:pt idx="88">
                  <c:v>17.245000000000001</c:v>
                </c:pt>
                <c:pt idx="89">
                  <c:v>17.263999999999999</c:v>
                </c:pt>
                <c:pt idx="90">
                  <c:v>17.224</c:v>
                </c:pt>
                <c:pt idx="91">
                  <c:v>17.193000000000001</c:v>
                </c:pt>
                <c:pt idx="92">
                  <c:v>17.239999999999998</c:v>
                </c:pt>
                <c:pt idx="93">
                  <c:v>17.216999999999999</c:v>
                </c:pt>
                <c:pt idx="94">
                  <c:v>17.216000000000001</c:v>
                </c:pt>
                <c:pt idx="95">
                  <c:v>17.274000000000001</c:v>
                </c:pt>
                <c:pt idx="96">
                  <c:v>17.245000000000001</c:v>
                </c:pt>
                <c:pt idx="97">
                  <c:v>17.254000000000001</c:v>
                </c:pt>
                <c:pt idx="98">
                  <c:v>17.227</c:v>
                </c:pt>
                <c:pt idx="99">
                  <c:v>17.273</c:v>
                </c:pt>
                <c:pt idx="100">
                  <c:v>17.216000000000001</c:v>
                </c:pt>
                <c:pt idx="101">
                  <c:v>17.263999999999999</c:v>
                </c:pt>
                <c:pt idx="102">
                  <c:v>17.22</c:v>
                </c:pt>
                <c:pt idx="103">
                  <c:v>17.27</c:v>
                </c:pt>
                <c:pt idx="104">
                  <c:v>17.2</c:v>
                </c:pt>
                <c:pt idx="105">
                  <c:v>17.251999999999999</c:v>
                </c:pt>
                <c:pt idx="106">
                  <c:v>17.204999999999998</c:v>
                </c:pt>
                <c:pt idx="107">
                  <c:v>17.274999999999999</c:v>
                </c:pt>
                <c:pt idx="108">
                  <c:v>17.221</c:v>
                </c:pt>
                <c:pt idx="109">
                  <c:v>17.286999999999999</c:v>
                </c:pt>
                <c:pt idx="110">
                  <c:v>17.29</c:v>
                </c:pt>
                <c:pt idx="111">
                  <c:v>17.303999999999998</c:v>
                </c:pt>
                <c:pt idx="112">
                  <c:v>17.213000000000001</c:v>
                </c:pt>
                <c:pt idx="113">
                  <c:v>17.266999999999999</c:v>
                </c:pt>
                <c:pt idx="114">
                  <c:v>17.198</c:v>
                </c:pt>
                <c:pt idx="115">
                  <c:v>17.268000000000001</c:v>
                </c:pt>
                <c:pt idx="116">
                  <c:v>17.241</c:v>
                </c:pt>
                <c:pt idx="117">
                  <c:v>17.25</c:v>
                </c:pt>
                <c:pt idx="118">
                  <c:v>17.212</c:v>
                </c:pt>
                <c:pt idx="119">
                  <c:v>17.271000000000001</c:v>
                </c:pt>
                <c:pt idx="120">
                  <c:v>17.23</c:v>
                </c:pt>
                <c:pt idx="121">
                  <c:v>17.285</c:v>
                </c:pt>
                <c:pt idx="122">
                  <c:v>17.241</c:v>
                </c:pt>
                <c:pt idx="123">
                  <c:v>17.265999999999998</c:v>
                </c:pt>
                <c:pt idx="124">
                  <c:v>17.231999999999999</c:v>
                </c:pt>
                <c:pt idx="125">
                  <c:v>17.248000000000001</c:v>
                </c:pt>
                <c:pt idx="126">
                  <c:v>17.242000000000001</c:v>
                </c:pt>
                <c:pt idx="127">
                  <c:v>17.207999999999998</c:v>
                </c:pt>
                <c:pt idx="128">
                  <c:v>17.23</c:v>
                </c:pt>
                <c:pt idx="129">
                  <c:v>17.295999999999999</c:v>
                </c:pt>
                <c:pt idx="130">
                  <c:v>17.271999999999998</c:v>
                </c:pt>
                <c:pt idx="131">
                  <c:v>17.242999999999999</c:v>
                </c:pt>
                <c:pt idx="132">
                  <c:v>17.234999999999999</c:v>
                </c:pt>
                <c:pt idx="133">
                  <c:v>17.254000000000001</c:v>
                </c:pt>
                <c:pt idx="134">
                  <c:v>17.140999999999998</c:v>
                </c:pt>
                <c:pt idx="135">
                  <c:v>17.265999999999998</c:v>
                </c:pt>
                <c:pt idx="136">
                  <c:v>17.257999999999999</c:v>
                </c:pt>
                <c:pt idx="137">
                  <c:v>17.234999999999999</c:v>
                </c:pt>
                <c:pt idx="138">
                  <c:v>17.228000000000002</c:v>
                </c:pt>
                <c:pt idx="139">
                  <c:v>17.253</c:v>
                </c:pt>
                <c:pt idx="140">
                  <c:v>17.213999999999999</c:v>
                </c:pt>
                <c:pt idx="141">
                  <c:v>17.268999999999998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8A-43FE-9037-71C6114AB34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('AMP3-4'!$R$4,'AMP3-4'!$R$4)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8A-43FE-9037-71C6114AB34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('AMP3-4'!$R$5,'AMP3-4'!$R$5)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8A-43FE-9037-71C6114AB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63424"/>
        <c:axId val="460063816"/>
      </c:scatterChart>
      <c:valAx>
        <c:axId val="46006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3816"/>
        <c:crosses val="autoZero"/>
        <c:crossBetween val="midCat"/>
      </c:valAx>
      <c:valAx>
        <c:axId val="4600638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'AMP3-4'!$S$8</c:f>
              <c:strCache>
                <c:ptCount val="1"/>
                <c:pt idx="0">
                  <c:v>Dim 9_2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'AMP3-4'!$S$9:$S$150</c:f>
              <c:numCache>
                <c:formatCode>General</c:formatCode>
                <c:ptCount val="142"/>
                <c:pt idx="0">
                  <c:v>17.399000000000001</c:v>
                </c:pt>
                <c:pt idx="1">
                  <c:v>17.169</c:v>
                </c:pt>
                <c:pt idx="2">
                  <c:v>17.295000000000002</c:v>
                </c:pt>
                <c:pt idx="3">
                  <c:v>17.225000000000001</c:v>
                </c:pt>
                <c:pt idx="4">
                  <c:v>17.257999999999999</c:v>
                </c:pt>
                <c:pt idx="5">
                  <c:v>17.177</c:v>
                </c:pt>
                <c:pt idx="6">
                  <c:v>17.18</c:v>
                </c:pt>
                <c:pt idx="7">
                  <c:v>17.260000000000002</c:v>
                </c:pt>
                <c:pt idx="8">
                  <c:v>17.298999999999999</c:v>
                </c:pt>
                <c:pt idx="9">
                  <c:v>17.2</c:v>
                </c:pt>
                <c:pt idx="10">
                  <c:v>17.309000000000001</c:v>
                </c:pt>
                <c:pt idx="11">
                  <c:v>17.253</c:v>
                </c:pt>
                <c:pt idx="12">
                  <c:v>17.228999999999999</c:v>
                </c:pt>
                <c:pt idx="13">
                  <c:v>17.236000000000001</c:v>
                </c:pt>
                <c:pt idx="14">
                  <c:v>17.242000000000001</c:v>
                </c:pt>
                <c:pt idx="15">
                  <c:v>17.236999999999998</c:v>
                </c:pt>
                <c:pt idx="16">
                  <c:v>17.193999999999999</c:v>
                </c:pt>
                <c:pt idx="17">
                  <c:v>17.228999999999999</c:v>
                </c:pt>
                <c:pt idx="18">
                  <c:v>17.247</c:v>
                </c:pt>
                <c:pt idx="19">
                  <c:v>17.222999999999999</c:v>
                </c:pt>
                <c:pt idx="20">
                  <c:v>17.228000000000002</c:v>
                </c:pt>
                <c:pt idx="21">
                  <c:v>17.263000000000002</c:v>
                </c:pt>
                <c:pt idx="22">
                  <c:v>17.233000000000001</c:v>
                </c:pt>
                <c:pt idx="23">
                  <c:v>17.189</c:v>
                </c:pt>
                <c:pt idx="24">
                  <c:v>17.242000000000001</c:v>
                </c:pt>
                <c:pt idx="25">
                  <c:v>17.198</c:v>
                </c:pt>
                <c:pt idx="26">
                  <c:v>17.288</c:v>
                </c:pt>
                <c:pt idx="27">
                  <c:v>17.143000000000001</c:v>
                </c:pt>
                <c:pt idx="28">
                  <c:v>17.177</c:v>
                </c:pt>
                <c:pt idx="29">
                  <c:v>17.190000000000001</c:v>
                </c:pt>
                <c:pt idx="30">
                  <c:v>17.271999999999998</c:v>
                </c:pt>
                <c:pt idx="31">
                  <c:v>17.079999999999998</c:v>
                </c:pt>
                <c:pt idx="32">
                  <c:v>17.254999999999999</c:v>
                </c:pt>
                <c:pt idx="33">
                  <c:v>17.023</c:v>
                </c:pt>
                <c:pt idx="34">
                  <c:v>17.213000000000001</c:v>
                </c:pt>
                <c:pt idx="35">
                  <c:v>17.25</c:v>
                </c:pt>
                <c:pt idx="36">
                  <c:v>17.18</c:v>
                </c:pt>
                <c:pt idx="37">
                  <c:v>17.093</c:v>
                </c:pt>
                <c:pt idx="38">
                  <c:v>17.331</c:v>
                </c:pt>
                <c:pt idx="39">
                  <c:v>17.248999999999999</c:v>
                </c:pt>
                <c:pt idx="40">
                  <c:v>17.233000000000001</c:v>
                </c:pt>
                <c:pt idx="41">
                  <c:v>17.271000000000001</c:v>
                </c:pt>
                <c:pt idx="42">
                  <c:v>17.242000000000001</c:v>
                </c:pt>
                <c:pt idx="43">
                  <c:v>17.201000000000001</c:v>
                </c:pt>
                <c:pt idx="44">
                  <c:v>17.297999999999998</c:v>
                </c:pt>
                <c:pt idx="45">
                  <c:v>17.167999999999999</c:v>
                </c:pt>
                <c:pt idx="46">
                  <c:v>17.268000000000001</c:v>
                </c:pt>
                <c:pt idx="47">
                  <c:v>17.149999999999999</c:v>
                </c:pt>
                <c:pt idx="48">
                  <c:v>17.297999999999998</c:v>
                </c:pt>
                <c:pt idx="49">
                  <c:v>17.241</c:v>
                </c:pt>
                <c:pt idx="50">
                  <c:v>17.3</c:v>
                </c:pt>
                <c:pt idx="51">
                  <c:v>17.247</c:v>
                </c:pt>
                <c:pt idx="52">
                  <c:v>17.170000000000002</c:v>
                </c:pt>
                <c:pt idx="53">
                  <c:v>17.202000000000002</c:v>
                </c:pt>
                <c:pt idx="54">
                  <c:v>17.225000000000001</c:v>
                </c:pt>
                <c:pt idx="55">
                  <c:v>17.088999999999999</c:v>
                </c:pt>
                <c:pt idx="56">
                  <c:v>17.257999999999999</c:v>
                </c:pt>
                <c:pt idx="57">
                  <c:v>17.140999999999998</c:v>
                </c:pt>
                <c:pt idx="58">
                  <c:v>17.204999999999998</c:v>
                </c:pt>
                <c:pt idx="59">
                  <c:v>17.18</c:v>
                </c:pt>
                <c:pt idx="60">
                  <c:v>17.2</c:v>
                </c:pt>
                <c:pt idx="61">
                  <c:v>17.102</c:v>
                </c:pt>
                <c:pt idx="62">
                  <c:v>17.318999999999999</c:v>
                </c:pt>
                <c:pt idx="63">
                  <c:v>17.134</c:v>
                </c:pt>
                <c:pt idx="64">
                  <c:v>17.257000000000001</c:v>
                </c:pt>
                <c:pt idx="65">
                  <c:v>17.088999999999999</c:v>
                </c:pt>
                <c:pt idx="66">
                  <c:v>17.2</c:v>
                </c:pt>
                <c:pt idx="67">
                  <c:v>17.178999999999998</c:v>
                </c:pt>
                <c:pt idx="68">
                  <c:v>17.295000000000002</c:v>
                </c:pt>
                <c:pt idx="69">
                  <c:v>17.073</c:v>
                </c:pt>
                <c:pt idx="70">
                  <c:v>17.245000000000001</c:v>
                </c:pt>
                <c:pt idx="71">
                  <c:v>17.100000000000001</c:v>
                </c:pt>
                <c:pt idx="72">
                  <c:v>17.244</c:v>
                </c:pt>
                <c:pt idx="73">
                  <c:v>17.199000000000002</c:v>
                </c:pt>
                <c:pt idx="74">
                  <c:v>17.138000000000002</c:v>
                </c:pt>
                <c:pt idx="75">
                  <c:v>17.22</c:v>
                </c:pt>
                <c:pt idx="76">
                  <c:v>17.158000000000001</c:v>
                </c:pt>
                <c:pt idx="77">
                  <c:v>17.167000000000002</c:v>
                </c:pt>
                <c:pt idx="78">
                  <c:v>17.140999999999998</c:v>
                </c:pt>
                <c:pt idx="79">
                  <c:v>17.248000000000001</c:v>
                </c:pt>
                <c:pt idx="80">
                  <c:v>17.364999999999998</c:v>
                </c:pt>
                <c:pt idx="81">
                  <c:v>17.088999999999999</c:v>
                </c:pt>
                <c:pt idx="82">
                  <c:v>17.286999999999999</c:v>
                </c:pt>
                <c:pt idx="83">
                  <c:v>17.216000000000001</c:v>
                </c:pt>
                <c:pt idx="84">
                  <c:v>17.321000000000002</c:v>
                </c:pt>
                <c:pt idx="85">
                  <c:v>17.216999999999999</c:v>
                </c:pt>
                <c:pt idx="86">
                  <c:v>17.312999999999999</c:v>
                </c:pt>
                <c:pt idx="87">
                  <c:v>17.213999999999999</c:v>
                </c:pt>
                <c:pt idx="88">
                  <c:v>17.224</c:v>
                </c:pt>
                <c:pt idx="89">
                  <c:v>17.190000000000001</c:v>
                </c:pt>
                <c:pt idx="90">
                  <c:v>17.309999999999999</c:v>
                </c:pt>
                <c:pt idx="91">
                  <c:v>17.024999999999999</c:v>
                </c:pt>
                <c:pt idx="92">
                  <c:v>17.303999999999998</c:v>
                </c:pt>
                <c:pt idx="93">
                  <c:v>17.155999999999999</c:v>
                </c:pt>
                <c:pt idx="94">
                  <c:v>17.306999999999999</c:v>
                </c:pt>
                <c:pt idx="95">
                  <c:v>17.125</c:v>
                </c:pt>
                <c:pt idx="96">
                  <c:v>17.332999999999998</c:v>
                </c:pt>
                <c:pt idx="97">
                  <c:v>17.158000000000001</c:v>
                </c:pt>
                <c:pt idx="98">
                  <c:v>17.265999999999998</c:v>
                </c:pt>
                <c:pt idx="99">
                  <c:v>17.178000000000001</c:v>
                </c:pt>
                <c:pt idx="100">
                  <c:v>17.292999999999999</c:v>
                </c:pt>
                <c:pt idx="101">
                  <c:v>17.210999999999999</c:v>
                </c:pt>
                <c:pt idx="102">
                  <c:v>17.260000000000002</c:v>
                </c:pt>
                <c:pt idx="103">
                  <c:v>17.231000000000002</c:v>
                </c:pt>
                <c:pt idx="104">
                  <c:v>17.338000000000001</c:v>
                </c:pt>
                <c:pt idx="105">
                  <c:v>17.106999999999999</c:v>
                </c:pt>
                <c:pt idx="106">
                  <c:v>17.216999999999999</c:v>
                </c:pt>
                <c:pt idx="107">
                  <c:v>17.140999999999998</c:v>
                </c:pt>
                <c:pt idx="108">
                  <c:v>17.244</c:v>
                </c:pt>
                <c:pt idx="109">
                  <c:v>17.146999999999998</c:v>
                </c:pt>
                <c:pt idx="110">
                  <c:v>17.263999999999999</c:v>
                </c:pt>
                <c:pt idx="111">
                  <c:v>17.120999999999999</c:v>
                </c:pt>
                <c:pt idx="112">
                  <c:v>17.23</c:v>
                </c:pt>
                <c:pt idx="113">
                  <c:v>17.268000000000001</c:v>
                </c:pt>
                <c:pt idx="114">
                  <c:v>17.196000000000002</c:v>
                </c:pt>
                <c:pt idx="115">
                  <c:v>17.183</c:v>
                </c:pt>
                <c:pt idx="116">
                  <c:v>17.271999999999998</c:v>
                </c:pt>
                <c:pt idx="117">
                  <c:v>17.195</c:v>
                </c:pt>
                <c:pt idx="118">
                  <c:v>17.332999999999998</c:v>
                </c:pt>
                <c:pt idx="119">
                  <c:v>17.094999999999999</c:v>
                </c:pt>
                <c:pt idx="120">
                  <c:v>17.178999999999998</c:v>
                </c:pt>
                <c:pt idx="121">
                  <c:v>17.163</c:v>
                </c:pt>
                <c:pt idx="122">
                  <c:v>17.265000000000001</c:v>
                </c:pt>
                <c:pt idx="123">
                  <c:v>17.126000000000001</c:v>
                </c:pt>
                <c:pt idx="124">
                  <c:v>17.266999999999999</c:v>
                </c:pt>
                <c:pt idx="125">
                  <c:v>17.152000000000001</c:v>
                </c:pt>
                <c:pt idx="126">
                  <c:v>17.312999999999999</c:v>
                </c:pt>
                <c:pt idx="127">
                  <c:v>17.042000000000002</c:v>
                </c:pt>
                <c:pt idx="128">
                  <c:v>17.254000000000001</c:v>
                </c:pt>
                <c:pt idx="129">
                  <c:v>17.213999999999999</c:v>
                </c:pt>
                <c:pt idx="130">
                  <c:v>17.23</c:v>
                </c:pt>
                <c:pt idx="131">
                  <c:v>17.126999999999999</c:v>
                </c:pt>
                <c:pt idx="132">
                  <c:v>17.257000000000001</c:v>
                </c:pt>
                <c:pt idx="133">
                  <c:v>17.145</c:v>
                </c:pt>
                <c:pt idx="134">
                  <c:v>17.198</c:v>
                </c:pt>
                <c:pt idx="135">
                  <c:v>17.207000000000001</c:v>
                </c:pt>
                <c:pt idx="136">
                  <c:v>17.248000000000001</c:v>
                </c:pt>
                <c:pt idx="137">
                  <c:v>17.181999999999999</c:v>
                </c:pt>
                <c:pt idx="138">
                  <c:v>17.233000000000001</c:v>
                </c:pt>
                <c:pt idx="139">
                  <c:v>17.178000000000001</c:v>
                </c:pt>
                <c:pt idx="140">
                  <c:v>17.14</c:v>
                </c:pt>
                <c:pt idx="141">
                  <c:v>17.257999999999999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2-453F-9154-97661769547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('AMP3-4'!$S$4,'AMP3-4'!$S$4)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A2-453F-9154-97661769547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('AMP3-4'!$S$5,'AMP3-4'!$S$5)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A2-453F-9154-976617695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64600"/>
        <c:axId val="460064992"/>
      </c:scatterChart>
      <c:valAx>
        <c:axId val="46006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4992"/>
        <c:crosses val="autoZero"/>
        <c:crossBetween val="midCat"/>
      </c:valAx>
      <c:valAx>
        <c:axId val="4600649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'AMP3-4'!$T$9:$T$150</c:f>
              <c:numCache>
                <c:formatCode>General</c:formatCode>
                <c:ptCount val="142"/>
                <c:pt idx="0">
                  <c:v>33.289000000000001</c:v>
                </c:pt>
                <c:pt idx="1">
                  <c:v>36.347999999999999</c:v>
                </c:pt>
                <c:pt idx="2">
                  <c:v>33.585999999999999</c:v>
                </c:pt>
                <c:pt idx="3">
                  <c:v>37.167999999999999</c:v>
                </c:pt>
                <c:pt idx="4">
                  <c:v>33.284999999999997</c:v>
                </c:pt>
                <c:pt idx="5">
                  <c:v>36.893999999999998</c:v>
                </c:pt>
                <c:pt idx="6">
                  <c:v>33.764000000000003</c:v>
                </c:pt>
                <c:pt idx="7">
                  <c:v>35.921999999999997</c:v>
                </c:pt>
                <c:pt idx="8">
                  <c:v>33.713000000000001</c:v>
                </c:pt>
                <c:pt idx="9">
                  <c:v>37.051000000000002</c:v>
                </c:pt>
                <c:pt idx="10">
                  <c:v>33.746000000000002</c:v>
                </c:pt>
                <c:pt idx="11">
                  <c:v>37.366999999999997</c:v>
                </c:pt>
                <c:pt idx="12">
                  <c:v>34.130000000000003</c:v>
                </c:pt>
                <c:pt idx="13">
                  <c:v>37.146000000000001</c:v>
                </c:pt>
                <c:pt idx="14">
                  <c:v>33.978999999999999</c:v>
                </c:pt>
                <c:pt idx="15">
                  <c:v>37.094000000000001</c:v>
                </c:pt>
                <c:pt idx="16">
                  <c:v>33.805999999999997</c:v>
                </c:pt>
                <c:pt idx="17">
                  <c:v>36.811</c:v>
                </c:pt>
                <c:pt idx="18">
                  <c:v>34.027999999999999</c:v>
                </c:pt>
                <c:pt idx="19">
                  <c:v>36.478999999999999</c:v>
                </c:pt>
                <c:pt idx="20">
                  <c:v>33.878999999999998</c:v>
                </c:pt>
                <c:pt idx="21">
                  <c:v>37.064999999999998</c:v>
                </c:pt>
                <c:pt idx="22">
                  <c:v>34.006999999999998</c:v>
                </c:pt>
                <c:pt idx="23">
                  <c:v>36.271999999999998</c:v>
                </c:pt>
                <c:pt idx="24">
                  <c:v>33.811999999999998</c:v>
                </c:pt>
                <c:pt idx="25">
                  <c:v>37.972999999999999</c:v>
                </c:pt>
                <c:pt idx="26">
                  <c:v>33.731000000000002</c:v>
                </c:pt>
                <c:pt idx="27">
                  <c:v>37.734999999999999</c:v>
                </c:pt>
                <c:pt idx="28">
                  <c:v>33.963000000000001</c:v>
                </c:pt>
                <c:pt idx="29">
                  <c:v>37.856000000000002</c:v>
                </c:pt>
                <c:pt idx="30">
                  <c:v>33.853999999999999</c:v>
                </c:pt>
                <c:pt idx="31">
                  <c:v>37.076999999999998</c:v>
                </c:pt>
                <c:pt idx="32">
                  <c:v>33.965000000000003</c:v>
                </c:pt>
                <c:pt idx="33">
                  <c:v>34.82</c:v>
                </c:pt>
                <c:pt idx="34">
                  <c:v>33.783000000000001</c:v>
                </c:pt>
                <c:pt idx="35">
                  <c:v>37.08</c:v>
                </c:pt>
                <c:pt idx="36">
                  <c:v>33.668999999999997</c:v>
                </c:pt>
                <c:pt idx="37">
                  <c:v>35.049999999999997</c:v>
                </c:pt>
                <c:pt idx="38">
                  <c:v>34.042000000000002</c:v>
                </c:pt>
                <c:pt idx="39">
                  <c:v>36.738</c:v>
                </c:pt>
                <c:pt idx="40">
                  <c:v>33.918999999999997</c:v>
                </c:pt>
                <c:pt idx="41">
                  <c:v>37.246000000000002</c:v>
                </c:pt>
                <c:pt idx="42">
                  <c:v>33.767000000000003</c:v>
                </c:pt>
                <c:pt idx="43">
                  <c:v>36.276000000000003</c:v>
                </c:pt>
                <c:pt idx="44">
                  <c:v>33.686999999999998</c:v>
                </c:pt>
                <c:pt idx="45">
                  <c:v>37.752000000000002</c:v>
                </c:pt>
                <c:pt idx="46">
                  <c:v>33.625999999999998</c:v>
                </c:pt>
                <c:pt idx="47">
                  <c:v>36.698</c:v>
                </c:pt>
                <c:pt idx="48">
                  <c:v>33.817</c:v>
                </c:pt>
                <c:pt idx="49">
                  <c:v>37.393999999999998</c:v>
                </c:pt>
                <c:pt idx="50">
                  <c:v>33.499000000000002</c:v>
                </c:pt>
                <c:pt idx="51">
                  <c:v>37.853999999999999</c:v>
                </c:pt>
                <c:pt idx="52">
                  <c:v>33.652000000000001</c:v>
                </c:pt>
                <c:pt idx="53">
                  <c:v>34.633000000000003</c:v>
                </c:pt>
                <c:pt idx="54">
                  <c:v>33.540999999999997</c:v>
                </c:pt>
                <c:pt idx="55">
                  <c:v>37.54</c:v>
                </c:pt>
                <c:pt idx="56">
                  <c:v>33.826000000000001</c:v>
                </c:pt>
                <c:pt idx="57">
                  <c:v>36.729999999999997</c:v>
                </c:pt>
                <c:pt idx="58">
                  <c:v>33.649000000000001</c:v>
                </c:pt>
                <c:pt idx="59">
                  <c:v>37.798999999999999</c:v>
                </c:pt>
                <c:pt idx="60">
                  <c:v>33.515999999999998</c:v>
                </c:pt>
                <c:pt idx="61">
                  <c:v>37.143000000000001</c:v>
                </c:pt>
                <c:pt idx="62">
                  <c:v>34.405999999999999</c:v>
                </c:pt>
                <c:pt idx="63">
                  <c:v>37.801000000000002</c:v>
                </c:pt>
                <c:pt idx="64">
                  <c:v>33.594000000000001</c:v>
                </c:pt>
                <c:pt idx="65">
                  <c:v>36.734000000000002</c:v>
                </c:pt>
                <c:pt idx="66">
                  <c:v>33.591999999999999</c:v>
                </c:pt>
                <c:pt idx="67">
                  <c:v>36.709000000000003</c:v>
                </c:pt>
                <c:pt idx="68">
                  <c:v>37.334000000000003</c:v>
                </c:pt>
                <c:pt idx="69">
                  <c:v>33.494</c:v>
                </c:pt>
                <c:pt idx="70">
                  <c:v>33.472000000000001</c:v>
                </c:pt>
                <c:pt idx="71">
                  <c:v>37.76</c:v>
                </c:pt>
                <c:pt idx="72">
                  <c:v>33.682000000000002</c:v>
                </c:pt>
                <c:pt idx="73">
                  <c:v>36.966000000000001</c:v>
                </c:pt>
                <c:pt idx="74">
                  <c:v>33.558999999999997</c:v>
                </c:pt>
                <c:pt idx="75">
                  <c:v>38.015000000000001</c:v>
                </c:pt>
                <c:pt idx="76">
                  <c:v>33.610999999999997</c:v>
                </c:pt>
                <c:pt idx="77">
                  <c:v>37.204000000000001</c:v>
                </c:pt>
                <c:pt idx="78">
                  <c:v>33.472999999999999</c:v>
                </c:pt>
                <c:pt idx="79">
                  <c:v>39.03</c:v>
                </c:pt>
                <c:pt idx="80">
                  <c:v>33.537999999999997</c:v>
                </c:pt>
                <c:pt idx="81">
                  <c:v>37.072000000000003</c:v>
                </c:pt>
                <c:pt idx="82">
                  <c:v>33.874000000000002</c:v>
                </c:pt>
                <c:pt idx="83">
                  <c:v>38.423999999999999</c:v>
                </c:pt>
                <c:pt idx="84">
                  <c:v>33.860999999999997</c:v>
                </c:pt>
                <c:pt idx="85">
                  <c:v>36.841000000000001</c:v>
                </c:pt>
                <c:pt idx="86">
                  <c:v>33.741999999999997</c:v>
                </c:pt>
                <c:pt idx="87">
                  <c:v>37.241</c:v>
                </c:pt>
                <c:pt idx="88">
                  <c:v>33.784999999999997</c:v>
                </c:pt>
                <c:pt idx="89">
                  <c:v>36.234000000000002</c:v>
                </c:pt>
                <c:pt idx="90">
                  <c:v>33.680999999999997</c:v>
                </c:pt>
                <c:pt idx="91">
                  <c:v>38.417999999999999</c:v>
                </c:pt>
                <c:pt idx="92">
                  <c:v>33.664999999999999</c:v>
                </c:pt>
                <c:pt idx="93">
                  <c:v>40.119</c:v>
                </c:pt>
                <c:pt idx="94">
                  <c:v>33.643999999999998</c:v>
                </c:pt>
                <c:pt idx="95">
                  <c:v>37.627000000000002</c:v>
                </c:pt>
                <c:pt idx="96">
                  <c:v>33.36</c:v>
                </c:pt>
                <c:pt idx="97">
                  <c:v>39.072000000000003</c:v>
                </c:pt>
                <c:pt idx="98">
                  <c:v>33.631999999999998</c:v>
                </c:pt>
                <c:pt idx="99">
                  <c:v>37.014000000000003</c:v>
                </c:pt>
                <c:pt idx="100">
                  <c:v>33.79</c:v>
                </c:pt>
                <c:pt idx="101">
                  <c:v>37.009</c:v>
                </c:pt>
                <c:pt idx="102">
                  <c:v>33.728000000000002</c:v>
                </c:pt>
                <c:pt idx="103">
                  <c:v>37.200000000000003</c:v>
                </c:pt>
                <c:pt idx="104">
                  <c:v>33.972000000000001</c:v>
                </c:pt>
                <c:pt idx="105">
                  <c:v>36.156999999999996</c:v>
                </c:pt>
                <c:pt idx="106">
                  <c:v>33.634999999999998</c:v>
                </c:pt>
                <c:pt idx="107">
                  <c:v>37.463999999999999</c:v>
                </c:pt>
                <c:pt idx="108">
                  <c:v>33.363</c:v>
                </c:pt>
                <c:pt idx="109">
                  <c:v>37.61</c:v>
                </c:pt>
                <c:pt idx="110">
                  <c:v>33.582999999999998</c:v>
                </c:pt>
                <c:pt idx="111">
                  <c:v>40.47</c:v>
                </c:pt>
                <c:pt idx="112">
                  <c:v>33.838999999999999</c:v>
                </c:pt>
                <c:pt idx="113">
                  <c:v>40.463000000000001</c:v>
                </c:pt>
                <c:pt idx="114">
                  <c:v>33.542000000000002</c:v>
                </c:pt>
                <c:pt idx="115">
                  <c:v>37.151000000000003</c:v>
                </c:pt>
                <c:pt idx="116">
                  <c:v>34.299999999999997</c:v>
                </c:pt>
                <c:pt idx="117">
                  <c:v>36.134</c:v>
                </c:pt>
                <c:pt idx="118">
                  <c:v>33.628</c:v>
                </c:pt>
                <c:pt idx="119">
                  <c:v>37.28</c:v>
                </c:pt>
                <c:pt idx="120">
                  <c:v>33.656999999999996</c:v>
                </c:pt>
                <c:pt idx="121">
                  <c:v>36.703000000000003</c:v>
                </c:pt>
                <c:pt idx="122">
                  <c:v>33.700000000000003</c:v>
                </c:pt>
                <c:pt idx="123">
                  <c:v>36.390999999999998</c:v>
                </c:pt>
                <c:pt idx="124">
                  <c:v>34.204999999999998</c:v>
                </c:pt>
                <c:pt idx="125">
                  <c:v>37.619</c:v>
                </c:pt>
                <c:pt idx="126">
                  <c:v>33.76</c:v>
                </c:pt>
                <c:pt idx="127">
                  <c:v>38.576000000000001</c:v>
                </c:pt>
                <c:pt idx="128">
                  <c:v>33.875</c:v>
                </c:pt>
                <c:pt idx="129">
                  <c:v>37.402000000000001</c:v>
                </c:pt>
                <c:pt idx="130">
                  <c:v>33.713999999999999</c:v>
                </c:pt>
                <c:pt idx="131">
                  <c:v>39.106999999999999</c:v>
                </c:pt>
                <c:pt idx="132">
                  <c:v>33.627000000000002</c:v>
                </c:pt>
                <c:pt idx="133">
                  <c:v>36.447000000000003</c:v>
                </c:pt>
                <c:pt idx="134">
                  <c:v>33.587000000000003</c:v>
                </c:pt>
                <c:pt idx="135">
                  <c:v>37.734000000000002</c:v>
                </c:pt>
                <c:pt idx="136">
                  <c:v>33.753999999999998</c:v>
                </c:pt>
                <c:pt idx="137">
                  <c:v>36.884</c:v>
                </c:pt>
                <c:pt idx="138">
                  <c:v>33.594000000000001</c:v>
                </c:pt>
                <c:pt idx="139">
                  <c:v>36.112000000000002</c:v>
                </c:pt>
                <c:pt idx="140">
                  <c:v>33.901000000000003</c:v>
                </c:pt>
                <c:pt idx="141">
                  <c:v>38.485999999999997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D-46EF-9314-EE5730394F6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('AMP3-4'!$T$4,'AMP3-4'!$T$4)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4D-46EF-9314-EE5730394F6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('AMP3-4'!$T$5,'AMP3-4'!$T$5)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4D-46EF-9314-EE5730394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65776"/>
        <c:axId val="460066168"/>
      </c:scatterChart>
      <c:valAx>
        <c:axId val="46006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6168"/>
        <c:crosses val="autoZero"/>
        <c:crossBetween val="midCat"/>
      </c:valAx>
      <c:valAx>
        <c:axId val="4600661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'AMP3-4'!$U$9:$U$150</c:f>
              <c:numCache>
                <c:formatCode>General</c:formatCode>
                <c:ptCount val="142"/>
                <c:pt idx="0">
                  <c:v>34.088000000000001</c:v>
                </c:pt>
                <c:pt idx="1">
                  <c:v>36.895000000000003</c:v>
                </c:pt>
                <c:pt idx="2">
                  <c:v>34.149000000000001</c:v>
                </c:pt>
                <c:pt idx="3">
                  <c:v>37.08</c:v>
                </c:pt>
                <c:pt idx="4">
                  <c:v>33.984000000000002</c:v>
                </c:pt>
                <c:pt idx="5">
                  <c:v>38.558</c:v>
                </c:pt>
                <c:pt idx="6">
                  <c:v>34.222000000000001</c:v>
                </c:pt>
                <c:pt idx="7">
                  <c:v>36.625</c:v>
                </c:pt>
                <c:pt idx="8">
                  <c:v>34.404000000000003</c:v>
                </c:pt>
                <c:pt idx="9">
                  <c:v>37.392000000000003</c:v>
                </c:pt>
                <c:pt idx="10">
                  <c:v>34.064999999999998</c:v>
                </c:pt>
                <c:pt idx="11">
                  <c:v>38.259</c:v>
                </c:pt>
                <c:pt idx="12">
                  <c:v>34.603000000000002</c:v>
                </c:pt>
                <c:pt idx="13">
                  <c:v>38.14</c:v>
                </c:pt>
                <c:pt idx="14">
                  <c:v>34.302999999999997</c:v>
                </c:pt>
                <c:pt idx="15">
                  <c:v>38.375</c:v>
                </c:pt>
                <c:pt idx="16">
                  <c:v>34.408999999999999</c:v>
                </c:pt>
                <c:pt idx="17">
                  <c:v>37.899000000000001</c:v>
                </c:pt>
                <c:pt idx="18">
                  <c:v>34.439</c:v>
                </c:pt>
                <c:pt idx="19">
                  <c:v>36.606999999999999</c:v>
                </c:pt>
                <c:pt idx="20">
                  <c:v>34.415999999999997</c:v>
                </c:pt>
                <c:pt idx="21">
                  <c:v>38.225000000000001</c:v>
                </c:pt>
                <c:pt idx="22">
                  <c:v>33.892000000000003</c:v>
                </c:pt>
                <c:pt idx="23">
                  <c:v>37.396000000000001</c:v>
                </c:pt>
                <c:pt idx="24">
                  <c:v>34.253999999999998</c:v>
                </c:pt>
                <c:pt idx="25">
                  <c:v>38.893000000000001</c:v>
                </c:pt>
                <c:pt idx="26">
                  <c:v>34.154000000000003</c:v>
                </c:pt>
                <c:pt idx="27">
                  <c:v>38.83</c:v>
                </c:pt>
                <c:pt idx="28">
                  <c:v>34.454000000000001</c:v>
                </c:pt>
                <c:pt idx="29">
                  <c:v>37.991</c:v>
                </c:pt>
                <c:pt idx="30">
                  <c:v>34.295000000000002</c:v>
                </c:pt>
                <c:pt idx="31">
                  <c:v>37.606000000000002</c:v>
                </c:pt>
                <c:pt idx="32">
                  <c:v>34.331000000000003</c:v>
                </c:pt>
                <c:pt idx="33">
                  <c:v>38.093000000000004</c:v>
                </c:pt>
                <c:pt idx="34">
                  <c:v>34.122</c:v>
                </c:pt>
                <c:pt idx="35">
                  <c:v>37.210999999999999</c:v>
                </c:pt>
                <c:pt idx="36">
                  <c:v>34.19</c:v>
                </c:pt>
                <c:pt idx="37">
                  <c:v>36.100999999999999</c:v>
                </c:pt>
                <c:pt idx="38">
                  <c:v>34.215000000000003</c:v>
                </c:pt>
                <c:pt idx="39">
                  <c:v>37.707000000000001</c:v>
                </c:pt>
                <c:pt idx="40">
                  <c:v>34.164999999999999</c:v>
                </c:pt>
                <c:pt idx="41">
                  <c:v>38.085999999999999</c:v>
                </c:pt>
                <c:pt idx="42">
                  <c:v>34.186</c:v>
                </c:pt>
                <c:pt idx="43">
                  <c:v>37.518000000000001</c:v>
                </c:pt>
                <c:pt idx="44">
                  <c:v>34.098999999999997</c:v>
                </c:pt>
                <c:pt idx="45">
                  <c:v>38.567999999999998</c:v>
                </c:pt>
                <c:pt idx="46">
                  <c:v>34.061</c:v>
                </c:pt>
                <c:pt idx="47">
                  <c:v>36.558</c:v>
                </c:pt>
                <c:pt idx="48">
                  <c:v>34.115000000000002</c:v>
                </c:pt>
                <c:pt idx="49">
                  <c:v>38.276000000000003</c:v>
                </c:pt>
                <c:pt idx="50">
                  <c:v>34.021999999999998</c:v>
                </c:pt>
                <c:pt idx="51">
                  <c:v>38.259</c:v>
                </c:pt>
                <c:pt idx="52">
                  <c:v>34.012</c:v>
                </c:pt>
                <c:pt idx="53">
                  <c:v>36.625999999999998</c:v>
                </c:pt>
                <c:pt idx="54">
                  <c:v>34.006</c:v>
                </c:pt>
                <c:pt idx="55">
                  <c:v>37.777000000000001</c:v>
                </c:pt>
                <c:pt idx="56">
                  <c:v>34.127000000000002</c:v>
                </c:pt>
                <c:pt idx="57">
                  <c:v>37.896000000000001</c:v>
                </c:pt>
                <c:pt idx="58">
                  <c:v>34.018000000000001</c:v>
                </c:pt>
                <c:pt idx="59">
                  <c:v>38.643000000000001</c:v>
                </c:pt>
                <c:pt idx="60">
                  <c:v>34.015000000000001</c:v>
                </c:pt>
                <c:pt idx="61">
                  <c:v>37.387</c:v>
                </c:pt>
                <c:pt idx="62">
                  <c:v>33.100999999999999</c:v>
                </c:pt>
                <c:pt idx="63">
                  <c:v>39.006999999999998</c:v>
                </c:pt>
                <c:pt idx="64">
                  <c:v>33.917999999999999</c:v>
                </c:pt>
                <c:pt idx="65">
                  <c:v>37.634999999999998</c:v>
                </c:pt>
                <c:pt idx="66">
                  <c:v>34.026000000000003</c:v>
                </c:pt>
                <c:pt idx="67">
                  <c:v>38.515999999999998</c:v>
                </c:pt>
                <c:pt idx="68">
                  <c:v>38.161000000000001</c:v>
                </c:pt>
                <c:pt idx="69">
                  <c:v>34.158000000000001</c:v>
                </c:pt>
                <c:pt idx="70">
                  <c:v>33.872</c:v>
                </c:pt>
                <c:pt idx="71">
                  <c:v>38.094000000000001</c:v>
                </c:pt>
                <c:pt idx="72">
                  <c:v>34.371000000000002</c:v>
                </c:pt>
                <c:pt idx="73">
                  <c:v>37.613</c:v>
                </c:pt>
                <c:pt idx="74">
                  <c:v>34.1</c:v>
                </c:pt>
                <c:pt idx="75">
                  <c:v>39.643000000000001</c:v>
                </c:pt>
                <c:pt idx="76">
                  <c:v>34.067999999999998</c:v>
                </c:pt>
                <c:pt idx="77">
                  <c:v>38.064</c:v>
                </c:pt>
                <c:pt idx="78">
                  <c:v>34.134</c:v>
                </c:pt>
                <c:pt idx="79">
                  <c:v>39.884999999999998</c:v>
                </c:pt>
                <c:pt idx="80">
                  <c:v>33.826999999999998</c:v>
                </c:pt>
                <c:pt idx="81">
                  <c:v>37.609000000000002</c:v>
                </c:pt>
                <c:pt idx="82">
                  <c:v>33.790999999999997</c:v>
                </c:pt>
                <c:pt idx="83">
                  <c:v>38.643999999999998</c:v>
                </c:pt>
                <c:pt idx="84">
                  <c:v>34.124000000000002</c:v>
                </c:pt>
                <c:pt idx="85">
                  <c:v>37.741999999999997</c:v>
                </c:pt>
                <c:pt idx="86">
                  <c:v>34.212000000000003</c:v>
                </c:pt>
                <c:pt idx="87">
                  <c:v>38.466000000000001</c:v>
                </c:pt>
                <c:pt idx="88">
                  <c:v>33.881</c:v>
                </c:pt>
                <c:pt idx="89">
                  <c:v>37.125999999999998</c:v>
                </c:pt>
                <c:pt idx="90">
                  <c:v>33.899000000000001</c:v>
                </c:pt>
                <c:pt idx="91">
                  <c:v>39.084000000000003</c:v>
                </c:pt>
                <c:pt idx="92">
                  <c:v>34.219000000000001</c:v>
                </c:pt>
                <c:pt idx="93">
                  <c:v>40.872999999999998</c:v>
                </c:pt>
                <c:pt idx="94">
                  <c:v>33.94</c:v>
                </c:pt>
                <c:pt idx="95">
                  <c:v>38.895000000000003</c:v>
                </c:pt>
                <c:pt idx="96">
                  <c:v>33.868000000000002</c:v>
                </c:pt>
                <c:pt idx="97">
                  <c:v>39.313000000000002</c:v>
                </c:pt>
                <c:pt idx="98">
                  <c:v>34.052</c:v>
                </c:pt>
                <c:pt idx="99">
                  <c:v>38.186</c:v>
                </c:pt>
                <c:pt idx="100">
                  <c:v>34.171999999999997</c:v>
                </c:pt>
                <c:pt idx="101">
                  <c:v>39.012999999999998</c:v>
                </c:pt>
                <c:pt idx="102">
                  <c:v>34.113999999999997</c:v>
                </c:pt>
                <c:pt idx="103">
                  <c:v>39.25</c:v>
                </c:pt>
                <c:pt idx="104">
                  <c:v>33.779000000000003</c:v>
                </c:pt>
                <c:pt idx="105">
                  <c:v>37.286999999999999</c:v>
                </c:pt>
                <c:pt idx="106">
                  <c:v>34.103999999999999</c:v>
                </c:pt>
                <c:pt idx="107">
                  <c:v>36.956000000000003</c:v>
                </c:pt>
                <c:pt idx="108">
                  <c:v>34.22</c:v>
                </c:pt>
                <c:pt idx="109">
                  <c:v>37.856999999999999</c:v>
                </c:pt>
                <c:pt idx="110">
                  <c:v>34.338000000000001</c:v>
                </c:pt>
                <c:pt idx="111">
                  <c:v>39.140999999999998</c:v>
                </c:pt>
                <c:pt idx="112">
                  <c:v>34.33</c:v>
                </c:pt>
                <c:pt idx="113">
                  <c:v>40.881</c:v>
                </c:pt>
                <c:pt idx="114">
                  <c:v>34.25</c:v>
                </c:pt>
                <c:pt idx="115">
                  <c:v>39.140999999999998</c:v>
                </c:pt>
                <c:pt idx="116">
                  <c:v>34.488</c:v>
                </c:pt>
                <c:pt idx="117">
                  <c:v>37.106000000000002</c:v>
                </c:pt>
                <c:pt idx="118">
                  <c:v>33.79</c:v>
                </c:pt>
                <c:pt idx="119">
                  <c:v>37.938000000000002</c:v>
                </c:pt>
                <c:pt idx="120">
                  <c:v>34.030999999999999</c:v>
                </c:pt>
                <c:pt idx="121">
                  <c:v>38.405999999999999</c:v>
                </c:pt>
                <c:pt idx="122">
                  <c:v>34.334000000000003</c:v>
                </c:pt>
                <c:pt idx="123">
                  <c:v>37.787999999999997</c:v>
                </c:pt>
                <c:pt idx="124">
                  <c:v>33.69</c:v>
                </c:pt>
                <c:pt idx="125">
                  <c:v>38.756999999999998</c:v>
                </c:pt>
                <c:pt idx="126">
                  <c:v>34.026000000000003</c:v>
                </c:pt>
                <c:pt idx="127">
                  <c:v>39.796999999999997</c:v>
                </c:pt>
                <c:pt idx="128">
                  <c:v>33.975000000000001</c:v>
                </c:pt>
                <c:pt idx="129">
                  <c:v>37.673000000000002</c:v>
                </c:pt>
                <c:pt idx="130">
                  <c:v>34.280999999999999</c:v>
                </c:pt>
                <c:pt idx="131">
                  <c:v>39.637999999999998</c:v>
                </c:pt>
                <c:pt idx="132">
                  <c:v>33.912999999999997</c:v>
                </c:pt>
                <c:pt idx="133">
                  <c:v>39.924999999999997</c:v>
                </c:pt>
                <c:pt idx="134">
                  <c:v>34.030999999999999</c:v>
                </c:pt>
                <c:pt idx="135">
                  <c:v>39.735999999999997</c:v>
                </c:pt>
                <c:pt idx="136">
                  <c:v>33.762999999999998</c:v>
                </c:pt>
                <c:pt idx="137">
                  <c:v>37.457000000000001</c:v>
                </c:pt>
                <c:pt idx="138">
                  <c:v>33.954999999999998</c:v>
                </c:pt>
                <c:pt idx="139">
                  <c:v>38.134999999999998</c:v>
                </c:pt>
                <c:pt idx="140">
                  <c:v>34.481000000000002</c:v>
                </c:pt>
                <c:pt idx="141">
                  <c:v>39.396999999999998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A-4F1E-80D7-6D381D7F3AA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('AMP3-4'!$U$4,'AMP3-4'!$U$4)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A-4F1E-80D7-6D381D7F3AA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('AMP3-4'!$U$5,'AMP3-4'!$U$5)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6A-4F1E-80D7-6D381D7F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66952"/>
        <c:axId val="460067344"/>
      </c:scatterChart>
      <c:valAx>
        <c:axId val="460066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7344"/>
        <c:crosses val="autoZero"/>
        <c:crossBetween val="midCat"/>
      </c:valAx>
      <c:valAx>
        <c:axId val="4600673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6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'AMP3-4'!$AB$8</c:f>
              <c:strCache>
                <c:ptCount val="1"/>
                <c:pt idx="0">
                  <c:v>T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'AMP3-4'!$AB$9:$AB$150</c:f>
              <c:numCache>
                <c:formatCode>General</c:formatCode>
                <c:ptCount val="142"/>
                <c:pt idx="0">
                  <c:v>4.2000000000000003E-2</c:v>
                </c:pt>
                <c:pt idx="1">
                  <c:v>0.185</c:v>
                </c:pt>
                <c:pt idx="2">
                  <c:v>0.129</c:v>
                </c:pt>
                <c:pt idx="3">
                  <c:v>0.27200000000000002</c:v>
                </c:pt>
                <c:pt idx="4">
                  <c:v>2.1999999999999999E-2</c:v>
                </c:pt>
                <c:pt idx="5">
                  <c:v>0.314</c:v>
                </c:pt>
                <c:pt idx="6">
                  <c:v>3.5999999999999997E-2</c:v>
                </c:pt>
                <c:pt idx="7">
                  <c:v>0.32500000000000001</c:v>
                </c:pt>
                <c:pt idx="8">
                  <c:v>7.2999999999999995E-2</c:v>
                </c:pt>
                <c:pt idx="9">
                  <c:v>0.26</c:v>
                </c:pt>
                <c:pt idx="10">
                  <c:v>0.14799999999999999</c:v>
                </c:pt>
                <c:pt idx="11">
                  <c:v>0.25800000000000001</c:v>
                </c:pt>
                <c:pt idx="12">
                  <c:v>0.109</c:v>
                </c:pt>
                <c:pt idx="13">
                  <c:v>0.28399999999999997</c:v>
                </c:pt>
                <c:pt idx="14">
                  <c:v>0.108</c:v>
                </c:pt>
                <c:pt idx="15">
                  <c:v>0.246</c:v>
                </c:pt>
                <c:pt idx="16">
                  <c:v>5.7000000000000002E-2</c:v>
                </c:pt>
                <c:pt idx="17">
                  <c:v>0.186</c:v>
                </c:pt>
                <c:pt idx="18">
                  <c:v>6.8000000000000005E-2</c:v>
                </c:pt>
                <c:pt idx="19">
                  <c:v>0.28799999999999998</c:v>
                </c:pt>
                <c:pt idx="20">
                  <c:v>9.4E-2</c:v>
                </c:pt>
                <c:pt idx="21">
                  <c:v>0.28599999999999998</c:v>
                </c:pt>
                <c:pt idx="22">
                  <c:v>5.0999999999999997E-2</c:v>
                </c:pt>
                <c:pt idx="23">
                  <c:v>0.17899999999999999</c:v>
                </c:pt>
                <c:pt idx="24">
                  <c:v>2.5999999999999999E-2</c:v>
                </c:pt>
                <c:pt idx="25">
                  <c:v>0.19800000000000001</c:v>
                </c:pt>
                <c:pt idx="26">
                  <c:v>1.2E-2</c:v>
                </c:pt>
                <c:pt idx="27">
                  <c:v>0.17</c:v>
                </c:pt>
                <c:pt idx="28">
                  <c:v>-2.4E-2</c:v>
                </c:pt>
                <c:pt idx="29">
                  <c:v>0.20200000000000001</c:v>
                </c:pt>
                <c:pt idx="30">
                  <c:v>3.2000000000000001E-2</c:v>
                </c:pt>
                <c:pt idx="31">
                  <c:v>0.123</c:v>
                </c:pt>
                <c:pt idx="32">
                  <c:v>-7.4999999999999997E-2</c:v>
                </c:pt>
                <c:pt idx="33">
                  <c:v>0.115</c:v>
                </c:pt>
                <c:pt idx="34">
                  <c:v>-5.0999999999999997E-2</c:v>
                </c:pt>
                <c:pt idx="35">
                  <c:v>7.6999999999999999E-2</c:v>
                </c:pt>
                <c:pt idx="36">
                  <c:v>-8.2000000000000003E-2</c:v>
                </c:pt>
                <c:pt idx="37">
                  <c:v>4.8000000000000001E-2</c:v>
                </c:pt>
                <c:pt idx="38">
                  <c:v>0.2</c:v>
                </c:pt>
                <c:pt idx="39">
                  <c:v>0.27100000000000002</c:v>
                </c:pt>
                <c:pt idx="40">
                  <c:v>8.5999999999999993E-2</c:v>
                </c:pt>
                <c:pt idx="41">
                  <c:v>0.253</c:v>
                </c:pt>
                <c:pt idx="42">
                  <c:v>9.0999999999999998E-2</c:v>
                </c:pt>
                <c:pt idx="43">
                  <c:v>0.16600000000000001</c:v>
                </c:pt>
                <c:pt idx="44">
                  <c:v>7.4999999999999997E-2</c:v>
                </c:pt>
                <c:pt idx="45">
                  <c:v>0.155</c:v>
                </c:pt>
                <c:pt idx="46">
                  <c:v>7.0999999999999994E-2</c:v>
                </c:pt>
                <c:pt idx="47">
                  <c:v>0.123</c:v>
                </c:pt>
                <c:pt idx="48">
                  <c:v>0.19400000000000001</c:v>
                </c:pt>
                <c:pt idx="49">
                  <c:v>0.13300000000000001</c:v>
                </c:pt>
                <c:pt idx="50">
                  <c:v>7.0000000000000007E-2</c:v>
                </c:pt>
                <c:pt idx="51">
                  <c:v>0.123</c:v>
                </c:pt>
                <c:pt idx="52">
                  <c:v>4.7E-2</c:v>
                </c:pt>
                <c:pt idx="53">
                  <c:v>0.13100000000000001</c:v>
                </c:pt>
                <c:pt idx="54">
                  <c:v>5.7000000000000002E-2</c:v>
                </c:pt>
                <c:pt idx="55">
                  <c:v>8.4000000000000005E-2</c:v>
                </c:pt>
                <c:pt idx="56">
                  <c:v>0.10100000000000001</c:v>
                </c:pt>
                <c:pt idx="57">
                  <c:v>0.19500000000000001</c:v>
                </c:pt>
                <c:pt idx="58">
                  <c:v>1.2999999999999999E-2</c:v>
                </c:pt>
                <c:pt idx="59">
                  <c:v>0.16500000000000001</c:v>
                </c:pt>
                <c:pt idx="60">
                  <c:v>-4.7E-2</c:v>
                </c:pt>
                <c:pt idx="61">
                  <c:v>0.08</c:v>
                </c:pt>
                <c:pt idx="62">
                  <c:v>7.1999999999999995E-2</c:v>
                </c:pt>
                <c:pt idx="63">
                  <c:v>0.104</c:v>
                </c:pt>
                <c:pt idx="64">
                  <c:v>-5.8000000000000003E-2</c:v>
                </c:pt>
                <c:pt idx="65">
                  <c:v>8.3000000000000004E-2</c:v>
                </c:pt>
                <c:pt idx="66">
                  <c:v>-0.13600000000000001</c:v>
                </c:pt>
                <c:pt idx="67">
                  <c:v>5.1999999999999998E-2</c:v>
                </c:pt>
                <c:pt idx="68">
                  <c:v>6.6000000000000003E-2</c:v>
                </c:pt>
                <c:pt idx="69">
                  <c:v>4.0000000000000001E-3</c:v>
                </c:pt>
                <c:pt idx="70">
                  <c:v>5.2999999999999999E-2</c:v>
                </c:pt>
                <c:pt idx="71">
                  <c:v>0.14399999999999999</c:v>
                </c:pt>
                <c:pt idx="72">
                  <c:v>-0.10299999999999999</c:v>
                </c:pt>
                <c:pt idx="73">
                  <c:v>0.10299999999999999</c:v>
                </c:pt>
                <c:pt idx="74">
                  <c:v>-5.7000000000000002E-2</c:v>
                </c:pt>
                <c:pt idx="75">
                  <c:v>8.2000000000000003E-2</c:v>
                </c:pt>
                <c:pt idx="76">
                  <c:v>2.9000000000000001E-2</c:v>
                </c:pt>
                <c:pt idx="77">
                  <c:v>0.14399999999999999</c:v>
                </c:pt>
                <c:pt idx="78">
                  <c:v>-7.8E-2</c:v>
                </c:pt>
                <c:pt idx="79">
                  <c:v>3.2000000000000001E-2</c:v>
                </c:pt>
                <c:pt idx="80">
                  <c:v>1E-3</c:v>
                </c:pt>
                <c:pt idx="81">
                  <c:v>6.8000000000000005E-2</c:v>
                </c:pt>
                <c:pt idx="82">
                  <c:v>0.183</c:v>
                </c:pt>
                <c:pt idx="83">
                  <c:v>8.8999999999999996E-2</c:v>
                </c:pt>
                <c:pt idx="84">
                  <c:v>0.129</c:v>
                </c:pt>
                <c:pt idx="85">
                  <c:v>0.23</c:v>
                </c:pt>
                <c:pt idx="86">
                  <c:v>5.5E-2</c:v>
                </c:pt>
                <c:pt idx="87">
                  <c:v>0.17299999999999999</c:v>
                </c:pt>
                <c:pt idx="88">
                  <c:v>0.105</c:v>
                </c:pt>
                <c:pt idx="89">
                  <c:v>0.104</c:v>
                </c:pt>
                <c:pt idx="90">
                  <c:v>3.7999999999999999E-2</c:v>
                </c:pt>
                <c:pt idx="91">
                  <c:v>0.13700000000000001</c:v>
                </c:pt>
                <c:pt idx="92">
                  <c:v>-3.9E-2</c:v>
                </c:pt>
                <c:pt idx="93">
                  <c:v>9.7000000000000003E-2</c:v>
                </c:pt>
                <c:pt idx="94">
                  <c:v>3.3000000000000002E-2</c:v>
                </c:pt>
                <c:pt idx="95">
                  <c:v>7.8E-2</c:v>
                </c:pt>
                <c:pt idx="96">
                  <c:v>0.11700000000000001</c:v>
                </c:pt>
                <c:pt idx="97">
                  <c:v>0.152</c:v>
                </c:pt>
                <c:pt idx="98">
                  <c:v>0</c:v>
                </c:pt>
                <c:pt idx="99">
                  <c:v>8.8999999999999996E-2</c:v>
                </c:pt>
                <c:pt idx="100">
                  <c:v>-7.0000000000000001E-3</c:v>
                </c:pt>
                <c:pt idx="101">
                  <c:v>0.13200000000000001</c:v>
                </c:pt>
                <c:pt idx="102">
                  <c:v>-1.0999999999999999E-2</c:v>
                </c:pt>
                <c:pt idx="103">
                  <c:v>9.4E-2</c:v>
                </c:pt>
                <c:pt idx="104">
                  <c:v>1E-3</c:v>
                </c:pt>
                <c:pt idx="105">
                  <c:v>0.17499999999999999</c:v>
                </c:pt>
                <c:pt idx="106">
                  <c:v>1.4E-2</c:v>
                </c:pt>
                <c:pt idx="107">
                  <c:v>7.8E-2</c:v>
                </c:pt>
                <c:pt idx="108">
                  <c:v>-1E-3</c:v>
                </c:pt>
                <c:pt idx="109">
                  <c:v>0.08</c:v>
                </c:pt>
                <c:pt idx="110">
                  <c:v>-0.50900000000000001</c:v>
                </c:pt>
                <c:pt idx="111">
                  <c:v>0.10100000000000001</c:v>
                </c:pt>
                <c:pt idx="112">
                  <c:v>-0.04</c:v>
                </c:pt>
                <c:pt idx="113">
                  <c:v>0.11799999999999999</c:v>
                </c:pt>
                <c:pt idx="114">
                  <c:v>-0.13700000000000001</c:v>
                </c:pt>
                <c:pt idx="115">
                  <c:v>0.04</c:v>
                </c:pt>
                <c:pt idx="116">
                  <c:v>-6.3E-2</c:v>
                </c:pt>
                <c:pt idx="117">
                  <c:v>-0.17599999999999999</c:v>
                </c:pt>
                <c:pt idx="118">
                  <c:v>-1.4E-2</c:v>
                </c:pt>
                <c:pt idx="119">
                  <c:v>-0.06</c:v>
                </c:pt>
                <c:pt idx="120">
                  <c:v>-0.191</c:v>
                </c:pt>
                <c:pt idx="121">
                  <c:v>-6.5000000000000002E-2</c:v>
                </c:pt>
                <c:pt idx="122">
                  <c:v>-7.0999999999999994E-2</c:v>
                </c:pt>
                <c:pt idx="123">
                  <c:v>6.2E-2</c:v>
                </c:pt>
                <c:pt idx="124">
                  <c:v>-7.4999999999999997E-2</c:v>
                </c:pt>
                <c:pt idx="125">
                  <c:v>0.03</c:v>
                </c:pt>
                <c:pt idx="126">
                  <c:v>0.115</c:v>
                </c:pt>
                <c:pt idx="127">
                  <c:v>0.23</c:v>
                </c:pt>
                <c:pt idx="128">
                  <c:v>0.107</c:v>
                </c:pt>
                <c:pt idx="129">
                  <c:v>0.14399999999999999</c:v>
                </c:pt>
                <c:pt idx="130">
                  <c:v>-3.3000000000000002E-2</c:v>
                </c:pt>
                <c:pt idx="131">
                  <c:v>0.127</c:v>
                </c:pt>
                <c:pt idx="132">
                  <c:v>3.9E-2</c:v>
                </c:pt>
                <c:pt idx="133">
                  <c:v>0.16800000000000001</c:v>
                </c:pt>
                <c:pt idx="134">
                  <c:v>0.107</c:v>
                </c:pt>
                <c:pt idx="135">
                  <c:v>0.126</c:v>
                </c:pt>
                <c:pt idx="136">
                  <c:v>-6.2E-2</c:v>
                </c:pt>
                <c:pt idx="137">
                  <c:v>4.2999999999999997E-2</c:v>
                </c:pt>
                <c:pt idx="138">
                  <c:v>4.1000000000000002E-2</c:v>
                </c:pt>
                <c:pt idx="139">
                  <c:v>0.15</c:v>
                </c:pt>
                <c:pt idx="140">
                  <c:v>1.7999999999999999E-2</c:v>
                </c:pt>
                <c:pt idx="141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4-4A70-8E38-31AC96644E7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('AMP3-4'!$AB$4,'AMP3-4'!$AB$4)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4-4A70-8E38-31AC96644E7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('AMP3-4'!$AB$5,'AMP3-4'!$AB$5)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64-4A70-8E38-31AC96644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68128"/>
        <c:axId val="460068520"/>
      </c:scatterChart>
      <c:valAx>
        <c:axId val="46006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8520"/>
        <c:crosses val="autoZero"/>
        <c:crossBetween val="midCat"/>
      </c:valAx>
      <c:valAx>
        <c:axId val="460068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8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'AMP3-4'!$AC$8</c:f>
              <c:strCache>
                <c:ptCount val="1"/>
                <c:pt idx="0">
                  <c:v>T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'AMP3-4'!$AC$9:$AC$150</c:f>
              <c:numCache>
                <c:formatCode>General</c:formatCode>
                <c:ptCount val="142"/>
                <c:pt idx="0">
                  <c:v>8.4000000000000005E-2</c:v>
                </c:pt>
                <c:pt idx="1">
                  <c:v>-0.10299999999999999</c:v>
                </c:pt>
                <c:pt idx="2">
                  <c:v>0.16</c:v>
                </c:pt>
                <c:pt idx="3">
                  <c:v>-4.7E-2</c:v>
                </c:pt>
                <c:pt idx="4">
                  <c:v>4.2999999999999997E-2</c:v>
                </c:pt>
                <c:pt idx="5">
                  <c:v>-7.0000000000000001E-3</c:v>
                </c:pt>
                <c:pt idx="6">
                  <c:v>5.7000000000000002E-2</c:v>
                </c:pt>
                <c:pt idx="7">
                  <c:v>1.0999999999999999E-2</c:v>
                </c:pt>
                <c:pt idx="8">
                  <c:v>0.09</c:v>
                </c:pt>
                <c:pt idx="9">
                  <c:v>-5.1999999999999998E-2</c:v>
                </c:pt>
                <c:pt idx="10">
                  <c:v>0.183</c:v>
                </c:pt>
                <c:pt idx="11">
                  <c:v>-4.8000000000000001E-2</c:v>
                </c:pt>
                <c:pt idx="12">
                  <c:v>0.14599999999999999</c:v>
                </c:pt>
                <c:pt idx="13">
                  <c:v>-0.14299999999999999</c:v>
                </c:pt>
                <c:pt idx="14">
                  <c:v>0.16500000000000001</c:v>
                </c:pt>
                <c:pt idx="15">
                  <c:v>-0.16600000000000001</c:v>
                </c:pt>
                <c:pt idx="16">
                  <c:v>0.10100000000000001</c:v>
                </c:pt>
                <c:pt idx="17">
                  <c:v>-0.20200000000000001</c:v>
                </c:pt>
                <c:pt idx="18">
                  <c:v>0.105</c:v>
                </c:pt>
                <c:pt idx="19">
                  <c:v>-0.114</c:v>
                </c:pt>
                <c:pt idx="20">
                  <c:v>0.151</c:v>
                </c:pt>
                <c:pt idx="21">
                  <c:v>-0.126</c:v>
                </c:pt>
                <c:pt idx="22">
                  <c:v>9.0999999999999998E-2</c:v>
                </c:pt>
                <c:pt idx="23">
                  <c:v>-0.215</c:v>
                </c:pt>
                <c:pt idx="24">
                  <c:v>6.0999999999999999E-2</c:v>
                </c:pt>
                <c:pt idx="25">
                  <c:v>-0.184</c:v>
                </c:pt>
                <c:pt idx="26">
                  <c:v>7.2999999999999995E-2</c:v>
                </c:pt>
                <c:pt idx="27">
                  <c:v>-0.215</c:v>
                </c:pt>
                <c:pt idx="28">
                  <c:v>3.4000000000000002E-2</c:v>
                </c:pt>
                <c:pt idx="29">
                  <c:v>-0.19500000000000001</c:v>
                </c:pt>
                <c:pt idx="30">
                  <c:v>8.5000000000000006E-2</c:v>
                </c:pt>
                <c:pt idx="31">
                  <c:v>-0.27100000000000002</c:v>
                </c:pt>
                <c:pt idx="32">
                  <c:v>-2.1999999999999999E-2</c:v>
                </c:pt>
                <c:pt idx="33">
                  <c:v>-0.27500000000000002</c:v>
                </c:pt>
                <c:pt idx="34">
                  <c:v>-6.0000000000000001E-3</c:v>
                </c:pt>
                <c:pt idx="35">
                  <c:v>-0.29899999999999999</c:v>
                </c:pt>
                <c:pt idx="36">
                  <c:v>-3.1E-2</c:v>
                </c:pt>
                <c:pt idx="37">
                  <c:v>-0.33300000000000002</c:v>
                </c:pt>
                <c:pt idx="38">
                  <c:v>0.23</c:v>
                </c:pt>
                <c:pt idx="39">
                  <c:v>-0.04</c:v>
                </c:pt>
                <c:pt idx="40">
                  <c:v>0.11899999999999999</c:v>
                </c:pt>
                <c:pt idx="41">
                  <c:v>-4.9000000000000002E-2</c:v>
                </c:pt>
                <c:pt idx="42">
                  <c:v>0.13400000000000001</c:v>
                </c:pt>
                <c:pt idx="43">
                  <c:v>-0.13200000000000001</c:v>
                </c:pt>
                <c:pt idx="44">
                  <c:v>0.11700000000000001</c:v>
                </c:pt>
                <c:pt idx="45">
                  <c:v>-0.14899999999999999</c:v>
                </c:pt>
                <c:pt idx="46">
                  <c:v>0.10299999999999999</c:v>
                </c:pt>
                <c:pt idx="47">
                  <c:v>-0.17199999999999999</c:v>
                </c:pt>
                <c:pt idx="48">
                  <c:v>0.22800000000000001</c:v>
                </c:pt>
                <c:pt idx="49">
                  <c:v>-0.17100000000000001</c:v>
                </c:pt>
                <c:pt idx="50">
                  <c:v>0.105</c:v>
                </c:pt>
                <c:pt idx="51">
                  <c:v>-0.17399999999999999</c:v>
                </c:pt>
                <c:pt idx="52">
                  <c:v>7.8E-2</c:v>
                </c:pt>
                <c:pt idx="53">
                  <c:v>-0.16200000000000001</c:v>
                </c:pt>
                <c:pt idx="54">
                  <c:v>0.10100000000000001</c:v>
                </c:pt>
                <c:pt idx="55">
                  <c:v>-0.217</c:v>
                </c:pt>
                <c:pt idx="56">
                  <c:v>0.11899999999999999</c:v>
                </c:pt>
                <c:pt idx="57">
                  <c:v>-0.125</c:v>
                </c:pt>
                <c:pt idx="58">
                  <c:v>6.3E-2</c:v>
                </c:pt>
                <c:pt idx="59">
                  <c:v>-0.13400000000000001</c:v>
                </c:pt>
                <c:pt idx="60">
                  <c:v>-8.0000000000000002E-3</c:v>
                </c:pt>
                <c:pt idx="61">
                  <c:v>-0.214</c:v>
                </c:pt>
                <c:pt idx="62">
                  <c:v>0.114</c:v>
                </c:pt>
                <c:pt idx="63">
                  <c:v>-0.185</c:v>
                </c:pt>
                <c:pt idx="64">
                  <c:v>-1.6E-2</c:v>
                </c:pt>
                <c:pt idx="65">
                  <c:v>-0.20499999999999999</c:v>
                </c:pt>
                <c:pt idx="66">
                  <c:v>-9.5000000000000001E-2</c:v>
                </c:pt>
                <c:pt idx="67">
                  <c:v>-0.252</c:v>
                </c:pt>
                <c:pt idx="68">
                  <c:v>-0.223</c:v>
                </c:pt>
                <c:pt idx="69">
                  <c:v>4.2000000000000003E-2</c:v>
                </c:pt>
                <c:pt idx="70">
                  <c:v>9.1999999999999998E-2</c:v>
                </c:pt>
                <c:pt idx="71">
                  <c:v>-0.16</c:v>
                </c:pt>
                <c:pt idx="72">
                  <c:v>-6.3E-2</c:v>
                </c:pt>
                <c:pt idx="73">
                  <c:v>-0.187</c:v>
                </c:pt>
                <c:pt idx="74">
                  <c:v>-6.0000000000000001E-3</c:v>
                </c:pt>
                <c:pt idx="75">
                  <c:v>-0.23100000000000001</c:v>
                </c:pt>
                <c:pt idx="76">
                  <c:v>7.5999999999999998E-2</c:v>
                </c:pt>
                <c:pt idx="77">
                  <c:v>-0.16300000000000001</c:v>
                </c:pt>
                <c:pt idx="78">
                  <c:v>-6.5000000000000002E-2</c:v>
                </c:pt>
                <c:pt idx="79">
                  <c:v>-0.25800000000000001</c:v>
                </c:pt>
                <c:pt idx="80">
                  <c:v>3.5999999999999997E-2</c:v>
                </c:pt>
                <c:pt idx="81">
                  <c:v>-0.23</c:v>
                </c:pt>
                <c:pt idx="82">
                  <c:v>0.20899999999999999</c:v>
                </c:pt>
                <c:pt idx="83">
                  <c:v>-0.221</c:v>
                </c:pt>
                <c:pt idx="84">
                  <c:v>0.159</c:v>
                </c:pt>
                <c:pt idx="85">
                  <c:v>-0.10199999999999999</c:v>
                </c:pt>
                <c:pt idx="86">
                  <c:v>0.08</c:v>
                </c:pt>
                <c:pt idx="87">
                  <c:v>-0.16400000000000001</c:v>
                </c:pt>
                <c:pt idx="88">
                  <c:v>0.126</c:v>
                </c:pt>
                <c:pt idx="89">
                  <c:v>-0.215</c:v>
                </c:pt>
                <c:pt idx="90">
                  <c:v>7.0000000000000007E-2</c:v>
                </c:pt>
                <c:pt idx="91">
                  <c:v>-0.184</c:v>
                </c:pt>
                <c:pt idx="92">
                  <c:v>6.0000000000000001E-3</c:v>
                </c:pt>
                <c:pt idx="93">
                  <c:v>-0.23</c:v>
                </c:pt>
                <c:pt idx="94">
                  <c:v>5.7000000000000002E-2</c:v>
                </c:pt>
                <c:pt idx="95">
                  <c:v>-0.23499999999999999</c:v>
                </c:pt>
                <c:pt idx="96">
                  <c:v>0.15</c:v>
                </c:pt>
                <c:pt idx="97">
                  <c:v>-0.158</c:v>
                </c:pt>
                <c:pt idx="98">
                  <c:v>4.9000000000000002E-2</c:v>
                </c:pt>
                <c:pt idx="99">
                  <c:v>-0.23300000000000001</c:v>
                </c:pt>
                <c:pt idx="100">
                  <c:v>3.4000000000000002E-2</c:v>
                </c:pt>
                <c:pt idx="101">
                  <c:v>-0.17899999999999999</c:v>
                </c:pt>
                <c:pt idx="102">
                  <c:v>3.6999999999999998E-2</c:v>
                </c:pt>
                <c:pt idx="103">
                  <c:v>-0.20699999999999999</c:v>
                </c:pt>
                <c:pt idx="104">
                  <c:v>4.8000000000000001E-2</c:v>
                </c:pt>
                <c:pt idx="105">
                  <c:v>-0.129</c:v>
                </c:pt>
                <c:pt idx="106">
                  <c:v>4.9000000000000002E-2</c:v>
                </c:pt>
                <c:pt idx="107">
                  <c:v>-0.22600000000000001</c:v>
                </c:pt>
                <c:pt idx="108">
                  <c:v>4.7E-2</c:v>
                </c:pt>
                <c:pt idx="109">
                  <c:v>-0.21</c:v>
                </c:pt>
                <c:pt idx="110">
                  <c:v>-0.44600000000000001</c:v>
                </c:pt>
                <c:pt idx="111">
                  <c:v>-0.20599999999999999</c:v>
                </c:pt>
                <c:pt idx="112">
                  <c:v>0.01</c:v>
                </c:pt>
                <c:pt idx="113">
                  <c:v>-0.188</c:v>
                </c:pt>
                <c:pt idx="114">
                  <c:v>-0.09</c:v>
                </c:pt>
                <c:pt idx="115">
                  <c:v>-0.28599999999999998</c:v>
                </c:pt>
                <c:pt idx="116">
                  <c:v>-4.3999999999999997E-2</c:v>
                </c:pt>
                <c:pt idx="117">
                  <c:v>1E-3</c:v>
                </c:pt>
                <c:pt idx="118">
                  <c:v>3.2000000000000001E-2</c:v>
                </c:pt>
                <c:pt idx="119">
                  <c:v>-0.378</c:v>
                </c:pt>
                <c:pt idx="120">
                  <c:v>-0.13800000000000001</c:v>
                </c:pt>
                <c:pt idx="121">
                  <c:v>-0.38900000000000001</c:v>
                </c:pt>
                <c:pt idx="122">
                  <c:v>-1.4999999999999999E-2</c:v>
                </c:pt>
                <c:pt idx="123">
                  <c:v>-0.25</c:v>
                </c:pt>
                <c:pt idx="124">
                  <c:v>-2.7E-2</c:v>
                </c:pt>
                <c:pt idx="125">
                  <c:v>-0.26900000000000002</c:v>
                </c:pt>
                <c:pt idx="126">
                  <c:v>0.14599999999999999</c:v>
                </c:pt>
                <c:pt idx="127">
                  <c:v>-6.4000000000000001E-2</c:v>
                </c:pt>
                <c:pt idx="128">
                  <c:v>0.123</c:v>
                </c:pt>
                <c:pt idx="129">
                  <c:v>-0.153</c:v>
                </c:pt>
                <c:pt idx="130">
                  <c:v>-8.0000000000000002E-3</c:v>
                </c:pt>
                <c:pt idx="131">
                  <c:v>-0.16500000000000001</c:v>
                </c:pt>
                <c:pt idx="132">
                  <c:v>5.5E-2</c:v>
                </c:pt>
                <c:pt idx="133">
                  <c:v>-0.114</c:v>
                </c:pt>
                <c:pt idx="134">
                  <c:v>0.13900000000000001</c:v>
                </c:pt>
                <c:pt idx="135">
                  <c:v>-0.16300000000000001</c:v>
                </c:pt>
                <c:pt idx="136">
                  <c:v>-0.04</c:v>
                </c:pt>
                <c:pt idx="137">
                  <c:v>-0.23699999999999999</c:v>
                </c:pt>
                <c:pt idx="138">
                  <c:v>6.4000000000000001E-2</c:v>
                </c:pt>
                <c:pt idx="139">
                  <c:v>-0.129</c:v>
                </c:pt>
                <c:pt idx="140">
                  <c:v>5.1999999999999998E-2</c:v>
                </c:pt>
                <c:pt idx="141">
                  <c:v>-9.8000000000000004E-2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F1-4E97-B578-F4FF8990209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('AMP3-4'!$AC$4,'AMP3-4'!$AC$4)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F1-4E97-B578-F4FF8990209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('AMP3-4'!$AC$5,'AMP3-4'!$AC$5)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F1-4E97-B578-F4FF89902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38544"/>
        <c:axId val="462438936"/>
      </c:scatterChart>
      <c:valAx>
        <c:axId val="46243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38936"/>
        <c:crosses val="autoZero"/>
        <c:crossBetween val="midCat"/>
      </c:valAx>
      <c:valAx>
        <c:axId val="4624389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3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'AMP3-4'!$AD$8</c:f>
              <c:strCache>
                <c:ptCount val="1"/>
                <c:pt idx="0">
                  <c:v>T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'AMP3-4'!$AD$9:$AD$150</c:f>
              <c:numCache>
                <c:formatCode>General</c:formatCode>
                <c:ptCount val="142"/>
                <c:pt idx="0">
                  <c:v>-0.104</c:v>
                </c:pt>
                <c:pt idx="1">
                  <c:v>0.35899999999999999</c:v>
                </c:pt>
                <c:pt idx="2">
                  <c:v>7.9000000000000001E-2</c:v>
                </c:pt>
                <c:pt idx="3">
                  <c:v>0.216</c:v>
                </c:pt>
                <c:pt idx="4">
                  <c:v>2.3E-2</c:v>
                </c:pt>
                <c:pt idx="5">
                  <c:v>0.34899999999999998</c:v>
                </c:pt>
                <c:pt idx="6">
                  <c:v>0.11</c:v>
                </c:pt>
                <c:pt idx="7">
                  <c:v>0.26400000000000001</c:v>
                </c:pt>
                <c:pt idx="8">
                  <c:v>5.1999999999999998E-2</c:v>
                </c:pt>
                <c:pt idx="9">
                  <c:v>0.27</c:v>
                </c:pt>
                <c:pt idx="10">
                  <c:v>0.08</c:v>
                </c:pt>
                <c:pt idx="11">
                  <c:v>0.19</c:v>
                </c:pt>
                <c:pt idx="12">
                  <c:v>0.20200000000000001</c:v>
                </c:pt>
                <c:pt idx="13">
                  <c:v>0.24199999999999999</c:v>
                </c:pt>
                <c:pt idx="14">
                  <c:v>0.20300000000000001</c:v>
                </c:pt>
                <c:pt idx="15">
                  <c:v>0.13300000000000001</c:v>
                </c:pt>
                <c:pt idx="16">
                  <c:v>0.14499999999999999</c:v>
                </c:pt>
                <c:pt idx="17">
                  <c:v>0.14399999999999999</c:v>
                </c:pt>
                <c:pt idx="18">
                  <c:v>0.111</c:v>
                </c:pt>
                <c:pt idx="19">
                  <c:v>0.27900000000000003</c:v>
                </c:pt>
                <c:pt idx="20">
                  <c:v>0.104</c:v>
                </c:pt>
                <c:pt idx="21">
                  <c:v>8.5999999999999993E-2</c:v>
                </c:pt>
                <c:pt idx="22">
                  <c:v>8.8999999999999996E-2</c:v>
                </c:pt>
                <c:pt idx="23">
                  <c:v>0.186</c:v>
                </c:pt>
                <c:pt idx="24">
                  <c:v>4.9000000000000002E-2</c:v>
                </c:pt>
                <c:pt idx="25">
                  <c:v>0.14799999999999999</c:v>
                </c:pt>
                <c:pt idx="26">
                  <c:v>2.4E-2</c:v>
                </c:pt>
                <c:pt idx="27">
                  <c:v>0.215</c:v>
                </c:pt>
                <c:pt idx="28">
                  <c:v>8.5999999999999993E-2</c:v>
                </c:pt>
                <c:pt idx="29">
                  <c:v>0.28499999999999998</c:v>
                </c:pt>
                <c:pt idx="30">
                  <c:v>7.0000000000000007E-2</c:v>
                </c:pt>
                <c:pt idx="31">
                  <c:v>0.27100000000000002</c:v>
                </c:pt>
                <c:pt idx="32">
                  <c:v>2.7E-2</c:v>
                </c:pt>
                <c:pt idx="33">
                  <c:v>0.38300000000000001</c:v>
                </c:pt>
                <c:pt idx="34">
                  <c:v>2.9000000000000001E-2</c:v>
                </c:pt>
                <c:pt idx="35">
                  <c:v>0.152</c:v>
                </c:pt>
                <c:pt idx="36">
                  <c:v>0.10100000000000001</c:v>
                </c:pt>
                <c:pt idx="37">
                  <c:v>0.27600000000000002</c:v>
                </c:pt>
                <c:pt idx="38">
                  <c:v>9.2999999999999999E-2</c:v>
                </c:pt>
                <c:pt idx="39">
                  <c:v>0.16800000000000001</c:v>
                </c:pt>
                <c:pt idx="40">
                  <c:v>0.11600000000000001</c:v>
                </c:pt>
                <c:pt idx="41">
                  <c:v>0.16200000000000001</c:v>
                </c:pt>
                <c:pt idx="42">
                  <c:v>0.13</c:v>
                </c:pt>
                <c:pt idx="43">
                  <c:v>0.156</c:v>
                </c:pt>
                <c:pt idx="44">
                  <c:v>0.06</c:v>
                </c:pt>
                <c:pt idx="45">
                  <c:v>0.156</c:v>
                </c:pt>
                <c:pt idx="46">
                  <c:v>8.6999999999999994E-2</c:v>
                </c:pt>
                <c:pt idx="47">
                  <c:v>0.154</c:v>
                </c:pt>
                <c:pt idx="48">
                  <c:v>0.14199999999999999</c:v>
                </c:pt>
                <c:pt idx="49">
                  <c:v>1.6E-2</c:v>
                </c:pt>
                <c:pt idx="50">
                  <c:v>1.2999999999999999E-2</c:v>
                </c:pt>
                <c:pt idx="51">
                  <c:v>0.127</c:v>
                </c:pt>
                <c:pt idx="52">
                  <c:v>0.121</c:v>
                </c:pt>
                <c:pt idx="53">
                  <c:v>0.191</c:v>
                </c:pt>
                <c:pt idx="54">
                  <c:v>0.10100000000000001</c:v>
                </c:pt>
                <c:pt idx="55">
                  <c:v>0.16600000000000001</c:v>
                </c:pt>
                <c:pt idx="56">
                  <c:v>0.123</c:v>
                </c:pt>
                <c:pt idx="57">
                  <c:v>0.23100000000000001</c:v>
                </c:pt>
                <c:pt idx="58">
                  <c:v>0.11</c:v>
                </c:pt>
                <c:pt idx="59">
                  <c:v>0.159</c:v>
                </c:pt>
                <c:pt idx="60">
                  <c:v>5.6000000000000001E-2</c:v>
                </c:pt>
                <c:pt idx="61">
                  <c:v>0.16600000000000001</c:v>
                </c:pt>
                <c:pt idx="62">
                  <c:v>1.7999999999999999E-2</c:v>
                </c:pt>
                <c:pt idx="63">
                  <c:v>0.14199999999999999</c:v>
                </c:pt>
                <c:pt idx="64">
                  <c:v>-4.1000000000000002E-2</c:v>
                </c:pt>
                <c:pt idx="65">
                  <c:v>0.159</c:v>
                </c:pt>
                <c:pt idx="66">
                  <c:v>9.8000000000000004E-2</c:v>
                </c:pt>
                <c:pt idx="67">
                  <c:v>-0.43</c:v>
                </c:pt>
                <c:pt idx="68">
                  <c:v>-5.7000000000000002E-2</c:v>
                </c:pt>
                <c:pt idx="69">
                  <c:v>0.21099999999999999</c:v>
                </c:pt>
                <c:pt idx="70">
                  <c:v>2.8000000000000001E-2</c:v>
                </c:pt>
                <c:pt idx="71">
                  <c:v>0.113</c:v>
                </c:pt>
                <c:pt idx="72">
                  <c:v>-6.0999999999999999E-2</c:v>
                </c:pt>
                <c:pt idx="73">
                  <c:v>0.13100000000000001</c:v>
                </c:pt>
                <c:pt idx="74">
                  <c:v>7.1999999999999995E-2</c:v>
                </c:pt>
                <c:pt idx="75">
                  <c:v>5.7000000000000002E-2</c:v>
                </c:pt>
                <c:pt idx="76">
                  <c:v>0.106</c:v>
                </c:pt>
                <c:pt idx="77">
                  <c:v>9.8000000000000004E-2</c:v>
                </c:pt>
                <c:pt idx="78">
                  <c:v>7.8E-2</c:v>
                </c:pt>
                <c:pt idx="79">
                  <c:v>-1.4999999999999999E-2</c:v>
                </c:pt>
                <c:pt idx="80">
                  <c:v>-0.151</c:v>
                </c:pt>
                <c:pt idx="81">
                  <c:v>5.7000000000000002E-2</c:v>
                </c:pt>
                <c:pt idx="82">
                  <c:v>0.13</c:v>
                </c:pt>
                <c:pt idx="83">
                  <c:v>2.8000000000000001E-2</c:v>
                </c:pt>
                <c:pt idx="84">
                  <c:v>5.8000000000000003E-2</c:v>
                </c:pt>
                <c:pt idx="85">
                  <c:v>0.16500000000000001</c:v>
                </c:pt>
                <c:pt idx="86">
                  <c:v>4.2999999999999997E-2</c:v>
                </c:pt>
                <c:pt idx="87">
                  <c:v>0.12</c:v>
                </c:pt>
                <c:pt idx="88">
                  <c:v>0.17899999999999999</c:v>
                </c:pt>
                <c:pt idx="89">
                  <c:v>4.9000000000000002E-2</c:v>
                </c:pt>
                <c:pt idx="90">
                  <c:v>2.1999999999999999E-2</c:v>
                </c:pt>
                <c:pt idx="91">
                  <c:v>0.20200000000000001</c:v>
                </c:pt>
                <c:pt idx="92">
                  <c:v>-3.5000000000000003E-2</c:v>
                </c:pt>
                <c:pt idx="93">
                  <c:v>0.11</c:v>
                </c:pt>
                <c:pt idx="94">
                  <c:v>5.0000000000000001E-3</c:v>
                </c:pt>
                <c:pt idx="95">
                  <c:v>0.11799999999999999</c:v>
                </c:pt>
                <c:pt idx="96">
                  <c:v>6.3E-2</c:v>
                </c:pt>
                <c:pt idx="97">
                  <c:v>6.9000000000000006E-2</c:v>
                </c:pt>
                <c:pt idx="98">
                  <c:v>2.7E-2</c:v>
                </c:pt>
                <c:pt idx="99">
                  <c:v>0.14899999999999999</c:v>
                </c:pt>
                <c:pt idx="100">
                  <c:v>-8.0000000000000002E-3</c:v>
                </c:pt>
                <c:pt idx="101">
                  <c:v>0.161</c:v>
                </c:pt>
                <c:pt idx="102">
                  <c:v>1.7999999999999999E-2</c:v>
                </c:pt>
                <c:pt idx="103">
                  <c:v>0.10199999999999999</c:v>
                </c:pt>
                <c:pt idx="104">
                  <c:v>-0.11700000000000001</c:v>
                </c:pt>
                <c:pt idx="105">
                  <c:v>0.17100000000000001</c:v>
                </c:pt>
                <c:pt idx="106">
                  <c:v>5.3999999999999999E-2</c:v>
                </c:pt>
                <c:pt idx="107">
                  <c:v>7.0000000000000007E-2</c:v>
                </c:pt>
                <c:pt idx="108">
                  <c:v>5.7000000000000002E-2</c:v>
                </c:pt>
                <c:pt idx="109">
                  <c:v>0.14199999999999999</c:v>
                </c:pt>
                <c:pt idx="110">
                  <c:v>-0.441</c:v>
                </c:pt>
                <c:pt idx="111">
                  <c:v>0.26600000000000001</c:v>
                </c:pt>
                <c:pt idx="112">
                  <c:v>7.0000000000000001E-3</c:v>
                </c:pt>
                <c:pt idx="113">
                  <c:v>5.2999999999999999E-2</c:v>
                </c:pt>
                <c:pt idx="114">
                  <c:v>-0.05</c:v>
                </c:pt>
                <c:pt idx="115">
                  <c:v>0.10199999999999999</c:v>
                </c:pt>
                <c:pt idx="116">
                  <c:v>-5.8000000000000003E-2</c:v>
                </c:pt>
                <c:pt idx="117">
                  <c:v>-4.3999999999999997E-2</c:v>
                </c:pt>
                <c:pt idx="118">
                  <c:v>1.2999999999999999E-2</c:v>
                </c:pt>
                <c:pt idx="119">
                  <c:v>0.1</c:v>
                </c:pt>
                <c:pt idx="120">
                  <c:v>-4.9000000000000002E-2</c:v>
                </c:pt>
                <c:pt idx="121">
                  <c:v>7.2999999999999995E-2</c:v>
                </c:pt>
                <c:pt idx="122">
                  <c:v>1E-3</c:v>
                </c:pt>
                <c:pt idx="123">
                  <c:v>0.182</c:v>
                </c:pt>
                <c:pt idx="124">
                  <c:v>-1.6E-2</c:v>
                </c:pt>
                <c:pt idx="125">
                  <c:v>0.121</c:v>
                </c:pt>
                <c:pt idx="126">
                  <c:v>4.9000000000000002E-2</c:v>
                </c:pt>
                <c:pt idx="127">
                  <c:v>0.27600000000000002</c:v>
                </c:pt>
                <c:pt idx="128">
                  <c:v>0.188</c:v>
                </c:pt>
                <c:pt idx="129">
                  <c:v>8.3000000000000004E-2</c:v>
                </c:pt>
                <c:pt idx="130">
                  <c:v>7.0000000000000007E-2</c:v>
                </c:pt>
                <c:pt idx="131">
                  <c:v>0.16300000000000001</c:v>
                </c:pt>
                <c:pt idx="132">
                  <c:v>4.0000000000000001E-3</c:v>
                </c:pt>
                <c:pt idx="133">
                  <c:v>0.186</c:v>
                </c:pt>
                <c:pt idx="134">
                  <c:v>0.104</c:v>
                </c:pt>
                <c:pt idx="135">
                  <c:v>0.122</c:v>
                </c:pt>
                <c:pt idx="136">
                  <c:v>0.04</c:v>
                </c:pt>
                <c:pt idx="137">
                  <c:v>2E-3</c:v>
                </c:pt>
                <c:pt idx="138">
                  <c:v>3.4000000000000002E-2</c:v>
                </c:pt>
                <c:pt idx="139">
                  <c:v>0.17899999999999999</c:v>
                </c:pt>
                <c:pt idx="140">
                  <c:v>0.14599999999999999</c:v>
                </c:pt>
                <c:pt idx="141">
                  <c:v>0.13400000000000001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1-4330-89BB-9D218D12A90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('AMP3-4'!$AD$4,'AMP3-4'!$AD$4)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C1-4330-89BB-9D218D12A90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('AMP3-4'!$AD$5,'AMP3-4'!$AD$5)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C1-4330-89BB-9D218D12A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39720"/>
        <c:axId val="462440112"/>
      </c:scatterChart>
      <c:valAx>
        <c:axId val="46243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0112"/>
        <c:crosses val="autoZero"/>
        <c:crossBetween val="midCat"/>
      </c:valAx>
      <c:valAx>
        <c:axId val="4624401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39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'AMP3-4'!$AE$8</c:f>
              <c:strCache>
                <c:ptCount val="1"/>
                <c:pt idx="0">
                  <c:v>T 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'AMP3-4'!$AE$9:$AE$150</c:f>
              <c:numCache>
                <c:formatCode>General</c:formatCode>
                <c:ptCount val="142"/>
                <c:pt idx="0">
                  <c:v>-4.8000000000000001E-2</c:v>
                </c:pt>
                <c:pt idx="1">
                  <c:v>-3.7999999999999999E-2</c:v>
                </c:pt>
                <c:pt idx="2">
                  <c:v>-3.0000000000000001E-3</c:v>
                </c:pt>
                <c:pt idx="3">
                  <c:v>-0.26300000000000001</c:v>
                </c:pt>
                <c:pt idx="4">
                  <c:v>-0.107</c:v>
                </c:pt>
                <c:pt idx="5">
                  <c:v>-0.17199999999999999</c:v>
                </c:pt>
                <c:pt idx="6">
                  <c:v>-8.0000000000000002E-3</c:v>
                </c:pt>
                <c:pt idx="7">
                  <c:v>-0.20699999999999999</c:v>
                </c:pt>
                <c:pt idx="8">
                  <c:v>-9.2999999999999999E-2</c:v>
                </c:pt>
                <c:pt idx="9">
                  <c:v>-0.23100000000000001</c:v>
                </c:pt>
                <c:pt idx="10">
                  <c:v>4.2000000000000003E-2</c:v>
                </c:pt>
                <c:pt idx="11">
                  <c:v>-0.27700000000000002</c:v>
                </c:pt>
                <c:pt idx="12">
                  <c:v>0.11</c:v>
                </c:pt>
                <c:pt idx="13">
                  <c:v>-0.44400000000000001</c:v>
                </c:pt>
                <c:pt idx="14">
                  <c:v>0.111</c:v>
                </c:pt>
                <c:pt idx="15">
                  <c:v>-0.53100000000000003</c:v>
                </c:pt>
                <c:pt idx="16">
                  <c:v>9.5000000000000001E-2</c:v>
                </c:pt>
                <c:pt idx="17">
                  <c:v>-0.49399999999999999</c:v>
                </c:pt>
                <c:pt idx="18">
                  <c:v>6.4000000000000001E-2</c:v>
                </c:pt>
                <c:pt idx="19">
                  <c:v>-0.36799999999999999</c:v>
                </c:pt>
                <c:pt idx="20">
                  <c:v>4.2999999999999997E-2</c:v>
                </c:pt>
                <c:pt idx="21">
                  <c:v>-0.45400000000000001</c:v>
                </c:pt>
                <c:pt idx="22">
                  <c:v>3.1E-2</c:v>
                </c:pt>
                <c:pt idx="23">
                  <c:v>-0.45900000000000002</c:v>
                </c:pt>
                <c:pt idx="24">
                  <c:v>-4.1000000000000002E-2</c:v>
                </c:pt>
                <c:pt idx="25">
                  <c:v>-0.46400000000000002</c:v>
                </c:pt>
                <c:pt idx="26">
                  <c:v>-8.5000000000000006E-2</c:v>
                </c:pt>
                <c:pt idx="27">
                  <c:v>-0.41599999999999998</c:v>
                </c:pt>
                <c:pt idx="28">
                  <c:v>6.0000000000000001E-3</c:v>
                </c:pt>
                <c:pt idx="29">
                  <c:v>-0.4</c:v>
                </c:pt>
                <c:pt idx="30">
                  <c:v>4.9000000000000002E-2</c:v>
                </c:pt>
                <c:pt idx="31">
                  <c:v>-0.36099999999999999</c:v>
                </c:pt>
                <c:pt idx="32">
                  <c:v>-8.3000000000000004E-2</c:v>
                </c:pt>
                <c:pt idx="33">
                  <c:v>-0.24299999999999999</c:v>
                </c:pt>
                <c:pt idx="34">
                  <c:v>-0.06</c:v>
                </c:pt>
                <c:pt idx="35">
                  <c:v>-0.50900000000000001</c:v>
                </c:pt>
                <c:pt idx="36">
                  <c:v>3.0000000000000001E-3</c:v>
                </c:pt>
                <c:pt idx="37">
                  <c:v>-0.35199999999999998</c:v>
                </c:pt>
                <c:pt idx="38">
                  <c:v>6.4000000000000001E-2</c:v>
                </c:pt>
                <c:pt idx="39">
                  <c:v>-0.25</c:v>
                </c:pt>
                <c:pt idx="40">
                  <c:v>8.2000000000000003E-2</c:v>
                </c:pt>
                <c:pt idx="41">
                  <c:v>-0.27400000000000002</c:v>
                </c:pt>
                <c:pt idx="42">
                  <c:v>3.5000000000000003E-2</c:v>
                </c:pt>
                <c:pt idx="43">
                  <c:v>-0.31</c:v>
                </c:pt>
                <c:pt idx="44">
                  <c:v>-3.7999999999999999E-2</c:v>
                </c:pt>
                <c:pt idx="45">
                  <c:v>-0.28000000000000003</c:v>
                </c:pt>
                <c:pt idx="46">
                  <c:v>-7.0000000000000001E-3</c:v>
                </c:pt>
                <c:pt idx="47">
                  <c:v>-0.27400000000000002</c:v>
                </c:pt>
                <c:pt idx="48">
                  <c:v>8.3000000000000004E-2</c:v>
                </c:pt>
                <c:pt idx="49">
                  <c:v>-0.42899999999999999</c:v>
                </c:pt>
                <c:pt idx="50">
                  <c:v>2.3E-2</c:v>
                </c:pt>
                <c:pt idx="51">
                  <c:v>-0.27200000000000002</c:v>
                </c:pt>
                <c:pt idx="52">
                  <c:v>0</c:v>
                </c:pt>
                <c:pt idx="53">
                  <c:v>-0.29599999999999999</c:v>
                </c:pt>
                <c:pt idx="54">
                  <c:v>5.3999999999999999E-2</c:v>
                </c:pt>
                <c:pt idx="55">
                  <c:v>-0.27500000000000002</c:v>
                </c:pt>
                <c:pt idx="56">
                  <c:v>3.5000000000000003E-2</c:v>
                </c:pt>
                <c:pt idx="57">
                  <c:v>-0.16900000000000001</c:v>
                </c:pt>
                <c:pt idx="58">
                  <c:v>0.09</c:v>
                </c:pt>
                <c:pt idx="59">
                  <c:v>-0.29299999999999998</c:v>
                </c:pt>
                <c:pt idx="60">
                  <c:v>-4.1000000000000002E-2</c:v>
                </c:pt>
                <c:pt idx="61">
                  <c:v>-0.30499999999999999</c:v>
                </c:pt>
                <c:pt idx="62">
                  <c:v>4.5999999999999999E-2</c:v>
                </c:pt>
                <c:pt idx="63">
                  <c:v>-0.22500000000000001</c:v>
                </c:pt>
                <c:pt idx="64">
                  <c:v>-0.18</c:v>
                </c:pt>
                <c:pt idx="65">
                  <c:v>-0.28199999999999997</c:v>
                </c:pt>
                <c:pt idx="66">
                  <c:v>0.11700000000000001</c:v>
                </c:pt>
                <c:pt idx="67">
                  <c:v>-0.84399999999999997</c:v>
                </c:pt>
                <c:pt idx="68">
                  <c:v>-0.45400000000000001</c:v>
                </c:pt>
                <c:pt idx="69">
                  <c:v>0.129</c:v>
                </c:pt>
                <c:pt idx="70">
                  <c:v>3.2000000000000001E-2</c:v>
                </c:pt>
                <c:pt idx="71">
                  <c:v>-0.29599999999999999</c:v>
                </c:pt>
                <c:pt idx="72">
                  <c:v>-0.14799999999999999</c:v>
                </c:pt>
                <c:pt idx="73">
                  <c:v>-0.28699999999999998</c:v>
                </c:pt>
                <c:pt idx="74">
                  <c:v>0.04</c:v>
                </c:pt>
                <c:pt idx="75">
                  <c:v>-0.40699999999999997</c:v>
                </c:pt>
                <c:pt idx="76">
                  <c:v>0.113</c:v>
                </c:pt>
                <c:pt idx="77">
                  <c:v>-0.34599999999999997</c:v>
                </c:pt>
                <c:pt idx="78">
                  <c:v>-1.7000000000000001E-2</c:v>
                </c:pt>
                <c:pt idx="79">
                  <c:v>-0.44800000000000001</c:v>
                </c:pt>
                <c:pt idx="80">
                  <c:v>-0.13800000000000001</c:v>
                </c:pt>
                <c:pt idx="81">
                  <c:v>-0.38900000000000001</c:v>
                </c:pt>
                <c:pt idx="82">
                  <c:v>0.16900000000000001</c:v>
                </c:pt>
                <c:pt idx="83">
                  <c:v>-0.42399999999999999</c:v>
                </c:pt>
                <c:pt idx="84">
                  <c:v>6.8000000000000005E-2</c:v>
                </c:pt>
                <c:pt idx="85">
                  <c:v>-0.32200000000000001</c:v>
                </c:pt>
                <c:pt idx="86">
                  <c:v>-7.6999999999999999E-2</c:v>
                </c:pt>
                <c:pt idx="87">
                  <c:v>-0.31900000000000001</c:v>
                </c:pt>
                <c:pt idx="88">
                  <c:v>0.13400000000000001</c:v>
                </c:pt>
                <c:pt idx="89">
                  <c:v>-0.40899999999999997</c:v>
                </c:pt>
                <c:pt idx="90">
                  <c:v>3.0000000000000001E-3</c:v>
                </c:pt>
                <c:pt idx="91">
                  <c:v>-0.255</c:v>
                </c:pt>
                <c:pt idx="92">
                  <c:v>-0.10100000000000001</c:v>
                </c:pt>
                <c:pt idx="93">
                  <c:v>-0.35799999999999998</c:v>
                </c:pt>
                <c:pt idx="94">
                  <c:v>-5.8999999999999997E-2</c:v>
                </c:pt>
                <c:pt idx="95">
                  <c:v>-0.36799999999999999</c:v>
                </c:pt>
                <c:pt idx="96">
                  <c:v>0.10100000000000001</c:v>
                </c:pt>
                <c:pt idx="97">
                  <c:v>-0.38100000000000001</c:v>
                </c:pt>
                <c:pt idx="98">
                  <c:v>1.6E-2</c:v>
                </c:pt>
                <c:pt idx="99">
                  <c:v>-0.32400000000000001</c:v>
                </c:pt>
                <c:pt idx="100">
                  <c:v>2E-3</c:v>
                </c:pt>
                <c:pt idx="101">
                  <c:v>-0.32400000000000001</c:v>
                </c:pt>
                <c:pt idx="102">
                  <c:v>-1.6E-2</c:v>
                </c:pt>
                <c:pt idx="103">
                  <c:v>-0.307</c:v>
                </c:pt>
                <c:pt idx="104">
                  <c:v>-0.21299999999999999</c:v>
                </c:pt>
                <c:pt idx="105">
                  <c:v>-0.24299999999999999</c:v>
                </c:pt>
                <c:pt idx="106">
                  <c:v>1E-3</c:v>
                </c:pt>
                <c:pt idx="107">
                  <c:v>-0.39900000000000002</c:v>
                </c:pt>
                <c:pt idx="108">
                  <c:v>7.0000000000000001E-3</c:v>
                </c:pt>
                <c:pt idx="109">
                  <c:v>-0.30499999999999999</c:v>
                </c:pt>
                <c:pt idx="110">
                  <c:v>-0.45500000000000002</c:v>
                </c:pt>
                <c:pt idx="111">
                  <c:v>-0.23400000000000001</c:v>
                </c:pt>
                <c:pt idx="112">
                  <c:v>-1.7999999999999999E-2</c:v>
                </c:pt>
                <c:pt idx="113">
                  <c:v>-0.41199999999999998</c:v>
                </c:pt>
                <c:pt idx="114">
                  <c:v>-0.14299999999999999</c:v>
                </c:pt>
                <c:pt idx="115">
                  <c:v>-0.36899999999999999</c:v>
                </c:pt>
                <c:pt idx="116">
                  <c:v>-0.22800000000000001</c:v>
                </c:pt>
                <c:pt idx="117">
                  <c:v>0.10199999999999999</c:v>
                </c:pt>
                <c:pt idx="118">
                  <c:v>-4.3999999999999997E-2</c:v>
                </c:pt>
                <c:pt idx="119">
                  <c:v>-0.40300000000000002</c:v>
                </c:pt>
                <c:pt idx="120">
                  <c:v>-0.11799999999999999</c:v>
                </c:pt>
                <c:pt idx="121">
                  <c:v>-0.38300000000000001</c:v>
                </c:pt>
                <c:pt idx="122">
                  <c:v>-1.2E-2</c:v>
                </c:pt>
                <c:pt idx="123">
                  <c:v>-0.27300000000000002</c:v>
                </c:pt>
                <c:pt idx="124">
                  <c:v>-5.2999999999999999E-2</c:v>
                </c:pt>
                <c:pt idx="125">
                  <c:v>-0.35199999999999998</c:v>
                </c:pt>
                <c:pt idx="126">
                  <c:v>-8.9999999999999993E-3</c:v>
                </c:pt>
                <c:pt idx="127">
                  <c:v>-0.152</c:v>
                </c:pt>
                <c:pt idx="128">
                  <c:v>6.2E-2</c:v>
                </c:pt>
                <c:pt idx="129">
                  <c:v>-0.34799999999999998</c:v>
                </c:pt>
                <c:pt idx="130">
                  <c:v>-8.2000000000000003E-2</c:v>
                </c:pt>
                <c:pt idx="131">
                  <c:v>-0.28899999999999998</c:v>
                </c:pt>
                <c:pt idx="132">
                  <c:v>-1.7000000000000001E-2</c:v>
                </c:pt>
                <c:pt idx="133">
                  <c:v>-0.187</c:v>
                </c:pt>
                <c:pt idx="134">
                  <c:v>0.1</c:v>
                </c:pt>
                <c:pt idx="135">
                  <c:v>-0.28699999999999998</c:v>
                </c:pt>
                <c:pt idx="136">
                  <c:v>-7.1999999999999995E-2</c:v>
                </c:pt>
                <c:pt idx="137">
                  <c:v>-0.42499999999999999</c:v>
                </c:pt>
                <c:pt idx="138">
                  <c:v>-1.7999999999999999E-2</c:v>
                </c:pt>
                <c:pt idx="139">
                  <c:v>-0.27600000000000002</c:v>
                </c:pt>
                <c:pt idx="140">
                  <c:v>8.2000000000000003E-2</c:v>
                </c:pt>
                <c:pt idx="141">
                  <c:v>-0.32200000000000001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0-4ABB-BA32-A92433FD9F5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('AMP3-4'!$AE$4,'AMP3-4'!$AE$4)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A0-4ABB-BA32-A92433FD9F5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('AMP3-4'!$AE$5,'AMP3-4'!$AE$5)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A0-4ABB-BA32-A92433FD9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1288"/>
        <c:axId val="462441680"/>
      </c:scatterChart>
      <c:valAx>
        <c:axId val="462441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1680"/>
        <c:crosses val="autoZero"/>
        <c:crossBetween val="midCat"/>
      </c:valAx>
      <c:valAx>
        <c:axId val="4624416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'AMP3-4'!$AF$8</c:f>
              <c:strCache>
                <c:ptCount val="1"/>
                <c:pt idx="0">
                  <c:v>T 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'AMP3-4'!$AF$9:$AF$150</c:f>
              <c:numCache>
                <c:formatCode>General</c:formatCode>
                <c:ptCount val="142"/>
                <c:pt idx="0">
                  <c:v>5.5E-2</c:v>
                </c:pt>
                <c:pt idx="1">
                  <c:v>-0.01</c:v>
                </c:pt>
                <c:pt idx="2">
                  <c:v>8.8999999999999996E-2</c:v>
                </c:pt>
                <c:pt idx="3">
                  <c:v>8.6999999999999994E-2</c:v>
                </c:pt>
                <c:pt idx="4">
                  <c:v>5.8000000000000003E-2</c:v>
                </c:pt>
                <c:pt idx="5">
                  <c:v>8.5000000000000006E-2</c:v>
                </c:pt>
                <c:pt idx="6">
                  <c:v>0.104</c:v>
                </c:pt>
                <c:pt idx="7">
                  <c:v>0.12</c:v>
                </c:pt>
                <c:pt idx="8">
                  <c:v>8.4000000000000005E-2</c:v>
                </c:pt>
                <c:pt idx="9">
                  <c:v>6.3E-2</c:v>
                </c:pt>
                <c:pt idx="10">
                  <c:v>0.153</c:v>
                </c:pt>
                <c:pt idx="11">
                  <c:v>4.3999999999999997E-2</c:v>
                </c:pt>
                <c:pt idx="12">
                  <c:v>0.127</c:v>
                </c:pt>
                <c:pt idx="13">
                  <c:v>0.16200000000000001</c:v>
                </c:pt>
                <c:pt idx="14">
                  <c:v>8.4000000000000005E-2</c:v>
                </c:pt>
                <c:pt idx="15">
                  <c:v>3.3000000000000002E-2</c:v>
                </c:pt>
                <c:pt idx="16">
                  <c:v>0.06</c:v>
                </c:pt>
                <c:pt idx="17">
                  <c:v>6.8000000000000005E-2</c:v>
                </c:pt>
                <c:pt idx="18">
                  <c:v>0.128</c:v>
                </c:pt>
                <c:pt idx="19">
                  <c:v>0.20399999999999999</c:v>
                </c:pt>
                <c:pt idx="20">
                  <c:v>0.13600000000000001</c:v>
                </c:pt>
                <c:pt idx="21">
                  <c:v>0.14499999999999999</c:v>
                </c:pt>
                <c:pt idx="22">
                  <c:v>6.9000000000000006E-2</c:v>
                </c:pt>
                <c:pt idx="23">
                  <c:v>7.0999999999999994E-2</c:v>
                </c:pt>
                <c:pt idx="24">
                  <c:v>0.09</c:v>
                </c:pt>
                <c:pt idx="25">
                  <c:v>0.03</c:v>
                </c:pt>
                <c:pt idx="26">
                  <c:v>2.4E-2</c:v>
                </c:pt>
                <c:pt idx="27">
                  <c:v>2.7E-2</c:v>
                </c:pt>
                <c:pt idx="28">
                  <c:v>6.3E-2</c:v>
                </c:pt>
                <c:pt idx="29">
                  <c:v>7.0000000000000007E-2</c:v>
                </c:pt>
                <c:pt idx="30">
                  <c:v>-1E-3</c:v>
                </c:pt>
                <c:pt idx="31">
                  <c:v>3.7999999999999999E-2</c:v>
                </c:pt>
                <c:pt idx="32">
                  <c:v>-2.9000000000000001E-2</c:v>
                </c:pt>
                <c:pt idx="33">
                  <c:v>-6.2E-2</c:v>
                </c:pt>
                <c:pt idx="34">
                  <c:v>-4.8000000000000001E-2</c:v>
                </c:pt>
                <c:pt idx="35">
                  <c:v>-2.7E-2</c:v>
                </c:pt>
                <c:pt idx="36">
                  <c:v>-7.0999999999999994E-2</c:v>
                </c:pt>
                <c:pt idx="37">
                  <c:v>-0.09</c:v>
                </c:pt>
                <c:pt idx="38">
                  <c:v>0.22</c:v>
                </c:pt>
                <c:pt idx="39">
                  <c:v>0.191</c:v>
                </c:pt>
                <c:pt idx="40">
                  <c:v>0.16700000000000001</c:v>
                </c:pt>
                <c:pt idx="41">
                  <c:v>0.17100000000000001</c:v>
                </c:pt>
                <c:pt idx="42">
                  <c:v>9.8000000000000004E-2</c:v>
                </c:pt>
                <c:pt idx="43">
                  <c:v>-1.9E-2</c:v>
                </c:pt>
                <c:pt idx="44">
                  <c:v>9.8000000000000004E-2</c:v>
                </c:pt>
                <c:pt idx="45">
                  <c:v>1.7999999999999999E-2</c:v>
                </c:pt>
                <c:pt idx="46">
                  <c:v>6.8000000000000005E-2</c:v>
                </c:pt>
                <c:pt idx="47">
                  <c:v>-8.9999999999999993E-3</c:v>
                </c:pt>
                <c:pt idx="48">
                  <c:v>0.114</c:v>
                </c:pt>
                <c:pt idx="49">
                  <c:v>1.0999999999999999E-2</c:v>
                </c:pt>
                <c:pt idx="50">
                  <c:v>5.1999999999999998E-2</c:v>
                </c:pt>
                <c:pt idx="51">
                  <c:v>1.0999999999999999E-2</c:v>
                </c:pt>
                <c:pt idx="52">
                  <c:v>0.11</c:v>
                </c:pt>
                <c:pt idx="53">
                  <c:v>-1.2999999999999999E-2</c:v>
                </c:pt>
                <c:pt idx="54">
                  <c:v>3.4000000000000002E-2</c:v>
                </c:pt>
                <c:pt idx="55">
                  <c:v>1.2E-2</c:v>
                </c:pt>
                <c:pt idx="56">
                  <c:v>0.13100000000000001</c:v>
                </c:pt>
                <c:pt idx="57">
                  <c:v>8.3000000000000004E-2</c:v>
                </c:pt>
                <c:pt idx="58">
                  <c:v>-0.03</c:v>
                </c:pt>
                <c:pt idx="59">
                  <c:v>0.112</c:v>
                </c:pt>
                <c:pt idx="60">
                  <c:v>-2.8000000000000001E-2</c:v>
                </c:pt>
                <c:pt idx="61">
                  <c:v>-5.3999999999999999E-2</c:v>
                </c:pt>
                <c:pt idx="62">
                  <c:v>2.9000000000000001E-2</c:v>
                </c:pt>
                <c:pt idx="63">
                  <c:v>-4.4999999999999998E-2</c:v>
                </c:pt>
                <c:pt idx="64">
                  <c:v>1.2999999999999999E-2</c:v>
                </c:pt>
                <c:pt idx="65">
                  <c:v>-6.3E-2</c:v>
                </c:pt>
                <c:pt idx="66">
                  <c:v>-0.19500000000000001</c:v>
                </c:pt>
                <c:pt idx="67">
                  <c:v>-0.159</c:v>
                </c:pt>
                <c:pt idx="68">
                  <c:v>-4.5999999999999999E-2</c:v>
                </c:pt>
                <c:pt idx="69">
                  <c:v>3.1E-2</c:v>
                </c:pt>
                <c:pt idx="70">
                  <c:v>5.6000000000000001E-2</c:v>
                </c:pt>
                <c:pt idx="71">
                  <c:v>-1.4E-2</c:v>
                </c:pt>
                <c:pt idx="72">
                  <c:v>-1E-3</c:v>
                </c:pt>
                <c:pt idx="73">
                  <c:v>-4.2000000000000003E-2</c:v>
                </c:pt>
                <c:pt idx="74">
                  <c:v>1.9E-2</c:v>
                </c:pt>
                <c:pt idx="75">
                  <c:v>-8.9999999999999993E-3</c:v>
                </c:pt>
                <c:pt idx="76">
                  <c:v>8.8999999999999996E-2</c:v>
                </c:pt>
                <c:pt idx="77">
                  <c:v>-8.5999999999999993E-2</c:v>
                </c:pt>
                <c:pt idx="78">
                  <c:v>-7.1999999999999995E-2</c:v>
                </c:pt>
                <c:pt idx="79">
                  <c:v>-8.6999999999999994E-2</c:v>
                </c:pt>
                <c:pt idx="80">
                  <c:v>1.9E-2</c:v>
                </c:pt>
                <c:pt idx="81">
                  <c:v>-5.1999999999999998E-2</c:v>
                </c:pt>
                <c:pt idx="82">
                  <c:v>6.7000000000000004E-2</c:v>
                </c:pt>
                <c:pt idx="83">
                  <c:v>0.01</c:v>
                </c:pt>
                <c:pt idx="84">
                  <c:v>0.14899999999999999</c:v>
                </c:pt>
                <c:pt idx="85">
                  <c:v>0.115</c:v>
                </c:pt>
                <c:pt idx="86">
                  <c:v>8.5000000000000006E-2</c:v>
                </c:pt>
                <c:pt idx="87">
                  <c:v>0.06</c:v>
                </c:pt>
                <c:pt idx="88">
                  <c:v>7.0999999999999994E-2</c:v>
                </c:pt>
                <c:pt idx="89">
                  <c:v>2E-3</c:v>
                </c:pt>
                <c:pt idx="90">
                  <c:v>0.03</c:v>
                </c:pt>
                <c:pt idx="91">
                  <c:v>5.6000000000000001E-2</c:v>
                </c:pt>
                <c:pt idx="92">
                  <c:v>-2.5999999999999999E-2</c:v>
                </c:pt>
                <c:pt idx="93">
                  <c:v>-4.1000000000000002E-2</c:v>
                </c:pt>
                <c:pt idx="94">
                  <c:v>3.7999999999999999E-2</c:v>
                </c:pt>
                <c:pt idx="95">
                  <c:v>-6.7000000000000004E-2</c:v>
                </c:pt>
                <c:pt idx="96">
                  <c:v>0.11600000000000001</c:v>
                </c:pt>
                <c:pt idx="97">
                  <c:v>7.3999999999999996E-2</c:v>
                </c:pt>
                <c:pt idx="98">
                  <c:v>1.6E-2</c:v>
                </c:pt>
                <c:pt idx="99">
                  <c:v>-6.0999999999999999E-2</c:v>
                </c:pt>
                <c:pt idx="100">
                  <c:v>5.8999999999999997E-2</c:v>
                </c:pt>
                <c:pt idx="101">
                  <c:v>4.5999999999999999E-2</c:v>
                </c:pt>
                <c:pt idx="102">
                  <c:v>3.6999999999999998E-2</c:v>
                </c:pt>
                <c:pt idx="103">
                  <c:v>-1.0999999999999999E-2</c:v>
                </c:pt>
                <c:pt idx="104">
                  <c:v>0.122</c:v>
                </c:pt>
                <c:pt idx="105">
                  <c:v>-1.7999999999999999E-2</c:v>
                </c:pt>
                <c:pt idx="106">
                  <c:v>4.8000000000000001E-2</c:v>
                </c:pt>
                <c:pt idx="107">
                  <c:v>-1.4E-2</c:v>
                </c:pt>
                <c:pt idx="108">
                  <c:v>5.0000000000000001E-3</c:v>
                </c:pt>
                <c:pt idx="109">
                  <c:v>-0.02</c:v>
                </c:pt>
                <c:pt idx="110">
                  <c:v>-0.188</c:v>
                </c:pt>
                <c:pt idx="111">
                  <c:v>0.17499999999999999</c:v>
                </c:pt>
                <c:pt idx="112">
                  <c:v>3.1E-2</c:v>
                </c:pt>
                <c:pt idx="113">
                  <c:v>-1.6E-2</c:v>
                </c:pt>
                <c:pt idx="114">
                  <c:v>-6.4000000000000001E-2</c:v>
                </c:pt>
                <c:pt idx="115">
                  <c:v>-0.123</c:v>
                </c:pt>
                <c:pt idx="116">
                  <c:v>-6.3E-2</c:v>
                </c:pt>
                <c:pt idx="117">
                  <c:v>1.4E-2</c:v>
                </c:pt>
                <c:pt idx="118">
                  <c:v>-0.08</c:v>
                </c:pt>
                <c:pt idx="119">
                  <c:v>-0.315</c:v>
                </c:pt>
                <c:pt idx="120">
                  <c:v>-0.11</c:v>
                </c:pt>
                <c:pt idx="121">
                  <c:v>-0.23100000000000001</c:v>
                </c:pt>
                <c:pt idx="122">
                  <c:v>-1.7999999999999999E-2</c:v>
                </c:pt>
                <c:pt idx="123">
                  <c:v>-2.1999999999999999E-2</c:v>
                </c:pt>
                <c:pt idx="124">
                  <c:v>-5.8000000000000003E-2</c:v>
                </c:pt>
                <c:pt idx="125">
                  <c:v>-6.8000000000000005E-2</c:v>
                </c:pt>
                <c:pt idx="126">
                  <c:v>0.11700000000000001</c:v>
                </c:pt>
                <c:pt idx="127">
                  <c:v>0.03</c:v>
                </c:pt>
                <c:pt idx="128">
                  <c:v>8.5999999999999993E-2</c:v>
                </c:pt>
                <c:pt idx="129">
                  <c:v>-9.2999999999999999E-2</c:v>
                </c:pt>
                <c:pt idx="130">
                  <c:v>-5.0999999999999997E-2</c:v>
                </c:pt>
                <c:pt idx="131">
                  <c:v>-2.3E-2</c:v>
                </c:pt>
                <c:pt idx="132">
                  <c:v>7.5999999999999998E-2</c:v>
                </c:pt>
                <c:pt idx="133">
                  <c:v>2.7E-2</c:v>
                </c:pt>
                <c:pt idx="134">
                  <c:v>7.0000000000000007E-2</c:v>
                </c:pt>
                <c:pt idx="135">
                  <c:v>-1.9E-2</c:v>
                </c:pt>
                <c:pt idx="136">
                  <c:v>-0.124</c:v>
                </c:pt>
                <c:pt idx="137">
                  <c:v>-0.192</c:v>
                </c:pt>
                <c:pt idx="138">
                  <c:v>7.5999999999999998E-2</c:v>
                </c:pt>
                <c:pt idx="139">
                  <c:v>-3.0000000000000001E-3</c:v>
                </c:pt>
                <c:pt idx="140">
                  <c:v>0.06</c:v>
                </c:pt>
                <c:pt idx="141">
                  <c:v>2.3E-2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CC-4BE8-AC62-BE18B545161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('AMP3-4'!$AF$4,'AMP3-4'!$AF$4)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CC-4BE8-AC62-BE18B545161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('AMP3-4'!$AF$5,'AMP3-4'!$AF$5)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CC-4BE8-AC62-BE18B5451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2072"/>
        <c:axId val="462442464"/>
      </c:scatterChart>
      <c:valAx>
        <c:axId val="46244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2464"/>
        <c:crosses val="autoZero"/>
        <c:crossBetween val="midCat"/>
      </c:valAx>
      <c:valAx>
        <c:axId val="4624424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'AMP3-4'!$AG$8</c:f>
              <c:strCache>
                <c:ptCount val="1"/>
                <c:pt idx="0">
                  <c:v>T 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'AMP3-4'!$AG$9:$AG$150</c:f>
              <c:numCache>
                <c:formatCode>General</c:formatCode>
                <c:ptCount val="142"/>
                <c:pt idx="0">
                  <c:v>1.4E-2</c:v>
                </c:pt>
                <c:pt idx="1">
                  <c:v>-2.3E-2</c:v>
                </c:pt>
                <c:pt idx="2">
                  <c:v>7.3999999999999996E-2</c:v>
                </c:pt>
                <c:pt idx="3">
                  <c:v>9.9000000000000005E-2</c:v>
                </c:pt>
                <c:pt idx="4">
                  <c:v>3.7999999999999999E-2</c:v>
                </c:pt>
                <c:pt idx="5">
                  <c:v>8.8999999999999996E-2</c:v>
                </c:pt>
                <c:pt idx="6">
                  <c:v>8.6999999999999994E-2</c:v>
                </c:pt>
                <c:pt idx="7">
                  <c:v>0.13200000000000001</c:v>
                </c:pt>
                <c:pt idx="8">
                  <c:v>4.9000000000000002E-2</c:v>
                </c:pt>
                <c:pt idx="9">
                  <c:v>8.3000000000000004E-2</c:v>
                </c:pt>
                <c:pt idx="10">
                  <c:v>0.126</c:v>
                </c:pt>
                <c:pt idx="11">
                  <c:v>0.05</c:v>
                </c:pt>
                <c:pt idx="12">
                  <c:v>0.107</c:v>
                </c:pt>
                <c:pt idx="13">
                  <c:v>0.18</c:v>
                </c:pt>
                <c:pt idx="14">
                  <c:v>5.7000000000000002E-2</c:v>
                </c:pt>
                <c:pt idx="15">
                  <c:v>3.2000000000000001E-2</c:v>
                </c:pt>
                <c:pt idx="16">
                  <c:v>8.9999999999999993E-3</c:v>
                </c:pt>
                <c:pt idx="17">
                  <c:v>3.7999999999999999E-2</c:v>
                </c:pt>
                <c:pt idx="18">
                  <c:v>0.1</c:v>
                </c:pt>
                <c:pt idx="19">
                  <c:v>0.21199999999999999</c:v>
                </c:pt>
                <c:pt idx="20">
                  <c:v>0.105</c:v>
                </c:pt>
                <c:pt idx="21">
                  <c:v>0.129</c:v>
                </c:pt>
                <c:pt idx="22">
                  <c:v>4.3999999999999997E-2</c:v>
                </c:pt>
                <c:pt idx="23">
                  <c:v>6.7000000000000004E-2</c:v>
                </c:pt>
                <c:pt idx="24">
                  <c:v>0.05</c:v>
                </c:pt>
                <c:pt idx="25">
                  <c:v>1.7999999999999999E-2</c:v>
                </c:pt>
                <c:pt idx="26">
                  <c:v>5.0000000000000001E-3</c:v>
                </c:pt>
                <c:pt idx="27">
                  <c:v>2.8000000000000001E-2</c:v>
                </c:pt>
                <c:pt idx="28">
                  <c:v>3.9E-2</c:v>
                </c:pt>
                <c:pt idx="29">
                  <c:v>7.6999999999999999E-2</c:v>
                </c:pt>
                <c:pt idx="30">
                  <c:v>-0.01</c:v>
                </c:pt>
                <c:pt idx="31">
                  <c:v>4.1000000000000002E-2</c:v>
                </c:pt>
                <c:pt idx="32">
                  <c:v>-3.5999999999999997E-2</c:v>
                </c:pt>
                <c:pt idx="33">
                  <c:v>-7.3999999999999996E-2</c:v>
                </c:pt>
                <c:pt idx="34">
                  <c:v>-9.0999999999999998E-2</c:v>
                </c:pt>
                <c:pt idx="35">
                  <c:v>-1.9E-2</c:v>
                </c:pt>
                <c:pt idx="36">
                  <c:v>-0.111</c:v>
                </c:pt>
                <c:pt idx="37">
                  <c:v>-8.6999999999999994E-2</c:v>
                </c:pt>
                <c:pt idx="38">
                  <c:v>0.19800000000000001</c:v>
                </c:pt>
                <c:pt idx="39">
                  <c:v>0.21199999999999999</c:v>
                </c:pt>
                <c:pt idx="40">
                  <c:v>5.7000000000000002E-2</c:v>
                </c:pt>
                <c:pt idx="41">
                  <c:v>0.184</c:v>
                </c:pt>
                <c:pt idx="42">
                  <c:v>7.0999999999999994E-2</c:v>
                </c:pt>
                <c:pt idx="43">
                  <c:v>-1.2999999999999999E-2</c:v>
                </c:pt>
                <c:pt idx="44">
                  <c:v>7.0999999999999994E-2</c:v>
                </c:pt>
                <c:pt idx="45">
                  <c:v>2.1999999999999999E-2</c:v>
                </c:pt>
                <c:pt idx="46">
                  <c:v>3.7999999999999999E-2</c:v>
                </c:pt>
                <c:pt idx="47">
                  <c:v>0</c:v>
                </c:pt>
                <c:pt idx="48">
                  <c:v>9.1999999999999998E-2</c:v>
                </c:pt>
                <c:pt idx="49">
                  <c:v>0.01</c:v>
                </c:pt>
                <c:pt idx="50">
                  <c:v>0.01</c:v>
                </c:pt>
                <c:pt idx="51">
                  <c:v>6.0000000000000001E-3</c:v>
                </c:pt>
                <c:pt idx="52">
                  <c:v>6.9000000000000006E-2</c:v>
                </c:pt>
                <c:pt idx="53">
                  <c:v>-0.03</c:v>
                </c:pt>
                <c:pt idx="54">
                  <c:v>8.9999999999999993E-3</c:v>
                </c:pt>
                <c:pt idx="55">
                  <c:v>4.0000000000000001E-3</c:v>
                </c:pt>
                <c:pt idx="56">
                  <c:v>9.4E-2</c:v>
                </c:pt>
                <c:pt idx="57">
                  <c:v>7.9000000000000001E-2</c:v>
                </c:pt>
                <c:pt idx="58">
                  <c:v>2E-3</c:v>
                </c:pt>
                <c:pt idx="59">
                  <c:v>8.4000000000000005E-2</c:v>
                </c:pt>
                <c:pt idx="60">
                  <c:v>-4.8000000000000001E-2</c:v>
                </c:pt>
                <c:pt idx="61">
                  <c:v>-4.5999999999999999E-2</c:v>
                </c:pt>
                <c:pt idx="62">
                  <c:v>-6.0000000000000001E-3</c:v>
                </c:pt>
                <c:pt idx="63">
                  <c:v>-5.7000000000000002E-2</c:v>
                </c:pt>
                <c:pt idx="64">
                  <c:v>-2.8000000000000001E-2</c:v>
                </c:pt>
                <c:pt idx="65">
                  <c:v>-0.06</c:v>
                </c:pt>
                <c:pt idx="66">
                  <c:v>-0.221</c:v>
                </c:pt>
                <c:pt idx="67">
                  <c:v>-0.17699999999999999</c:v>
                </c:pt>
                <c:pt idx="68">
                  <c:v>-5.7000000000000002E-2</c:v>
                </c:pt>
                <c:pt idx="69">
                  <c:v>3.0000000000000001E-3</c:v>
                </c:pt>
                <c:pt idx="70">
                  <c:v>4.2000000000000003E-2</c:v>
                </c:pt>
                <c:pt idx="71">
                  <c:v>-1.2E-2</c:v>
                </c:pt>
                <c:pt idx="72">
                  <c:v>-1.7000000000000001E-2</c:v>
                </c:pt>
                <c:pt idx="73">
                  <c:v>-4.5999999999999999E-2</c:v>
                </c:pt>
                <c:pt idx="74">
                  <c:v>-7.0000000000000001E-3</c:v>
                </c:pt>
                <c:pt idx="75">
                  <c:v>8.9999999999999993E-3</c:v>
                </c:pt>
                <c:pt idx="76">
                  <c:v>5.1999999999999998E-2</c:v>
                </c:pt>
                <c:pt idx="77">
                  <c:v>-0.10299999999999999</c:v>
                </c:pt>
                <c:pt idx="78">
                  <c:v>-0.106</c:v>
                </c:pt>
                <c:pt idx="79">
                  <c:v>-0.109</c:v>
                </c:pt>
                <c:pt idx="80">
                  <c:v>-8.9999999999999993E-3</c:v>
                </c:pt>
                <c:pt idx="81">
                  <c:v>-7.3999999999999996E-2</c:v>
                </c:pt>
                <c:pt idx="82">
                  <c:v>6.0999999999999999E-2</c:v>
                </c:pt>
                <c:pt idx="83">
                  <c:v>3.5999999999999997E-2</c:v>
                </c:pt>
                <c:pt idx="84">
                  <c:v>0.14499999999999999</c:v>
                </c:pt>
                <c:pt idx="85">
                  <c:v>0.11700000000000001</c:v>
                </c:pt>
                <c:pt idx="86">
                  <c:v>7.2999999999999995E-2</c:v>
                </c:pt>
                <c:pt idx="87">
                  <c:v>6.4000000000000001E-2</c:v>
                </c:pt>
                <c:pt idx="88">
                  <c:v>4.9000000000000002E-2</c:v>
                </c:pt>
                <c:pt idx="89">
                  <c:v>1.6E-2</c:v>
                </c:pt>
                <c:pt idx="90">
                  <c:v>-4.0000000000000001E-3</c:v>
                </c:pt>
                <c:pt idx="91">
                  <c:v>6.7000000000000004E-2</c:v>
                </c:pt>
                <c:pt idx="92">
                  <c:v>-3.5000000000000003E-2</c:v>
                </c:pt>
                <c:pt idx="93">
                  <c:v>-0.04</c:v>
                </c:pt>
                <c:pt idx="94">
                  <c:v>1.0999999999999999E-2</c:v>
                </c:pt>
                <c:pt idx="95">
                  <c:v>-0.06</c:v>
                </c:pt>
                <c:pt idx="96">
                  <c:v>9.4E-2</c:v>
                </c:pt>
                <c:pt idx="97">
                  <c:v>7.0000000000000007E-2</c:v>
                </c:pt>
                <c:pt idx="98">
                  <c:v>-4.0000000000000001E-3</c:v>
                </c:pt>
                <c:pt idx="99">
                  <c:v>-6.3E-2</c:v>
                </c:pt>
                <c:pt idx="100">
                  <c:v>2.5999999999999999E-2</c:v>
                </c:pt>
                <c:pt idx="101">
                  <c:v>2.1999999999999999E-2</c:v>
                </c:pt>
                <c:pt idx="102">
                  <c:v>-7.0000000000000001E-3</c:v>
                </c:pt>
                <c:pt idx="103">
                  <c:v>-0.04</c:v>
                </c:pt>
                <c:pt idx="104">
                  <c:v>8.4000000000000005E-2</c:v>
                </c:pt>
                <c:pt idx="105">
                  <c:v>-4.8000000000000001E-2</c:v>
                </c:pt>
                <c:pt idx="106">
                  <c:v>2E-3</c:v>
                </c:pt>
                <c:pt idx="107">
                  <c:v>-2.5000000000000001E-2</c:v>
                </c:pt>
                <c:pt idx="108">
                  <c:v>-3.5999999999999997E-2</c:v>
                </c:pt>
                <c:pt idx="109">
                  <c:v>-8.0000000000000002E-3</c:v>
                </c:pt>
                <c:pt idx="110">
                  <c:v>-0.19500000000000001</c:v>
                </c:pt>
                <c:pt idx="111">
                  <c:v>0.17799999999999999</c:v>
                </c:pt>
                <c:pt idx="112">
                  <c:v>-4.0000000000000001E-3</c:v>
                </c:pt>
                <c:pt idx="113">
                  <c:v>-3.4000000000000002E-2</c:v>
                </c:pt>
                <c:pt idx="114">
                  <c:v>-4.8000000000000001E-2</c:v>
                </c:pt>
                <c:pt idx="115">
                  <c:v>-0.14899999999999999</c:v>
                </c:pt>
                <c:pt idx="116">
                  <c:v>-9.7000000000000003E-2</c:v>
                </c:pt>
                <c:pt idx="117">
                  <c:v>-6.8000000000000005E-2</c:v>
                </c:pt>
                <c:pt idx="118">
                  <c:v>-0.121</c:v>
                </c:pt>
                <c:pt idx="119">
                  <c:v>-0.33</c:v>
                </c:pt>
                <c:pt idx="120">
                  <c:v>-0.151</c:v>
                </c:pt>
                <c:pt idx="121">
                  <c:v>-0.246</c:v>
                </c:pt>
                <c:pt idx="122">
                  <c:v>-6.8000000000000005E-2</c:v>
                </c:pt>
                <c:pt idx="123">
                  <c:v>-4.1000000000000002E-2</c:v>
                </c:pt>
                <c:pt idx="124">
                  <c:v>-9.5000000000000001E-2</c:v>
                </c:pt>
                <c:pt idx="125">
                  <c:v>-6.8000000000000005E-2</c:v>
                </c:pt>
                <c:pt idx="126">
                  <c:v>0.10299999999999999</c:v>
                </c:pt>
                <c:pt idx="127">
                  <c:v>6.4000000000000001E-2</c:v>
                </c:pt>
                <c:pt idx="128">
                  <c:v>7.0000000000000007E-2</c:v>
                </c:pt>
                <c:pt idx="129">
                  <c:v>-8.6999999999999994E-2</c:v>
                </c:pt>
                <c:pt idx="130">
                  <c:v>-5.8000000000000003E-2</c:v>
                </c:pt>
                <c:pt idx="131">
                  <c:v>-1.4E-2</c:v>
                </c:pt>
                <c:pt idx="132">
                  <c:v>3.9E-2</c:v>
                </c:pt>
                <c:pt idx="133">
                  <c:v>1.6E-2</c:v>
                </c:pt>
                <c:pt idx="134">
                  <c:v>4.4999999999999998E-2</c:v>
                </c:pt>
                <c:pt idx="135">
                  <c:v>-2.4E-2</c:v>
                </c:pt>
                <c:pt idx="136">
                  <c:v>-0.17199999999999999</c:v>
                </c:pt>
                <c:pt idx="137">
                  <c:v>-0.19500000000000001</c:v>
                </c:pt>
                <c:pt idx="138">
                  <c:v>5.0999999999999997E-2</c:v>
                </c:pt>
                <c:pt idx="139">
                  <c:v>-8.0000000000000002E-3</c:v>
                </c:pt>
                <c:pt idx="140">
                  <c:v>2.5999999999999999E-2</c:v>
                </c:pt>
                <c:pt idx="141">
                  <c:v>-5.0000000000000001E-3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7-4FC5-8987-97E8791EBF8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('AMP3-4'!$AG$4,'AMP3-4'!$AG$4)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57-4FC5-8987-97E8791EBF8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('AMP3-4'!$AG$5,'AMP3-4'!$AG$5)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57-4FC5-8987-97E8791E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3248"/>
        <c:axId val="462443640"/>
      </c:scatterChart>
      <c:valAx>
        <c:axId val="46244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3640"/>
        <c:crosses val="autoZero"/>
        <c:crossBetween val="midCat"/>
      </c:valAx>
      <c:valAx>
        <c:axId val="4624436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3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'AMP3-4'!$AH$8</c:f>
              <c:strCache>
                <c:ptCount val="1"/>
                <c:pt idx="0">
                  <c:v>T 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'AMP3-4'!$AH$9:$AH$150</c:f>
              <c:numCache>
                <c:formatCode>General</c:formatCode>
                <c:ptCount val="142"/>
                <c:pt idx="0">
                  <c:v>-0.17699999999999999</c:v>
                </c:pt>
                <c:pt idx="1">
                  <c:v>-2.4E-2</c:v>
                </c:pt>
                <c:pt idx="2">
                  <c:v>-2.9000000000000001E-2</c:v>
                </c:pt>
                <c:pt idx="3">
                  <c:v>-6.4000000000000001E-2</c:v>
                </c:pt>
                <c:pt idx="4">
                  <c:v>-3.3000000000000002E-2</c:v>
                </c:pt>
                <c:pt idx="5">
                  <c:v>3.0000000000000001E-3</c:v>
                </c:pt>
                <c:pt idx="6">
                  <c:v>8.6999999999999994E-2</c:v>
                </c:pt>
                <c:pt idx="7">
                  <c:v>-0.02</c:v>
                </c:pt>
                <c:pt idx="8">
                  <c:v>-6.3E-2</c:v>
                </c:pt>
                <c:pt idx="9">
                  <c:v>0.17299999999999999</c:v>
                </c:pt>
                <c:pt idx="10">
                  <c:v>-1.7999999999999999E-2</c:v>
                </c:pt>
                <c:pt idx="11">
                  <c:v>-0.13200000000000001</c:v>
                </c:pt>
                <c:pt idx="12">
                  <c:v>0.128</c:v>
                </c:pt>
                <c:pt idx="13">
                  <c:v>-6.0000000000000001E-3</c:v>
                </c:pt>
                <c:pt idx="14">
                  <c:v>4.8000000000000001E-2</c:v>
                </c:pt>
                <c:pt idx="15">
                  <c:v>-0.17699999999999999</c:v>
                </c:pt>
                <c:pt idx="16">
                  <c:v>4.3999999999999997E-2</c:v>
                </c:pt>
                <c:pt idx="17">
                  <c:v>-9.8000000000000004E-2</c:v>
                </c:pt>
                <c:pt idx="18">
                  <c:v>0.126</c:v>
                </c:pt>
                <c:pt idx="19">
                  <c:v>6.7000000000000004E-2</c:v>
                </c:pt>
                <c:pt idx="20">
                  <c:v>8.5999999999999993E-2</c:v>
                </c:pt>
                <c:pt idx="21">
                  <c:v>-0.10100000000000001</c:v>
                </c:pt>
                <c:pt idx="22">
                  <c:v>2.3E-2</c:v>
                </c:pt>
                <c:pt idx="23">
                  <c:v>-4.7E-2</c:v>
                </c:pt>
                <c:pt idx="24">
                  <c:v>-0.01</c:v>
                </c:pt>
                <c:pt idx="25">
                  <c:v>-0.114</c:v>
                </c:pt>
                <c:pt idx="26">
                  <c:v>-4.7E-2</c:v>
                </c:pt>
                <c:pt idx="27">
                  <c:v>-4.1000000000000002E-2</c:v>
                </c:pt>
                <c:pt idx="28">
                  <c:v>9.1999999999999998E-2</c:v>
                </c:pt>
                <c:pt idx="29">
                  <c:v>2.9000000000000001E-2</c:v>
                </c:pt>
                <c:pt idx="30">
                  <c:v>-8.9999999999999993E-3</c:v>
                </c:pt>
                <c:pt idx="31">
                  <c:v>6.6000000000000003E-2</c:v>
                </c:pt>
                <c:pt idx="32">
                  <c:v>-6.3E-2</c:v>
                </c:pt>
                <c:pt idx="33">
                  <c:v>0.21299999999999999</c:v>
                </c:pt>
                <c:pt idx="34">
                  <c:v>4.0000000000000001E-3</c:v>
                </c:pt>
                <c:pt idx="35">
                  <c:v>-7.8E-2</c:v>
                </c:pt>
                <c:pt idx="36">
                  <c:v>1.4999999999999999E-2</c:v>
                </c:pt>
                <c:pt idx="37">
                  <c:v>8.3000000000000004E-2</c:v>
                </c:pt>
                <c:pt idx="38">
                  <c:v>4.5999999999999999E-2</c:v>
                </c:pt>
                <c:pt idx="39">
                  <c:v>-8.5999999999999993E-2</c:v>
                </c:pt>
                <c:pt idx="40">
                  <c:v>0.13600000000000001</c:v>
                </c:pt>
                <c:pt idx="41">
                  <c:v>-0.12</c:v>
                </c:pt>
                <c:pt idx="42">
                  <c:v>2.5000000000000001E-2</c:v>
                </c:pt>
                <c:pt idx="43">
                  <c:v>-0.215</c:v>
                </c:pt>
                <c:pt idx="44">
                  <c:v>-5.0999999999999997E-2</c:v>
                </c:pt>
                <c:pt idx="45">
                  <c:v>-0.159</c:v>
                </c:pt>
                <c:pt idx="46">
                  <c:v>-2.5000000000000001E-2</c:v>
                </c:pt>
                <c:pt idx="47">
                  <c:v>-0.16500000000000001</c:v>
                </c:pt>
                <c:pt idx="48">
                  <c:v>-3.0000000000000001E-3</c:v>
                </c:pt>
                <c:pt idx="49">
                  <c:v>-0.33</c:v>
                </c:pt>
                <c:pt idx="50">
                  <c:v>-9.9000000000000005E-2</c:v>
                </c:pt>
                <c:pt idx="51">
                  <c:v>-0.17599999999999999</c:v>
                </c:pt>
                <c:pt idx="52">
                  <c:v>7.0999999999999994E-2</c:v>
                </c:pt>
                <c:pt idx="53">
                  <c:v>-0.13400000000000001</c:v>
                </c:pt>
                <c:pt idx="54">
                  <c:v>2.1999999999999999E-2</c:v>
                </c:pt>
                <c:pt idx="55">
                  <c:v>-0.123</c:v>
                </c:pt>
                <c:pt idx="56">
                  <c:v>6.8000000000000005E-2</c:v>
                </c:pt>
                <c:pt idx="57">
                  <c:v>-5.7000000000000002E-2</c:v>
                </c:pt>
                <c:pt idx="58">
                  <c:v>4.1000000000000002E-2</c:v>
                </c:pt>
                <c:pt idx="59">
                  <c:v>-0.109</c:v>
                </c:pt>
                <c:pt idx="60">
                  <c:v>-3.5000000000000003E-2</c:v>
                </c:pt>
                <c:pt idx="61">
                  <c:v>-0.182</c:v>
                </c:pt>
                <c:pt idx="62">
                  <c:v>-8.8999999999999996E-2</c:v>
                </c:pt>
                <c:pt idx="63">
                  <c:v>-0.214</c:v>
                </c:pt>
                <c:pt idx="64">
                  <c:v>-5.1999999999999998E-2</c:v>
                </c:pt>
                <c:pt idx="65">
                  <c:v>-0.18</c:v>
                </c:pt>
                <c:pt idx="66">
                  <c:v>-2.4E-2</c:v>
                </c:pt>
                <c:pt idx="67">
                  <c:v>-1.1619999999999999</c:v>
                </c:pt>
                <c:pt idx="68">
                  <c:v>-0.35899999999999999</c:v>
                </c:pt>
                <c:pt idx="69">
                  <c:v>0.154</c:v>
                </c:pt>
                <c:pt idx="70">
                  <c:v>-8.2000000000000003E-2</c:v>
                </c:pt>
                <c:pt idx="71">
                  <c:v>-0.192</c:v>
                </c:pt>
                <c:pt idx="72">
                  <c:v>-0.05</c:v>
                </c:pt>
                <c:pt idx="73">
                  <c:v>-0.156</c:v>
                </c:pt>
                <c:pt idx="74">
                  <c:v>5.7000000000000002E-2</c:v>
                </c:pt>
                <c:pt idx="75">
                  <c:v>-0.22900000000000001</c:v>
                </c:pt>
                <c:pt idx="76">
                  <c:v>5.1999999999999998E-2</c:v>
                </c:pt>
                <c:pt idx="77">
                  <c:v>-0.246</c:v>
                </c:pt>
                <c:pt idx="78">
                  <c:v>-2E-3</c:v>
                </c:pt>
                <c:pt idx="79">
                  <c:v>-0.23200000000000001</c:v>
                </c:pt>
                <c:pt idx="80">
                  <c:v>-0.17599999999999999</c:v>
                </c:pt>
                <c:pt idx="81">
                  <c:v>-0.23499999999999999</c:v>
                </c:pt>
                <c:pt idx="82">
                  <c:v>0</c:v>
                </c:pt>
                <c:pt idx="83">
                  <c:v>-0.22900000000000001</c:v>
                </c:pt>
                <c:pt idx="84">
                  <c:v>-3.0000000000000001E-3</c:v>
                </c:pt>
                <c:pt idx="85">
                  <c:v>-8.3000000000000004E-2</c:v>
                </c:pt>
                <c:pt idx="86">
                  <c:v>-1.7000000000000001E-2</c:v>
                </c:pt>
                <c:pt idx="87">
                  <c:v>-0.22</c:v>
                </c:pt>
                <c:pt idx="88">
                  <c:v>7.0999999999999994E-2</c:v>
                </c:pt>
                <c:pt idx="89">
                  <c:v>-0.36399999999999999</c:v>
                </c:pt>
                <c:pt idx="90">
                  <c:v>-0.114</c:v>
                </c:pt>
                <c:pt idx="91">
                  <c:v>-8.4000000000000005E-2</c:v>
                </c:pt>
                <c:pt idx="92">
                  <c:v>-0.13300000000000001</c:v>
                </c:pt>
                <c:pt idx="93">
                  <c:v>-0.23100000000000001</c:v>
                </c:pt>
                <c:pt idx="94">
                  <c:v>-8.5999999999999993E-2</c:v>
                </c:pt>
                <c:pt idx="95">
                  <c:v>-0.19700000000000001</c:v>
                </c:pt>
                <c:pt idx="96">
                  <c:v>-1.2E-2</c:v>
                </c:pt>
                <c:pt idx="97">
                  <c:v>-0.20100000000000001</c:v>
                </c:pt>
                <c:pt idx="98">
                  <c:v>-6.0000000000000001E-3</c:v>
                </c:pt>
                <c:pt idx="99">
                  <c:v>-0.182</c:v>
                </c:pt>
                <c:pt idx="100">
                  <c:v>-2.4E-2</c:v>
                </c:pt>
                <c:pt idx="101">
                  <c:v>-6.5000000000000002E-2</c:v>
                </c:pt>
                <c:pt idx="102">
                  <c:v>-2.1999999999999999E-2</c:v>
                </c:pt>
                <c:pt idx="103">
                  <c:v>-0.21299999999999999</c:v>
                </c:pt>
                <c:pt idx="104">
                  <c:v>-8.5000000000000006E-2</c:v>
                </c:pt>
                <c:pt idx="105">
                  <c:v>-0.123</c:v>
                </c:pt>
                <c:pt idx="106">
                  <c:v>4.0000000000000001E-3</c:v>
                </c:pt>
                <c:pt idx="107">
                  <c:v>-0.19600000000000001</c:v>
                </c:pt>
                <c:pt idx="108">
                  <c:v>-2.1000000000000001E-2</c:v>
                </c:pt>
                <c:pt idx="109">
                  <c:v>-0.13900000000000001</c:v>
                </c:pt>
                <c:pt idx="110">
                  <c:v>-0.188</c:v>
                </c:pt>
                <c:pt idx="111">
                  <c:v>0.21199999999999999</c:v>
                </c:pt>
                <c:pt idx="112">
                  <c:v>2.8000000000000001E-2</c:v>
                </c:pt>
                <c:pt idx="113">
                  <c:v>-0.24099999999999999</c:v>
                </c:pt>
                <c:pt idx="114">
                  <c:v>2.9000000000000001E-2</c:v>
                </c:pt>
                <c:pt idx="115">
                  <c:v>-0.219</c:v>
                </c:pt>
                <c:pt idx="116">
                  <c:v>-0.20300000000000001</c:v>
                </c:pt>
                <c:pt idx="117">
                  <c:v>0.08</c:v>
                </c:pt>
                <c:pt idx="118">
                  <c:v>-0.19500000000000001</c:v>
                </c:pt>
                <c:pt idx="119">
                  <c:v>-0.42499999999999999</c:v>
                </c:pt>
                <c:pt idx="120">
                  <c:v>-6.0999999999999999E-2</c:v>
                </c:pt>
                <c:pt idx="121">
                  <c:v>-0.26</c:v>
                </c:pt>
                <c:pt idx="122">
                  <c:v>-5.0000000000000001E-3</c:v>
                </c:pt>
                <c:pt idx="123">
                  <c:v>7.0000000000000001E-3</c:v>
                </c:pt>
                <c:pt idx="124">
                  <c:v>-9.6000000000000002E-2</c:v>
                </c:pt>
                <c:pt idx="125">
                  <c:v>-0.189</c:v>
                </c:pt>
                <c:pt idx="126">
                  <c:v>-5.7000000000000002E-2</c:v>
                </c:pt>
                <c:pt idx="127">
                  <c:v>-7.0000000000000007E-2</c:v>
                </c:pt>
                <c:pt idx="128">
                  <c:v>2.1999999999999999E-2</c:v>
                </c:pt>
                <c:pt idx="129">
                  <c:v>-0.34899999999999998</c:v>
                </c:pt>
                <c:pt idx="130">
                  <c:v>0</c:v>
                </c:pt>
                <c:pt idx="131">
                  <c:v>-0.19700000000000001</c:v>
                </c:pt>
                <c:pt idx="132">
                  <c:v>-3.1E-2</c:v>
                </c:pt>
                <c:pt idx="133">
                  <c:v>-8.7999999999999995E-2</c:v>
                </c:pt>
                <c:pt idx="134">
                  <c:v>6.9000000000000006E-2</c:v>
                </c:pt>
                <c:pt idx="135">
                  <c:v>-0.187</c:v>
                </c:pt>
                <c:pt idx="136">
                  <c:v>-6.9000000000000006E-2</c:v>
                </c:pt>
                <c:pt idx="137">
                  <c:v>-0.41299999999999998</c:v>
                </c:pt>
                <c:pt idx="138">
                  <c:v>-2.5000000000000001E-2</c:v>
                </c:pt>
                <c:pt idx="139">
                  <c:v>-0.16300000000000001</c:v>
                </c:pt>
                <c:pt idx="140">
                  <c:v>4.8000000000000001E-2</c:v>
                </c:pt>
                <c:pt idx="141">
                  <c:v>-0.218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5-49BE-A70C-2ECE574774D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('AMP3-4'!$AH$4,'AMP3-4'!$AH$4)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25-49BE-A70C-2ECE574774D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('AMP3-4'!$AH$5,'AMP3-4'!$AH$5)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25-49BE-A70C-2ECE57477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4424"/>
        <c:axId val="462444816"/>
      </c:scatterChart>
      <c:valAx>
        <c:axId val="462444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4816"/>
        <c:crosses val="autoZero"/>
        <c:crossBetween val="midCat"/>
      </c:valAx>
      <c:valAx>
        <c:axId val="4624448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'AMP3-4'!$AI$8</c:f>
              <c:strCache>
                <c:ptCount val="1"/>
                <c:pt idx="0">
                  <c:v>T 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'AMP3-4'!$C$9:$C$150</c:f>
              <c:numCache>
                <c:formatCode>m/d/yy\ h:mm;@</c:formatCode>
                <c:ptCount val="142"/>
                <c:pt idx="0">
                  <c:v>43698.519699074073</c:v>
                </c:pt>
                <c:pt idx="1">
                  <c:v>43698.52175925926</c:v>
                </c:pt>
                <c:pt idx="2">
                  <c:v>43698.625127314815</c:v>
                </c:pt>
                <c:pt idx="3">
                  <c:v>43698.627268518518</c:v>
                </c:pt>
                <c:pt idx="4">
                  <c:v>43698.786956018521</c:v>
                </c:pt>
                <c:pt idx="5">
                  <c:v>43698.788969907408</c:v>
                </c:pt>
                <c:pt idx="6">
                  <c:v>43698.840486111112</c:v>
                </c:pt>
                <c:pt idx="7">
                  <c:v>43698.842569444445</c:v>
                </c:pt>
                <c:pt idx="8">
                  <c:v>43698.888877314814</c:v>
                </c:pt>
                <c:pt idx="9">
                  <c:v>43698.890914351854</c:v>
                </c:pt>
                <c:pt idx="10">
                  <c:v>43698.985138888886</c:v>
                </c:pt>
                <c:pt idx="11">
                  <c:v>43698.987476851849</c:v>
                </c:pt>
                <c:pt idx="12">
                  <c:v>43700.47383101852</c:v>
                </c:pt>
                <c:pt idx="13">
                  <c:v>43700.47859953704</c:v>
                </c:pt>
                <c:pt idx="14">
                  <c:v>43700.563344907408</c:v>
                </c:pt>
                <c:pt idx="15">
                  <c:v>43700.56517361111</c:v>
                </c:pt>
                <c:pt idx="16">
                  <c:v>43700.684942129628</c:v>
                </c:pt>
                <c:pt idx="17">
                  <c:v>43700.686608796299</c:v>
                </c:pt>
                <c:pt idx="18">
                  <c:v>43701.343425925923</c:v>
                </c:pt>
                <c:pt idx="19">
                  <c:v>43701.345208333332</c:v>
                </c:pt>
                <c:pt idx="20">
                  <c:v>43701.416527777779</c:v>
                </c:pt>
                <c:pt idx="21">
                  <c:v>43701.418182870373</c:v>
                </c:pt>
                <c:pt idx="22">
                  <c:v>43701.495196759257</c:v>
                </c:pt>
                <c:pt idx="23">
                  <c:v>43701.496863425928</c:v>
                </c:pt>
                <c:pt idx="24">
                  <c:v>43701.585358796299</c:v>
                </c:pt>
                <c:pt idx="25">
                  <c:v>43701.587453703702</c:v>
                </c:pt>
                <c:pt idx="26">
                  <c:v>43701.671678240738</c:v>
                </c:pt>
                <c:pt idx="27">
                  <c:v>43701.674675925926</c:v>
                </c:pt>
                <c:pt idx="28">
                  <c:v>43702.3358912037</c:v>
                </c:pt>
                <c:pt idx="29">
                  <c:v>43702.337534722225</c:v>
                </c:pt>
                <c:pt idx="30">
                  <c:v>43702.420127314814</c:v>
                </c:pt>
                <c:pt idx="31">
                  <c:v>43702.423414351855</c:v>
                </c:pt>
                <c:pt idx="32">
                  <c:v>43702.510752314818</c:v>
                </c:pt>
                <c:pt idx="33">
                  <c:v>43702.513148148151</c:v>
                </c:pt>
                <c:pt idx="34">
                  <c:v>43702.595509259256</c:v>
                </c:pt>
                <c:pt idx="35">
                  <c:v>43702.597222222219</c:v>
                </c:pt>
                <c:pt idx="36">
                  <c:v>43702.730810185189</c:v>
                </c:pt>
                <c:pt idx="37">
                  <c:v>43702.732430555552</c:v>
                </c:pt>
                <c:pt idx="38">
                  <c:v>43703.400763888887</c:v>
                </c:pt>
                <c:pt idx="39">
                  <c:v>43703.402430555558</c:v>
                </c:pt>
                <c:pt idx="40">
                  <c:v>43703.493935185186</c:v>
                </c:pt>
                <c:pt idx="41">
                  <c:v>43703.495520833334</c:v>
                </c:pt>
                <c:pt idx="42">
                  <c:v>43703.581678240742</c:v>
                </c:pt>
                <c:pt idx="43">
                  <c:v>43703.583240740743</c:v>
                </c:pt>
                <c:pt idx="44">
                  <c:v>43703.696458333332</c:v>
                </c:pt>
                <c:pt idx="45">
                  <c:v>43703.698935185188</c:v>
                </c:pt>
                <c:pt idx="46">
                  <c:v>43703.753391203703</c:v>
                </c:pt>
                <c:pt idx="47">
                  <c:v>43703.75513888889</c:v>
                </c:pt>
                <c:pt idx="48">
                  <c:v>43703.847083333334</c:v>
                </c:pt>
                <c:pt idx="49">
                  <c:v>43703.851099537038</c:v>
                </c:pt>
                <c:pt idx="50">
                  <c:v>43703.920300925929</c:v>
                </c:pt>
                <c:pt idx="51">
                  <c:v>43703.932627314818</c:v>
                </c:pt>
                <c:pt idx="52">
                  <c:v>43704.017384259256</c:v>
                </c:pt>
                <c:pt idx="53">
                  <c:v>43704.019097222219</c:v>
                </c:pt>
                <c:pt idx="54">
                  <c:v>43704.043587962966</c:v>
                </c:pt>
                <c:pt idx="55">
                  <c:v>43704.045104166667</c:v>
                </c:pt>
                <c:pt idx="56">
                  <c:v>43704.312256944446</c:v>
                </c:pt>
                <c:pt idx="57">
                  <c:v>43704.314305555556</c:v>
                </c:pt>
                <c:pt idx="58">
                  <c:v>43704.39334490741</c:v>
                </c:pt>
                <c:pt idx="59">
                  <c:v>43704.395787037036</c:v>
                </c:pt>
                <c:pt idx="60">
                  <c:v>43704.495856481481</c:v>
                </c:pt>
                <c:pt idx="61">
                  <c:v>43704.497928240744</c:v>
                </c:pt>
                <c:pt idx="62">
                  <c:v>43704.563125000001</c:v>
                </c:pt>
                <c:pt idx="63">
                  <c:v>43704.56521990741</c:v>
                </c:pt>
                <c:pt idx="64">
                  <c:v>43704.690601851849</c:v>
                </c:pt>
                <c:pt idx="65">
                  <c:v>43704.692152777781</c:v>
                </c:pt>
                <c:pt idx="66">
                  <c:v>43704.812905092593</c:v>
                </c:pt>
                <c:pt idx="67">
                  <c:v>43704.814432870371</c:v>
                </c:pt>
                <c:pt idx="68">
                  <c:v>43704.891041666669</c:v>
                </c:pt>
                <c:pt idx="69">
                  <c:v>43704.892743055556</c:v>
                </c:pt>
                <c:pt idx="70">
                  <c:v>43704.990601851852</c:v>
                </c:pt>
                <c:pt idx="71">
                  <c:v>43704.9921412037</c:v>
                </c:pt>
                <c:pt idx="72">
                  <c:v>43705.536643518521</c:v>
                </c:pt>
                <c:pt idx="73">
                  <c:v>43705.538668981484</c:v>
                </c:pt>
                <c:pt idx="74">
                  <c:v>43705.716666666667</c:v>
                </c:pt>
                <c:pt idx="75">
                  <c:v>43705.718159722222</c:v>
                </c:pt>
                <c:pt idx="76">
                  <c:v>43705.729456018518</c:v>
                </c:pt>
                <c:pt idx="77">
                  <c:v>43705.73133101852</c:v>
                </c:pt>
                <c:pt idx="78">
                  <c:v>43705.840196759258</c:v>
                </c:pt>
                <c:pt idx="79">
                  <c:v>43705.841689814813</c:v>
                </c:pt>
                <c:pt idx="80">
                  <c:v>43705.971342592595</c:v>
                </c:pt>
                <c:pt idx="81">
                  <c:v>43705.973344907405</c:v>
                </c:pt>
                <c:pt idx="82">
                  <c:v>43705.989363425928</c:v>
                </c:pt>
                <c:pt idx="83">
                  <c:v>43705.990856481483</c:v>
                </c:pt>
                <c:pt idx="84">
                  <c:v>43706.344317129631</c:v>
                </c:pt>
                <c:pt idx="85">
                  <c:v>43706.34642361111</c:v>
                </c:pt>
                <c:pt idx="86">
                  <c:v>43706.44090277778</c:v>
                </c:pt>
                <c:pt idx="87">
                  <c:v>43706.443020833336</c:v>
                </c:pt>
                <c:pt idx="88">
                  <c:v>43706.585057870368</c:v>
                </c:pt>
                <c:pt idx="89">
                  <c:v>43706.587141203701</c:v>
                </c:pt>
                <c:pt idx="90">
                  <c:v>43706.629814814813</c:v>
                </c:pt>
                <c:pt idx="91">
                  <c:v>43706.631898148145</c:v>
                </c:pt>
                <c:pt idx="92">
                  <c:v>43706.72855324074</c:v>
                </c:pt>
                <c:pt idx="93">
                  <c:v>43706.730555555558</c:v>
                </c:pt>
                <c:pt idx="94">
                  <c:v>43706.79515046296</c:v>
                </c:pt>
                <c:pt idx="95">
                  <c:v>43706.797199074077</c:v>
                </c:pt>
                <c:pt idx="96">
                  <c:v>43706.929293981484</c:v>
                </c:pt>
                <c:pt idx="97">
                  <c:v>43706.931284722225</c:v>
                </c:pt>
                <c:pt idx="98">
                  <c:v>43707.003865740742</c:v>
                </c:pt>
                <c:pt idx="99">
                  <c:v>43707.005983796298</c:v>
                </c:pt>
                <c:pt idx="100">
                  <c:v>43707.341921296298</c:v>
                </c:pt>
                <c:pt idx="101">
                  <c:v>43707.344201388885</c:v>
                </c:pt>
                <c:pt idx="102">
                  <c:v>43707.424791666665</c:v>
                </c:pt>
                <c:pt idx="103">
                  <c:v>43707.426979166667</c:v>
                </c:pt>
                <c:pt idx="104">
                  <c:v>43707.532523148147</c:v>
                </c:pt>
                <c:pt idx="105">
                  <c:v>43707.54892361111</c:v>
                </c:pt>
                <c:pt idx="106">
                  <c:v>43707.616724537038</c:v>
                </c:pt>
                <c:pt idx="107">
                  <c:v>43707.625671296293</c:v>
                </c:pt>
                <c:pt idx="108">
                  <c:v>43707.695671296293</c:v>
                </c:pt>
                <c:pt idx="109">
                  <c:v>43707.698912037034</c:v>
                </c:pt>
                <c:pt idx="110">
                  <c:v>43708.315636574072</c:v>
                </c:pt>
                <c:pt idx="111">
                  <c:v>43708.317881944444</c:v>
                </c:pt>
                <c:pt idx="112">
                  <c:v>43708.406631944446</c:v>
                </c:pt>
                <c:pt idx="113">
                  <c:v>43708.410127314812</c:v>
                </c:pt>
                <c:pt idx="114">
                  <c:v>43708.495891203704</c:v>
                </c:pt>
                <c:pt idx="115">
                  <c:v>43708.498067129629</c:v>
                </c:pt>
                <c:pt idx="116">
                  <c:v>43708.573483796295</c:v>
                </c:pt>
                <c:pt idx="117">
                  <c:v>43708.575694444444</c:v>
                </c:pt>
                <c:pt idx="118">
                  <c:v>43708.57917824074</c:v>
                </c:pt>
                <c:pt idx="119">
                  <c:v>43708.582766203705</c:v>
                </c:pt>
                <c:pt idx="120">
                  <c:v>43708.663136574076</c:v>
                </c:pt>
                <c:pt idx="121">
                  <c:v>43708.665543981479</c:v>
                </c:pt>
                <c:pt idx="122">
                  <c:v>43711.338541666664</c:v>
                </c:pt>
                <c:pt idx="123">
                  <c:v>43711.342048611114</c:v>
                </c:pt>
                <c:pt idx="124">
                  <c:v>43711.395474537036</c:v>
                </c:pt>
                <c:pt idx="125">
                  <c:v>43711.397569444445</c:v>
                </c:pt>
                <c:pt idx="126">
                  <c:v>43711.502592592595</c:v>
                </c:pt>
                <c:pt idx="127">
                  <c:v>43711.504675925928</c:v>
                </c:pt>
                <c:pt idx="128">
                  <c:v>43711.59138888889</c:v>
                </c:pt>
                <c:pt idx="129">
                  <c:v>43711.593831018516</c:v>
                </c:pt>
                <c:pt idx="130">
                  <c:v>43711.696956018517</c:v>
                </c:pt>
                <c:pt idx="131">
                  <c:v>43711.699143518519</c:v>
                </c:pt>
                <c:pt idx="132">
                  <c:v>43711.785717592589</c:v>
                </c:pt>
                <c:pt idx="133">
                  <c:v>43711.787812499999</c:v>
                </c:pt>
                <c:pt idx="134">
                  <c:v>43711.857835648145</c:v>
                </c:pt>
                <c:pt idx="135">
                  <c:v>43711.860092592593</c:v>
                </c:pt>
                <c:pt idx="136">
                  <c:v>43711.959548611114</c:v>
                </c:pt>
                <c:pt idx="137">
                  <c:v>43711.961574074077</c:v>
                </c:pt>
                <c:pt idx="138">
                  <c:v>43712.034583333334</c:v>
                </c:pt>
                <c:pt idx="139">
                  <c:v>43712.036643518521</c:v>
                </c:pt>
                <c:pt idx="140">
                  <c:v>43712.321018518516</c:v>
                </c:pt>
                <c:pt idx="141">
                  <c:v>43712.323101851849</c:v>
                </c:pt>
              </c:numCache>
            </c:numRef>
          </c:xVal>
          <c:yVal>
            <c:numRef>
              <c:f>'AMP3-4'!$AI$9:$AI$150</c:f>
              <c:numCache>
                <c:formatCode>General</c:formatCode>
                <c:ptCount val="142"/>
                <c:pt idx="0">
                  <c:v>-0.15</c:v>
                </c:pt>
                <c:pt idx="1">
                  <c:v>0.192</c:v>
                </c:pt>
                <c:pt idx="2">
                  <c:v>8.8999999999999996E-2</c:v>
                </c:pt>
                <c:pt idx="3">
                  <c:v>0.104</c:v>
                </c:pt>
                <c:pt idx="4">
                  <c:v>9.6000000000000002E-2</c:v>
                </c:pt>
                <c:pt idx="5">
                  <c:v>0.16700000000000001</c:v>
                </c:pt>
                <c:pt idx="6">
                  <c:v>0.217</c:v>
                </c:pt>
                <c:pt idx="7">
                  <c:v>0.14399999999999999</c:v>
                </c:pt>
                <c:pt idx="8">
                  <c:v>5.6000000000000001E-2</c:v>
                </c:pt>
                <c:pt idx="9">
                  <c:v>0.13600000000000001</c:v>
                </c:pt>
                <c:pt idx="10">
                  <c:v>0.12</c:v>
                </c:pt>
                <c:pt idx="11">
                  <c:v>3.9E-2</c:v>
                </c:pt>
                <c:pt idx="12">
                  <c:v>0.251</c:v>
                </c:pt>
                <c:pt idx="13">
                  <c:v>0.17799999999999999</c:v>
                </c:pt>
                <c:pt idx="14">
                  <c:v>0.187</c:v>
                </c:pt>
                <c:pt idx="15">
                  <c:v>-4.2999999999999997E-2</c:v>
                </c:pt>
                <c:pt idx="16">
                  <c:v>0.153</c:v>
                </c:pt>
                <c:pt idx="17">
                  <c:v>3.6999999999999998E-2</c:v>
                </c:pt>
                <c:pt idx="18">
                  <c:v>0.20499999999999999</c:v>
                </c:pt>
                <c:pt idx="19">
                  <c:v>0.23200000000000001</c:v>
                </c:pt>
                <c:pt idx="20">
                  <c:v>0.158</c:v>
                </c:pt>
                <c:pt idx="21">
                  <c:v>4.9000000000000002E-2</c:v>
                </c:pt>
                <c:pt idx="22">
                  <c:v>0.121</c:v>
                </c:pt>
                <c:pt idx="23">
                  <c:v>0.10100000000000001</c:v>
                </c:pt>
                <c:pt idx="24">
                  <c:v>9.2999999999999999E-2</c:v>
                </c:pt>
                <c:pt idx="25">
                  <c:v>3.6999999999999998E-2</c:v>
                </c:pt>
                <c:pt idx="26">
                  <c:v>3.3000000000000002E-2</c:v>
                </c:pt>
                <c:pt idx="27">
                  <c:v>0.11899999999999999</c:v>
                </c:pt>
                <c:pt idx="28">
                  <c:v>0.154</c:v>
                </c:pt>
                <c:pt idx="29">
                  <c:v>0.17100000000000001</c:v>
                </c:pt>
                <c:pt idx="30">
                  <c:v>5.8999999999999997E-2</c:v>
                </c:pt>
                <c:pt idx="31">
                  <c:v>0.21099999999999999</c:v>
                </c:pt>
                <c:pt idx="32">
                  <c:v>3.9E-2</c:v>
                </c:pt>
                <c:pt idx="33">
                  <c:v>0.25700000000000001</c:v>
                </c:pt>
                <c:pt idx="34">
                  <c:v>2.1999999999999999E-2</c:v>
                </c:pt>
                <c:pt idx="35">
                  <c:v>4.3999999999999997E-2</c:v>
                </c:pt>
                <c:pt idx="36">
                  <c:v>5.1999999999999998E-2</c:v>
                </c:pt>
                <c:pt idx="37">
                  <c:v>0.14799999999999999</c:v>
                </c:pt>
                <c:pt idx="38">
                  <c:v>0.20599999999999999</c:v>
                </c:pt>
                <c:pt idx="39">
                  <c:v>8.6999999999999994E-2</c:v>
                </c:pt>
                <c:pt idx="40">
                  <c:v>0.188</c:v>
                </c:pt>
                <c:pt idx="41">
                  <c:v>7.9000000000000001E-2</c:v>
                </c:pt>
                <c:pt idx="42">
                  <c:v>0.14699999999999999</c:v>
                </c:pt>
                <c:pt idx="43">
                  <c:v>-5.5E-2</c:v>
                </c:pt>
                <c:pt idx="44">
                  <c:v>7.1999999999999995E-2</c:v>
                </c:pt>
                <c:pt idx="45">
                  <c:v>6.0000000000000001E-3</c:v>
                </c:pt>
                <c:pt idx="46">
                  <c:v>7.3999999999999996E-2</c:v>
                </c:pt>
                <c:pt idx="47">
                  <c:v>1E-3</c:v>
                </c:pt>
                <c:pt idx="48">
                  <c:v>9.8000000000000004E-2</c:v>
                </c:pt>
                <c:pt idx="49">
                  <c:v>-0.14899999999999999</c:v>
                </c:pt>
                <c:pt idx="50">
                  <c:v>-2.1000000000000001E-2</c:v>
                </c:pt>
                <c:pt idx="51">
                  <c:v>-1.0999999999999999E-2</c:v>
                </c:pt>
                <c:pt idx="52">
                  <c:v>0.17199999999999999</c:v>
                </c:pt>
                <c:pt idx="53">
                  <c:v>-1.7999999999999999E-2</c:v>
                </c:pt>
                <c:pt idx="54">
                  <c:v>0.105</c:v>
                </c:pt>
                <c:pt idx="55">
                  <c:v>3.5000000000000003E-2</c:v>
                </c:pt>
                <c:pt idx="56">
                  <c:v>0.13</c:v>
                </c:pt>
                <c:pt idx="57">
                  <c:v>0.105</c:v>
                </c:pt>
                <c:pt idx="58">
                  <c:v>0.124</c:v>
                </c:pt>
                <c:pt idx="59">
                  <c:v>5.2999999999999999E-2</c:v>
                </c:pt>
                <c:pt idx="60">
                  <c:v>5.1999999999999998E-2</c:v>
                </c:pt>
                <c:pt idx="61">
                  <c:v>3.0000000000000001E-3</c:v>
                </c:pt>
                <c:pt idx="62">
                  <c:v>-2.8000000000000001E-2</c:v>
                </c:pt>
                <c:pt idx="63">
                  <c:v>-2.3E-2</c:v>
                </c:pt>
                <c:pt idx="64">
                  <c:v>0</c:v>
                </c:pt>
                <c:pt idx="65">
                  <c:v>-5.0000000000000001E-3</c:v>
                </c:pt>
                <c:pt idx="66">
                  <c:v>-0.13500000000000001</c:v>
                </c:pt>
                <c:pt idx="67">
                  <c:v>-0.99199999999999999</c:v>
                </c:pt>
                <c:pt idx="68">
                  <c:v>-0.19700000000000001</c:v>
                </c:pt>
                <c:pt idx="69">
                  <c:v>0.22500000000000001</c:v>
                </c:pt>
                <c:pt idx="70">
                  <c:v>5.6000000000000001E-2</c:v>
                </c:pt>
                <c:pt idx="71">
                  <c:v>-5.3999999999999999E-2</c:v>
                </c:pt>
                <c:pt idx="72">
                  <c:v>4.8000000000000001E-2</c:v>
                </c:pt>
                <c:pt idx="73">
                  <c:v>-0.02</c:v>
                </c:pt>
                <c:pt idx="74">
                  <c:v>0.13400000000000001</c:v>
                </c:pt>
                <c:pt idx="75">
                  <c:v>-5.1999999999999998E-2</c:v>
                </c:pt>
                <c:pt idx="76">
                  <c:v>0.127</c:v>
                </c:pt>
                <c:pt idx="77">
                  <c:v>-0.14399999999999999</c:v>
                </c:pt>
                <c:pt idx="78">
                  <c:v>4.1000000000000002E-2</c:v>
                </c:pt>
                <c:pt idx="79">
                  <c:v>-0.16500000000000001</c:v>
                </c:pt>
                <c:pt idx="80">
                  <c:v>-0.12</c:v>
                </c:pt>
                <c:pt idx="81">
                  <c:v>-9.0999999999999998E-2</c:v>
                </c:pt>
                <c:pt idx="82">
                  <c:v>0.126</c:v>
                </c:pt>
                <c:pt idx="83">
                  <c:v>-5.5E-2</c:v>
                </c:pt>
                <c:pt idx="84">
                  <c:v>0.129</c:v>
                </c:pt>
                <c:pt idx="85">
                  <c:v>6.9000000000000006E-2</c:v>
                </c:pt>
                <c:pt idx="86">
                  <c:v>6.6000000000000003E-2</c:v>
                </c:pt>
                <c:pt idx="87">
                  <c:v>-7.0000000000000001E-3</c:v>
                </c:pt>
                <c:pt idx="88">
                  <c:v>0.14499999999999999</c:v>
                </c:pt>
                <c:pt idx="89">
                  <c:v>-0.04</c:v>
                </c:pt>
                <c:pt idx="90">
                  <c:v>-7.0000000000000001E-3</c:v>
                </c:pt>
                <c:pt idx="91">
                  <c:v>0.14099999999999999</c:v>
                </c:pt>
                <c:pt idx="92">
                  <c:v>-4.2000000000000003E-2</c:v>
                </c:pt>
                <c:pt idx="93">
                  <c:v>-3.5999999999999997E-2</c:v>
                </c:pt>
                <c:pt idx="94">
                  <c:v>-2.7E-2</c:v>
                </c:pt>
                <c:pt idx="95">
                  <c:v>-1.4E-2</c:v>
                </c:pt>
                <c:pt idx="96">
                  <c:v>6.3E-2</c:v>
                </c:pt>
                <c:pt idx="97">
                  <c:v>2.9000000000000001E-2</c:v>
                </c:pt>
                <c:pt idx="98">
                  <c:v>3.7999999999999999E-2</c:v>
                </c:pt>
                <c:pt idx="99">
                  <c:v>1.9E-2</c:v>
                </c:pt>
                <c:pt idx="100">
                  <c:v>1.6E-2</c:v>
                </c:pt>
                <c:pt idx="101">
                  <c:v>4.1000000000000002E-2</c:v>
                </c:pt>
                <c:pt idx="102">
                  <c:v>0.02</c:v>
                </c:pt>
                <c:pt idx="103">
                  <c:v>-2.1000000000000001E-2</c:v>
                </c:pt>
                <c:pt idx="104">
                  <c:v>-1.6E-2</c:v>
                </c:pt>
                <c:pt idx="105">
                  <c:v>0</c:v>
                </c:pt>
                <c:pt idx="106">
                  <c:v>5.7000000000000002E-2</c:v>
                </c:pt>
                <c:pt idx="107">
                  <c:v>-0.02</c:v>
                </c:pt>
                <c:pt idx="108">
                  <c:v>1.4999999999999999E-2</c:v>
                </c:pt>
                <c:pt idx="109">
                  <c:v>3.9E-2</c:v>
                </c:pt>
                <c:pt idx="110">
                  <c:v>-0.105</c:v>
                </c:pt>
                <c:pt idx="111">
                  <c:v>0.35</c:v>
                </c:pt>
                <c:pt idx="112">
                  <c:v>4.9000000000000002E-2</c:v>
                </c:pt>
                <c:pt idx="113">
                  <c:v>-8.5000000000000006E-2</c:v>
                </c:pt>
                <c:pt idx="114">
                  <c:v>5.0000000000000001E-3</c:v>
                </c:pt>
                <c:pt idx="115">
                  <c:v>-7.2999999999999995E-2</c:v>
                </c:pt>
                <c:pt idx="116">
                  <c:v>-3.4000000000000002E-2</c:v>
                </c:pt>
                <c:pt idx="117">
                  <c:v>5.8999999999999997E-2</c:v>
                </c:pt>
                <c:pt idx="118">
                  <c:v>-0.153</c:v>
                </c:pt>
                <c:pt idx="119">
                  <c:v>-0.20599999999999999</c:v>
                </c:pt>
                <c:pt idx="120">
                  <c:v>-3.1E-2</c:v>
                </c:pt>
                <c:pt idx="121">
                  <c:v>-0.109</c:v>
                </c:pt>
                <c:pt idx="122">
                  <c:v>4.0000000000000001E-3</c:v>
                </c:pt>
                <c:pt idx="123">
                  <c:v>0.112</c:v>
                </c:pt>
                <c:pt idx="124">
                  <c:v>-0.05</c:v>
                </c:pt>
                <c:pt idx="125">
                  <c:v>2.3E-2</c:v>
                </c:pt>
                <c:pt idx="126">
                  <c:v>0.113</c:v>
                </c:pt>
                <c:pt idx="127">
                  <c:v>0.09</c:v>
                </c:pt>
                <c:pt idx="128">
                  <c:v>0.14799999999999999</c:v>
                </c:pt>
                <c:pt idx="129">
                  <c:v>-0.17799999999999999</c:v>
                </c:pt>
                <c:pt idx="130">
                  <c:v>8.1000000000000003E-2</c:v>
                </c:pt>
                <c:pt idx="131">
                  <c:v>-1E-3</c:v>
                </c:pt>
                <c:pt idx="132">
                  <c:v>9.5000000000000001E-2</c:v>
                </c:pt>
                <c:pt idx="133">
                  <c:v>3.2000000000000001E-2</c:v>
                </c:pt>
                <c:pt idx="134">
                  <c:v>0.11600000000000001</c:v>
                </c:pt>
                <c:pt idx="135">
                  <c:v>-2.5999999999999999E-2</c:v>
                </c:pt>
                <c:pt idx="136">
                  <c:v>-4.9000000000000002E-2</c:v>
                </c:pt>
                <c:pt idx="137">
                  <c:v>-0.25800000000000001</c:v>
                </c:pt>
                <c:pt idx="138">
                  <c:v>9.5000000000000001E-2</c:v>
                </c:pt>
                <c:pt idx="139">
                  <c:v>3.0000000000000001E-3</c:v>
                </c:pt>
                <c:pt idx="140">
                  <c:v>0.16400000000000001</c:v>
                </c:pt>
                <c:pt idx="141">
                  <c:v>-5.0999999999999997E-2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7-47A4-9050-C936CD3AFEA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('AMP3-4'!$AI$4,'AMP3-4'!$AI$4)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7-47A4-9050-C936CD3AFEA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('AMP3-4'!$C$1,'AMP3-4'!$C$2)</c:f>
              <c:numCache>
                <c:formatCode>m/d/yy\ h:mm;@</c:formatCode>
                <c:ptCount val="2"/>
                <c:pt idx="0">
                  <c:v>43698.519699074073</c:v>
                </c:pt>
                <c:pt idx="1">
                  <c:v>43712.323101851849</c:v>
                </c:pt>
              </c:numCache>
            </c:numRef>
          </c:xVal>
          <c:yVal>
            <c:numRef>
              <c:f>('AMP3-4'!$AI$5,'AMP3-4'!$AI$5)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7-47A4-9050-C936CD3AF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5600"/>
        <c:axId val="462445992"/>
      </c:scatterChart>
      <c:valAx>
        <c:axId val="46244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5992"/>
        <c:crosses val="autoZero"/>
        <c:crossBetween val="midCat"/>
      </c:valAx>
      <c:valAx>
        <c:axId val="4624459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'AMP4-2'!$F$9:$F$188</c:f>
              <c:numCache>
                <c:formatCode>General</c:formatCode>
                <c:ptCount val="180"/>
                <c:pt idx="0">
                  <c:v>40.985999999999997</c:v>
                </c:pt>
                <c:pt idx="2">
                  <c:v>41.045999999999999</c:v>
                </c:pt>
                <c:pt idx="4">
                  <c:v>41.03</c:v>
                </c:pt>
                <c:pt idx="6">
                  <c:v>41.314</c:v>
                </c:pt>
                <c:pt idx="8">
                  <c:v>41.232999999999997</c:v>
                </c:pt>
                <c:pt idx="10">
                  <c:v>41.32</c:v>
                </c:pt>
                <c:pt idx="12">
                  <c:v>41.223999999999997</c:v>
                </c:pt>
                <c:pt idx="14">
                  <c:v>41.087000000000003</c:v>
                </c:pt>
                <c:pt idx="16">
                  <c:v>41.32</c:v>
                </c:pt>
                <c:pt idx="18">
                  <c:v>41.213999999999999</c:v>
                </c:pt>
                <c:pt idx="20">
                  <c:v>41.2</c:v>
                </c:pt>
                <c:pt idx="22">
                  <c:v>40.840000000000003</c:v>
                </c:pt>
                <c:pt idx="24">
                  <c:v>41.180999999999997</c:v>
                </c:pt>
                <c:pt idx="26">
                  <c:v>41.218000000000004</c:v>
                </c:pt>
                <c:pt idx="28">
                  <c:v>41.265999999999998</c:v>
                </c:pt>
                <c:pt idx="30">
                  <c:v>41.036999999999999</c:v>
                </c:pt>
                <c:pt idx="32">
                  <c:v>41.005000000000003</c:v>
                </c:pt>
                <c:pt idx="34">
                  <c:v>41.104999999999997</c:v>
                </c:pt>
                <c:pt idx="36">
                  <c:v>41.07</c:v>
                </c:pt>
                <c:pt idx="38">
                  <c:v>40.954999999999998</c:v>
                </c:pt>
                <c:pt idx="40">
                  <c:v>40.912999999999997</c:v>
                </c:pt>
                <c:pt idx="42">
                  <c:v>40.753</c:v>
                </c:pt>
                <c:pt idx="44">
                  <c:v>40.984000000000002</c:v>
                </c:pt>
                <c:pt idx="46">
                  <c:v>40.887</c:v>
                </c:pt>
                <c:pt idx="48">
                  <c:v>41.029000000000003</c:v>
                </c:pt>
                <c:pt idx="50">
                  <c:v>40.917999999999999</c:v>
                </c:pt>
                <c:pt idx="52">
                  <c:v>40.887</c:v>
                </c:pt>
                <c:pt idx="54">
                  <c:v>40.96</c:v>
                </c:pt>
                <c:pt idx="56">
                  <c:v>40.850999999999999</c:v>
                </c:pt>
                <c:pt idx="58">
                  <c:v>40.814999999999998</c:v>
                </c:pt>
                <c:pt idx="60">
                  <c:v>40.881999999999998</c:v>
                </c:pt>
                <c:pt idx="62">
                  <c:v>40.707999999999998</c:v>
                </c:pt>
                <c:pt idx="64">
                  <c:v>41.17</c:v>
                </c:pt>
                <c:pt idx="66">
                  <c:v>41.064</c:v>
                </c:pt>
                <c:pt idx="68">
                  <c:v>41.045000000000002</c:v>
                </c:pt>
                <c:pt idx="70">
                  <c:v>40.963999999999999</c:v>
                </c:pt>
                <c:pt idx="72">
                  <c:v>41.274999999999999</c:v>
                </c:pt>
                <c:pt idx="74">
                  <c:v>41.576000000000001</c:v>
                </c:pt>
                <c:pt idx="76">
                  <c:v>41.517000000000003</c:v>
                </c:pt>
                <c:pt idx="78">
                  <c:v>41.405999999999999</c:v>
                </c:pt>
                <c:pt idx="80">
                  <c:v>41.502000000000002</c:v>
                </c:pt>
                <c:pt idx="82">
                  <c:v>41.518000000000001</c:v>
                </c:pt>
                <c:pt idx="84">
                  <c:v>41.395000000000003</c:v>
                </c:pt>
                <c:pt idx="86">
                  <c:v>41.396999999999998</c:v>
                </c:pt>
                <c:pt idx="88">
                  <c:v>41.384</c:v>
                </c:pt>
                <c:pt idx="90">
                  <c:v>41.213999999999999</c:v>
                </c:pt>
                <c:pt idx="92">
                  <c:v>41.218000000000004</c:v>
                </c:pt>
                <c:pt idx="94">
                  <c:v>41.430999999999997</c:v>
                </c:pt>
                <c:pt idx="96">
                  <c:v>41.427999999999997</c:v>
                </c:pt>
                <c:pt idx="98">
                  <c:v>41.356999999999999</c:v>
                </c:pt>
                <c:pt idx="100">
                  <c:v>41.314999999999998</c:v>
                </c:pt>
                <c:pt idx="102">
                  <c:v>41.183999999999997</c:v>
                </c:pt>
                <c:pt idx="104">
                  <c:v>41.286999999999999</c:v>
                </c:pt>
                <c:pt idx="106">
                  <c:v>41.232999999999997</c:v>
                </c:pt>
                <c:pt idx="108">
                  <c:v>41.210999999999999</c:v>
                </c:pt>
                <c:pt idx="110">
                  <c:v>41.216999999999999</c:v>
                </c:pt>
                <c:pt idx="112">
                  <c:v>41.243000000000002</c:v>
                </c:pt>
                <c:pt idx="114">
                  <c:v>41.502000000000002</c:v>
                </c:pt>
                <c:pt idx="116">
                  <c:v>41.411999999999999</c:v>
                </c:pt>
                <c:pt idx="118">
                  <c:v>41.244</c:v>
                </c:pt>
                <c:pt idx="120">
                  <c:v>41.566000000000003</c:v>
                </c:pt>
                <c:pt idx="122">
                  <c:v>41.482999999999997</c:v>
                </c:pt>
                <c:pt idx="124">
                  <c:v>41.49</c:v>
                </c:pt>
                <c:pt idx="126">
                  <c:v>41.402000000000001</c:v>
                </c:pt>
                <c:pt idx="128">
                  <c:v>41.569000000000003</c:v>
                </c:pt>
                <c:pt idx="130">
                  <c:v>41.484999999999999</c:v>
                </c:pt>
                <c:pt idx="132">
                  <c:v>41.579000000000001</c:v>
                </c:pt>
                <c:pt idx="134">
                  <c:v>41.389000000000003</c:v>
                </c:pt>
                <c:pt idx="136">
                  <c:v>41.252000000000002</c:v>
                </c:pt>
                <c:pt idx="138">
                  <c:v>41.37</c:v>
                </c:pt>
                <c:pt idx="140">
                  <c:v>41.326000000000001</c:v>
                </c:pt>
                <c:pt idx="142">
                  <c:v>41.351999999999997</c:v>
                </c:pt>
                <c:pt idx="144">
                  <c:v>41.335000000000001</c:v>
                </c:pt>
                <c:pt idx="146">
                  <c:v>41.231000000000002</c:v>
                </c:pt>
                <c:pt idx="148">
                  <c:v>41.255000000000003</c:v>
                </c:pt>
                <c:pt idx="150">
                  <c:v>41.405999999999999</c:v>
                </c:pt>
                <c:pt idx="152">
                  <c:v>41.262</c:v>
                </c:pt>
                <c:pt idx="154">
                  <c:v>41.305999999999997</c:v>
                </c:pt>
                <c:pt idx="156">
                  <c:v>41.279000000000003</c:v>
                </c:pt>
                <c:pt idx="158">
                  <c:v>41.026000000000003</c:v>
                </c:pt>
                <c:pt idx="160">
                  <c:v>41.505000000000003</c:v>
                </c:pt>
                <c:pt idx="162">
                  <c:v>41.542999999999999</c:v>
                </c:pt>
                <c:pt idx="164">
                  <c:v>41.372</c:v>
                </c:pt>
                <c:pt idx="166">
                  <c:v>41.465000000000003</c:v>
                </c:pt>
                <c:pt idx="168">
                  <c:v>41.573999999999998</c:v>
                </c:pt>
                <c:pt idx="170">
                  <c:v>41.323</c:v>
                </c:pt>
                <c:pt idx="172">
                  <c:v>41.368000000000002</c:v>
                </c:pt>
                <c:pt idx="174">
                  <c:v>41.387999999999998</c:v>
                </c:pt>
                <c:pt idx="176">
                  <c:v>41.29</c:v>
                </c:pt>
                <c:pt idx="178">
                  <c:v>41.322000000000003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61C-A535-C3F6E982AF9E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D03-461C-A535-C3F6E982AF9E}"/>
              </c:ext>
            </c:extLst>
          </c:dPt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('AMP4-2'!$F$4,'AMP4-2'!$F$4)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03-461C-A535-C3F6E982AF9E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03-461C-A535-C3F6E982AF9E}"/>
              </c:ext>
            </c:extLst>
          </c:dPt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('AMP4-2'!$F$5,'AMP4-2'!$F$5)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03-461C-A535-C3F6E982A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7560"/>
        <c:axId val="462447952"/>
      </c:scatterChart>
      <c:valAx>
        <c:axId val="46244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7952"/>
        <c:crosses val="autoZero"/>
        <c:crossBetween val="midCat"/>
      </c:valAx>
      <c:valAx>
        <c:axId val="4624479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'AMP4-2'!$G$9:$G$188</c:f>
              <c:numCache>
                <c:formatCode>General</c:formatCode>
                <c:ptCount val="180"/>
                <c:pt idx="0">
                  <c:v>40.975999999999999</c:v>
                </c:pt>
                <c:pt idx="2">
                  <c:v>40.911999999999999</c:v>
                </c:pt>
                <c:pt idx="4">
                  <c:v>41.155000000000001</c:v>
                </c:pt>
                <c:pt idx="6">
                  <c:v>41.222999999999999</c:v>
                </c:pt>
                <c:pt idx="8">
                  <c:v>41.073</c:v>
                </c:pt>
                <c:pt idx="10">
                  <c:v>41.274000000000001</c:v>
                </c:pt>
                <c:pt idx="12">
                  <c:v>41.143000000000001</c:v>
                </c:pt>
                <c:pt idx="14">
                  <c:v>41.194000000000003</c:v>
                </c:pt>
                <c:pt idx="16">
                  <c:v>41.228000000000002</c:v>
                </c:pt>
                <c:pt idx="18">
                  <c:v>41.067999999999998</c:v>
                </c:pt>
                <c:pt idx="20">
                  <c:v>41.097999999999999</c:v>
                </c:pt>
                <c:pt idx="22">
                  <c:v>40.902000000000001</c:v>
                </c:pt>
                <c:pt idx="24">
                  <c:v>41.06</c:v>
                </c:pt>
                <c:pt idx="26">
                  <c:v>41.045999999999999</c:v>
                </c:pt>
                <c:pt idx="28">
                  <c:v>41.07</c:v>
                </c:pt>
                <c:pt idx="30">
                  <c:v>40.920999999999999</c:v>
                </c:pt>
                <c:pt idx="32">
                  <c:v>40.765999999999998</c:v>
                </c:pt>
                <c:pt idx="34">
                  <c:v>40.936999999999998</c:v>
                </c:pt>
                <c:pt idx="36">
                  <c:v>40.951000000000001</c:v>
                </c:pt>
                <c:pt idx="38">
                  <c:v>40.783000000000001</c:v>
                </c:pt>
                <c:pt idx="40">
                  <c:v>40.795999999999999</c:v>
                </c:pt>
                <c:pt idx="42">
                  <c:v>40.628</c:v>
                </c:pt>
                <c:pt idx="44">
                  <c:v>40.805999999999997</c:v>
                </c:pt>
                <c:pt idx="46">
                  <c:v>40.72</c:v>
                </c:pt>
                <c:pt idx="48">
                  <c:v>40.862000000000002</c:v>
                </c:pt>
                <c:pt idx="50">
                  <c:v>40.784999999999997</c:v>
                </c:pt>
                <c:pt idx="52">
                  <c:v>40.756</c:v>
                </c:pt>
                <c:pt idx="54">
                  <c:v>40.866999999999997</c:v>
                </c:pt>
                <c:pt idx="56">
                  <c:v>40.710999999999999</c:v>
                </c:pt>
                <c:pt idx="58">
                  <c:v>40.722999999999999</c:v>
                </c:pt>
                <c:pt idx="60">
                  <c:v>40.722999999999999</c:v>
                </c:pt>
                <c:pt idx="62">
                  <c:v>40.54</c:v>
                </c:pt>
                <c:pt idx="64">
                  <c:v>40.954999999999998</c:v>
                </c:pt>
                <c:pt idx="66">
                  <c:v>40.819000000000003</c:v>
                </c:pt>
                <c:pt idx="68">
                  <c:v>40.860999999999997</c:v>
                </c:pt>
                <c:pt idx="70">
                  <c:v>40.698</c:v>
                </c:pt>
                <c:pt idx="72">
                  <c:v>41.091000000000001</c:v>
                </c:pt>
                <c:pt idx="74">
                  <c:v>41.442999999999998</c:v>
                </c:pt>
                <c:pt idx="76">
                  <c:v>41.392000000000003</c:v>
                </c:pt>
                <c:pt idx="78">
                  <c:v>41.292999999999999</c:v>
                </c:pt>
                <c:pt idx="80">
                  <c:v>41.375</c:v>
                </c:pt>
                <c:pt idx="82">
                  <c:v>41.412999999999997</c:v>
                </c:pt>
                <c:pt idx="84">
                  <c:v>41.363999999999997</c:v>
                </c:pt>
                <c:pt idx="86">
                  <c:v>41.271000000000001</c:v>
                </c:pt>
                <c:pt idx="88">
                  <c:v>41.277000000000001</c:v>
                </c:pt>
                <c:pt idx="90">
                  <c:v>41.140999999999998</c:v>
                </c:pt>
                <c:pt idx="92">
                  <c:v>41.079000000000001</c:v>
                </c:pt>
                <c:pt idx="94">
                  <c:v>41.356999999999999</c:v>
                </c:pt>
                <c:pt idx="96">
                  <c:v>41.268000000000001</c:v>
                </c:pt>
                <c:pt idx="98">
                  <c:v>41.343000000000004</c:v>
                </c:pt>
                <c:pt idx="100">
                  <c:v>41.113999999999997</c:v>
                </c:pt>
                <c:pt idx="102">
                  <c:v>41.097000000000001</c:v>
                </c:pt>
                <c:pt idx="104">
                  <c:v>41.125</c:v>
                </c:pt>
                <c:pt idx="106">
                  <c:v>40.936</c:v>
                </c:pt>
                <c:pt idx="108">
                  <c:v>40.988999999999997</c:v>
                </c:pt>
                <c:pt idx="110">
                  <c:v>40.997999999999998</c:v>
                </c:pt>
                <c:pt idx="112">
                  <c:v>41.040999999999997</c:v>
                </c:pt>
                <c:pt idx="114">
                  <c:v>41.366</c:v>
                </c:pt>
                <c:pt idx="116">
                  <c:v>41.332999999999998</c:v>
                </c:pt>
                <c:pt idx="118">
                  <c:v>41.375999999999998</c:v>
                </c:pt>
                <c:pt idx="120">
                  <c:v>41.542999999999999</c:v>
                </c:pt>
                <c:pt idx="122">
                  <c:v>41.356999999999999</c:v>
                </c:pt>
                <c:pt idx="124">
                  <c:v>41.439</c:v>
                </c:pt>
                <c:pt idx="126">
                  <c:v>41.343000000000004</c:v>
                </c:pt>
                <c:pt idx="128">
                  <c:v>41.554000000000002</c:v>
                </c:pt>
                <c:pt idx="130">
                  <c:v>41.43</c:v>
                </c:pt>
                <c:pt idx="132">
                  <c:v>41.509</c:v>
                </c:pt>
                <c:pt idx="134">
                  <c:v>41.292000000000002</c:v>
                </c:pt>
                <c:pt idx="136">
                  <c:v>41.168999999999997</c:v>
                </c:pt>
                <c:pt idx="138">
                  <c:v>41.256999999999998</c:v>
                </c:pt>
                <c:pt idx="140">
                  <c:v>41.4</c:v>
                </c:pt>
                <c:pt idx="142">
                  <c:v>41.274000000000001</c:v>
                </c:pt>
                <c:pt idx="144">
                  <c:v>41.222999999999999</c:v>
                </c:pt>
                <c:pt idx="146">
                  <c:v>41.116999999999997</c:v>
                </c:pt>
                <c:pt idx="148">
                  <c:v>41.067</c:v>
                </c:pt>
                <c:pt idx="150">
                  <c:v>41.231000000000002</c:v>
                </c:pt>
                <c:pt idx="152">
                  <c:v>41.113</c:v>
                </c:pt>
                <c:pt idx="154">
                  <c:v>41.073</c:v>
                </c:pt>
                <c:pt idx="156">
                  <c:v>41.05</c:v>
                </c:pt>
                <c:pt idx="158">
                  <c:v>40.917000000000002</c:v>
                </c:pt>
                <c:pt idx="160">
                  <c:v>41.18</c:v>
                </c:pt>
                <c:pt idx="162">
                  <c:v>41.438000000000002</c:v>
                </c:pt>
                <c:pt idx="164">
                  <c:v>41.209000000000003</c:v>
                </c:pt>
                <c:pt idx="166">
                  <c:v>41.406999999999996</c:v>
                </c:pt>
                <c:pt idx="168">
                  <c:v>41.393999999999998</c:v>
                </c:pt>
                <c:pt idx="170">
                  <c:v>41.281999999999996</c:v>
                </c:pt>
                <c:pt idx="172">
                  <c:v>41.24</c:v>
                </c:pt>
                <c:pt idx="174">
                  <c:v>41.085999999999999</c:v>
                </c:pt>
                <c:pt idx="176">
                  <c:v>41.115000000000002</c:v>
                </c:pt>
                <c:pt idx="178">
                  <c:v>41.140999999999998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B1-4D13-9B5C-C5AD3804ABF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('AMP4-2'!$G$4,'AMP4-2'!$G$4)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B1-4D13-9B5C-C5AD3804ABF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('AMP4-2'!$G$5,'AMP4-2'!$G$5)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B1-4D13-9B5C-C5AD3804A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8736"/>
        <c:axId val="462449128"/>
      </c:scatterChart>
      <c:valAx>
        <c:axId val="46244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9128"/>
        <c:crosses val="autoZero"/>
        <c:crossBetween val="midCat"/>
      </c:valAx>
      <c:valAx>
        <c:axId val="4624491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'AMP4-2'!$H$9:$H$188</c:f>
              <c:numCache>
                <c:formatCode>General</c:formatCode>
                <c:ptCount val="180"/>
                <c:pt idx="0">
                  <c:v>155.90799999999999</c:v>
                </c:pt>
                <c:pt idx="1">
                  <c:v>156.19200000000001</c:v>
                </c:pt>
                <c:pt idx="2">
                  <c:v>155.71700000000001</c:v>
                </c:pt>
                <c:pt idx="3">
                  <c:v>155.86000000000001</c:v>
                </c:pt>
                <c:pt idx="4">
                  <c:v>155.846</c:v>
                </c:pt>
                <c:pt idx="5">
                  <c:v>155.98500000000001</c:v>
                </c:pt>
                <c:pt idx="6">
                  <c:v>155.71</c:v>
                </c:pt>
                <c:pt idx="7">
                  <c:v>155.92500000000001</c:v>
                </c:pt>
                <c:pt idx="8">
                  <c:v>155.72300000000001</c:v>
                </c:pt>
                <c:pt idx="9">
                  <c:v>155.90700000000001</c:v>
                </c:pt>
                <c:pt idx="10">
                  <c:v>155.77099999999999</c:v>
                </c:pt>
                <c:pt idx="11">
                  <c:v>155.953</c:v>
                </c:pt>
                <c:pt idx="12">
                  <c:v>155.77099999999999</c:v>
                </c:pt>
                <c:pt idx="13">
                  <c:v>155.97499999999999</c:v>
                </c:pt>
                <c:pt idx="14">
                  <c:v>155.83099999999999</c:v>
                </c:pt>
                <c:pt idx="15">
                  <c:v>155.952</c:v>
                </c:pt>
                <c:pt idx="16">
                  <c:v>155.87799999999999</c:v>
                </c:pt>
                <c:pt idx="17">
                  <c:v>156.03299999999999</c:v>
                </c:pt>
                <c:pt idx="18">
                  <c:v>155.77199999999999</c:v>
                </c:pt>
                <c:pt idx="19">
                  <c:v>155.947</c:v>
                </c:pt>
                <c:pt idx="20">
                  <c:v>155.82300000000001</c:v>
                </c:pt>
                <c:pt idx="21">
                  <c:v>156.00299999999999</c:v>
                </c:pt>
                <c:pt idx="22">
                  <c:v>155.90700000000001</c:v>
                </c:pt>
                <c:pt idx="23">
                  <c:v>156.124</c:v>
                </c:pt>
                <c:pt idx="24">
                  <c:v>155.88999999999999</c:v>
                </c:pt>
                <c:pt idx="25">
                  <c:v>156.036</c:v>
                </c:pt>
                <c:pt idx="26">
                  <c:v>155.72200000000001</c:v>
                </c:pt>
                <c:pt idx="27">
                  <c:v>156.042</c:v>
                </c:pt>
                <c:pt idx="28">
                  <c:v>155.77199999999999</c:v>
                </c:pt>
                <c:pt idx="29">
                  <c:v>156.101</c:v>
                </c:pt>
                <c:pt idx="30">
                  <c:v>155.74299999999999</c:v>
                </c:pt>
                <c:pt idx="31">
                  <c:v>156.083</c:v>
                </c:pt>
                <c:pt idx="32">
                  <c:v>155.733</c:v>
                </c:pt>
                <c:pt idx="33">
                  <c:v>156.011</c:v>
                </c:pt>
                <c:pt idx="34">
                  <c:v>155.773</c:v>
                </c:pt>
                <c:pt idx="35">
                  <c:v>156.08199999999999</c:v>
                </c:pt>
                <c:pt idx="36">
                  <c:v>155.816</c:v>
                </c:pt>
                <c:pt idx="37">
                  <c:v>156.17699999999999</c:v>
                </c:pt>
                <c:pt idx="38">
                  <c:v>155.80699999999999</c:v>
                </c:pt>
                <c:pt idx="39">
                  <c:v>155.97999999999999</c:v>
                </c:pt>
                <c:pt idx="40">
                  <c:v>155.84700000000001</c:v>
                </c:pt>
                <c:pt idx="41">
                  <c:v>156.215</c:v>
                </c:pt>
                <c:pt idx="42">
                  <c:v>155.86000000000001</c:v>
                </c:pt>
                <c:pt idx="43">
                  <c:v>156.20099999999999</c:v>
                </c:pt>
                <c:pt idx="44">
                  <c:v>155.87700000000001</c:v>
                </c:pt>
                <c:pt idx="45">
                  <c:v>156.19</c:v>
                </c:pt>
                <c:pt idx="46">
                  <c:v>155.84899999999999</c:v>
                </c:pt>
                <c:pt idx="47">
                  <c:v>156.178</c:v>
                </c:pt>
                <c:pt idx="48">
                  <c:v>155.89599999999999</c:v>
                </c:pt>
                <c:pt idx="49">
                  <c:v>156.244</c:v>
                </c:pt>
                <c:pt idx="50">
                  <c:v>155.90600000000001</c:v>
                </c:pt>
                <c:pt idx="51">
                  <c:v>156.24100000000001</c:v>
                </c:pt>
                <c:pt idx="52">
                  <c:v>155.85300000000001</c:v>
                </c:pt>
                <c:pt idx="53">
                  <c:v>156.25200000000001</c:v>
                </c:pt>
                <c:pt idx="54">
                  <c:v>155.88900000000001</c:v>
                </c:pt>
                <c:pt idx="55">
                  <c:v>156.27799999999999</c:v>
                </c:pt>
                <c:pt idx="56">
                  <c:v>155.81200000000001</c:v>
                </c:pt>
                <c:pt idx="57">
                  <c:v>156.184</c:v>
                </c:pt>
                <c:pt idx="58">
                  <c:v>155.94900000000001</c:v>
                </c:pt>
                <c:pt idx="59">
                  <c:v>156.28899999999999</c:v>
                </c:pt>
                <c:pt idx="60">
                  <c:v>155.90799999999999</c:v>
                </c:pt>
                <c:pt idx="61">
                  <c:v>156.29599999999999</c:v>
                </c:pt>
                <c:pt idx="62">
                  <c:v>155.92400000000001</c:v>
                </c:pt>
                <c:pt idx="63">
                  <c:v>156.01300000000001</c:v>
                </c:pt>
                <c:pt idx="64">
                  <c:v>155.87299999999999</c:v>
                </c:pt>
                <c:pt idx="65">
                  <c:v>155.94200000000001</c:v>
                </c:pt>
                <c:pt idx="66">
                  <c:v>155.89500000000001</c:v>
                </c:pt>
                <c:pt idx="67">
                  <c:v>155.96600000000001</c:v>
                </c:pt>
                <c:pt idx="68">
                  <c:v>155.92500000000001</c:v>
                </c:pt>
                <c:pt idx="69">
                  <c:v>156.05500000000001</c:v>
                </c:pt>
                <c:pt idx="70">
                  <c:v>156.012</c:v>
                </c:pt>
                <c:pt idx="71">
                  <c:v>156.05500000000001</c:v>
                </c:pt>
                <c:pt idx="72">
                  <c:v>155.762</c:v>
                </c:pt>
                <c:pt idx="73">
                  <c:v>155.51900000000001</c:v>
                </c:pt>
                <c:pt idx="74">
                  <c:v>155.70599999999999</c:v>
                </c:pt>
                <c:pt idx="75">
                  <c:v>155.49100000000001</c:v>
                </c:pt>
                <c:pt idx="76">
                  <c:v>155.70099999999999</c:v>
                </c:pt>
                <c:pt idx="77">
                  <c:v>155.52699999999999</c:v>
                </c:pt>
                <c:pt idx="78">
                  <c:v>155.83600000000001</c:v>
                </c:pt>
                <c:pt idx="79">
                  <c:v>155.58799999999999</c:v>
                </c:pt>
                <c:pt idx="80">
                  <c:v>155.79</c:v>
                </c:pt>
                <c:pt idx="81">
                  <c:v>155.572</c:v>
                </c:pt>
                <c:pt idx="82">
                  <c:v>155.75700000000001</c:v>
                </c:pt>
                <c:pt idx="83">
                  <c:v>155.56100000000001</c:v>
                </c:pt>
                <c:pt idx="84">
                  <c:v>155.821</c:v>
                </c:pt>
                <c:pt idx="85">
                  <c:v>155.63999999999999</c:v>
                </c:pt>
                <c:pt idx="86">
                  <c:v>155.77500000000001</c:v>
                </c:pt>
                <c:pt idx="87">
                  <c:v>155.58600000000001</c:v>
                </c:pt>
                <c:pt idx="88">
                  <c:v>155.78899999999999</c:v>
                </c:pt>
                <c:pt idx="89">
                  <c:v>155.60599999999999</c:v>
                </c:pt>
                <c:pt idx="90">
                  <c:v>155.91800000000001</c:v>
                </c:pt>
                <c:pt idx="91">
                  <c:v>155.72999999999999</c:v>
                </c:pt>
                <c:pt idx="92">
                  <c:v>155.964</c:v>
                </c:pt>
                <c:pt idx="93">
                  <c:v>155.77600000000001</c:v>
                </c:pt>
                <c:pt idx="94">
                  <c:v>155.79599999999999</c:v>
                </c:pt>
                <c:pt idx="95">
                  <c:v>155.69499999999999</c:v>
                </c:pt>
                <c:pt idx="96">
                  <c:v>155.91300000000001</c:v>
                </c:pt>
                <c:pt idx="97">
                  <c:v>155.71899999999999</c:v>
                </c:pt>
                <c:pt idx="98">
                  <c:v>155.858</c:v>
                </c:pt>
                <c:pt idx="99">
                  <c:v>155.708</c:v>
                </c:pt>
                <c:pt idx="100">
                  <c:v>155.905</c:v>
                </c:pt>
                <c:pt idx="101">
                  <c:v>155.69399999999999</c:v>
                </c:pt>
                <c:pt idx="102">
                  <c:v>155.90299999999999</c:v>
                </c:pt>
                <c:pt idx="103">
                  <c:v>155.78200000000001</c:v>
                </c:pt>
                <c:pt idx="104">
                  <c:v>155.88999999999999</c:v>
                </c:pt>
                <c:pt idx="105">
                  <c:v>155.71700000000001</c:v>
                </c:pt>
                <c:pt idx="106">
                  <c:v>155.93199999999999</c:v>
                </c:pt>
                <c:pt idx="107">
                  <c:v>155.76599999999999</c:v>
                </c:pt>
                <c:pt idx="108">
                  <c:v>155.93100000000001</c:v>
                </c:pt>
                <c:pt idx="109">
                  <c:v>155.79499999999999</c:v>
                </c:pt>
                <c:pt idx="110">
                  <c:v>155.946</c:v>
                </c:pt>
                <c:pt idx="111">
                  <c:v>155.81700000000001</c:v>
                </c:pt>
                <c:pt idx="112">
                  <c:v>155.90600000000001</c:v>
                </c:pt>
                <c:pt idx="113">
                  <c:v>155.79400000000001</c:v>
                </c:pt>
                <c:pt idx="114">
                  <c:v>155.77199999999999</c:v>
                </c:pt>
                <c:pt idx="115">
                  <c:v>155.66</c:v>
                </c:pt>
                <c:pt idx="116">
                  <c:v>155.709</c:v>
                </c:pt>
                <c:pt idx="117">
                  <c:v>155.553</c:v>
                </c:pt>
                <c:pt idx="118">
                  <c:v>155.726</c:v>
                </c:pt>
                <c:pt idx="119">
                  <c:v>155.63</c:v>
                </c:pt>
                <c:pt idx="120">
                  <c:v>155.56100000000001</c:v>
                </c:pt>
                <c:pt idx="121">
                  <c:v>155.46199999999999</c:v>
                </c:pt>
                <c:pt idx="122">
                  <c:v>155.83699999999999</c:v>
                </c:pt>
                <c:pt idx="123">
                  <c:v>155.714</c:v>
                </c:pt>
                <c:pt idx="124">
                  <c:v>155.71700000000001</c:v>
                </c:pt>
                <c:pt idx="125">
                  <c:v>155.65199999999999</c:v>
                </c:pt>
                <c:pt idx="126">
                  <c:v>155.82300000000001</c:v>
                </c:pt>
                <c:pt idx="127">
                  <c:v>155.72900000000001</c:v>
                </c:pt>
                <c:pt idx="128">
                  <c:v>155.59700000000001</c:v>
                </c:pt>
                <c:pt idx="129">
                  <c:v>155.62200000000001</c:v>
                </c:pt>
                <c:pt idx="130">
                  <c:v>155.82900000000001</c:v>
                </c:pt>
                <c:pt idx="131">
                  <c:v>155.50299999999999</c:v>
                </c:pt>
                <c:pt idx="132">
                  <c:v>155.852</c:v>
                </c:pt>
                <c:pt idx="133">
                  <c:v>155.73099999999999</c:v>
                </c:pt>
                <c:pt idx="134">
                  <c:v>155.815</c:v>
                </c:pt>
                <c:pt idx="135">
                  <c:v>155.691</c:v>
                </c:pt>
                <c:pt idx="136">
                  <c:v>155.858</c:v>
                </c:pt>
                <c:pt idx="137">
                  <c:v>155.72</c:v>
                </c:pt>
                <c:pt idx="138">
                  <c:v>155.90899999999999</c:v>
                </c:pt>
                <c:pt idx="139">
                  <c:v>155.77000000000001</c:v>
                </c:pt>
                <c:pt idx="140">
                  <c:v>155.86099999999999</c:v>
                </c:pt>
                <c:pt idx="141">
                  <c:v>155.589</c:v>
                </c:pt>
                <c:pt idx="142">
                  <c:v>155.83000000000001</c:v>
                </c:pt>
                <c:pt idx="143">
                  <c:v>155.75200000000001</c:v>
                </c:pt>
                <c:pt idx="144">
                  <c:v>155.804</c:v>
                </c:pt>
                <c:pt idx="145">
                  <c:v>155.697</c:v>
                </c:pt>
                <c:pt idx="146">
                  <c:v>155.89699999999999</c:v>
                </c:pt>
                <c:pt idx="147">
                  <c:v>155.80699999999999</c:v>
                </c:pt>
                <c:pt idx="148">
                  <c:v>155.78299999999999</c:v>
                </c:pt>
                <c:pt idx="149">
                  <c:v>155.69399999999999</c:v>
                </c:pt>
                <c:pt idx="150">
                  <c:v>155.91200000000001</c:v>
                </c:pt>
                <c:pt idx="151">
                  <c:v>155.75700000000001</c:v>
                </c:pt>
                <c:pt idx="152">
                  <c:v>155.87100000000001</c:v>
                </c:pt>
                <c:pt idx="153">
                  <c:v>155.791</c:v>
                </c:pt>
                <c:pt idx="154">
                  <c:v>155.84200000000001</c:v>
                </c:pt>
                <c:pt idx="155">
                  <c:v>155.77799999999999</c:v>
                </c:pt>
                <c:pt idx="156">
                  <c:v>155.857</c:v>
                </c:pt>
                <c:pt idx="157">
                  <c:v>155.79900000000001</c:v>
                </c:pt>
                <c:pt idx="158">
                  <c:v>156.01300000000001</c:v>
                </c:pt>
                <c:pt idx="159">
                  <c:v>155.904</c:v>
                </c:pt>
                <c:pt idx="160">
                  <c:v>155.73699999999999</c:v>
                </c:pt>
                <c:pt idx="161">
                  <c:v>155.542</c:v>
                </c:pt>
                <c:pt idx="162">
                  <c:v>155.751</c:v>
                </c:pt>
                <c:pt idx="163">
                  <c:v>155.43700000000001</c:v>
                </c:pt>
                <c:pt idx="164">
                  <c:v>155.685</c:v>
                </c:pt>
                <c:pt idx="165">
                  <c:v>155.47900000000001</c:v>
                </c:pt>
                <c:pt idx="166">
                  <c:v>155.78100000000001</c:v>
                </c:pt>
                <c:pt idx="167">
                  <c:v>155.589</c:v>
                </c:pt>
                <c:pt idx="168">
                  <c:v>155.81100000000001</c:v>
                </c:pt>
                <c:pt idx="169">
                  <c:v>155.61000000000001</c:v>
                </c:pt>
                <c:pt idx="170">
                  <c:v>155.86799999999999</c:v>
                </c:pt>
                <c:pt idx="171">
                  <c:v>155.66800000000001</c:v>
                </c:pt>
                <c:pt idx="172">
                  <c:v>155.86000000000001</c:v>
                </c:pt>
                <c:pt idx="173">
                  <c:v>155.58099999999999</c:v>
                </c:pt>
                <c:pt idx="174">
                  <c:v>155.87</c:v>
                </c:pt>
                <c:pt idx="175">
                  <c:v>155.68</c:v>
                </c:pt>
                <c:pt idx="176">
                  <c:v>155.92500000000001</c:v>
                </c:pt>
                <c:pt idx="177">
                  <c:v>155.697</c:v>
                </c:pt>
                <c:pt idx="178">
                  <c:v>155.82499999999999</c:v>
                </c:pt>
                <c:pt idx="179">
                  <c:v>155.649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46-4517-ADAC-4E5627ECDB7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('AMP4-2'!$H$4,'AMP4-2'!$H$4)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6-4517-ADAC-4E5627ECDB7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('AMP4-2'!$H$5,'AMP4-2'!$H$5)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46-4517-ADAC-4E5627ECD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49912"/>
        <c:axId val="462450304"/>
      </c:scatterChart>
      <c:valAx>
        <c:axId val="462449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0304"/>
        <c:crosses val="autoZero"/>
        <c:crossBetween val="midCat"/>
      </c:valAx>
      <c:valAx>
        <c:axId val="4624503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49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'AMP4-2'!$I$9:$I$188</c:f>
              <c:numCache>
                <c:formatCode>General</c:formatCode>
                <c:ptCount val="180"/>
                <c:pt idx="0">
                  <c:v>155.899</c:v>
                </c:pt>
                <c:pt idx="1">
                  <c:v>156.232</c:v>
                </c:pt>
                <c:pt idx="2">
                  <c:v>155.726</c:v>
                </c:pt>
                <c:pt idx="3">
                  <c:v>155.85400000000001</c:v>
                </c:pt>
                <c:pt idx="4">
                  <c:v>155.91499999999999</c:v>
                </c:pt>
                <c:pt idx="5">
                  <c:v>156.00700000000001</c:v>
                </c:pt>
                <c:pt idx="6">
                  <c:v>155.749</c:v>
                </c:pt>
                <c:pt idx="7">
                  <c:v>155.88</c:v>
                </c:pt>
                <c:pt idx="8">
                  <c:v>155.762</c:v>
                </c:pt>
                <c:pt idx="9">
                  <c:v>155.94</c:v>
                </c:pt>
                <c:pt idx="10">
                  <c:v>155.74799999999999</c:v>
                </c:pt>
                <c:pt idx="11">
                  <c:v>156.02699999999999</c:v>
                </c:pt>
                <c:pt idx="12">
                  <c:v>155.77500000000001</c:v>
                </c:pt>
                <c:pt idx="13">
                  <c:v>155.99299999999999</c:v>
                </c:pt>
                <c:pt idx="14">
                  <c:v>155.85300000000001</c:v>
                </c:pt>
                <c:pt idx="15">
                  <c:v>155.97200000000001</c:v>
                </c:pt>
                <c:pt idx="16">
                  <c:v>155.87899999999999</c:v>
                </c:pt>
                <c:pt idx="17">
                  <c:v>156.04400000000001</c:v>
                </c:pt>
                <c:pt idx="18">
                  <c:v>155.80199999999999</c:v>
                </c:pt>
                <c:pt idx="19">
                  <c:v>155.98099999999999</c:v>
                </c:pt>
                <c:pt idx="20">
                  <c:v>155.86199999999999</c:v>
                </c:pt>
                <c:pt idx="21">
                  <c:v>156.03399999999999</c:v>
                </c:pt>
                <c:pt idx="22">
                  <c:v>155.929</c:v>
                </c:pt>
                <c:pt idx="23">
                  <c:v>156.149</c:v>
                </c:pt>
                <c:pt idx="24">
                  <c:v>155.84200000000001</c:v>
                </c:pt>
                <c:pt idx="25">
                  <c:v>156.084</c:v>
                </c:pt>
                <c:pt idx="26">
                  <c:v>155.739</c:v>
                </c:pt>
                <c:pt idx="27">
                  <c:v>156.11099999999999</c:v>
                </c:pt>
                <c:pt idx="28">
                  <c:v>155.779</c:v>
                </c:pt>
                <c:pt idx="29">
                  <c:v>156.17599999999999</c:v>
                </c:pt>
                <c:pt idx="30">
                  <c:v>155.761</c:v>
                </c:pt>
                <c:pt idx="31">
                  <c:v>156.15600000000001</c:v>
                </c:pt>
                <c:pt idx="32">
                  <c:v>155.73500000000001</c:v>
                </c:pt>
                <c:pt idx="33">
                  <c:v>156.089</c:v>
                </c:pt>
                <c:pt idx="34">
                  <c:v>155.756</c:v>
                </c:pt>
                <c:pt idx="35">
                  <c:v>156.19399999999999</c:v>
                </c:pt>
                <c:pt idx="36">
                  <c:v>155.79900000000001</c:v>
                </c:pt>
                <c:pt idx="37">
                  <c:v>156.25299999999999</c:v>
                </c:pt>
                <c:pt idx="38">
                  <c:v>155.79</c:v>
                </c:pt>
                <c:pt idx="39">
                  <c:v>156.06700000000001</c:v>
                </c:pt>
                <c:pt idx="40">
                  <c:v>155.846</c:v>
                </c:pt>
                <c:pt idx="41">
                  <c:v>156.28100000000001</c:v>
                </c:pt>
                <c:pt idx="42">
                  <c:v>155.846</c:v>
                </c:pt>
                <c:pt idx="43">
                  <c:v>156.22800000000001</c:v>
                </c:pt>
                <c:pt idx="44">
                  <c:v>155.80699999999999</c:v>
                </c:pt>
                <c:pt idx="45">
                  <c:v>156.24</c:v>
                </c:pt>
                <c:pt idx="46">
                  <c:v>155.83799999999999</c:v>
                </c:pt>
                <c:pt idx="47">
                  <c:v>156.25399999999999</c:v>
                </c:pt>
                <c:pt idx="48">
                  <c:v>155.863</c:v>
                </c:pt>
                <c:pt idx="49">
                  <c:v>156.28700000000001</c:v>
                </c:pt>
                <c:pt idx="50">
                  <c:v>155.84899999999999</c:v>
                </c:pt>
                <c:pt idx="51">
                  <c:v>156.30799999999999</c:v>
                </c:pt>
                <c:pt idx="52">
                  <c:v>155.81700000000001</c:v>
                </c:pt>
                <c:pt idx="53">
                  <c:v>156.31700000000001</c:v>
                </c:pt>
                <c:pt idx="54">
                  <c:v>155.83000000000001</c:v>
                </c:pt>
                <c:pt idx="55">
                  <c:v>156.31800000000001</c:v>
                </c:pt>
                <c:pt idx="56">
                  <c:v>155.83199999999999</c:v>
                </c:pt>
                <c:pt idx="57">
                  <c:v>156.304</c:v>
                </c:pt>
                <c:pt idx="58">
                  <c:v>155.876</c:v>
                </c:pt>
                <c:pt idx="59">
                  <c:v>156.387</c:v>
                </c:pt>
                <c:pt idx="60">
                  <c:v>155.9</c:v>
                </c:pt>
                <c:pt idx="61">
                  <c:v>156.381</c:v>
                </c:pt>
                <c:pt idx="62">
                  <c:v>155.85400000000001</c:v>
                </c:pt>
                <c:pt idx="63">
                  <c:v>156.03</c:v>
                </c:pt>
                <c:pt idx="64">
                  <c:v>155.83500000000001</c:v>
                </c:pt>
                <c:pt idx="65">
                  <c:v>155.977</c:v>
                </c:pt>
                <c:pt idx="66">
                  <c:v>155.875</c:v>
                </c:pt>
                <c:pt idx="67">
                  <c:v>155.995</c:v>
                </c:pt>
                <c:pt idx="68">
                  <c:v>155.886</c:v>
                </c:pt>
                <c:pt idx="69">
                  <c:v>156.08699999999999</c:v>
                </c:pt>
                <c:pt idx="70">
                  <c:v>155.96100000000001</c:v>
                </c:pt>
                <c:pt idx="71">
                  <c:v>156.089</c:v>
                </c:pt>
                <c:pt idx="72">
                  <c:v>155.678</c:v>
                </c:pt>
                <c:pt idx="73">
                  <c:v>155.60900000000001</c:v>
                </c:pt>
                <c:pt idx="74">
                  <c:v>155.76300000000001</c:v>
                </c:pt>
                <c:pt idx="75">
                  <c:v>155.512</c:v>
                </c:pt>
                <c:pt idx="76">
                  <c:v>155.75700000000001</c:v>
                </c:pt>
                <c:pt idx="77">
                  <c:v>155.48099999999999</c:v>
                </c:pt>
                <c:pt idx="78">
                  <c:v>155.87200000000001</c:v>
                </c:pt>
                <c:pt idx="79">
                  <c:v>155.52799999999999</c:v>
                </c:pt>
                <c:pt idx="80">
                  <c:v>155.779</c:v>
                </c:pt>
                <c:pt idx="81">
                  <c:v>155.614</c:v>
                </c:pt>
                <c:pt idx="82">
                  <c:v>155.81299999999999</c:v>
                </c:pt>
                <c:pt idx="83">
                  <c:v>155.53200000000001</c:v>
                </c:pt>
                <c:pt idx="84">
                  <c:v>155.869</c:v>
                </c:pt>
                <c:pt idx="85">
                  <c:v>155.59100000000001</c:v>
                </c:pt>
                <c:pt idx="86">
                  <c:v>155.857</c:v>
                </c:pt>
                <c:pt idx="87">
                  <c:v>155.55799999999999</c:v>
                </c:pt>
                <c:pt idx="88">
                  <c:v>155.85499999999999</c:v>
                </c:pt>
                <c:pt idx="89">
                  <c:v>155.57400000000001</c:v>
                </c:pt>
                <c:pt idx="90">
                  <c:v>155.95500000000001</c:v>
                </c:pt>
                <c:pt idx="91">
                  <c:v>155.702</c:v>
                </c:pt>
                <c:pt idx="92">
                  <c:v>155.99299999999999</c:v>
                </c:pt>
                <c:pt idx="93">
                  <c:v>155.739</c:v>
                </c:pt>
                <c:pt idx="94">
                  <c:v>155.821</c:v>
                </c:pt>
                <c:pt idx="95">
                  <c:v>155.71</c:v>
                </c:pt>
                <c:pt idx="96">
                  <c:v>155.91200000000001</c:v>
                </c:pt>
                <c:pt idx="97">
                  <c:v>155.71299999999999</c:v>
                </c:pt>
                <c:pt idx="98">
                  <c:v>155.90299999999999</c:v>
                </c:pt>
                <c:pt idx="99">
                  <c:v>155.696</c:v>
                </c:pt>
                <c:pt idx="100">
                  <c:v>155.92699999999999</c:v>
                </c:pt>
                <c:pt idx="101">
                  <c:v>155.685</c:v>
                </c:pt>
                <c:pt idx="102">
                  <c:v>155.88900000000001</c:v>
                </c:pt>
                <c:pt idx="103">
                  <c:v>155.732</c:v>
                </c:pt>
                <c:pt idx="104">
                  <c:v>155.816</c:v>
                </c:pt>
                <c:pt idx="105">
                  <c:v>155.762</c:v>
                </c:pt>
                <c:pt idx="106">
                  <c:v>155.934</c:v>
                </c:pt>
                <c:pt idx="107">
                  <c:v>155.73099999999999</c:v>
                </c:pt>
                <c:pt idx="108">
                  <c:v>155.916</c:v>
                </c:pt>
                <c:pt idx="109">
                  <c:v>155.77799999999999</c:v>
                </c:pt>
                <c:pt idx="110">
                  <c:v>155.87</c:v>
                </c:pt>
                <c:pt idx="111">
                  <c:v>155.85900000000001</c:v>
                </c:pt>
                <c:pt idx="112">
                  <c:v>155.852</c:v>
                </c:pt>
                <c:pt idx="113">
                  <c:v>155.828</c:v>
                </c:pt>
                <c:pt idx="114">
                  <c:v>155.761</c:v>
                </c:pt>
                <c:pt idx="115">
                  <c:v>155.58600000000001</c:v>
                </c:pt>
                <c:pt idx="116">
                  <c:v>155.77199999999999</c:v>
                </c:pt>
                <c:pt idx="117">
                  <c:v>155.52199999999999</c:v>
                </c:pt>
                <c:pt idx="118">
                  <c:v>155.71799999999999</c:v>
                </c:pt>
                <c:pt idx="119">
                  <c:v>155.565</c:v>
                </c:pt>
                <c:pt idx="120">
                  <c:v>155.63399999999999</c:v>
                </c:pt>
                <c:pt idx="121">
                  <c:v>155.47200000000001</c:v>
                </c:pt>
                <c:pt idx="122">
                  <c:v>155.86099999999999</c:v>
                </c:pt>
                <c:pt idx="123">
                  <c:v>155.62799999999999</c:v>
                </c:pt>
                <c:pt idx="124">
                  <c:v>155.76300000000001</c:v>
                </c:pt>
                <c:pt idx="125">
                  <c:v>155.61500000000001</c:v>
                </c:pt>
                <c:pt idx="126">
                  <c:v>155.82300000000001</c:v>
                </c:pt>
                <c:pt idx="127">
                  <c:v>155.65899999999999</c:v>
                </c:pt>
                <c:pt idx="128">
                  <c:v>155.71700000000001</c:v>
                </c:pt>
                <c:pt idx="129">
                  <c:v>155.59</c:v>
                </c:pt>
                <c:pt idx="130">
                  <c:v>155.83600000000001</c:v>
                </c:pt>
                <c:pt idx="131">
                  <c:v>155.447</c:v>
                </c:pt>
                <c:pt idx="132">
                  <c:v>155.86199999999999</c:v>
                </c:pt>
                <c:pt idx="133">
                  <c:v>155.64599999999999</c:v>
                </c:pt>
                <c:pt idx="134">
                  <c:v>155.83699999999999</c:v>
                </c:pt>
                <c:pt idx="135">
                  <c:v>155.624</c:v>
                </c:pt>
                <c:pt idx="136">
                  <c:v>155.881</c:v>
                </c:pt>
                <c:pt idx="137">
                  <c:v>155.672</c:v>
                </c:pt>
                <c:pt idx="138">
                  <c:v>155.91800000000001</c:v>
                </c:pt>
                <c:pt idx="139">
                  <c:v>155.69999999999999</c:v>
                </c:pt>
                <c:pt idx="140">
                  <c:v>155.74299999999999</c:v>
                </c:pt>
                <c:pt idx="141">
                  <c:v>155.733</c:v>
                </c:pt>
                <c:pt idx="142">
                  <c:v>155.82</c:v>
                </c:pt>
                <c:pt idx="143">
                  <c:v>155.703</c:v>
                </c:pt>
                <c:pt idx="144">
                  <c:v>155.804</c:v>
                </c:pt>
                <c:pt idx="145">
                  <c:v>155.72800000000001</c:v>
                </c:pt>
                <c:pt idx="146">
                  <c:v>155.881</c:v>
                </c:pt>
                <c:pt idx="147">
                  <c:v>155.761</c:v>
                </c:pt>
                <c:pt idx="148">
                  <c:v>155.816</c:v>
                </c:pt>
                <c:pt idx="149">
                  <c:v>155.64500000000001</c:v>
                </c:pt>
                <c:pt idx="150">
                  <c:v>155.85900000000001</c:v>
                </c:pt>
                <c:pt idx="151">
                  <c:v>155.726</c:v>
                </c:pt>
                <c:pt idx="152">
                  <c:v>155.90700000000001</c:v>
                </c:pt>
                <c:pt idx="153">
                  <c:v>155.756</c:v>
                </c:pt>
                <c:pt idx="154">
                  <c:v>155.821</c:v>
                </c:pt>
                <c:pt idx="155">
                  <c:v>155.767</c:v>
                </c:pt>
                <c:pt idx="156">
                  <c:v>155.82400000000001</c:v>
                </c:pt>
                <c:pt idx="157">
                  <c:v>155.86000000000001</c:v>
                </c:pt>
                <c:pt idx="158">
                  <c:v>155.97</c:v>
                </c:pt>
                <c:pt idx="159">
                  <c:v>155.83000000000001</c:v>
                </c:pt>
                <c:pt idx="160">
                  <c:v>155.74199999999999</c:v>
                </c:pt>
                <c:pt idx="161">
                  <c:v>155.471</c:v>
                </c:pt>
                <c:pt idx="162">
                  <c:v>155.76400000000001</c:v>
                </c:pt>
                <c:pt idx="163">
                  <c:v>155.38399999999999</c:v>
                </c:pt>
                <c:pt idx="164">
                  <c:v>155.529</c:v>
                </c:pt>
                <c:pt idx="165">
                  <c:v>155.667</c:v>
                </c:pt>
                <c:pt idx="166">
                  <c:v>155.81899999999999</c:v>
                </c:pt>
                <c:pt idx="167">
                  <c:v>155.53299999999999</c:v>
                </c:pt>
                <c:pt idx="168">
                  <c:v>155.833</c:v>
                </c:pt>
                <c:pt idx="169">
                  <c:v>155.541</c:v>
                </c:pt>
                <c:pt idx="170">
                  <c:v>155.91800000000001</c:v>
                </c:pt>
                <c:pt idx="171">
                  <c:v>155.56700000000001</c:v>
                </c:pt>
                <c:pt idx="172">
                  <c:v>155.857</c:v>
                </c:pt>
                <c:pt idx="173">
                  <c:v>155.56399999999999</c:v>
                </c:pt>
                <c:pt idx="174">
                  <c:v>155.858</c:v>
                </c:pt>
                <c:pt idx="175">
                  <c:v>155.57900000000001</c:v>
                </c:pt>
                <c:pt idx="176">
                  <c:v>155.92699999999999</c:v>
                </c:pt>
                <c:pt idx="177">
                  <c:v>155.626</c:v>
                </c:pt>
                <c:pt idx="178">
                  <c:v>155.821</c:v>
                </c:pt>
                <c:pt idx="179">
                  <c:v>155.56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B63-919F-761882C0060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('AMP4-2'!$I$4,'AMP4-2'!$I$4)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FD-4B63-919F-761882C0060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('AMP4-2'!$I$5,'AMP4-2'!$I$5)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FD-4B63-919F-761882C00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51088"/>
        <c:axId val="462451480"/>
      </c:scatterChart>
      <c:valAx>
        <c:axId val="46245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1480"/>
        <c:crosses val="autoZero"/>
        <c:crossBetween val="midCat"/>
      </c:valAx>
      <c:valAx>
        <c:axId val="462451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1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'AMP4-2'!$J$9:$J$188</c:f>
              <c:numCache>
                <c:formatCode>General</c:formatCode>
                <c:ptCount val="180"/>
                <c:pt idx="1">
                  <c:v>168.7</c:v>
                </c:pt>
                <c:pt idx="3">
                  <c:v>168.41</c:v>
                </c:pt>
                <c:pt idx="5">
                  <c:v>168.56299999999999</c:v>
                </c:pt>
                <c:pt idx="7">
                  <c:v>168.59200000000001</c:v>
                </c:pt>
                <c:pt idx="9">
                  <c:v>168.62200000000001</c:v>
                </c:pt>
                <c:pt idx="11">
                  <c:v>168.75299999999999</c:v>
                </c:pt>
                <c:pt idx="13">
                  <c:v>168.648</c:v>
                </c:pt>
                <c:pt idx="15">
                  <c:v>168.53200000000001</c:v>
                </c:pt>
                <c:pt idx="17">
                  <c:v>168.846</c:v>
                </c:pt>
                <c:pt idx="19">
                  <c:v>168.66399999999999</c:v>
                </c:pt>
                <c:pt idx="21">
                  <c:v>168.70400000000001</c:v>
                </c:pt>
                <c:pt idx="23">
                  <c:v>168.47800000000001</c:v>
                </c:pt>
                <c:pt idx="25">
                  <c:v>168.78700000000001</c:v>
                </c:pt>
                <c:pt idx="27">
                  <c:v>168.74</c:v>
                </c:pt>
                <c:pt idx="29">
                  <c:v>168.83500000000001</c:v>
                </c:pt>
                <c:pt idx="31">
                  <c:v>168.68</c:v>
                </c:pt>
                <c:pt idx="33">
                  <c:v>168.51300000000001</c:v>
                </c:pt>
                <c:pt idx="35">
                  <c:v>168.70699999999999</c:v>
                </c:pt>
                <c:pt idx="37">
                  <c:v>168.739</c:v>
                </c:pt>
                <c:pt idx="39">
                  <c:v>168.50399999999999</c:v>
                </c:pt>
                <c:pt idx="41">
                  <c:v>168.625</c:v>
                </c:pt>
                <c:pt idx="43">
                  <c:v>168.48699999999999</c:v>
                </c:pt>
                <c:pt idx="45">
                  <c:v>168.685</c:v>
                </c:pt>
                <c:pt idx="47">
                  <c:v>168.61500000000001</c:v>
                </c:pt>
                <c:pt idx="49">
                  <c:v>168.82599999999999</c:v>
                </c:pt>
                <c:pt idx="51">
                  <c:v>168.67599999999999</c:v>
                </c:pt>
                <c:pt idx="53">
                  <c:v>168.64</c:v>
                </c:pt>
                <c:pt idx="55">
                  <c:v>168.745</c:v>
                </c:pt>
                <c:pt idx="57">
                  <c:v>168.56899999999999</c:v>
                </c:pt>
                <c:pt idx="59">
                  <c:v>168.65799999999999</c:v>
                </c:pt>
                <c:pt idx="61">
                  <c:v>168.721</c:v>
                </c:pt>
                <c:pt idx="63">
                  <c:v>168.36699999999999</c:v>
                </c:pt>
                <c:pt idx="65">
                  <c:v>168.739</c:v>
                </c:pt>
                <c:pt idx="67">
                  <c:v>168.69499999999999</c:v>
                </c:pt>
                <c:pt idx="69">
                  <c:v>168.69</c:v>
                </c:pt>
                <c:pt idx="71">
                  <c:v>168.68</c:v>
                </c:pt>
                <c:pt idx="73">
                  <c:v>168.446</c:v>
                </c:pt>
                <c:pt idx="75">
                  <c:v>168.72399999999999</c:v>
                </c:pt>
                <c:pt idx="77">
                  <c:v>168.64099999999999</c:v>
                </c:pt>
                <c:pt idx="79">
                  <c:v>168.69300000000001</c:v>
                </c:pt>
                <c:pt idx="81">
                  <c:v>168.73599999999999</c:v>
                </c:pt>
                <c:pt idx="83">
                  <c:v>168.71100000000001</c:v>
                </c:pt>
                <c:pt idx="85">
                  <c:v>168.672</c:v>
                </c:pt>
                <c:pt idx="87">
                  <c:v>168.625</c:v>
                </c:pt>
                <c:pt idx="89">
                  <c:v>168.62200000000001</c:v>
                </c:pt>
                <c:pt idx="91">
                  <c:v>168.59399999999999</c:v>
                </c:pt>
                <c:pt idx="93">
                  <c:v>168.64599999999999</c:v>
                </c:pt>
                <c:pt idx="95">
                  <c:v>168.744</c:v>
                </c:pt>
                <c:pt idx="97">
                  <c:v>168.79400000000001</c:v>
                </c:pt>
                <c:pt idx="99">
                  <c:v>168.70699999999999</c:v>
                </c:pt>
                <c:pt idx="101">
                  <c:v>168.66399999999999</c:v>
                </c:pt>
                <c:pt idx="103">
                  <c:v>168.53200000000001</c:v>
                </c:pt>
                <c:pt idx="105">
                  <c:v>168.68799999999999</c:v>
                </c:pt>
                <c:pt idx="107">
                  <c:v>168.65100000000001</c:v>
                </c:pt>
                <c:pt idx="109">
                  <c:v>168.661</c:v>
                </c:pt>
                <c:pt idx="111">
                  <c:v>168.66399999999999</c:v>
                </c:pt>
                <c:pt idx="113">
                  <c:v>168.74</c:v>
                </c:pt>
                <c:pt idx="115">
                  <c:v>168.67099999999999</c:v>
                </c:pt>
                <c:pt idx="117">
                  <c:v>168.62700000000001</c:v>
                </c:pt>
                <c:pt idx="119">
                  <c:v>168.434</c:v>
                </c:pt>
                <c:pt idx="121">
                  <c:v>168.584</c:v>
                </c:pt>
                <c:pt idx="123">
                  <c:v>168.773</c:v>
                </c:pt>
                <c:pt idx="125">
                  <c:v>168.73</c:v>
                </c:pt>
                <c:pt idx="127">
                  <c:v>168.715</c:v>
                </c:pt>
                <c:pt idx="129">
                  <c:v>168.714</c:v>
                </c:pt>
                <c:pt idx="131">
                  <c:v>168.63800000000001</c:v>
                </c:pt>
                <c:pt idx="133">
                  <c:v>168.90899999999999</c:v>
                </c:pt>
                <c:pt idx="135">
                  <c:v>168.708</c:v>
                </c:pt>
                <c:pt idx="137">
                  <c:v>168.608</c:v>
                </c:pt>
                <c:pt idx="139">
                  <c:v>168.77500000000001</c:v>
                </c:pt>
                <c:pt idx="141">
                  <c:v>168.477</c:v>
                </c:pt>
                <c:pt idx="143">
                  <c:v>168.672</c:v>
                </c:pt>
                <c:pt idx="145">
                  <c:v>168.67</c:v>
                </c:pt>
                <c:pt idx="147">
                  <c:v>168.68199999999999</c:v>
                </c:pt>
                <c:pt idx="149">
                  <c:v>168.59299999999999</c:v>
                </c:pt>
                <c:pt idx="151">
                  <c:v>168.78899999999999</c:v>
                </c:pt>
                <c:pt idx="153">
                  <c:v>168.68299999999999</c:v>
                </c:pt>
                <c:pt idx="155">
                  <c:v>168.66</c:v>
                </c:pt>
                <c:pt idx="157">
                  <c:v>168.756</c:v>
                </c:pt>
                <c:pt idx="159">
                  <c:v>168.52199999999999</c:v>
                </c:pt>
                <c:pt idx="161">
                  <c:v>168.63900000000001</c:v>
                </c:pt>
                <c:pt idx="163">
                  <c:v>168.59700000000001</c:v>
                </c:pt>
                <c:pt idx="165">
                  <c:v>168.41399999999999</c:v>
                </c:pt>
                <c:pt idx="167">
                  <c:v>168.71899999999999</c:v>
                </c:pt>
                <c:pt idx="169">
                  <c:v>168.762</c:v>
                </c:pt>
                <c:pt idx="171">
                  <c:v>168.61199999999999</c:v>
                </c:pt>
                <c:pt idx="173">
                  <c:v>168.63200000000001</c:v>
                </c:pt>
                <c:pt idx="175">
                  <c:v>168.72300000000001</c:v>
                </c:pt>
                <c:pt idx="177">
                  <c:v>168.65899999999999</c:v>
                </c:pt>
                <c:pt idx="179">
                  <c:v>168.489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CA-4432-BC2F-F92FB4AB3AB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('AMP4-2'!$J$4,'AMP4-2'!$J$4)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CA-4432-BC2F-F92FB4AB3AB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('AMP4-2'!$J$5,'AMP4-2'!$J$5)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CA-4432-BC2F-F92FB4AB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52264"/>
        <c:axId val="462452656"/>
      </c:scatterChart>
      <c:valAx>
        <c:axId val="462452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2656"/>
        <c:crosses val="autoZero"/>
        <c:crossBetween val="midCat"/>
      </c:valAx>
      <c:valAx>
        <c:axId val="462452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2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'AMP4-2'!$K$9:$K$188</c:f>
              <c:numCache>
                <c:formatCode>General</c:formatCode>
                <c:ptCount val="180"/>
                <c:pt idx="1">
                  <c:v>168.55199999999999</c:v>
                </c:pt>
                <c:pt idx="3">
                  <c:v>168.18899999999999</c:v>
                </c:pt>
                <c:pt idx="5">
                  <c:v>168.733</c:v>
                </c:pt>
                <c:pt idx="7">
                  <c:v>168.64500000000001</c:v>
                </c:pt>
                <c:pt idx="9">
                  <c:v>168.52799999999999</c:v>
                </c:pt>
                <c:pt idx="11">
                  <c:v>168.72800000000001</c:v>
                </c:pt>
                <c:pt idx="13">
                  <c:v>168.68700000000001</c:v>
                </c:pt>
                <c:pt idx="15">
                  <c:v>168.446</c:v>
                </c:pt>
                <c:pt idx="17">
                  <c:v>168.74</c:v>
                </c:pt>
                <c:pt idx="19">
                  <c:v>168.523</c:v>
                </c:pt>
                <c:pt idx="21">
                  <c:v>168.67</c:v>
                </c:pt>
                <c:pt idx="23">
                  <c:v>168.54</c:v>
                </c:pt>
                <c:pt idx="25">
                  <c:v>168.59100000000001</c:v>
                </c:pt>
                <c:pt idx="27">
                  <c:v>168.685</c:v>
                </c:pt>
                <c:pt idx="29">
                  <c:v>168.73099999999999</c:v>
                </c:pt>
                <c:pt idx="31">
                  <c:v>168.58799999999999</c:v>
                </c:pt>
                <c:pt idx="33">
                  <c:v>168.3</c:v>
                </c:pt>
                <c:pt idx="35">
                  <c:v>168.52799999999999</c:v>
                </c:pt>
                <c:pt idx="37">
                  <c:v>168.67400000000001</c:v>
                </c:pt>
                <c:pt idx="39">
                  <c:v>168.422</c:v>
                </c:pt>
                <c:pt idx="41">
                  <c:v>168.548</c:v>
                </c:pt>
                <c:pt idx="43">
                  <c:v>168.374</c:v>
                </c:pt>
                <c:pt idx="45">
                  <c:v>168.55099999999999</c:v>
                </c:pt>
                <c:pt idx="47">
                  <c:v>168.58</c:v>
                </c:pt>
                <c:pt idx="49">
                  <c:v>168.67400000000001</c:v>
                </c:pt>
                <c:pt idx="51">
                  <c:v>168.572</c:v>
                </c:pt>
                <c:pt idx="53">
                  <c:v>168.60400000000001</c:v>
                </c:pt>
                <c:pt idx="55">
                  <c:v>168.63300000000001</c:v>
                </c:pt>
                <c:pt idx="57">
                  <c:v>168.48400000000001</c:v>
                </c:pt>
                <c:pt idx="59">
                  <c:v>168.529</c:v>
                </c:pt>
                <c:pt idx="61">
                  <c:v>168.654</c:v>
                </c:pt>
                <c:pt idx="63">
                  <c:v>168.22900000000001</c:v>
                </c:pt>
                <c:pt idx="65">
                  <c:v>168.488</c:v>
                </c:pt>
                <c:pt idx="67">
                  <c:v>168.45400000000001</c:v>
                </c:pt>
                <c:pt idx="69">
                  <c:v>168.524</c:v>
                </c:pt>
                <c:pt idx="71">
                  <c:v>168.45699999999999</c:v>
                </c:pt>
                <c:pt idx="73">
                  <c:v>168.167</c:v>
                </c:pt>
                <c:pt idx="75">
                  <c:v>168.64599999999999</c:v>
                </c:pt>
                <c:pt idx="77">
                  <c:v>168.56700000000001</c:v>
                </c:pt>
                <c:pt idx="79">
                  <c:v>168.643</c:v>
                </c:pt>
                <c:pt idx="81">
                  <c:v>168.68</c:v>
                </c:pt>
                <c:pt idx="83">
                  <c:v>168.61600000000001</c:v>
                </c:pt>
                <c:pt idx="85">
                  <c:v>168.62299999999999</c:v>
                </c:pt>
                <c:pt idx="87">
                  <c:v>168.55199999999999</c:v>
                </c:pt>
                <c:pt idx="89">
                  <c:v>168.58</c:v>
                </c:pt>
                <c:pt idx="91">
                  <c:v>168.554</c:v>
                </c:pt>
                <c:pt idx="93">
                  <c:v>168.648</c:v>
                </c:pt>
                <c:pt idx="95">
                  <c:v>168.577</c:v>
                </c:pt>
                <c:pt idx="97">
                  <c:v>168.68700000000001</c:v>
                </c:pt>
                <c:pt idx="99">
                  <c:v>168.54</c:v>
                </c:pt>
                <c:pt idx="101">
                  <c:v>168.55</c:v>
                </c:pt>
                <c:pt idx="103">
                  <c:v>168.423</c:v>
                </c:pt>
                <c:pt idx="105">
                  <c:v>168.50200000000001</c:v>
                </c:pt>
                <c:pt idx="107">
                  <c:v>168.55</c:v>
                </c:pt>
                <c:pt idx="109">
                  <c:v>168.47800000000001</c:v>
                </c:pt>
                <c:pt idx="111">
                  <c:v>168.55699999999999</c:v>
                </c:pt>
                <c:pt idx="113">
                  <c:v>168.51</c:v>
                </c:pt>
                <c:pt idx="115">
                  <c:v>168.607</c:v>
                </c:pt>
                <c:pt idx="117">
                  <c:v>168.50700000000001</c:v>
                </c:pt>
                <c:pt idx="119">
                  <c:v>168.422</c:v>
                </c:pt>
                <c:pt idx="121">
                  <c:v>168.58799999999999</c:v>
                </c:pt>
                <c:pt idx="123">
                  <c:v>168.77</c:v>
                </c:pt>
                <c:pt idx="125">
                  <c:v>168.70099999999999</c:v>
                </c:pt>
                <c:pt idx="127">
                  <c:v>168.72</c:v>
                </c:pt>
                <c:pt idx="129">
                  <c:v>168.58099999999999</c:v>
                </c:pt>
                <c:pt idx="131">
                  <c:v>168.59299999999999</c:v>
                </c:pt>
                <c:pt idx="133">
                  <c:v>168.85499999999999</c:v>
                </c:pt>
                <c:pt idx="135">
                  <c:v>168.64099999999999</c:v>
                </c:pt>
                <c:pt idx="137">
                  <c:v>168.506</c:v>
                </c:pt>
                <c:pt idx="139">
                  <c:v>168.74299999999999</c:v>
                </c:pt>
                <c:pt idx="141">
                  <c:v>168.315</c:v>
                </c:pt>
                <c:pt idx="143">
                  <c:v>168.62299999999999</c:v>
                </c:pt>
                <c:pt idx="145">
                  <c:v>168.63499999999999</c:v>
                </c:pt>
                <c:pt idx="147">
                  <c:v>168.61500000000001</c:v>
                </c:pt>
                <c:pt idx="149">
                  <c:v>168.36500000000001</c:v>
                </c:pt>
                <c:pt idx="151">
                  <c:v>168.66200000000001</c:v>
                </c:pt>
                <c:pt idx="153">
                  <c:v>168.43299999999999</c:v>
                </c:pt>
                <c:pt idx="155">
                  <c:v>168.499</c:v>
                </c:pt>
                <c:pt idx="157">
                  <c:v>168.57499999999999</c:v>
                </c:pt>
                <c:pt idx="159">
                  <c:v>168.34299999999999</c:v>
                </c:pt>
                <c:pt idx="161">
                  <c:v>168.44800000000001</c:v>
                </c:pt>
                <c:pt idx="163">
                  <c:v>168.57300000000001</c:v>
                </c:pt>
                <c:pt idx="165">
                  <c:v>168.137</c:v>
                </c:pt>
                <c:pt idx="167">
                  <c:v>168.672</c:v>
                </c:pt>
                <c:pt idx="169">
                  <c:v>168.68100000000001</c:v>
                </c:pt>
                <c:pt idx="171">
                  <c:v>168.51599999999999</c:v>
                </c:pt>
                <c:pt idx="173">
                  <c:v>168.57400000000001</c:v>
                </c:pt>
                <c:pt idx="175">
                  <c:v>168.50200000000001</c:v>
                </c:pt>
                <c:pt idx="177">
                  <c:v>168.60599999999999</c:v>
                </c:pt>
                <c:pt idx="179">
                  <c:v>168.464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CE-44C7-A4E9-EB3BEB40996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('AMP4-2'!$K$4,'AMP4-2'!$K$4)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CE-44C7-A4E9-EB3BEB40996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('AMP4-2'!$K$5,'AMP4-2'!$K$5)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CE-44C7-A4E9-EB3BEB409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53440"/>
        <c:axId val="462453832"/>
      </c:scatterChart>
      <c:valAx>
        <c:axId val="46245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3832"/>
        <c:crosses val="autoZero"/>
        <c:crossBetween val="midCat"/>
      </c:valAx>
      <c:valAx>
        <c:axId val="4624538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5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'AMP4-2'!$L$9:$L$188</c:f>
              <c:numCache>
                <c:formatCode>General</c:formatCode>
                <c:ptCount val="180"/>
                <c:pt idx="0">
                  <c:v>155.93700000000001</c:v>
                </c:pt>
                <c:pt idx="1">
                  <c:v>156.27699999999999</c:v>
                </c:pt>
                <c:pt idx="2">
                  <c:v>155.72900000000001</c:v>
                </c:pt>
                <c:pt idx="3">
                  <c:v>155.93700000000001</c:v>
                </c:pt>
                <c:pt idx="4">
                  <c:v>155.82300000000001</c:v>
                </c:pt>
                <c:pt idx="5">
                  <c:v>156.09800000000001</c:v>
                </c:pt>
                <c:pt idx="6">
                  <c:v>155.739</c:v>
                </c:pt>
                <c:pt idx="7">
                  <c:v>155.94</c:v>
                </c:pt>
                <c:pt idx="8">
                  <c:v>155.73099999999999</c:v>
                </c:pt>
                <c:pt idx="9">
                  <c:v>155.982</c:v>
                </c:pt>
                <c:pt idx="10">
                  <c:v>155.761</c:v>
                </c:pt>
                <c:pt idx="11">
                  <c:v>156.03299999999999</c:v>
                </c:pt>
                <c:pt idx="12">
                  <c:v>155.75</c:v>
                </c:pt>
                <c:pt idx="13">
                  <c:v>156.04400000000001</c:v>
                </c:pt>
                <c:pt idx="14">
                  <c:v>155.84800000000001</c:v>
                </c:pt>
                <c:pt idx="15">
                  <c:v>156.02099999999999</c:v>
                </c:pt>
                <c:pt idx="16">
                  <c:v>155.89400000000001</c:v>
                </c:pt>
                <c:pt idx="17">
                  <c:v>156.08799999999999</c:v>
                </c:pt>
                <c:pt idx="18">
                  <c:v>155.76</c:v>
                </c:pt>
                <c:pt idx="19">
                  <c:v>156.024</c:v>
                </c:pt>
                <c:pt idx="20">
                  <c:v>155.81700000000001</c:v>
                </c:pt>
                <c:pt idx="21">
                  <c:v>156.08099999999999</c:v>
                </c:pt>
                <c:pt idx="22">
                  <c:v>155.911</c:v>
                </c:pt>
                <c:pt idx="23">
                  <c:v>156.191</c:v>
                </c:pt>
                <c:pt idx="24">
                  <c:v>155.881</c:v>
                </c:pt>
                <c:pt idx="25">
                  <c:v>156.101</c:v>
                </c:pt>
                <c:pt idx="26">
                  <c:v>155.71</c:v>
                </c:pt>
                <c:pt idx="27">
                  <c:v>156.125</c:v>
                </c:pt>
                <c:pt idx="28">
                  <c:v>155.785</c:v>
                </c:pt>
                <c:pt idx="29">
                  <c:v>156.16</c:v>
                </c:pt>
                <c:pt idx="30">
                  <c:v>155.738</c:v>
                </c:pt>
                <c:pt idx="31">
                  <c:v>156.18600000000001</c:v>
                </c:pt>
                <c:pt idx="32">
                  <c:v>155.72800000000001</c:v>
                </c:pt>
                <c:pt idx="33">
                  <c:v>156.101</c:v>
                </c:pt>
                <c:pt idx="34">
                  <c:v>155.79599999999999</c:v>
                </c:pt>
                <c:pt idx="35">
                  <c:v>156.15799999999999</c:v>
                </c:pt>
                <c:pt idx="36">
                  <c:v>155.86099999999999</c:v>
                </c:pt>
                <c:pt idx="37">
                  <c:v>156.28399999999999</c:v>
                </c:pt>
                <c:pt idx="38">
                  <c:v>155.78399999999999</c:v>
                </c:pt>
                <c:pt idx="39">
                  <c:v>156.066</c:v>
                </c:pt>
                <c:pt idx="40">
                  <c:v>155.87100000000001</c:v>
                </c:pt>
                <c:pt idx="41">
                  <c:v>156.30199999999999</c:v>
                </c:pt>
                <c:pt idx="42">
                  <c:v>155.874</c:v>
                </c:pt>
                <c:pt idx="43">
                  <c:v>156.267</c:v>
                </c:pt>
                <c:pt idx="44">
                  <c:v>155.85499999999999</c:v>
                </c:pt>
                <c:pt idx="45">
                  <c:v>156.26300000000001</c:v>
                </c:pt>
                <c:pt idx="46">
                  <c:v>155.85900000000001</c:v>
                </c:pt>
                <c:pt idx="47">
                  <c:v>156.28100000000001</c:v>
                </c:pt>
                <c:pt idx="48">
                  <c:v>155.93</c:v>
                </c:pt>
                <c:pt idx="49">
                  <c:v>156.32900000000001</c:v>
                </c:pt>
                <c:pt idx="50">
                  <c:v>155.898</c:v>
                </c:pt>
                <c:pt idx="51">
                  <c:v>156.309</c:v>
                </c:pt>
                <c:pt idx="52">
                  <c:v>155.87700000000001</c:v>
                </c:pt>
                <c:pt idx="53">
                  <c:v>156.31700000000001</c:v>
                </c:pt>
                <c:pt idx="54">
                  <c:v>155.85900000000001</c:v>
                </c:pt>
                <c:pt idx="55">
                  <c:v>156.375</c:v>
                </c:pt>
                <c:pt idx="56">
                  <c:v>155.834</c:v>
                </c:pt>
                <c:pt idx="57">
                  <c:v>156.28800000000001</c:v>
                </c:pt>
                <c:pt idx="58">
                  <c:v>155.94999999999999</c:v>
                </c:pt>
                <c:pt idx="59">
                  <c:v>156.404</c:v>
                </c:pt>
                <c:pt idx="60">
                  <c:v>155.89699999999999</c:v>
                </c:pt>
                <c:pt idx="61">
                  <c:v>156.44900000000001</c:v>
                </c:pt>
                <c:pt idx="62">
                  <c:v>156.05799999999999</c:v>
                </c:pt>
                <c:pt idx="63">
                  <c:v>156.08000000000001</c:v>
                </c:pt>
                <c:pt idx="64">
                  <c:v>155.97900000000001</c:v>
                </c:pt>
                <c:pt idx="65">
                  <c:v>156.017</c:v>
                </c:pt>
                <c:pt idx="66">
                  <c:v>156.041</c:v>
                </c:pt>
                <c:pt idx="67">
                  <c:v>156.04599999999999</c:v>
                </c:pt>
                <c:pt idx="68">
                  <c:v>156.03800000000001</c:v>
                </c:pt>
                <c:pt idx="69">
                  <c:v>156.119</c:v>
                </c:pt>
                <c:pt idx="70">
                  <c:v>156.09</c:v>
                </c:pt>
                <c:pt idx="71">
                  <c:v>156.13999999999999</c:v>
                </c:pt>
                <c:pt idx="72">
                  <c:v>155.85300000000001</c:v>
                </c:pt>
                <c:pt idx="73">
                  <c:v>155.595</c:v>
                </c:pt>
                <c:pt idx="74">
                  <c:v>155.804</c:v>
                </c:pt>
                <c:pt idx="75">
                  <c:v>155.57599999999999</c:v>
                </c:pt>
                <c:pt idx="76">
                  <c:v>155.809</c:v>
                </c:pt>
                <c:pt idx="77">
                  <c:v>155.59200000000001</c:v>
                </c:pt>
                <c:pt idx="78">
                  <c:v>155.953</c:v>
                </c:pt>
                <c:pt idx="79">
                  <c:v>155.65799999999999</c:v>
                </c:pt>
                <c:pt idx="80">
                  <c:v>155.86600000000001</c:v>
                </c:pt>
                <c:pt idx="81">
                  <c:v>155.642</c:v>
                </c:pt>
                <c:pt idx="82">
                  <c:v>155.86000000000001</c:v>
                </c:pt>
                <c:pt idx="83">
                  <c:v>155.637</c:v>
                </c:pt>
                <c:pt idx="84">
                  <c:v>155.92099999999999</c:v>
                </c:pt>
                <c:pt idx="85">
                  <c:v>155.72399999999999</c:v>
                </c:pt>
                <c:pt idx="86">
                  <c:v>155.91800000000001</c:v>
                </c:pt>
                <c:pt idx="87">
                  <c:v>155.65899999999999</c:v>
                </c:pt>
                <c:pt idx="88">
                  <c:v>155.92400000000001</c:v>
                </c:pt>
                <c:pt idx="89">
                  <c:v>155.71100000000001</c:v>
                </c:pt>
                <c:pt idx="90">
                  <c:v>156.01</c:v>
                </c:pt>
                <c:pt idx="91">
                  <c:v>155.83099999999999</c:v>
                </c:pt>
                <c:pt idx="92">
                  <c:v>156.11199999999999</c:v>
                </c:pt>
                <c:pt idx="93">
                  <c:v>155.84800000000001</c:v>
                </c:pt>
                <c:pt idx="94">
                  <c:v>155.92099999999999</c:v>
                </c:pt>
                <c:pt idx="95">
                  <c:v>155.80199999999999</c:v>
                </c:pt>
                <c:pt idx="96">
                  <c:v>156.00899999999999</c:v>
                </c:pt>
                <c:pt idx="97">
                  <c:v>155.80600000000001</c:v>
                </c:pt>
                <c:pt idx="98">
                  <c:v>155.994</c:v>
                </c:pt>
                <c:pt idx="99">
                  <c:v>155.785</c:v>
                </c:pt>
                <c:pt idx="100">
                  <c:v>156.01300000000001</c:v>
                </c:pt>
                <c:pt idx="101">
                  <c:v>155.80199999999999</c:v>
                </c:pt>
                <c:pt idx="102">
                  <c:v>156.02699999999999</c:v>
                </c:pt>
                <c:pt idx="103">
                  <c:v>155.821</c:v>
                </c:pt>
                <c:pt idx="104">
                  <c:v>156.017</c:v>
                </c:pt>
                <c:pt idx="105">
                  <c:v>155.804</c:v>
                </c:pt>
                <c:pt idx="106">
                  <c:v>156.06800000000001</c:v>
                </c:pt>
                <c:pt idx="107">
                  <c:v>155.82400000000001</c:v>
                </c:pt>
                <c:pt idx="108">
                  <c:v>156.048</c:v>
                </c:pt>
                <c:pt idx="109">
                  <c:v>155.89699999999999</c:v>
                </c:pt>
                <c:pt idx="110">
                  <c:v>156.066</c:v>
                </c:pt>
                <c:pt idx="111">
                  <c:v>155.88200000000001</c:v>
                </c:pt>
                <c:pt idx="112">
                  <c:v>156.04300000000001</c:v>
                </c:pt>
                <c:pt idx="113">
                  <c:v>155.887</c:v>
                </c:pt>
                <c:pt idx="114">
                  <c:v>155.91</c:v>
                </c:pt>
                <c:pt idx="115">
                  <c:v>155.71600000000001</c:v>
                </c:pt>
                <c:pt idx="116">
                  <c:v>155.82400000000001</c:v>
                </c:pt>
                <c:pt idx="117">
                  <c:v>155.62799999999999</c:v>
                </c:pt>
                <c:pt idx="118">
                  <c:v>155.82900000000001</c:v>
                </c:pt>
                <c:pt idx="119">
                  <c:v>155.62799999999999</c:v>
                </c:pt>
                <c:pt idx="120">
                  <c:v>155.625</c:v>
                </c:pt>
                <c:pt idx="121">
                  <c:v>155.51599999999999</c:v>
                </c:pt>
                <c:pt idx="122">
                  <c:v>155.941</c:v>
                </c:pt>
                <c:pt idx="123">
                  <c:v>155.78</c:v>
                </c:pt>
                <c:pt idx="124">
                  <c:v>155.75899999999999</c:v>
                </c:pt>
                <c:pt idx="125">
                  <c:v>155.637</c:v>
                </c:pt>
                <c:pt idx="126">
                  <c:v>155.91399999999999</c:v>
                </c:pt>
                <c:pt idx="127">
                  <c:v>155.80699999999999</c:v>
                </c:pt>
                <c:pt idx="128">
                  <c:v>155.666</c:v>
                </c:pt>
                <c:pt idx="129">
                  <c:v>155.66399999999999</c:v>
                </c:pt>
                <c:pt idx="130">
                  <c:v>155.95500000000001</c:v>
                </c:pt>
                <c:pt idx="131">
                  <c:v>155.56100000000001</c:v>
                </c:pt>
                <c:pt idx="132">
                  <c:v>155.99</c:v>
                </c:pt>
                <c:pt idx="133">
                  <c:v>155.84100000000001</c:v>
                </c:pt>
                <c:pt idx="134">
                  <c:v>155.91800000000001</c:v>
                </c:pt>
                <c:pt idx="135">
                  <c:v>155.77600000000001</c:v>
                </c:pt>
                <c:pt idx="136">
                  <c:v>155.999</c:v>
                </c:pt>
                <c:pt idx="137">
                  <c:v>155.81100000000001</c:v>
                </c:pt>
                <c:pt idx="138">
                  <c:v>156.05199999999999</c:v>
                </c:pt>
                <c:pt idx="139">
                  <c:v>155.75399999999999</c:v>
                </c:pt>
                <c:pt idx="140">
                  <c:v>155.971</c:v>
                </c:pt>
                <c:pt idx="141">
                  <c:v>155.80199999999999</c:v>
                </c:pt>
                <c:pt idx="142">
                  <c:v>155.95699999999999</c:v>
                </c:pt>
                <c:pt idx="143">
                  <c:v>155.827</c:v>
                </c:pt>
                <c:pt idx="144">
                  <c:v>155.922</c:v>
                </c:pt>
                <c:pt idx="145">
                  <c:v>155.792</c:v>
                </c:pt>
                <c:pt idx="146">
                  <c:v>156.00800000000001</c:v>
                </c:pt>
                <c:pt idx="147">
                  <c:v>155.94</c:v>
                </c:pt>
                <c:pt idx="148">
                  <c:v>155.93100000000001</c:v>
                </c:pt>
                <c:pt idx="149">
                  <c:v>155.77699999999999</c:v>
                </c:pt>
                <c:pt idx="150">
                  <c:v>156.018</c:v>
                </c:pt>
                <c:pt idx="151">
                  <c:v>155.828</c:v>
                </c:pt>
                <c:pt idx="152">
                  <c:v>156.04300000000001</c:v>
                </c:pt>
                <c:pt idx="153">
                  <c:v>155.90100000000001</c:v>
                </c:pt>
                <c:pt idx="154">
                  <c:v>155.995</c:v>
                </c:pt>
                <c:pt idx="155">
                  <c:v>155.89599999999999</c:v>
                </c:pt>
                <c:pt idx="156">
                  <c:v>156.04599999999999</c:v>
                </c:pt>
                <c:pt idx="157">
                  <c:v>155.93199999999999</c:v>
                </c:pt>
                <c:pt idx="158">
                  <c:v>156.08000000000001</c:v>
                </c:pt>
                <c:pt idx="159">
                  <c:v>155.946</c:v>
                </c:pt>
                <c:pt idx="160">
                  <c:v>155.84800000000001</c:v>
                </c:pt>
                <c:pt idx="161">
                  <c:v>155.61699999999999</c:v>
                </c:pt>
                <c:pt idx="162">
                  <c:v>155.851</c:v>
                </c:pt>
                <c:pt idx="163">
                  <c:v>155.50800000000001</c:v>
                </c:pt>
                <c:pt idx="164">
                  <c:v>155.78100000000001</c:v>
                </c:pt>
                <c:pt idx="165">
                  <c:v>155.697</c:v>
                </c:pt>
                <c:pt idx="166">
                  <c:v>155.88399999999999</c:v>
                </c:pt>
                <c:pt idx="167">
                  <c:v>155.68700000000001</c:v>
                </c:pt>
                <c:pt idx="168">
                  <c:v>155.94399999999999</c:v>
                </c:pt>
                <c:pt idx="169">
                  <c:v>155.666</c:v>
                </c:pt>
                <c:pt idx="170">
                  <c:v>155.97800000000001</c:v>
                </c:pt>
                <c:pt idx="171">
                  <c:v>155.74100000000001</c:v>
                </c:pt>
                <c:pt idx="172">
                  <c:v>155.953</c:v>
                </c:pt>
                <c:pt idx="173">
                  <c:v>155.67400000000001</c:v>
                </c:pt>
                <c:pt idx="174">
                  <c:v>156.03399999999999</c:v>
                </c:pt>
                <c:pt idx="175">
                  <c:v>155.71100000000001</c:v>
                </c:pt>
                <c:pt idx="176">
                  <c:v>156.00700000000001</c:v>
                </c:pt>
                <c:pt idx="177">
                  <c:v>155.76599999999999</c:v>
                </c:pt>
                <c:pt idx="178">
                  <c:v>155.89099999999999</c:v>
                </c:pt>
                <c:pt idx="179">
                  <c:v>155.648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E-48CD-B801-AF5A1EC742F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('AMP4-2'!$L$4,'AMP4-2'!$L$4)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4E-48CD-B801-AF5A1EC742F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('AMP4-2'!$L$5,'AMP4-2'!$L$5)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4E-48CD-B801-AF5A1EC74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06872"/>
        <c:axId val="474907264"/>
      </c:scatterChart>
      <c:valAx>
        <c:axId val="47490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7264"/>
        <c:crosses val="autoZero"/>
        <c:crossBetween val="midCat"/>
      </c:valAx>
      <c:valAx>
        <c:axId val="4749072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'AMP4-2'!$M$9:$M$188</c:f>
              <c:numCache>
                <c:formatCode>General</c:formatCode>
                <c:ptCount val="180"/>
                <c:pt idx="0">
                  <c:v>155.62899999999999</c:v>
                </c:pt>
                <c:pt idx="1">
                  <c:v>156.214</c:v>
                </c:pt>
                <c:pt idx="2">
                  <c:v>155.46600000000001</c:v>
                </c:pt>
                <c:pt idx="3">
                  <c:v>155.80600000000001</c:v>
                </c:pt>
                <c:pt idx="4">
                  <c:v>155.68</c:v>
                </c:pt>
                <c:pt idx="5">
                  <c:v>156.012</c:v>
                </c:pt>
                <c:pt idx="6">
                  <c:v>155.47399999999999</c:v>
                </c:pt>
                <c:pt idx="7">
                  <c:v>155.84399999999999</c:v>
                </c:pt>
                <c:pt idx="8">
                  <c:v>155.488</c:v>
                </c:pt>
                <c:pt idx="9">
                  <c:v>155.87700000000001</c:v>
                </c:pt>
                <c:pt idx="10">
                  <c:v>155.46299999999999</c:v>
                </c:pt>
                <c:pt idx="11">
                  <c:v>156.017</c:v>
                </c:pt>
                <c:pt idx="12">
                  <c:v>155.476</c:v>
                </c:pt>
                <c:pt idx="13">
                  <c:v>155.97200000000001</c:v>
                </c:pt>
                <c:pt idx="14">
                  <c:v>155.60599999999999</c:v>
                </c:pt>
                <c:pt idx="15">
                  <c:v>155.929</c:v>
                </c:pt>
                <c:pt idx="16">
                  <c:v>155.64400000000001</c:v>
                </c:pt>
                <c:pt idx="17">
                  <c:v>156.001</c:v>
                </c:pt>
                <c:pt idx="18">
                  <c:v>155.517</c:v>
                </c:pt>
                <c:pt idx="19">
                  <c:v>155.965</c:v>
                </c:pt>
                <c:pt idx="20">
                  <c:v>155.57300000000001</c:v>
                </c:pt>
                <c:pt idx="21">
                  <c:v>156.00399999999999</c:v>
                </c:pt>
                <c:pt idx="22">
                  <c:v>155.648</c:v>
                </c:pt>
                <c:pt idx="23">
                  <c:v>156.15899999999999</c:v>
                </c:pt>
                <c:pt idx="24">
                  <c:v>155.607</c:v>
                </c:pt>
                <c:pt idx="25">
                  <c:v>156.03399999999999</c:v>
                </c:pt>
                <c:pt idx="26">
                  <c:v>155.44800000000001</c:v>
                </c:pt>
                <c:pt idx="27">
                  <c:v>156.077</c:v>
                </c:pt>
                <c:pt idx="28">
                  <c:v>155.5</c:v>
                </c:pt>
                <c:pt idx="29">
                  <c:v>156.13300000000001</c:v>
                </c:pt>
                <c:pt idx="30">
                  <c:v>155.458</c:v>
                </c:pt>
                <c:pt idx="31">
                  <c:v>156.16</c:v>
                </c:pt>
                <c:pt idx="32">
                  <c:v>155.43799999999999</c:v>
                </c:pt>
                <c:pt idx="33">
                  <c:v>156.071</c:v>
                </c:pt>
                <c:pt idx="34">
                  <c:v>155.471</c:v>
                </c:pt>
                <c:pt idx="35">
                  <c:v>156.155</c:v>
                </c:pt>
                <c:pt idx="36">
                  <c:v>155.58199999999999</c:v>
                </c:pt>
                <c:pt idx="37">
                  <c:v>156.24199999999999</c:v>
                </c:pt>
                <c:pt idx="38">
                  <c:v>155.50299999999999</c:v>
                </c:pt>
                <c:pt idx="39">
                  <c:v>156.06100000000001</c:v>
                </c:pt>
                <c:pt idx="40">
                  <c:v>155.60599999999999</c:v>
                </c:pt>
                <c:pt idx="41">
                  <c:v>156.261</c:v>
                </c:pt>
                <c:pt idx="42">
                  <c:v>155.583</c:v>
                </c:pt>
                <c:pt idx="43">
                  <c:v>156.18700000000001</c:v>
                </c:pt>
                <c:pt idx="44">
                  <c:v>155.541</c:v>
                </c:pt>
                <c:pt idx="45">
                  <c:v>156.23099999999999</c:v>
                </c:pt>
                <c:pt idx="46">
                  <c:v>155.56700000000001</c:v>
                </c:pt>
                <c:pt idx="47">
                  <c:v>156.26400000000001</c:v>
                </c:pt>
                <c:pt idx="48">
                  <c:v>155.584</c:v>
                </c:pt>
                <c:pt idx="49">
                  <c:v>156.30000000000001</c:v>
                </c:pt>
                <c:pt idx="50">
                  <c:v>155.589</c:v>
                </c:pt>
                <c:pt idx="51">
                  <c:v>156.31899999999999</c:v>
                </c:pt>
                <c:pt idx="52">
                  <c:v>155.523</c:v>
                </c:pt>
                <c:pt idx="53">
                  <c:v>156.298</c:v>
                </c:pt>
                <c:pt idx="54">
                  <c:v>155.52000000000001</c:v>
                </c:pt>
                <c:pt idx="55">
                  <c:v>156.35400000000001</c:v>
                </c:pt>
                <c:pt idx="56">
                  <c:v>155.53299999999999</c:v>
                </c:pt>
                <c:pt idx="57">
                  <c:v>156.327</c:v>
                </c:pt>
                <c:pt idx="58">
                  <c:v>155.601</c:v>
                </c:pt>
                <c:pt idx="59">
                  <c:v>156.404</c:v>
                </c:pt>
                <c:pt idx="60">
                  <c:v>155.52699999999999</c:v>
                </c:pt>
                <c:pt idx="61">
                  <c:v>156.452</c:v>
                </c:pt>
                <c:pt idx="62">
                  <c:v>155.69</c:v>
                </c:pt>
                <c:pt idx="63">
                  <c:v>156.01</c:v>
                </c:pt>
                <c:pt idx="64">
                  <c:v>155.625</c:v>
                </c:pt>
                <c:pt idx="65">
                  <c:v>155.965</c:v>
                </c:pt>
                <c:pt idx="66">
                  <c:v>155.67699999999999</c:v>
                </c:pt>
                <c:pt idx="67">
                  <c:v>155.97900000000001</c:v>
                </c:pt>
                <c:pt idx="68">
                  <c:v>155.661</c:v>
                </c:pt>
                <c:pt idx="69">
                  <c:v>156.07900000000001</c:v>
                </c:pt>
                <c:pt idx="70">
                  <c:v>155.732</c:v>
                </c:pt>
                <c:pt idx="71">
                  <c:v>156.09399999999999</c:v>
                </c:pt>
                <c:pt idx="72">
                  <c:v>155.44900000000001</c:v>
                </c:pt>
                <c:pt idx="73">
                  <c:v>155.595</c:v>
                </c:pt>
                <c:pt idx="74">
                  <c:v>155.58099999999999</c:v>
                </c:pt>
                <c:pt idx="75">
                  <c:v>155.46199999999999</c:v>
                </c:pt>
                <c:pt idx="76">
                  <c:v>155.57</c:v>
                </c:pt>
                <c:pt idx="77">
                  <c:v>155.43299999999999</c:v>
                </c:pt>
                <c:pt idx="78">
                  <c:v>155.714</c:v>
                </c:pt>
                <c:pt idx="79">
                  <c:v>155.49199999999999</c:v>
                </c:pt>
                <c:pt idx="80">
                  <c:v>155.57599999999999</c:v>
                </c:pt>
                <c:pt idx="81">
                  <c:v>155.56200000000001</c:v>
                </c:pt>
                <c:pt idx="82">
                  <c:v>155.64599999999999</c:v>
                </c:pt>
                <c:pt idx="83">
                  <c:v>155.48500000000001</c:v>
                </c:pt>
                <c:pt idx="84">
                  <c:v>155.70699999999999</c:v>
                </c:pt>
                <c:pt idx="85">
                  <c:v>155.548</c:v>
                </c:pt>
                <c:pt idx="86">
                  <c:v>155.72499999999999</c:v>
                </c:pt>
                <c:pt idx="87">
                  <c:v>155.499</c:v>
                </c:pt>
                <c:pt idx="88">
                  <c:v>155.69800000000001</c:v>
                </c:pt>
                <c:pt idx="89">
                  <c:v>155.56</c:v>
                </c:pt>
                <c:pt idx="90">
                  <c:v>155.749</c:v>
                </c:pt>
                <c:pt idx="91">
                  <c:v>155.69200000000001</c:v>
                </c:pt>
                <c:pt idx="92">
                  <c:v>155.85599999999999</c:v>
                </c:pt>
                <c:pt idx="93">
                  <c:v>155.71899999999999</c:v>
                </c:pt>
                <c:pt idx="94">
                  <c:v>155.63200000000001</c:v>
                </c:pt>
                <c:pt idx="95">
                  <c:v>155.68899999999999</c:v>
                </c:pt>
                <c:pt idx="96">
                  <c:v>155.73699999999999</c:v>
                </c:pt>
                <c:pt idx="97">
                  <c:v>155.68700000000001</c:v>
                </c:pt>
                <c:pt idx="98">
                  <c:v>155.74299999999999</c:v>
                </c:pt>
                <c:pt idx="99">
                  <c:v>155.65700000000001</c:v>
                </c:pt>
                <c:pt idx="100">
                  <c:v>155.74299999999999</c:v>
                </c:pt>
                <c:pt idx="101">
                  <c:v>155.64599999999999</c:v>
                </c:pt>
                <c:pt idx="102">
                  <c:v>155.70099999999999</c:v>
                </c:pt>
                <c:pt idx="103">
                  <c:v>155.679</c:v>
                </c:pt>
                <c:pt idx="104">
                  <c:v>155.63</c:v>
                </c:pt>
                <c:pt idx="105">
                  <c:v>155.74</c:v>
                </c:pt>
                <c:pt idx="106">
                  <c:v>155.76900000000001</c:v>
                </c:pt>
                <c:pt idx="107">
                  <c:v>155.69499999999999</c:v>
                </c:pt>
                <c:pt idx="108">
                  <c:v>155.73599999999999</c:v>
                </c:pt>
                <c:pt idx="109">
                  <c:v>155.76599999999999</c:v>
                </c:pt>
                <c:pt idx="110">
                  <c:v>155.679</c:v>
                </c:pt>
                <c:pt idx="111">
                  <c:v>155.852</c:v>
                </c:pt>
                <c:pt idx="112">
                  <c:v>155.64400000000001</c:v>
                </c:pt>
                <c:pt idx="113">
                  <c:v>155.827</c:v>
                </c:pt>
                <c:pt idx="114">
                  <c:v>155.62700000000001</c:v>
                </c:pt>
                <c:pt idx="115">
                  <c:v>155.52000000000001</c:v>
                </c:pt>
                <c:pt idx="116">
                  <c:v>155.60400000000001</c:v>
                </c:pt>
                <c:pt idx="117">
                  <c:v>155.465</c:v>
                </c:pt>
                <c:pt idx="118">
                  <c:v>155.59800000000001</c:v>
                </c:pt>
                <c:pt idx="119">
                  <c:v>155.49700000000001</c:v>
                </c:pt>
                <c:pt idx="120">
                  <c:v>155.47</c:v>
                </c:pt>
                <c:pt idx="121">
                  <c:v>155.38900000000001</c:v>
                </c:pt>
                <c:pt idx="122">
                  <c:v>155.69999999999999</c:v>
                </c:pt>
                <c:pt idx="123">
                  <c:v>155.59299999999999</c:v>
                </c:pt>
                <c:pt idx="124">
                  <c:v>155.589</c:v>
                </c:pt>
                <c:pt idx="125">
                  <c:v>155.51499999999999</c:v>
                </c:pt>
                <c:pt idx="126">
                  <c:v>155.64599999999999</c:v>
                </c:pt>
                <c:pt idx="127">
                  <c:v>155.62100000000001</c:v>
                </c:pt>
                <c:pt idx="128">
                  <c:v>155.52199999999999</c:v>
                </c:pt>
                <c:pt idx="129">
                  <c:v>155.483</c:v>
                </c:pt>
                <c:pt idx="130">
                  <c:v>155.678</c:v>
                </c:pt>
                <c:pt idx="131">
                  <c:v>155.37899999999999</c:v>
                </c:pt>
                <c:pt idx="132">
                  <c:v>155.71199999999999</c:v>
                </c:pt>
                <c:pt idx="133">
                  <c:v>155.61799999999999</c:v>
                </c:pt>
                <c:pt idx="134">
                  <c:v>155.65600000000001</c:v>
                </c:pt>
                <c:pt idx="135">
                  <c:v>155.595</c:v>
                </c:pt>
                <c:pt idx="136">
                  <c:v>155.744</c:v>
                </c:pt>
                <c:pt idx="137">
                  <c:v>155.62299999999999</c:v>
                </c:pt>
                <c:pt idx="138">
                  <c:v>155.80699999999999</c:v>
                </c:pt>
                <c:pt idx="139">
                  <c:v>155.60300000000001</c:v>
                </c:pt>
                <c:pt idx="140">
                  <c:v>155.65299999999999</c:v>
                </c:pt>
                <c:pt idx="141">
                  <c:v>155.75</c:v>
                </c:pt>
                <c:pt idx="142">
                  <c:v>155.65</c:v>
                </c:pt>
                <c:pt idx="143">
                  <c:v>155.68100000000001</c:v>
                </c:pt>
                <c:pt idx="144">
                  <c:v>155.63200000000001</c:v>
                </c:pt>
                <c:pt idx="145">
                  <c:v>155.69800000000001</c:v>
                </c:pt>
                <c:pt idx="146">
                  <c:v>155.69800000000001</c:v>
                </c:pt>
                <c:pt idx="147">
                  <c:v>155.77099999999999</c:v>
                </c:pt>
                <c:pt idx="148">
                  <c:v>155.62200000000001</c:v>
                </c:pt>
                <c:pt idx="149">
                  <c:v>155.595</c:v>
                </c:pt>
                <c:pt idx="150">
                  <c:v>155.685</c:v>
                </c:pt>
                <c:pt idx="151">
                  <c:v>155.678</c:v>
                </c:pt>
                <c:pt idx="152">
                  <c:v>155.703</c:v>
                </c:pt>
                <c:pt idx="153">
                  <c:v>155.73699999999999</c:v>
                </c:pt>
                <c:pt idx="154">
                  <c:v>155.67099999999999</c:v>
                </c:pt>
                <c:pt idx="155">
                  <c:v>155.768</c:v>
                </c:pt>
                <c:pt idx="156">
                  <c:v>155.71100000000001</c:v>
                </c:pt>
                <c:pt idx="157">
                  <c:v>155.86500000000001</c:v>
                </c:pt>
                <c:pt idx="158">
                  <c:v>155.83099999999999</c:v>
                </c:pt>
                <c:pt idx="159">
                  <c:v>155.82499999999999</c:v>
                </c:pt>
                <c:pt idx="160">
                  <c:v>155.589</c:v>
                </c:pt>
                <c:pt idx="161">
                  <c:v>155.41999999999999</c:v>
                </c:pt>
                <c:pt idx="162">
                  <c:v>155.60300000000001</c:v>
                </c:pt>
                <c:pt idx="163">
                  <c:v>155.32499999999999</c:v>
                </c:pt>
                <c:pt idx="164">
                  <c:v>155.44999999999999</c:v>
                </c:pt>
                <c:pt idx="165">
                  <c:v>155.60900000000001</c:v>
                </c:pt>
                <c:pt idx="166">
                  <c:v>155.68199999999999</c:v>
                </c:pt>
                <c:pt idx="167">
                  <c:v>155.50899999999999</c:v>
                </c:pt>
                <c:pt idx="168">
                  <c:v>155.72300000000001</c:v>
                </c:pt>
                <c:pt idx="169">
                  <c:v>155.47300000000001</c:v>
                </c:pt>
                <c:pt idx="170">
                  <c:v>155.76300000000001</c:v>
                </c:pt>
                <c:pt idx="171">
                  <c:v>155.52000000000001</c:v>
                </c:pt>
                <c:pt idx="172">
                  <c:v>155.72999999999999</c:v>
                </c:pt>
                <c:pt idx="173">
                  <c:v>155.49299999999999</c:v>
                </c:pt>
                <c:pt idx="174">
                  <c:v>155.749</c:v>
                </c:pt>
                <c:pt idx="175">
                  <c:v>155.46700000000001</c:v>
                </c:pt>
                <c:pt idx="176">
                  <c:v>155.75299999999999</c:v>
                </c:pt>
                <c:pt idx="177">
                  <c:v>155.58500000000001</c:v>
                </c:pt>
                <c:pt idx="178">
                  <c:v>155.65700000000001</c:v>
                </c:pt>
                <c:pt idx="179">
                  <c:v>155.46199999999999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AF-4706-8E42-1FEF94FC2F9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('AMP4-2'!$M$4,'AMP4-2'!$M$4)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AF-4706-8E42-1FEF94FC2F9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('AMP4-2'!$M$5,'AMP4-2'!$M$5)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AF-4706-8E42-1FEF94FC2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08048"/>
        <c:axId val="474908440"/>
      </c:scatterChart>
      <c:valAx>
        <c:axId val="47490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8440"/>
        <c:crosses val="autoZero"/>
        <c:crossBetween val="midCat"/>
      </c:valAx>
      <c:valAx>
        <c:axId val="4749084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'AMP4-2'!$N$9:$N$188</c:f>
              <c:numCache>
                <c:formatCode>General</c:formatCode>
                <c:ptCount val="180"/>
                <c:pt idx="0">
                  <c:v>27.221</c:v>
                </c:pt>
                <c:pt idx="1">
                  <c:v>26.925000000000001</c:v>
                </c:pt>
                <c:pt idx="2">
                  <c:v>27.457000000000001</c:v>
                </c:pt>
                <c:pt idx="3">
                  <c:v>27.245000000000001</c:v>
                </c:pt>
                <c:pt idx="4">
                  <c:v>27.274000000000001</c:v>
                </c:pt>
                <c:pt idx="5">
                  <c:v>27.186</c:v>
                </c:pt>
                <c:pt idx="6">
                  <c:v>27.422000000000001</c:v>
                </c:pt>
                <c:pt idx="7">
                  <c:v>27.242000000000001</c:v>
                </c:pt>
                <c:pt idx="8">
                  <c:v>27.451000000000001</c:v>
                </c:pt>
                <c:pt idx="9">
                  <c:v>27.22</c:v>
                </c:pt>
                <c:pt idx="10">
                  <c:v>27.414000000000001</c:v>
                </c:pt>
                <c:pt idx="11">
                  <c:v>27.167000000000002</c:v>
                </c:pt>
                <c:pt idx="12">
                  <c:v>27.393999999999998</c:v>
                </c:pt>
                <c:pt idx="13">
                  <c:v>27.16</c:v>
                </c:pt>
                <c:pt idx="14">
                  <c:v>27.353000000000002</c:v>
                </c:pt>
                <c:pt idx="15">
                  <c:v>27.149000000000001</c:v>
                </c:pt>
                <c:pt idx="16">
                  <c:v>27.28</c:v>
                </c:pt>
                <c:pt idx="17">
                  <c:v>27.094999999999999</c:v>
                </c:pt>
                <c:pt idx="18">
                  <c:v>27.370999999999999</c:v>
                </c:pt>
                <c:pt idx="19">
                  <c:v>27.204000000000001</c:v>
                </c:pt>
                <c:pt idx="20">
                  <c:v>27.361000000000001</c:v>
                </c:pt>
                <c:pt idx="21">
                  <c:v>27.113</c:v>
                </c:pt>
                <c:pt idx="22">
                  <c:v>27.24</c:v>
                </c:pt>
                <c:pt idx="23">
                  <c:v>27.009</c:v>
                </c:pt>
                <c:pt idx="24">
                  <c:v>27.273</c:v>
                </c:pt>
                <c:pt idx="25">
                  <c:v>27.088000000000001</c:v>
                </c:pt>
                <c:pt idx="26">
                  <c:v>27.457000000000001</c:v>
                </c:pt>
                <c:pt idx="27">
                  <c:v>27.071000000000002</c:v>
                </c:pt>
                <c:pt idx="28">
                  <c:v>27.407</c:v>
                </c:pt>
                <c:pt idx="29">
                  <c:v>27.018999999999998</c:v>
                </c:pt>
                <c:pt idx="30">
                  <c:v>27.414999999999999</c:v>
                </c:pt>
                <c:pt idx="31">
                  <c:v>27.04</c:v>
                </c:pt>
                <c:pt idx="32">
                  <c:v>27.43</c:v>
                </c:pt>
                <c:pt idx="33">
                  <c:v>27.125</c:v>
                </c:pt>
                <c:pt idx="34">
                  <c:v>27.385999999999999</c:v>
                </c:pt>
                <c:pt idx="35">
                  <c:v>27.068000000000001</c:v>
                </c:pt>
                <c:pt idx="36">
                  <c:v>27.315999999999999</c:v>
                </c:pt>
                <c:pt idx="37">
                  <c:v>26.95</c:v>
                </c:pt>
                <c:pt idx="38">
                  <c:v>27.431999999999999</c:v>
                </c:pt>
                <c:pt idx="39">
                  <c:v>27.103000000000002</c:v>
                </c:pt>
                <c:pt idx="40">
                  <c:v>27.29</c:v>
                </c:pt>
                <c:pt idx="41">
                  <c:v>26.917000000000002</c:v>
                </c:pt>
                <c:pt idx="42">
                  <c:v>27.271000000000001</c:v>
                </c:pt>
                <c:pt idx="43">
                  <c:v>26.948</c:v>
                </c:pt>
                <c:pt idx="44">
                  <c:v>27.324000000000002</c:v>
                </c:pt>
                <c:pt idx="45">
                  <c:v>26.931000000000001</c:v>
                </c:pt>
                <c:pt idx="46">
                  <c:v>27.303999999999998</c:v>
                </c:pt>
                <c:pt idx="47">
                  <c:v>26.945</c:v>
                </c:pt>
                <c:pt idx="48">
                  <c:v>27.27</c:v>
                </c:pt>
                <c:pt idx="49">
                  <c:v>26.844000000000001</c:v>
                </c:pt>
                <c:pt idx="50">
                  <c:v>27.271000000000001</c:v>
                </c:pt>
                <c:pt idx="51">
                  <c:v>26.891999999999999</c:v>
                </c:pt>
                <c:pt idx="52">
                  <c:v>27.268999999999998</c:v>
                </c:pt>
                <c:pt idx="53">
                  <c:v>26.891999999999999</c:v>
                </c:pt>
                <c:pt idx="54">
                  <c:v>27.292000000000002</c:v>
                </c:pt>
                <c:pt idx="55">
                  <c:v>26.841000000000001</c:v>
                </c:pt>
                <c:pt idx="56">
                  <c:v>27.288</c:v>
                </c:pt>
                <c:pt idx="57">
                  <c:v>26.94</c:v>
                </c:pt>
                <c:pt idx="58">
                  <c:v>27.204000000000001</c:v>
                </c:pt>
                <c:pt idx="59">
                  <c:v>26.818999999999999</c:v>
                </c:pt>
                <c:pt idx="60">
                  <c:v>27.26</c:v>
                </c:pt>
                <c:pt idx="61">
                  <c:v>26.78</c:v>
                </c:pt>
                <c:pt idx="62">
                  <c:v>27.032</c:v>
                </c:pt>
                <c:pt idx="63">
                  <c:v>27.148</c:v>
                </c:pt>
                <c:pt idx="64">
                  <c:v>27.155000000000001</c:v>
                </c:pt>
                <c:pt idx="65">
                  <c:v>27.164999999999999</c:v>
                </c:pt>
                <c:pt idx="66">
                  <c:v>27.084</c:v>
                </c:pt>
                <c:pt idx="67">
                  <c:v>27.149000000000001</c:v>
                </c:pt>
                <c:pt idx="68">
                  <c:v>27.085000000000001</c:v>
                </c:pt>
                <c:pt idx="69">
                  <c:v>27.067</c:v>
                </c:pt>
                <c:pt idx="70">
                  <c:v>27.042000000000002</c:v>
                </c:pt>
                <c:pt idx="71">
                  <c:v>27.055</c:v>
                </c:pt>
                <c:pt idx="72">
                  <c:v>27.289000000000001</c:v>
                </c:pt>
                <c:pt idx="73">
                  <c:v>27.585999999999999</c:v>
                </c:pt>
                <c:pt idx="74">
                  <c:v>27.324999999999999</c:v>
                </c:pt>
                <c:pt idx="75">
                  <c:v>27.594000000000001</c:v>
                </c:pt>
                <c:pt idx="76">
                  <c:v>27.347999999999999</c:v>
                </c:pt>
                <c:pt idx="77">
                  <c:v>27.568000000000001</c:v>
                </c:pt>
                <c:pt idx="78">
                  <c:v>27.152000000000001</c:v>
                </c:pt>
                <c:pt idx="79">
                  <c:v>27.561</c:v>
                </c:pt>
                <c:pt idx="80">
                  <c:v>27.260999999999999</c:v>
                </c:pt>
                <c:pt idx="81">
                  <c:v>27.529</c:v>
                </c:pt>
                <c:pt idx="82">
                  <c:v>27.271999999999998</c:v>
                </c:pt>
                <c:pt idx="83">
                  <c:v>27.550999999999998</c:v>
                </c:pt>
                <c:pt idx="84">
                  <c:v>27.219000000000001</c:v>
                </c:pt>
                <c:pt idx="85">
                  <c:v>27.472999999999999</c:v>
                </c:pt>
                <c:pt idx="86">
                  <c:v>27.21</c:v>
                </c:pt>
                <c:pt idx="87">
                  <c:v>27.550999999999998</c:v>
                </c:pt>
                <c:pt idx="88">
                  <c:v>27.192</c:v>
                </c:pt>
                <c:pt idx="89">
                  <c:v>27.492000000000001</c:v>
                </c:pt>
                <c:pt idx="90">
                  <c:v>27.169</c:v>
                </c:pt>
                <c:pt idx="91">
                  <c:v>27.363</c:v>
                </c:pt>
                <c:pt idx="92">
                  <c:v>27.067</c:v>
                </c:pt>
                <c:pt idx="93">
                  <c:v>27.34</c:v>
                </c:pt>
                <c:pt idx="94">
                  <c:v>27.199000000000002</c:v>
                </c:pt>
                <c:pt idx="95">
                  <c:v>27.408000000000001</c:v>
                </c:pt>
                <c:pt idx="96">
                  <c:v>27.158000000000001</c:v>
                </c:pt>
                <c:pt idx="97">
                  <c:v>27.370999999999999</c:v>
                </c:pt>
                <c:pt idx="98">
                  <c:v>27.135999999999999</c:v>
                </c:pt>
                <c:pt idx="99">
                  <c:v>27.42</c:v>
                </c:pt>
                <c:pt idx="100">
                  <c:v>27.138000000000002</c:v>
                </c:pt>
                <c:pt idx="101">
                  <c:v>27.378</c:v>
                </c:pt>
                <c:pt idx="102">
                  <c:v>27.114000000000001</c:v>
                </c:pt>
                <c:pt idx="103">
                  <c:v>27.355</c:v>
                </c:pt>
                <c:pt idx="104">
                  <c:v>27.096</c:v>
                </c:pt>
                <c:pt idx="105">
                  <c:v>27.408999999999999</c:v>
                </c:pt>
                <c:pt idx="106">
                  <c:v>27.103999999999999</c:v>
                </c:pt>
                <c:pt idx="107">
                  <c:v>27.352</c:v>
                </c:pt>
                <c:pt idx="108">
                  <c:v>27.1</c:v>
                </c:pt>
                <c:pt idx="109">
                  <c:v>27.303000000000001</c:v>
                </c:pt>
                <c:pt idx="110">
                  <c:v>27.001999999999999</c:v>
                </c:pt>
                <c:pt idx="111">
                  <c:v>27.353000000000002</c:v>
                </c:pt>
                <c:pt idx="112">
                  <c:v>27.103000000000002</c:v>
                </c:pt>
                <c:pt idx="113">
                  <c:v>27.318999999999999</c:v>
                </c:pt>
                <c:pt idx="114">
                  <c:v>27.251000000000001</c:v>
                </c:pt>
                <c:pt idx="115">
                  <c:v>27.454999999999998</c:v>
                </c:pt>
                <c:pt idx="116">
                  <c:v>27.286000000000001</c:v>
                </c:pt>
                <c:pt idx="117">
                  <c:v>27.55</c:v>
                </c:pt>
                <c:pt idx="118">
                  <c:v>27.361999999999998</c:v>
                </c:pt>
                <c:pt idx="119">
                  <c:v>27.527000000000001</c:v>
                </c:pt>
                <c:pt idx="120">
                  <c:v>27.518000000000001</c:v>
                </c:pt>
                <c:pt idx="121">
                  <c:v>27.646000000000001</c:v>
                </c:pt>
                <c:pt idx="122">
                  <c:v>27.239000000000001</c:v>
                </c:pt>
                <c:pt idx="123">
                  <c:v>27.376000000000001</c:v>
                </c:pt>
                <c:pt idx="124">
                  <c:v>27.408000000000001</c:v>
                </c:pt>
                <c:pt idx="125">
                  <c:v>27.518000000000001</c:v>
                </c:pt>
                <c:pt idx="126">
                  <c:v>27.231000000000002</c:v>
                </c:pt>
                <c:pt idx="127">
                  <c:v>27.39</c:v>
                </c:pt>
                <c:pt idx="128">
                  <c:v>27.425000000000001</c:v>
                </c:pt>
                <c:pt idx="129">
                  <c:v>27.559000000000001</c:v>
                </c:pt>
                <c:pt idx="130">
                  <c:v>27.202999999999999</c:v>
                </c:pt>
                <c:pt idx="131">
                  <c:v>27.591999999999999</c:v>
                </c:pt>
                <c:pt idx="132">
                  <c:v>27.164999999999999</c:v>
                </c:pt>
                <c:pt idx="133">
                  <c:v>27.32</c:v>
                </c:pt>
                <c:pt idx="134">
                  <c:v>27.219000000000001</c:v>
                </c:pt>
                <c:pt idx="135">
                  <c:v>27.425000000000001</c:v>
                </c:pt>
                <c:pt idx="136">
                  <c:v>27.155000000000001</c:v>
                </c:pt>
                <c:pt idx="137">
                  <c:v>27.376999999999999</c:v>
                </c:pt>
                <c:pt idx="138">
                  <c:v>27.154</c:v>
                </c:pt>
                <c:pt idx="139">
                  <c:v>27.405000000000001</c:v>
                </c:pt>
                <c:pt idx="140">
                  <c:v>27.173999999999999</c:v>
                </c:pt>
                <c:pt idx="141">
                  <c:v>27.396999999999998</c:v>
                </c:pt>
                <c:pt idx="142">
                  <c:v>27.178000000000001</c:v>
                </c:pt>
                <c:pt idx="143">
                  <c:v>27.364000000000001</c:v>
                </c:pt>
                <c:pt idx="144">
                  <c:v>27.212</c:v>
                </c:pt>
                <c:pt idx="145">
                  <c:v>27.416</c:v>
                </c:pt>
                <c:pt idx="146">
                  <c:v>27.062999999999999</c:v>
                </c:pt>
                <c:pt idx="147">
                  <c:v>27.35</c:v>
                </c:pt>
                <c:pt idx="148">
                  <c:v>27.138000000000002</c:v>
                </c:pt>
                <c:pt idx="149">
                  <c:v>27.43</c:v>
                </c:pt>
                <c:pt idx="150">
                  <c:v>27.134</c:v>
                </c:pt>
                <c:pt idx="151">
                  <c:v>27.318999999999999</c:v>
                </c:pt>
                <c:pt idx="152">
                  <c:v>27.108000000000001</c:v>
                </c:pt>
                <c:pt idx="153">
                  <c:v>27.286999999999999</c:v>
                </c:pt>
                <c:pt idx="154">
                  <c:v>27.131</c:v>
                </c:pt>
                <c:pt idx="155">
                  <c:v>27.318999999999999</c:v>
                </c:pt>
                <c:pt idx="156">
                  <c:v>27.111999999999998</c:v>
                </c:pt>
                <c:pt idx="157">
                  <c:v>27.254999999999999</c:v>
                </c:pt>
                <c:pt idx="158">
                  <c:v>27.073</c:v>
                </c:pt>
                <c:pt idx="159">
                  <c:v>27.196999999999999</c:v>
                </c:pt>
                <c:pt idx="160">
                  <c:v>27.324000000000002</c:v>
                </c:pt>
                <c:pt idx="161">
                  <c:v>27.535</c:v>
                </c:pt>
                <c:pt idx="162">
                  <c:v>27.283000000000001</c:v>
                </c:pt>
                <c:pt idx="163">
                  <c:v>27.684000000000001</c:v>
                </c:pt>
                <c:pt idx="164">
                  <c:v>27.401</c:v>
                </c:pt>
                <c:pt idx="165">
                  <c:v>27.494</c:v>
                </c:pt>
                <c:pt idx="166">
                  <c:v>27.265999999999998</c:v>
                </c:pt>
                <c:pt idx="167">
                  <c:v>27.497</c:v>
                </c:pt>
                <c:pt idx="168">
                  <c:v>27.221</c:v>
                </c:pt>
                <c:pt idx="169">
                  <c:v>27.512</c:v>
                </c:pt>
                <c:pt idx="170">
                  <c:v>27.135999999999999</c:v>
                </c:pt>
                <c:pt idx="171">
                  <c:v>27.48</c:v>
                </c:pt>
                <c:pt idx="172">
                  <c:v>27.154</c:v>
                </c:pt>
                <c:pt idx="173">
                  <c:v>27.506</c:v>
                </c:pt>
                <c:pt idx="174">
                  <c:v>27.097000000000001</c:v>
                </c:pt>
                <c:pt idx="175">
                  <c:v>27.478999999999999</c:v>
                </c:pt>
                <c:pt idx="176">
                  <c:v>27.117999999999999</c:v>
                </c:pt>
                <c:pt idx="177">
                  <c:v>27.416</c:v>
                </c:pt>
                <c:pt idx="178">
                  <c:v>27.202000000000002</c:v>
                </c:pt>
                <c:pt idx="179">
                  <c:v>27.545000000000002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6-47C8-93A1-08C6CFA9A8E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('AMP4-2'!$N$4,'AMP4-2'!$N$4)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6-47C8-93A1-08C6CFA9A8E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('AMP4-2'!$N$5,'AMP4-2'!$N$5)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36-47C8-93A1-08C6CFA9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09224"/>
        <c:axId val="474909616"/>
      </c:scatterChart>
      <c:valAx>
        <c:axId val="47490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9616"/>
        <c:crosses val="autoZero"/>
        <c:crossBetween val="midCat"/>
      </c:valAx>
      <c:valAx>
        <c:axId val="4749096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0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'AMP4-2'!$O$9:$O$188</c:f>
              <c:numCache>
                <c:formatCode>General</c:formatCode>
                <c:ptCount val="180"/>
                <c:pt idx="0">
                  <c:v>27.501000000000001</c:v>
                </c:pt>
                <c:pt idx="1">
                  <c:v>27.103000000000002</c:v>
                </c:pt>
                <c:pt idx="2">
                  <c:v>27.702999999999999</c:v>
                </c:pt>
                <c:pt idx="3">
                  <c:v>27.472000000000001</c:v>
                </c:pt>
                <c:pt idx="4">
                  <c:v>27.452999999999999</c:v>
                </c:pt>
                <c:pt idx="5">
                  <c:v>27.321999999999999</c:v>
                </c:pt>
                <c:pt idx="6">
                  <c:v>27.678999999999998</c:v>
                </c:pt>
                <c:pt idx="7">
                  <c:v>27.46</c:v>
                </c:pt>
                <c:pt idx="8">
                  <c:v>27.657</c:v>
                </c:pt>
                <c:pt idx="9">
                  <c:v>27.398</c:v>
                </c:pt>
                <c:pt idx="10">
                  <c:v>27.704999999999998</c:v>
                </c:pt>
                <c:pt idx="11">
                  <c:v>27.274000000000001</c:v>
                </c:pt>
                <c:pt idx="12">
                  <c:v>27.652999999999999</c:v>
                </c:pt>
                <c:pt idx="13">
                  <c:v>27.323</c:v>
                </c:pt>
                <c:pt idx="14">
                  <c:v>27.58</c:v>
                </c:pt>
                <c:pt idx="15">
                  <c:v>27.37</c:v>
                </c:pt>
                <c:pt idx="16">
                  <c:v>27.516999999999999</c:v>
                </c:pt>
                <c:pt idx="17">
                  <c:v>27.295999999999999</c:v>
                </c:pt>
                <c:pt idx="18">
                  <c:v>27.603999999999999</c:v>
                </c:pt>
                <c:pt idx="19">
                  <c:v>27.346</c:v>
                </c:pt>
                <c:pt idx="20">
                  <c:v>27.588000000000001</c:v>
                </c:pt>
                <c:pt idx="21">
                  <c:v>27.295999999999999</c:v>
                </c:pt>
                <c:pt idx="22">
                  <c:v>27.484999999999999</c:v>
                </c:pt>
                <c:pt idx="23">
                  <c:v>27.16</c:v>
                </c:pt>
                <c:pt idx="24">
                  <c:v>27.515000000000001</c:v>
                </c:pt>
                <c:pt idx="25">
                  <c:v>27.251000000000001</c:v>
                </c:pt>
                <c:pt idx="26">
                  <c:v>27.7</c:v>
                </c:pt>
                <c:pt idx="27">
                  <c:v>27.204000000000001</c:v>
                </c:pt>
                <c:pt idx="28">
                  <c:v>27.661999999999999</c:v>
                </c:pt>
                <c:pt idx="29">
                  <c:v>27.123999999999999</c:v>
                </c:pt>
                <c:pt idx="30">
                  <c:v>27.683</c:v>
                </c:pt>
                <c:pt idx="31">
                  <c:v>27.146999999999998</c:v>
                </c:pt>
                <c:pt idx="32">
                  <c:v>27.672000000000001</c:v>
                </c:pt>
                <c:pt idx="33">
                  <c:v>27.254000000000001</c:v>
                </c:pt>
                <c:pt idx="34">
                  <c:v>27.707000000000001</c:v>
                </c:pt>
                <c:pt idx="35">
                  <c:v>27.151</c:v>
                </c:pt>
                <c:pt idx="36">
                  <c:v>27.594000000000001</c:v>
                </c:pt>
                <c:pt idx="37">
                  <c:v>27.082999999999998</c:v>
                </c:pt>
                <c:pt idx="38">
                  <c:v>27.625</c:v>
                </c:pt>
                <c:pt idx="39">
                  <c:v>27.236999999999998</c:v>
                </c:pt>
                <c:pt idx="40">
                  <c:v>27.542999999999999</c:v>
                </c:pt>
                <c:pt idx="41">
                  <c:v>27.06</c:v>
                </c:pt>
                <c:pt idx="42">
                  <c:v>27.535</c:v>
                </c:pt>
                <c:pt idx="43">
                  <c:v>27.123999999999999</c:v>
                </c:pt>
                <c:pt idx="44">
                  <c:v>27.626000000000001</c:v>
                </c:pt>
                <c:pt idx="45">
                  <c:v>27.082000000000001</c:v>
                </c:pt>
                <c:pt idx="46">
                  <c:v>27.591999999999999</c:v>
                </c:pt>
                <c:pt idx="47">
                  <c:v>27.064</c:v>
                </c:pt>
                <c:pt idx="48">
                  <c:v>27.581</c:v>
                </c:pt>
                <c:pt idx="49">
                  <c:v>26.995000000000001</c:v>
                </c:pt>
                <c:pt idx="50">
                  <c:v>27.59</c:v>
                </c:pt>
                <c:pt idx="51">
                  <c:v>27.004999999999999</c:v>
                </c:pt>
                <c:pt idx="52">
                  <c:v>27.611999999999998</c:v>
                </c:pt>
                <c:pt idx="53">
                  <c:v>27.013000000000002</c:v>
                </c:pt>
                <c:pt idx="54">
                  <c:v>27.631</c:v>
                </c:pt>
                <c:pt idx="55">
                  <c:v>26.992000000000001</c:v>
                </c:pt>
                <c:pt idx="56">
                  <c:v>27.581</c:v>
                </c:pt>
                <c:pt idx="57">
                  <c:v>26.981000000000002</c:v>
                </c:pt>
                <c:pt idx="58">
                  <c:v>27.539000000000001</c:v>
                </c:pt>
                <c:pt idx="59">
                  <c:v>26.934000000000001</c:v>
                </c:pt>
                <c:pt idx="60">
                  <c:v>27.638999999999999</c:v>
                </c:pt>
                <c:pt idx="61">
                  <c:v>26.866</c:v>
                </c:pt>
                <c:pt idx="62">
                  <c:v>27.331</c:v>
                </c:pt>
                <c:pt idx="63">
                  <c:v>27.242000000000001</c:v>
                </c:pt>
                <c:pt idx="64">
                  <c:v>27.408000000000001</c:v>
                </c:pt>
                <c:pt idx="65">
                  <c:v>27.248999999999999</c:v>
                </c:pt>
                <c:pt idx="66">
                  <c:v>27.34</c:v>
                </c:pt>
                <c:pt idx="67">
                  <c:v>27.244</c:v>
                </c:pt>
                <c:pt idx="68">
                  <c:v>27.367000000000001</c:v>
                </c:pt>
                <c:pt idx="69">
                  <c:v>27.161999999999999</c:v>
                </c:pt>
                <c:pt idx="70">
                  <c:v>27.292000000000002</c:v>
                </c:pt>
                <c:pt idx="71">
                  <c:v>27.146999999999998</c:v>
                </c:pt>
                <c:pt idx="72">
                  <c:v>27.597000000000001</c:v>
                </c:pt>
                <c:pt idx="73">
                  <c:v>27.609000000000002</c:v>
                </c:pt>
                <c:pt idx="74">
                  <c:v>27.468</c:v>
                </c:pt>
                <c:pt idx="75">
                  <c:v>27.73</c:v>
                </c:pt>
                <c:pt idx="76">
                  <c:v>27.475000000000001</c:v>
                </c:pt>
                <c:pt idx="77">
                  <c:v>27.763999999999999</c:v>
                </c:pt>
                <c:pt idx="78">
                  <c:v>27.294</c:v>
                </c:pt>
                <c:pt idx="79">
                  <c:v>27.728000000000002</c:v>
                </c:pt>
                <c:pt idx="80">
                  <c:v>27.472000000000001</c:v>
                </c:pt>
                <c:pt idx="81">
                  <c:v>27.635000000000002</c:v>
                </c:pt>
                <c:pt idx="82">
                  <c:v>27.39</c:v>
                </c:pt>
                <c:pt idx="83">
                  <c:v>27.715</c:v>
                </c:pt>
                <c:pt idx="84">
                  <c:v>27.344000000000001</c:v>
                </c:pt>
                <c:pt idx="85">
                  <c:v>27.66</c:v>
                </c:pt>
                <c:pt idx="86">
                  <c:v>27.327999999999999</c:v>
                </c:pt>
                <c:pt idx="87">
                  <c:v>27.738</c:v>
                </c:pt>
                <c:pt idx="88">
                  <c:v>27.326000000000001</c:v>
                </c:pt>
                <c:pt idx="89">
                  <c:v>27.658000000000001</c:v>
                </c:pt>
                <c:pt idx="90">
                  <c:v>27.32</c:v>
                </c:pt>
                <c:pt idx="91">
                  <c:v>27.542000000000002</c:v>
                </c:pt>
                <c:pt idx="92">
                  <c:v>27.196999999999999</c:v>
                </c:pt>
                <c:pt idx="93">
                  <c:v>27.504000000000001</c:v>
                </c:pt>
                <c:pt idx="94">
                  <c:v>27.404</c:v>
                </c:pt>
                <c:pt idx="95">
                  <c:v>27.524999999999999</c:v>
                </c:pt>
                <c:pt idx="96">
                  <c:v>27.337</c:v>
                </c:pt>
                <c:pt idx="97">
                  <c:v>27.541</c:v>
                </c:pt>
                <c:pt idx="98">
                  <c:v>27.291</c:v>
                </c:pt>
                <c:pt idx="99">
                  <c:v>27.58</c:v>
                </c:pt>
                <c:pt idx="100">
                  <c:v>27.303000000000001</c:v>
                </c:pt>
                <c:pt idx="101">
                  <c:v>27.565000000000001</c:v>
                </c:pt>
                <c:pt idx="102">
                  <c:v>27.350999999999999</c:v>
                </c:pt>
                <c:pt idx="103">
                  <c:v>27.533999999999999</c:v>
                </c:pt>
                <c:pt idx="104">
                  <c:v>27.407</c:v>
                </c:pt>
                <c:pt idx="105">
                  <c:v>27.465</c:v>
                </c:pt>
                <c:pt idx="106">
                  <c:v>27.32</c:v>
                </c:pt>
                <c:pt idx="107">
                  <c:v>27.515999999999998</c:v>
                </c:pt>
                <c:pt idx="108">
                  <c:v>27.327000000000002</c:v>
                </c:pt>
                <c:pt idx="109">
                  <c:v>27.454999999999998</c:v>
                </c:pt>
                <c:pt idx="110">
                  <c:v>27.317</c:v>
                </c:pt>
                <c:pt idx="111">
                  <c:v>27.393000000000001</c:v>
                </c:pt>
                <c:pt idx="112">
                  <c:v>27.405999999999999</c:v>
                </c:pt>
                <c:pt idx="113">
                  <c:v>27.396000000000001</c:v>
                </c:pt>
                <c:pt idx="114">
                  <c:v>27.44</c:v>
                </c:pt>
                <c:pt idx="115">
                  <c:v>27.670999999999999</c:v>
                </c:pt>
                <c:pt idx="116">
                  <c:v>27.425000000000001</c:v>
                </c:pt>
                <c:pt idx="117">
                  <c:v>27.724</c:v>
                </c:pt>
                <c:pt idx="118">
                  <c:v>27.492999999999999</c:v>
                </c:pt>
                <c:pt idx="119">
                  <c:v>27.713000000000001</c:v>
                </c:pt>
                <c:pt idx="120">
                  <c:v>27.594999999999999</c:v>
                </c:pt>
                <c:pt idx="121">
                  <c:v>27.797999999999998</c:v>
                </c:pt>
                <c:pt idx="122">
                  <c:v>27.375</c:v>
                </c:pt>
                <c:pt idx="123">
                  <c:v>27.611000000000001</c:v>
                </c:pt>
                <c:pt idx="124">
                  <c:v>27.478999999999999</c:v>
                </c:pt>
                <c:pt idx="125">
                  <c:v>27.748000000000001</c:v>
                </c:pt>
                <c:pt idx="126">
                  <c:v>27.413</c:v>
                </c:pt>
                <c:pt idx="127">
                  <c:v>27.597999999999999</c:v>
                </c:pt>
                <c:pt idx="128">
                  <c:v>27.582999999999998</c:v>
                </c:pt>
                <c:pt idx="129">
                  <c:v>27.654</c:v>
                </c:pt>
                <c:pt idx="130">
                  <c:v>27.391999999999999</c:v>
                </c:pt>
                <c:pt idx="131">
                  <c:v>27.802</c:v>
                </c:pt>
                <c:pt idx="132">
                  <c:v>27.35</c:v>
                </c:pt>
                <c:pt idx="133">
                  <c:v>27.576000000000001</c:v>
                </c:pt>
                <c:pt idx="134">
                  <c:v>27.393000000000001</c:v>
                </c:pt>
                <c:pt idx="135">
                  <c:v>27.63</c:v>
                </c:pt>
                <c:pt idx="136">
                  <c:v>27.334</c:v>
                </c:pt>
                <c:pt idx="137">
                  <c:v>27.596</c:v>
                </c:pt>
                <c:pt idx="138">
                  <c:v>27.311</c:v>
                </c:pt>
                <c:pt idx="139">
                  <c:v>27.602</c:v>
                </c:pt>
                <c:pt idx="140">
                  <c:v>27.411000000000001</c:v>
                </c:pt>
                <c:pt idx="141">
                  <c:v>27.533000000000001</c:v>
                </c:pt>
                <c:pt idx="142">
                  <c:v>27.407</c:v>
                </c:pt>
                <c:pt idx="143">
                  <c:v>27.530999999999999</c:v>
                </c:pt>
                <c:pt idx="144">
                  <c:v>27.411999999999999</c:v>
                </c:pt>
                <c:pt idx="145">
                  <c:v>27.5</c:v>
                </c:pt>
                <c:pt idx="146">
                  <c:v>27.295999999999999</c:v>
                </c:pt>
                <c:pt idx="147">
                  <c:v>27.489000000000001</c:v>
                </c:pt>
                <c:pt idx="148">
                  <c:v>27.321000000000002</c:v>
                </c:pt>
                <c:pt idx="149">
                  <c:v>27.562999999999999</c:v>
                </c:pt>
                <c:pt idx="150">
                  <c:v>27.385999999999999</c:v>
                </c:pt>
                <c:pt idx="151">
                  <c:v>27.49</c:v>
                </c:pt>
                <c:pt idx="152">
                  <c:v>27.332999999999998</c:v>
                </c:pt>
                <c:pt idx="153">
                  <c:v>27.452999999999999</c:v>
                </c:pt>
                <c:pt idx="154">
                  <c:v>27.356000000000002</c:v>
                </c:pt>
                <c:pt idx="155">
                  <c:v>27.439</c:v>
                </c:pt>
                <c:pt idx="156">
                  <c:v>27.359000000000002</c:v>
                </c:pt>
                <c:pt idx="157">
                  <c:v>27.324000000000002</c:v>
                </c:pt>
                <c:pt idx="158">
                  <c:v>27.315000000000001</c:v>
                </c:pt>
                <c:pt idx="159">
                  <c:v>27.378</c:v>
                </c:pt>
                <c:pt idx="160">
                  <c:v>27.495000000000001</c:v>
                </c:pt>
                <c:pt idx="161">
                  <c:v>27.76</c:v>
                </c:pt>
                <c:pt idx="162">
                  <c:v>27.457999999999998</c:v>
                </c:pt>
                <c:pt idx="163">
                  <c:v>27.870999999999999</c:v>
                </c:pt>
                <c:pt idx="164">
                  <c:v>27.623999999999999</c:v>
                </c:pt>
                <c:pt idx="165">
                  <c:v>27.614999999999998</c:v>
                </c:pt>
                <c:pt idx="166">
                  <c:v>27.385999999999999</c:v>
                </c:pt>
                <c:pt idx="167">
                  <c:v>27.715</c:v>
                </c:pt>
                <c:pt idx="168">
                  <c:v>27.385999999999999</c:v>
                </c:pt>
                <c:pt idx="169">
                  <c:v>27.741</c:v>
                </c:pt>
                <c:pt idx="170">
                  <c:v>27.274999999999999</c:v>
                </c:pt>
                <c:pt idx="171">
                  <c:v>27.713000000000001</c:v>
                </c:pt>
                <c:pt idx="172">
                  <c:v>27.32</c:v>
                </c:pt>
                <c:pt idx="173">
                  <c:v>27.696999999999999</c:v>
                </c:pt>
                <c:pt idx="174">
                  <c:v>27.308</c:v>
                </c:pt>
                <c:pt idx="175">
                  <c:v>27.745000000000001</c:v>
                </c:pt>
                <c:pt idx="176">
                  <c:v>27.286999999999999</c:v>
                </c:pt>
                <c:pt idx="177">
                  <c:v>27.617000000000001</c:v>
                </c:pt>
                <c:pt idx="178">
                  <c:v>27.370999999999999</c:v>
                </c:pt>
                <c:pt idx="179">
                  <c:v>27.728000000000002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256-B255-079B54EDE06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('AMP4-2'!$O$4,'AMP4-2'!$O$4)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E5-4256-B255-079B54EDE06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('AMP4-2'!$O$5,'AMP4-2'!$O$5)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E5-4256-B255-079B54ED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0400"/>
        <c:axId val="474910792"/>
      </c:scatterChart>
      <c:valAx>
        <c:axId val="47491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0792"/>
        <c:crosses val="autoZero"/>
        <c:crossBetween val="midCat"/>
      </c:valAx>
      <c:valAx>
        <c:axId val="4749107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'AMP4-2'!$R$9:$R$188</c:f>
              <c:numCache>
                <c:formatCode>General</c:formatCode>
                <c:ptCount val="180"/>
                <c:pt idx="0">
                  <c:v>17.241</c:v>
                </c:pt>
                <c:pt idx="1">
                  <c:v>17.260000000000002</c:v>
                </c:pt>
                <c:pt idx="2">
                  <c:v>17.260000000000002</c:v>
                </c:pt>
                <c:pt idx="3">
                  <c:v>17.242000000000001</c:v>
                </c:pt>
                <c:pt idx="4">
                  <c:v>17.251000000000001</c:v>
                </c:pt>
                <c:pt idx="5">
                  <c:v>17.239999999999998</c:v>
                </c:pt>
                <c:pt idx="6">
                  <c:v>17.239999999999998</c:v>
                </c:pt>
                <c:pt idx="7">
                  <c:v>17.268000000000001</c:v>
                </c:pt>
                <c:pt idx="8">
                  <c:v>17.241</c:v>
                </c:pt>
                <c:pt idx="9">
                  <c:v>17.271000000000001</c:v>
                </c:pt>
                <c:pt idx="10">
                  <c:v>17.251999999999999</c:v>
                </c:pt>
                <c:pt idx="11">
                  <c:v>17.263999999999999</c:v>
                </c:pt>
                <c:pt idx="12">
                  <c:v>17.248999999999999</c:v>
                </c:pt>
                <c:pt idx="13">
                  <c:v>17.265999999999998</c:v>
                </c:pt>
                <c:pt idx="14">
                  <c:v>17.234999999999999</c:v>
                </c:pt>
                <c:pt idx="15">
                  <c:v>17.271000000000001</c:v>
                </c:pt>
                <c:pt idx="16">
                  <c:v>17.228000000000002</c:v>
                </c:pt>
                <c:pt idx="17">
                  <c:v>17.259</c:v>
                </c:pt>
                <c:pt idx="18">
                  <c:v>17.236000000000001</c:v>
                </c:pt>
                <c:pt idx="19">
                  <c:v>17.260999999999999</c:v>
                </c:pt>
                <c:pt idx="20">
                  <c:v>17.236999999999998</c:v>
                </c:pt>
                <c:pt idx="21">
                  <c:v>17.242999999999999</c:v>
                </c:pt>
                <c:pt idx="22">
                  <c:v>17.257999999999999</c:v>
                </c:pt>
                <c:pt idx="23">
                  <c:v>17.254000000000001</c:v>
                </c:pt>
                <c:pt idx="24">
                  <c:v>17.256</c:v>
                </c:pt>
                <c:pt idx="25">
                  <c:v>17.251999999999999</c:v>
                </c:pt>
                <c:pt idx="26">
                  <c:v>17.263000000000002</c:v>
                </c:pt>
                <c:pt idx="27">
                  <c:v>17.227</c:v>
                </c:pt>
                <c:pt idx="28">
                  <c:v>17.238</c:v>
                </c:pt>
                <c:pt idx="29">
                  <c:v>17.253</c:v>
                </c:pt>
                <c:pt idx="30">
                  <c:v>17.263000000000002</c:v>
                </c:pt>
                <c:pt idx="31">
                  <c:v>17.2</c:v>
                </c:pt>
                <c:pt idx="32">
                  <c:v>17.234000000000002</c:v>
                </c:pt>
                <c:pt idx="33">
                  <c:v>17.225999999999999</c:v>
                </c:pt>
                <c:pt idx="34">
                  <c:v>17.234999999999999</c:v>
                </c:pt>
                <c:pt idx="35">
                  <c:v>17.224</c:v>
                </c:pt>
                <c:pt idx="36">
                  <c:v>17.233000000000001</c:v>
                </c:pt>
                <c:pt idx="37">
                  <c:v>17.202999999999999</c:v>
                </c:pt>
                <c:pt idx="38">
                  <c:v>17.238</c:v>
                </c:pt>
                <c:pt idx="39">
                  <c:v>17.202999999999999</c:v>
                </c:pt>
                <c:pt idx="40">
                  <c:v>17.262</c:v>
                </c:pt>
                <c:pt idx="41">
                  <c:v>17.224</c:v>
                </c:pt>
                <c:pt idx="42">
                  <c:v>17.234000000000002</c:v>
                </c:pt>
                <c:pt idx="43">
                  <c:v>17.216000000000001</c:v>
                </c:pt>
                <c:pt idx="44">
                  <c:v>17.239999999999998</c:v>
                </c:pt>
                <c:pt idx="45">
                  <c:v>17.231999999999999</c:v>
                </c:pt>
                <c:pt idx="46">
                  <c:v>17.251000000000001</c:v>
                </c:pt>
                <c:pt idx="47">
                  <c:v>17.227</c:v>
                </c:pt>
                <c:pt idx="48">
                  <c:v>17.239999999999998</c:v>
                </c:pt>
                <c:pt idx="49">
                  <c:v>17.248000000000001</c:v>
                </c:pt>
                <c:pt idx="50">
                  <c:v>17.23</c:v>
                </c:pt>
                <c:pt idx="51">
                  <c:v>17.239000000000001</c:v>
                </c:pt>
                <c:pt idx="52">
                  <c:v>17.231999999999999</c:v>
                </c:pt>
                <c:pt idx="53">
                  <c:v>17.204999999999998</c:v>
                </c:pt>
                <c:pt idx="54">
                  <c:v>17.341000000000001</c:v>
                </c:pt>
                <c:pt idx="55">
                  <c:v>17.21</c:v>
                </c:pt>
                <c:pt idx="56">
                  <c:v>17.143999999999998</c:v>
                </c:pt>
                <c:pt idx="57">
                  <c:v>17.216000000000001</c:v>
                </c:pt>
                <c:pt idx="58">
                  <c:v>17.241</c:v>
                </c:pt>
                <c:pt idx="59">
                  <c:v>17.233000000000001</c:v>
                </c:pt>
                <c:pt idx="60">
                  <c:v>17.28</c:v>
                </c:pt>
                <c:pt idx="61">
                  <c:v>17.231000000000002</c:v>
                </c:pt>
                <c:pt idx="62">
                  <c:v>17.224</c:v>
                </c:pt>
                <c:pt idx="63">
                  <c:v>17.245000000000001</c:v>
                </c:pt>
                <c:pt idx="64">
                  <c:v>17.228999999999999</c:v>
                </c:pt>
                <c:pt idx="65">
                  <c:v>17.234999999999999</c:v>
                </c:pt>
                <c:pt idx="66">
                  <c:v>17.212</c:v>
                </c:pt>
                <c:pt idx="67">
                  <c:v>17.259</c:v>
                </c:pt>
                <c:pt idx="68">
                  <c:v>17.242999999999999</c:v>
                </c:pt>
                <c:pt idx="69">
                  <c:v>17.242999999999999</c:v>
                </c:pt>
                <c:pt idx="70">
                  <c:v>17.248999999999999</c:v>
                </c:pt>
                <c:pt idx="71">
                  <c:v>17.222000000000001</c:v>
                </c:pt>
                <c:pt idx="72">
                  <c:v>17.251999999999999</c:v>
                </c:pt>
                <c:pt idx="73">
                  <c:v>17.202999999999999</c:v>
                </c:pt>
                <c:pt idx="74">
                  <c:v>17.276</c:v>
                </c:pt>
                <c:pt idx="75">
                  <c:v>17.25</c:v>
                </c:pt>
                <c:pt idx="76">
                  <c:v>17.241</c:v>
                </c:pt>
                <c:pt idx="77">
                  <c:v>17.224</c:v>
                </c:pt>
                <c:pt idx="78">
                  <c:v>17.239999999999998</c:v>
                </c:pt>
                <c:pt idx="79">
                  <c:v>17.273</c:v>
                </c:pt>
                <c:pt idx="80">
                  <c:v>17.245999999999999</c:v>
                </c:pt>
                <c:pt idx="81">
                  <c:v>17.279</c:v>
                </c:pt>
                <c:pt idx="82">
                  <c:v>17.260999999999999</c:v>
                </c:pt>
                <c:pt idx="83">
                  <c:v>17.283999999999999</c:v>
                </c:pt>
                <c:pt idx="84">
                  <c:v>17.259</c:v>
                </c:pt>
                <c:pt idx="85">
                  <c:v>17.242999999999999</c:v>
                </c:pt>
                <c:pt idx="86">
                  <c:v>17.239000000000001</c:v>
                </c:pt>
                <c:pt idx="87">
                  <c:v>17.280999999999999</c:v>
                </c:pt>
                <c:pt idx="88">
                  <c:v>17.238</c:v>
                </c:pt>
                <c:pt idx="89">
                  <c:v>17.244</c:v>
                </c:pt>
                <c:pt idx="90">
                  <c:v>17.260999999999999</c:v>
                </c:pt>
                <c:pt idx="91">
                  <c:v>17.236000000000001</c:v>
                </c:pt>
                <c:pt idx="92">
                  <c:v>17.254999999999999</c:v>
                </c:pt>
                <c:pt idx="93">
                  <c:v>17.279</c:v>
                </c:pt>
                <c:pt idx="94">
                  <c:v>17.225999999999999</c:v>
                </c:pt>
                <c:pt idx="95">
                  <c:v>17.247</c:v>
                </c:pt>
                <c:pt idx="96">
                  <c:v>17.227</c:v>
                </c:pt>
                <c:pt idx="97">
                  <c:v>17.242999999999999</c:v>
                </c:pt>
                <c:pt idx="98">
                  <c:v>17.247</c:v>
                </c:pt>
                <c:pt idx="99">
                  <c:v>17.285</c:v>
                </c:pt>
                <c:pt idx="100">
                  <c:v>17.283999999999999</c:v>
                </c:pt>
                <c:pt idx="101">
                  <c:v>17.303000000000001</c:v>
                </c:pt>
                <c:pt idx="102">
                  <c:v>17.25</c:v>
                </c:pt>
                <c:pt idx="103">
                  <c:v>17.295999999999999</c:v>
                </c:pt>
                <c:pt idx="104">
                  <c:v>17.239999999999998</c:v>
                </c:pt>
                <c:pt idx="105">
                  <c:v>17.268000000000001</c:v>
                </c:pt>
                <c:pt idx="106">
                  <c:v>17.213999999999999</c:v>
                </c:pt>
                <c:pt idx="107">
                  <c:v>17.358000000000001</c:v>
                </c:pt>
                <c:pt idx="108">
                  <c:v>17.245000000000001</c:v>
                </c:pt>
                <c:pt idx="109">
                  <c:v>17.248000000000001</c:v>
                </c:pt>
                <c:pt idx="110">
                  <c:v>17.242000000000001</c:v>
                </c:pt>
                <c:pt idx="111">
                  <c:v>17.244</c:v>
                </c:pt>
                <c:pt idx="112">
                  <c:v>17.215</c:v>
                </c:pt>
                <c:pt idx="113">
                  <c:v>17.263999999999999</c:v>
                </c:pt>
                <c:pt idx="114">
                  <c:v>17.216999999999999</c:v>
                </c:pt>
                <c:pt idx="115">
                  <c:v>17.297000000000001</c:v>
                </c:pt>
                <c:pt idx="116">
                  <c:v>17.25</c:v>
                </c:pt>
                <c:pt idx="117">
                  <c:v>17.248000000000001</c:v>
                </c:pt>
                <c:pt idx="118">
                  <c:v>17.239999999999998</c:v>
                </c:pt>
                <c:pt idx="119">
                  <c:v>17.254000000000001</c:v>
                </c:pt>
                <c:pt idx="120">
                  <c:v>17.292999999999999</c:v>
                </c:pt>
                <c:pt idx="121">
                  <c:v>17.260999999999999</c:v>
                </c:pt>
                <c:pt idx="122">
                  <c:v>17.257999999999999</c:v>
                </c:pt>
                <c:pt idx="123">
                  <c:v>17.234999999999999</c:v>
                </c:pt>
                <c:pt idx="124">
                  <c:v>17.254999999999999</c:v>
                </c:pt>
                <c:pt idx="125">
                  <c:v>17.260000000000002</c:v>
                </c:pt>
                <c:pt idx="126">
                  <c:v>17.25</c:v>
                </c:pt>
                <c:pt idx="127">
                  <c:v>17.268999999999998</c:v>
                </c:pt>
                <c:pt idx="128">
                  <c:v>17.312999999999999</c:v>
                </c:pt>
                <c:pt idx="129">
                  <c:v>17.247</c:v>
                </c:pt>
                <c:pt idx="130">
                  <c:v>17.212</c:v>
                </c:pt>
                <c:pt idx="131">
                  <c:v>17.263000000000002</c:v>
                </c:pt>
                <c:pt idx="132">
                  <c:v>17.260999999999999</c:v>
                </c:pt>
                <c:pt idx="133">
                  <c:v>17.254000000000001</c:v>
                </c:pt>
                <c:pt idx="134">
                  <c:v>17.227</c:v>
                </c:pt>
                <c:pt idx="135">
                  <c:v>17.260000000000002</c:v>
                </c:pt>
                <c:pt idx="136">
                  <c:v>17.239000000000001</c:v>
                </c:pt>
                <c:pt idx="137">
                  <c:v>17.265000000000001</c:v>
                </c:pt>
                <c:pt idx="138">
                  <c:v>17.245999999999999</c:v>
                </c:pt>
                <c:pt idx="139">
                  <c:v>17.245000000000001</c:v>
                </c:pt>
                <c:pt idx="140">
                  <c:v>17.224</c:v>
                </c:pt>
                <c:pt idx="141">
                  <c:v>17.239000000000001</c:v>
                </c:pt>
                <c:pt idx="142">
                  <c:v>17.236000000000001</c:v>
                </c:pt>
                <c:pt idx="143">
                  <c:v>17.25</c:v>
                </c:pt>
                <c:pt idx="144">
                  <c:v>17.242000000000001</c:v>
                </c:pt>
                <c:pt idx="145">
                  <c:v>17.248000000000001</c:v>
                </c:pt>
                <c:pt idx="146">
                  <c:v>17.22</c:v>
                </c:pt>
                <c:pt idx="147">
                  <c:v>17.204000000000001</c:v>
                </c:pt>
                <c:pt idx="148">
                  <c:v>17.22</c:v>
                </c:pt>
                <c:pt idx="149">
                  <c:v>17.280999999999999</c:v>
                </c:pt>
                <c:pt idx="150">
                  <c:v>17.224</c:v>
                </c:pt>
                <c:pt idx="151">
                  <c:v>17.27</c:v>
                </c:pt>
                <c:pt idx="152">
                  <c:v>17.236000000000001</c:v>
                </c:pt>
                <c:pt idx="153">
                  <c:v>17.265000000000001</c:v>
                </c:pt>
                <c:pt idx="154">
                  <c:v>17.234000000000002</c:v>
                </c:pt>
                <c:pt idx="155">
                  <c:v>17.260000000000002</c:v>
                </c:pt>
                <c:pt idx="156">
                  <c:v>17.196999999999999</c:v>
                </c:pt>
                <c:pt idx="157">
                  <c:v>17.286999999999999</c:v>
                </c:pt>
                <c:pt idx="158">
                  <c:v>17.3</c:v>
                </c:pt>
                <c:pt idx="159">
                  <c:v>17.251000000000001</c:v>
                </c:pt>
                <c:pt idx="160">
                  <c:v>17.233000000000001</c:v>
                </c:pt>
                <c:pt idx="161">
                  <c:v>17.242999999999999</c:v>
                </c:pt>
                <c:pt idx="162">
                  <c:v>17.263000000000002</c:v>
                </c:pt>
                <c:pt idx="163">
                  <c:v>17.236999999999998</c:v>
                </c:pt>
                <c:pt idx="164">
                  <c:v>17.268999999999998</c:v>
                </c:pt>
                <c:pt idx="165">
                  <c:v>17.219000000000001</c:v>
                </c:pt>
                <c:pt idx="166">
                  <c:v>17.253</c:v>
                </c:pt>
                <c:pt idx="167">
                  <c:v>17.234999999999999</c:v>
                </c:pt>
                <c:pt idx="168">
                  <c:v>17.256</c:v>
                </c:pt>
                <c:pt idx="169">
                  <c:v>17.236000000000001</c:v>
                </c:pt>
                <c:pt idx="170">
                  <c:v>17.276</c:v>
                </c:pt>
                <c:pt idx="171">
                  <c:v>17.245000000000001</c:v>
                </c:pt>
                <c:pt idx="172">
                  <c:v>17.236999999999998</c:v>
                </c:pt>
                <c:pt idx="173">
                  <c:v>17.25</c:v>
                </c:pt>
                <c:pt idx="174">
                  <c:v>17.236999999999998</c:v>
                </c:pt>
                <c:pt idx="175">
                  <c:v>17.302</c:v>
                </c:pt>
                <c:pt idx="176">
                  <c:v>17.292000000000002</c:v>
                </c:pt>
                <c:pt idx="177">
                  <c:v>17.251000000000001</c:v>
                </c:pt>
                <c:pt idx="178">
                  <c:v>17.195</c:v>
                </c:pt>
                <c:pt idx="179">
                  <c:v>17.274000000000001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E-47DA-B97D-7BF6BD96DE2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('AMP4-2'!$R$4,'AMP4-2'!$R$4)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5E-47DA-B97D-7BF6BD96DE2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('AMP4-2'!$R$5,'AMP4-2'!$R$5)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5E-47DA-B97D-7BF6BD96D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1576"/>
        <c:axId val="474911968"/>
      </c:scatterChart>
      <c:valAx>
        <c:axId val="47491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1968"/>
        <c:crosses val="autoZero"/>
        <c:crossBetween val="midCat"/>
      </c:valAx>
      <c:valAx>
        <c:axId val="4749119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1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'AMP4-2'!$S$9:$S$188</c:f>
              <c:numCache>
                <c:formatCode>General</c:formatCode>
                <c:ptCount val="180"/>
                <c:pt idx="0">
                  <c:v>17.155999999999999</c:v>
                </c:pt>
                <c:pt idx="1">
                  <c:v>17.312999999999999</c:v>
                </c:pt>
                <c:pt idx="2">
                  <c:v>17.331</c:v>
                </c:pt>
                <c:pt idx="3">
                  <c:v>17.266999999999999</c:v>
                </c:pt>
                <c:pt idx="4">
                  <c:v>17.286999999999999</c:v>
                </c:pt>
                <c:pt idx="5">
                  <c:v>17.28</c:v>
                </c:pt>
                <c:pt idx="6">
                  <c:v>17.295000000000002</c:v>
                </c:pt>
                <c:pt idx="7">
                  <c:v>17.266999999999999</c:v>
                </c:pt>
                <c:pt idx="8">
                  <c:v>17.3</c:v>
                </c:pt>
                <c:pt idx="9">
                  <c:v>17.138000000000002</c:v>
                </c:pt>
                <c:pt idx="10">
                  <c:v>17.277999999999999</c:v>
                </c:pt>
                <c:pt idx="11">
                  <c:v>17.221</c:v>
                </c:pt>
                <c:pt idx="12">
                  <c:v>17.266999999999999</c:v>
                </c:pt>
                <c:pt idx="13">
                  <c:v>17.271000000000001</c:v>
                </c:pt>
                <c:pt idx="14">
                  <c:v>17.338999999999999</c:v>
                </c:pt>
                <c:pt idx="15">
                  <c:v>17.254000000000001</c:v>
                </c:pt>
                <c:pt idx="16">
                  <c:v>17.309000000000001</c:v>
                </c:pt>
                <c:pt idx="17">
                  <c:v>17.257000000000001</c:v>
                </c:pt>
                <c:pt idx="18">
                  <c:v>17.277999999999999</c:v>
                </c:pt>
                <c:pt idx="19">
                  <c:v>17.318000000000001</c:v>
                </c:pt>
                <c:pt idx="20">
                  <c:v>17.28</c:v>
                </c:pt>
                <c:pt idx="21">
                  <c:v>17.257000000000001</c:v>
                </c:pt>
                <c:pt idx="22">
                  <c:v>17.245000000000001</c:v>
                </c:pt>
                <c:pt idx="23">
                  <c:v>17.213000000000001</c:v>
                </c:pt>
                <c:pt idx="24">
                  <c:v>17.268999999999998</c:v>
                </c:pt>
                <c:pt idx="25">
                  <c:v>17.244</c:v>
                </c:pt>
                <c:pt idx="26">
                  <c:v>17.32</c:v>
                </c:pt>
                <c:pt idx="27">
                  <c:v>17.233000000000001</c:v>
                </c:pt>
                <c:pt idx="28">
                  <c:v>17.286000000000001</c:v>
                </c:pt>
                <c:pt idx="29">
                  <c:v>17.291</c:v>
                </c:pt>
                <c:pt idx="30">
                  <c:v>17.347000000000001</c:v>
                </c:pt>
                <c:pt idx="31">
                  <c:v>17.312999999999999</c:v>
                </c:pt>
                <c:pt idx="32">
                  <c:v>17.234000000000002</c:v>
                </c:pt>
                <c:pt idx="33">
                  <c:v>17.257999999999999</c:v>
                </c:pt>
                <c:pt idx="34">
                  <c:v>17.286000000000001</c:v>
                </c:pt>
                <c:pt idx="35">
                  <c:v>17.303999999999998</c:v>
                </c:pt>
                <c:pt idx="36">
                  <c:v>17.268000000000001</c:v>
                </c:pt>
                <c:pt idx="37">
                  <c:v>17.27</c:v>
                </c:pt>
                <c:pt idx="38">
                  <c:v>17.257999999999999</c:v>
                </c:pt>
                <c:pt idx="39">
                  <c:v>17.294</c:v>
                </c:pt>
                <c:pt idx="40">
                  <c:v>17.283000000000001</c:v>
                </c:pt>
                <c:pt idx="41">
                  <c:v>17.291</c:v>
                </c:pt>
                <c:pt idx="42">
                  <c:v>17.251999999999999</c:v>
                </c:pt>
                <c:pt idx="43">
                  <c:v>17.21</c:v>
                </c:pt>
                <c:pt idx="44">
                  <c:v>17.231999999999999</c:v>
                </c:pt>
                <c:pt idx="45">
                  <c:v>17.242000000000001</c:v>
                </c:pt>
                <c:pt idx="46">
                  <c:v>17.209</c:v>
                </c:pt>
                <c:pt idx="47">
                  <c:v>17.216000000000001</c:v>
                </c:pt>
                <c:pt idx="48">
                  <c:v>17.169</c:v>
                </c:pt>
                <c:pt idx="49">
                  <c:v>17.166</c:v>
                </c:pt>
                <c:pt idx="50">
                  <c:v>17.141999999999999</c:v>
                </c:pt>
                <c:pt idx="51">
                  <c:v>17.231999999999999</c:v>
                </c:pt>
                <c:pt idx="52">
                  <c:v>17.12</c:v>
                </c:pt>
                <c:pt idx="53">
                  <c:v>17.201000000000001</c:v>
                </c:pt>
                <c:pt idx="54">
                  <c:v>17.195</c:v>
                </c:pt>
                <c:pt idx="55">
                  <c:v>17.134</c:v>
                </c:pt>
                <c:pt idx="56">
                  <c:v>17.161999999999999</c:v>
                </c:pt>
                <c:pt idx="57">
                  <c:v>17.222000000000001</c:v>
                </c:pt>
                <c:pt idx="58">
                  <c:v>17.068999999999999</c:v>
                </c:pt>
                <c:pt idx="59">
                  <c:v>17.231000000000002</c:v>
                </c:pt>
                <c:pt idx="60">
                  <c:v>17.143000000000001</c:v>
                </c:pt>
                <c:pt idx="61">
                  <c:v>17.175000000000001</c:v>
                </c:pt>
                <c:pt idx="62">
                  <c:v>17.195</c:v>
                </c:pt>
                <c:pt idx="63">
                  <c:v>17.161999999999999</c:v>
                </c:pt>
                <c:pt idx="64">
                  <c:v>17.155999999999999</c:v>
                </c:pt>
                <c:pt idx="65">
                  <c:v>17.245999999999999</c:v>
                </c:pt>
                <c:pt idx="66">
                  <c:v>17.120999999999999</c:v>
                </c:pt>
                <c:pt idx="67">
                  <c:v>17.213999999999999</c:v>
                </c:pt>
                <c:pt idx="68">
                  <c:v>17.13</c:v>
                </c:pt>
                <c:pt idx="69">
                  <c:v>17.119</c:v>
                </c:pt>
                <c:pt idx="70">
                  <c:v>17.222999999999999</c:v>
                </c:pt>
                <c:pt idx="71">
                  <c:v>17.140999999999998</c:v>
                </c:pt>
                <c:pt idx="72">
                  <c:v>17.344999999999999</c:v>
                </c:pt>
                <c:pt idx="73">
                  <c:v>17.221</c:v>
                </c:pt>
                <c:pt idx="74">
                  <c:v>17.338999999999999</c:v>
                </c:pt>
                <c:pt idx="75">
                  <c:v>17.283000000000001</c:v>
                </c:pt>
                <c:pt idx="76">
                  <c:v>17.317</c:v>
                </c:pt>
                <c:pt idx="77">
                  <c:v>17.288</c:v>
                </c:pt>
                <c:pt idx="78">
                  <c:v>17.27</c:v>
                </c:pt>
                <c:pt idx="79">
                  <c:v>17.190000000000001</c:v>
                </c:pt>
                <c:pt idx="80">
                  <c:v>17.32</c:v>
                </c:pt>
                <c:pt idx="81">
                  <c:v>17.323</c:v>
                </c:pt>
                <c:pt idx="82">
                  <c:v>17.306000000000001</c:v>
                </c:pt>
                <c:pt idx="83">
                  <c:v>17.350999999999999</c:v>
                </c:pt>
                <c:pt idx="84">
                  <c:v>17.234000000000002</c:v>
                </c:pt>
                <c:pt idx="85">
                  <c:v>17.224</c:v>
                </c:pt>
                <c:pt idx="86">
                  <c:v>17.242999999999999</c:v>
                </c:pt>
                <c:pt idx="87">
                  <c:v>17.251000000000001</c:v>
                </c:pt>
                <c:pt idx="88">
                  <c:v>17.231000000000002</c:v>
                </c:pt>
                <c:pt idx="89">
                  <c:v>17.25</c:v>
                </c:pt>
                <c:pt idx="90">
                  <c:v>17.225999999999999</c:v>
                </c:pt>
                <c:pt idx="91">
                  <c:v>17.236000000000001</c:v>
                </c:pt>
                <c:pt idx="92">
                  <c:v>17.234000000000002</c:v>
                </c:pt>
                <c:pt idx="93">
                  <c:v>17.172999999999998</c:v>
                </c:pt>
                <c:pt idx="94">
                  <c:v>17.257000000000001</c:v>
                </c:pt>
                <c:pt idx="95">
                  <c:v>17.297999999999998</c:v>
                </c:pt>
                <c:pt idx="96">
                  <c:v>17.198</c:v>
                </c:pt>
                <c:pt idx="97">
                  <c:v>17.199000000000002</c:v>
                </c:pt>
                <c:pt idx="98">
                  <c:v>17.209</c:v>
                </c:pt>
                <c:pt idx="99">
                  <c:v>17.155999999999999</c:v>
                </c:pt>
                <c:pt idx="100">
                  <c:v>17.204000000000001</c:v>
                </c:pt>
                <c:pt idx="101">
                  <c:v>17.216000000000001</c:v>
                </c:pt>
                <c:pt idx="102">
                  <c:v>17.207000000000001</c:v>
                </c:pt>
                <c:pt idx="103">
                  <c:v>17.210999999999999</c:v>
                </c:pt>
                <c:pt idx="104">
                  <c:v>17.169</c:v>
                </c:pt>
                <c:pt idx="105">
                  <c:v>17.385999999999999</c:v>
                </c:pt>
                <c:pt idx="106">
                  <c:v>17.119</c:v>
                </c:pt>
                <c:pt idx="107">
                  <c:v>17.257000000000001</c:v>
                </c:pt>
                <c:pt idx="108">
                  <c:v>17.16</c:v>
                </c:pt>
                <c:pt idx="109">
                  <c:v>17.306000000000001</c:v>
                </c:pt>
                <c:pt idx="110">
                  <c:v>17.170999999999999</c:v>
                </c:pt>
                <c:pt idx="111">
                  <c:v>17.187999999999999</c:v>
                </c:pt>
                <c:pt idx="112">
                  <c:v>17.170000000000002</c:v>
                </c:pt>
                <c:pt idx="113">
                  <c:v>17.140999999999998</c:v>
                </c:pt>
                <c:pt idx="114">
                  <c:v>17.212</c:v>
                </c:pt>
                <c:pt idx="115">
                  <c:v>17.277999999999999</c:v>
                </c:pt>
                <c:pt idx="116">
                  <c:v>17.260999999999999</c:v>
                </c:pt>
                <c:pt idx="117">
                  <c:v>17.273</c:v>
                </c:pt>
                <c:pt idx="118">
                  <c:v>17.227</c:v>
                </c:pt>
                <c:pt idx="119">
                  <c:v>17.277999999999999</c:v>
                </c:pt>
                <c:pt idx="120">
                  <c:v>17.318000000000001</c:v>
                </c:pt>
                <c:pt idx="121">
                  <c:v>17.231000000000002</c:v>
                </c:pt>
                <c:pt idx="122">
                  <c:v>17.242000000000001</c:v>
                </c:pt>
                <c:pt idx="123">
                  <c:v>17.167000000000002</c:v>
                </c:pt>
                <c:pt idx="124">
                  <c:v>17.262</c:v>
                </c:pt>
                <c:pt idx="125">
                  <c:v>17.382999999999999</c:v>
                </c:pt>
                <c:pt idx="126">
                  <c:v>17.256</c:v>
                </c:pt>
                <c:pt idx="127">
                  <c:v>17.222999999999999</c:v>
                </c:pt>
                <c:pt idx="128">
                  <c:v>17.271999999999998</c:v>
                </c:pt>
                <c:pt idx="129">
                  <c:v>17.373999999999999</c:v>
                </c:pt>
                <c:pt idx="130">
                  <c:v>17.234999999999999</c:v>
                </c:pt>
                <c:pt idx="131">
                  <c:v>17.295000000000002</c:v>
                </c:pt>
                <c:pt idx="132">
                  <c:v>17.146999999999998</c:v>
                </c:pt>
                <c:pt idx="133">
                  <c:v>17.143000000000001</c:v>
                </c:pt>
                <c:pt idx="134">
                  <c:v>17.206</c:v>
                </c:pt>
                <c:pt idx="135">
                  <c:v>17.253</c:v>
                </c:pt>
                <c:pt idx="136">
                  <c:v>17.166</c:v>
                </c:pt>
                <c:pt idx="137">
                  <c:v>17.268999999999998</c:v>
                </c:pt>
                <c:pt idx="138">
                  <c:v>17.175999999999998</c:v>
                </c:pt>
                <c:pt idx="139">
                  <c:v>17.263000000000002</c:v>
                </c:pt>
                <c:pt idx="140">
                  <c:v>17.193999999999999</c:v>
                </c:pt>
                <c:pt idx="141">
                  <c:v>17.225000000000001</c:v>
                </c:pt>
                <c:pt idx="142">
                  <c:v>17.218</c:v>
                </c:pt>
                <c:pt idx="143">
                  <c:v>17.257999999999999</c:v>
                </c:pt>
                <c:pt idx="144">
                  <c:v>17.184000000000001</c:v>
                </c:pt>
                <c:pt idx="145">
                  <c:v>17.321999999999999</c:v>
                </c:pt>
                <c:pt idx="146">
                  <c:v>17.103999999999999</c:v>
                </c:pt>
                <c:pt idx="147">
                  <c:v>17.22</c:v>
                </c:pt>
                <c:pt idx="148">
                  <c:v>17.164000000000001</c:v>
                </c:pt>
                <c:pt idx="149">
                  <c:v>17.364999999999998</c:v>
                </c:pt>
                <c:pt idx="150">
                  <c:v>17.151</c:v>
                </c:pt>
                <c:pt idx="151">
                  <c:v>17.228000000000002</c:v>
                </c:pt>
                <c:pt idx="152">
                  <c:v>17.128</c:v>
                </c:pt>
                <c:pt idx="153">
                  <c:v>17.213999999999999</c:v>
                </c:pt>
                <c:pt idx="154">
                  <c:v>17.167999999999999</c:v>
                </c:pt>
                <c:pt idx="155">
                  <c:v>17.234000000000002</c:v>
                </c:pt>
                <c:pt idx="156">
                  <c:v>17.042999999999999</c:v>
                </c:pt>
                <c:pt idx="157">
                  <c:v>17.219000000000001</c:v>
                </c:pt>
                <c:pt idx="158">
                  <c:v>17.12</c:v>
                </c:pt>
                <c:pt idx="159">
                  <c:v>17.154</c:v>
                </c:pt>
                <c:pt idx="160">
                  <c:v>17.231999999999999</c:v>
                </c:pt>
                <c:pt idx="161">
                  <c:v>17.289000000000001</c:v>
                </c:pt>
                <c:pt idx="162">
                  <c:v>17.248999999999999</c:v>
                </c:pt>
                <c:pt idx="163">
                  <c:v>17.273</c:v>
                </c:pt>
                <c:pt idx="164">
                  <c:v>17.260000000000002</c:v>
                </c:pt>
                <c:pt idx="165">
                  <c:v>17.199000000000002</c:v>
                </c:pt>
                <c:pt idx="166">
                  <c:v>17.279</c:v>
                </c:pt>
                <c:pt idx="167">
                  <c:v>17.225999999999999</c:v>
                </c:pt>
                <c:pt idx="168">
                  <c:v>17.238</c:v>
                </c:pt>
                <c:pt idx="169">
                  <c:v>17.254000000000001</c:v>
                </c:pt>
                <c:pt idx="170">
                  <c:v>17.219000000000001</c:v>
                </c:pt>
                <c:pt idx="171">
                  <c:v>17.206</c:v>
                </c:pt>
                <c:pt idx="172">
                  <c:v>17.169</c:v>
                </c:pt>
                <c:pt idx="173">
                  <c:v>17.337</c:v>
                </c:pt>
                <c:pt idx="174">
                  <c:v>17.11</c:v>
                </c:pt>
                <c:pt idx="175">
                  <c:v>17.22</c:v>
                </c:pt>
                <c:pt idx="176">
                  <c:v>17.184000000000001</c:v>
                </c:pt>
                <c:pt idx="177">
                  <c:v>17.236999999999998</c:v>
                </c:pt>
                <c:pt idx="178">
                  <c:v>17.201000000000001</c:v>
                </c:pt>
                <c:pt idx="179">
                  <c:v>17.338999999999999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E-4153-B7B0-E4710F851A3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('AMP4-2'!$S$4,'AMP4-2'!$S$4)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CE-4153-B7B0-E4710F851A3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('AMP4-2'!$S$5,'AMP4-2'!$S$5)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CE-4153-B7B0-E4710F851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2752"/>
        <c:axId val="474913144"/>
      </c:scatterChart>
      <c:valAx>
        <c:axId val="47491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3144"/>
        <c:crosses val="autoZero"/>
        <c:crossBetween val="midCat"/>
      </c:valAx>
      <c:valAx>
        <c:axId val="4749131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'AMP4-2'!$T$9:$T$188</c:f>
              <c:numCache>
                <c:formatCode>General</c:formatCode>
                <c:ptCount val="180"/>
                <c:pt idx="0">
                  <c:v>33.113999999999997</c:v>
                </c:pt>
                <c:pt idx="1">
                  <c:v>37.630000000000003</c:v>
                </c:pt>
                <c:pt idx="2">
                  <c:v>33.408000000000001</c:v>
                </c:pt>
                <c:pt idx="3">
                  <c:v>37.673000000000002</c:v>
                </c:pt>
                <c:pt idx="4">
                  <c:v>33.726999999999997</c:v>
                </c:pt>
                <c:pt idx="5">
                  <c:v>36.713000000000001</c:v>
                </c:pt>
                <c:pt idx="6">
                  <c:v>33.570999999999998</c:v>
                </c:pt>
                <c:pt idx="7">
                  <c:v>34.86</c:v>
                </c:pt>
                <c:pt idx="8">
                  <c:v>33.414999999999999</c:v>
                </c:pt>
                <c:pt idx="9">
                  <c:v>37.975000000000001</c:v>
                </c:pt>
                <c:pt idx="10">
                  <c:v>33.619999999999997</c:v>
                </c:pt>
                <c:pt idx="11">
                  <c:v>37.027999999999999</c:v>
                </c:pt>
                <c:pt idx="12">
                  <c:v>33.402000000000001</c:v>
                </c:pt>
                <c:pt idx="13">
                  <c:v>37.249000000000002</c:v>
                </c:pt>
                <c:pt idx="14">
                  <c:v>33.536000000000001</c:v>
                </c:pt>
                <c:pt idx="15">
                  <c:v>41.795999999999999</c:v>
                </c:pt>
                <c:pt idx="16">
                  <c:v>33.405000000000001</c:v>
                </c:pt>
                <c:pt idx="17">
                  <c:v>37.832000000000001</c:v>
                </c:pt>
                <c:pt idx="18">
                  <c:v>33.555999999999997</c:v>
                </c:pt>
                <c:pt idx="19">
                  <c:v>36.152000000000001</c:v>
                </c:pt>
                <c:pt idx="20">
                  <c:v>33.319000000000003</c:v>
                </c:pt>
                <c:pt idx="21">
                  <c:v>38.375999999999998</c:v>
                </c:pt>
                <c:pt idx="22">
                  <c:v>33.334000000000003</c:v>
                </c:pt>
                <c:pt idx="23">
                  <c:v>36.566000000000003</c:v>
                </c:pt>
                <c:pt idx="24">
                  <c:v>33.366999999999997</c:v>
                </c:pt>
                <c:pt idx="25">
                  <c:v>36.241</c:v>
                </c:pt>
                <c:pt idx="26">
                  <c:v>33.262</c:v>
                </c:pt>
                <c:pt idx="27">
                  <c:v>39.573999999999998</c:v>
                </c:pt>
                <c:pt idx="28">
                  <c:v>33.386000000000003</c:v>
                </c:pt>
                <c:pt idx="29">
                  <c:v>36.984000000000002</c:v>
                </c:pt>
                <c:pt idx="30">
                  <c:v>33.268999999999998</c:v>
                </c:pt>
                <c:pt idx="31">
                  <c:v>37.06</c:v>
                </c:pt>
                <c:pt idx="32">
                  <c:v>32.503</c:v>
                </c:pt>
                <c:pt idx="33">
                  <c:v>39.581000000000003</c:v>
                </c:pt>
                <c:pt idx="34">
                  <c:v>33.19</c:v>
                </c:pt>
                <c:pt idx="35">
                  <c:v>38.177</c:v>
                </c:pt>
                <c:pt idx="36">
                  <c:v>33.423000000000002</c:v>
                </c:pt>
                <c:pt idx="37">
                  <c:v>38.173999999999999</c:v>
                </c:pt>
                <c:pt idx="38">
                  <c:v>33.380000000000003</c:v>
                </c:pt>
                <c:pt idx="39">
                  <c:v>39.787999999999997</c:v>
                </c:pt>
                <c:pt idx="40">
                  <c:v>33.341999999999999</c:v>
                </c:pt>
                <c:pt idx="41">
                  <c:v>37.607999999999997</c:v>
                </c:pt>
                <c:pt idx="42">
                  <c:v>33.435000000000002</c:v>
                </c:pt>
                <c:pt idx="43">
                  <c:v>37.024999999999999</c:v>
                </c:pt>
                <c:pt idx="44">
                  <c:v>33.456000000000003</c:v>
                </c:pt>
                <c:pt idx="45">
                  <c:v>37.871000000000002</c:v>
                </c:pt>
                <c:pt idx="46">
                  <c:v>33.493000000000002</c:v>
                </c:pt>
                <c:pt idx="47">
                  <c:v>38.61</c:v>
                </c:pt>
                <c:pt idx="48">
                  <c:v>33.302999999999997</c:v>
                </c:pt>
                <c:pt idx="49">
                  <c:v>37.707999999999998</c:v>
                </c:pt>
                <c:pt idx="50">
                  <c:v>33.286000000000001</c:v>
                </c:pt>
                <c:pt idx="51">
                  <c:v>38.098999999999997</c:v>
                </c:pt>
                <c:pt idx="52">
                  <c:v>33.682000000000002</c:v>
                </c:pt>
                <c:pt idx="53">
                  <c:v>36.520000000000003</c:v>
                </c:pt>
                <c:pt idx="54">
                  <c:v>33.326000000000001</c:v>
                </c:pt>
                <c:pt idx="55">
                  <c:v>38.006</c:v>
                </c:pt>
                <c:pt idx="56">
                  <c:v>33.591999999999999</c:v>
                </c:pt>
                <c:pt idx="57">
                  <c:v>37.792999999999999</c:v>
                </c:pt>
                <c:pt idx="58">
                  <c:v>33.253999999999998</c:v>
                </c:pt>
                <c:pt idx="59">
                  <c:v>37.305</c:v>
                </c:pt>
                <c:pt idx="60">
                  <c:v>33.234000000000002</c:v>
                </c:pt>
                <c:pt idx="61">
                  <c:v>38.457000000000001</c:v>
                </c:pt>
                <c:pt idx="62">
                  <c:v>33.508000000000003</c:v>
                </c:pt>
                <c:pt idx="63">
                  <c:v>37.893000000000001</c:v>
                </c:pt>
                <c:pt idx="64">
                  <c:v>33.414999999999999</c:v>
                </c:pt>
                <c:pt idx="65">
                  <c:v>37.622999999999998</c:v>
                </c:pt>
                <c:pt idx="66">
                  <c:v>33.389000000000003</c:v>
                </c:pt>
                <c:pt idx="67">
                  <c:v>38.542999999999999</c:v>
                </c:pt>
                <c:pt idx="68">
                  <c:v>33.216999999999999</c:v>
                </c:pt>
                <c:pt idx="69">
                  <c:v>37.033999999999999</c:v>
                </c:pt>
                <c:pt idx="70">
                  <c:v>33.396000000000001</c:v>
                </c:pt>
                <c:pt idx="71">
                  <c:v>36.74</c:v>
                </c:pt>
                <c:pt idx="72">
                  <c:v>33.81</c:v>
                </c:pt>
                <c:pt idx="73">
                  <c:v>39.134</c:v>
                </c:pt>
                <c:pt idx="74">
                  <c:v>33.11</c:v>
                </c:pt>
                <c:pt idx="75">
                  <c:v>40.808</c:v>
                </c:pt>
                <c:pt idx="76">
                  <c:v>33.357999999999997</c:v>
                </c:pt>
                <c:pt idx="77">
                  <c:v>37.171999999999997</c:v>
                </c:pt>
                <c:pt idx="78">
                  <c:v>33.396000000000001</c:v>
                </c:pt>
                <c:pt idx="79">
                  <c:v>37.86</c:v>
                </c:pt>
                <c:pt idx="80">
                  <c:v>33.686</c:v>
                </c:pt>
                <c:pt idx="81">
                  <c:v>38.121000000000002</c:v>
                </c:pt>
                <c:pt idx="82">
                  <c:v>33.478999999999999</c:v>
                </c:pt>
                <c:pt idx="83">
                  <c:v>37.517000000000003</c:v>
                </c:pt>
                <c:pt idx="84">
                  <c:v>33.462000000000003</c:v>
                </c:pt>
                <c:pt idx="85">
                  <c:v>37.069000000000003</c:v>
                </c:pt>
                <c:pt idx="86">
                  <c:v>33.39</c:v>
                </c:pt>
                <c:pt idx="87">
                  <c:v>37.176000000000002</c:v>
                </c:pt>
                <c:pt idx="88">
                  <c:v>33.304000000000002</c:v>
                </c:pt>
                <c:pt idx="89">
                  <c:v>37.457000000000001</c:v>
                </c:pt>
                <c:pt idx="90">
                  <c:v>33.503999999999998</c:v>
                </c:pt>
                <c:pt idx="91">
                  <c:v>35.32</c:v>
                </c:pt>
                <c:pt idx="92">
                  <c:v>33.215000000000003</c:v>
                </c:pt>
                <c:pt idx="93">
                  <c:v>35.884999999999998</c:v>
                </c:pt>
                <c:pt idx="94">
                  <c:v>33.411999999999999</c:v>
                </c:pt>
                <c:pt idx="95">
                  <c:v>36.908999999999999</c:v>
                </c:pt>
                <c:pt idx="96">
                  <c:v>33.255000000000003</c:v>
                </c:pt>
                <c:pt idx="97">
                  <c:v>37.222999999999999</c:v>
                </c:pt>
                <c:pt idx="98">
                  <c:v>33.356000000000002</c:v>
                </c:pt>
                <c:pt idx="99">
                  <c:v>38.658999999999999</c:v>
                </c:pt>
                <c:pt idx="100">
                  <c:v>33.5</c:v>
                </c:pt>
                <c:pt idx="101">
                  <c:v>38.098999999999997</c:v>
                </c:pt>
                <c:pt idx="102">
                  <c:v>33.329000000000001</c:v>
                </c:pt>
                <c:pt idx="103">
                  <c:v>38.012999999999998</c:v>
                </c:pt>
                <c:pt idx="104">
                  <c:v>33.521000000000001</c:v>
                </c:pt>
                <c:pt idx="105">
                  <c:v>38.168999999999997</c:v>
                </c:pt>
                <c:pt idx="106">
                  <c:v>33.323999999999998</c:v>
                </c:pt>
                <c:pt idx="107">
                  <c:v>39.265999999999998</c:v>
                </c:pt>
                <c:pt idx="108">
                  <c:v>33.253999999999998</c:v>
                </c:pt>
                <c:pt idx="109">
                  <c:v>37.704999999999998</c:v>
                </c:pt>
                <c:pt idx="110">
                  <c:v>33.601999999999997</c:v>
                </c:pt>
                <c:pt idx="111">
                  <c:v>38.07</c:v>
                </c:pt>
                <c:pt idx="112">
                  <c:v>33.302999999999997</c:v>
                </c:pt>
                <c:pt idx="113">
                  <c:v>36.700000000000003</c:v>
                </c:pt>
                <c:pt idx="114">
                  <c:v>33.148000000000003</c:v>
                </c:pt>
                <c:pt idx="115">
                  <c:v>35.027999999999999</c:v>
                </c:pt>
                <c:pt idx="116">
                  <c:v>33.363</c:v>
                </c:pt>
                <c:pt idx="117">
                  <c:v>40.868000000000002</c:v>
                </c:pt>
                <c:pt idx="118">
                  <c:v>33.445</c:v>
                </c:pt>
                <c:pt idx="119">
                  <c:v>34.744</c:v>
                </c:pt>
                <c:pt idx="120">
                  <c:v>33.616</c:v>
                </c:pt>
                <c:pt idx="121">
                  <c:v>34.508000000000003</c:v>
                </c:pt>
                <c:pt idx="122">
                  <c:v>33.332999999999998</c:v>
                </c:pt>
                <c:pt idx="123">
                  <c:v>36.118000000000002</c:v>
                </c:pt>
                <c:pt idx="124">
                  <c:v>33.475999999999999</c:v>
                </c:pt>
                <c:pt idx="125">
                  <c:v>38.841999999999999</c:v>
                </c:pt>
                <c:pt idx="126">
                  <c:v>33.183</c:v>
                </c:pt>
                <c:pt idx="127">
                  <c:v>38.048999999999999</c:v>
                </c:pt>
                <c:pt idx="128">
                  <c:v>33.444000000000003</c:v>
                </c:pt>
                <c:pt idx="129">
                  <c:v>37.061999999999998</c:v>
                </c:pt>
                <c:pt idx="130">
                  <c:v>33.472999999999999</c:v>
                </c:pt>
                <c:pt idx="131">
                  <c:v>38.281999999999996</c:v>
                </c:pt>
                <c:pt idx="132">
                  <c:v>33.033000000000001</c:v>
                </c:pt>
                <c:pt idx="133">
                  <c:v>37.743000000000002</c:v>
                </c:pt>
                <c:pt idx="134">
                  <c:v>33.313000000000002</c:v>
                </c:pt>
                <c:pt idx="135">
                  <c:v>38.186999999999998</c:v>
                </c:pt>
                <c:pt idx="136">
                  <c:v>33.43</c:v>
                </c:pt>
                <c:pt idx="137">
                  <c:v>37.683999999999997</c:v>
                </c:pt>
                <c:pt idx="138">
                  <c:v>33.253999999999998</c:v>
                </c:pt>
                <c:pt idx="139">
                  <c:v>39.569000000000003</c:v>
                </c:pt>
                <c:pt idx="140">
                  <c:v>33.561</c:v>
                </c:pt>
                <c:pt idx="141">
                  <c:v>39.191000000000003</c:v>
                </c:pt>
                <c:pt idx="142">
                  <c:v>32.898000000000003</c:v>
                </c:pt>
                <c:pt idx="143">
                  <c:v>35.703000000000003</c:v>
                </c:pt>
                <c:pt idx="144">
                  <c:v>33.994999999999997</c:v>
                </c:pt>
                <c:pt idx="145">
                  <c:v>39.343000000000004</c:v>
                </c:pt>
                <c:pt idx="146">
                  <c:v>33.299999999999997</c:v>
                </c:pt>
                <c:pt idx="147">
                  <c:v>36.804000000000002</c:v>
                </c:pt>
                <c:pt idx="148">
                  <c:v>33.581000000000003</c:v>
                </c:pt>
                <c:pt idx="149">
                  <c:v>36.878</c:v>
                </c:pt>
                <c:pt idx="150">
                  <c:v>33.520000000000003</c:v>
                </c:pt>
                <c:pt idx="151">
                  <c:v>38.622</c:v>
                </c:pt>
                <c:pt idx="152">
                  <c:v>33.398000000000003</c:v>
                </c:pt>
                <c:pt idx="153">
                  <c:v>39.488</c:v>
                </c:pt>
                <c:pt idx="154">
                  <c:v>33.277000000000001</c:v>
                </c:pt>
                <c:pt idx="155">
                  <c:v>38.680999999999997</c:v>
                </c:pt>
                <c:pt idx="156">
                  <c:v>33.601999999999997</c:v>
                </c:pt>
                <c:pt idx="157">
                  <c:v>37.744</c:v>
                </c:pt>
                <c:pt idx="158">
                  <c:v>33.307000000000002</c:v>
                </c:pt>
                <c:pt idx="159">
                  <c:v>36.332999999999998</c:v>
                </c:pt>
                <c:pt idx="160">
                  <c:v>33.475999999999999</c:v>
                </c:pt>
                <c:pt idx="161">
                  <c:v>36.689</c:v>
                </c:pt>
                <c:pt idx="162">
                  <c:v>33.561</c:v>
                </c:pt>
                <c:pt idx="163">
                  <c:v>37.411999999999999</c:v>
                </c:pt>
                <c:pt idx="164">
                  <c:v>33.777000000000001</c:v>
                </c:pt>
                <c:pt idx="165">
                  <c:v>37.713999999999999</c:v>
                </c:pt>
                <c:pt idx="166">
                  <c:v>33.331000000000003</c:v>
                </c:pt>
                <c:pt idx="167">
                  <c:v>40.387999999999998</c:v>
                </c:pt>
                <c:pt idx="168">
                  <c:v>33.423000000000002</c:v>
                </c:pt>
                <c:pt idx="169">
                  <c:v>40.704999999999998</c:v>
                </c:pt>
                <c:pt idx="170">
                  <c:v>32.814999999999998</c:v>
                </c:pt>
                <c:pt idx="171">
                  <c:v>39.040999999999997</c:v>
                </c:pt>
                <c:pt idx="172">
                  <c:v>33.26</c:v>
                </c:pt>
                <c:pt idx="173">
                  <c:v>39.198999999999998</c:v>
                </c:pt>
                <c:pt idx="174">
                  <c:v>33.378999999999998</c:v>
                </c:pt>
                <c:pt idx="175">
                  <c:v>36.432000000000002</c:v>
                </c:pt>
                <c:pt idx="176">
                  <c:v>33.329000000000001</c:v>
                </c:pt>
                <c:pt idx="177">
                  <c:v>38.701999999999998</c:v>
                </c:pt>
                <c:pt idx="178">
                  <c:v>33.518999999999998</c:v>
                </c:pt>
                <c:pt idx="179">
                  <c:v>35.082000000000001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0-4D25-9A40-3848EFB9CE2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('AMP4-2'!$T$4,'AMP4-2'!$T$4)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0-4D25-9A40-3848EFB9CE2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('AMP4-2'!$T$5,'AMP4-2'!$T$5)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0-4D25-9A40-3848EFB9C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3928"/>
        <c:axId val="474914320"/>
      </c:scatterChart>
      <c:valAx>
        <c:axId val="47491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4320"/>
        <c:crosses val="autoZero"/>
        <c:crossBetween val="midCat"/>
      </c:valAx>
      <c:valAx>
        <c:axId val="4749143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'AMP4-2'!$U$9:$U$188</c:f>
              <c:numCache>
                <c:formatCode>General</c:formatCode>
                <c:ptCount val="180"/>
                <c:pt idx="0">
                  <c:v>34.332000000000001</c:v>
                </c:pt>
                <c:pt idx="1">
                  <c:v>37.301000000000002</c:v>
                </c:pt>
                <c:pt idx="2">
                  <c:v>34.212000000000003</c:v>
                </c:pt>
                <c:pt idx="3">
                  <c:v>38.543999999999997</c:v>
                </c:pt>
                <c:pt idx="4">
                  <c:v>33.869</c:v>
                </c:pt>
                <c:pt idx="5">
                  <c:v>38.621000000000002</c:v>
                </c:pt>
                <c:pt idx="6">
                  <c:v>34.226999999999997</c:v>
                </c:pt>
                <c:pt idx="7">
                  <c:v>35.643999999999998</c:v>
                </c:pt>
                <c:pt idx="8">
                  <c:v>34.223999999999997</c:v>
                </c:pt>
                <c:pt idx="9">
                  <c:v>38.25</c:v>
                </c:pt>
                <c:pt idx="10">
                  <c:v>34.256</c:v>
                </c:pt>
                <c:pt idx="11">
                  <c:v>37.113999999999997</c:v>
                </c:pt>
                <c:pt idx="12">
                  <c:v>34.186</c:v>
                </c:pt>
                <c:pt idx="13">
                  <c:v>36.837000000000003</c:v>
                </c:pt>
                <c:pt idx="14">
                  <c:v>34.25</c:v>
                </c:pt>
                <c:pt idx="15">
                  <c:v>41.243000000000002</c:v>
                </c:pt>
                <c:pt idx="16">
                  <c:v>34.287999999999997</c:v>
                </c:pt>
                <c:pt idx="17">
                  <c:v>38.365000000000002</c:v>
                </c:pt>
                <c:pt idx="18">
                  <c:v>34.415999999999997</c:v>
                </c:pt>
                <c:pt idx="19">
                  <c:v>36.555</c:v>
                </c:pt>
                <c:pt idx="20">
                  <c:v>34.14</c:v>
                </c:pt>
                <c:pt idx="21">
                  <c:v>37.956000000000003</c:v>
                </c:pt>
                <c:pt idx="22">
                  <c:v>34.195</c:v>
                </c:pt>
                <c:pt idx="23">
                  <c:v>37.079000000000001</c:v>
                </c:pt>
                <c:pt idx="24">
                  <c:v>33.905999999999999</c:v>
                </c:pt>
                <c:pt idx="25">
                  <c:v>36.662999999999997</c:v>
                </c:pt>
                <c:pt idx="26">
                  <c:v>34.231000000000002</c:v>
                </c:pt>
                <c:pt idx="27">
                  <c:v>40.259</c:v>
                </c:pt>
                <c:pt idx="28">
                  <c:v>34.098999999999997</c:v>
                </c:pt>
                <c:pt idx="29">
                  <c:v>37.914999999999999</c:v>
                </c:pt>
                <c:pt idx="30">
                  <c:v>34.021000000000001</c:v>
                </c:pt>
                <c:pt idx="31">
                  <c:v>37.878999999999998</c:v>
                </c:pt>
                <c:pt idx="32">
                  <c:v>33.179000000000002</c:v>
                </c:pt>
                <c:pt idx="33">
                  <c:v>40.71</c:v>
                </c:pt>
                <c:pt idx="34">
                  <c:v>34.17</c:v>
                </c:pt>
                <c:pt idx="35">
                  <c:v>38.436</c:v>
                </c:pt>
                <c:pt idx="36">
                  <c:v>34.212000000000003</c:v>
                </c:pt>
                <c:pt idx="37">
                  <c:v>37.094000000000001</c:v>
                </c:pt>
                <c:pt idx="38">
                  <c:v>34.171999999999997</c:v>
                </c:pt>
                <c:pt idx="39">
                  <c:v>36.908000000000001</c:v>
                </c:pt>
                <c:pt idx="40">
                  <c:v>34.212000000000003</c:v>
                </c:pt>
                <c:pt idx="41">
                  <c:v>37.698</c:v>
                </c:pt>
                <c:pt idx="42">
                  <c:v>34.433999999999997</c:v>
                </c:pt>
                <c:pt idx="43">
                  <c:v>37.587000000000003</c:v>
                </c:pt>
                <c:pt idx="44">
                  <c:v>34.332999999999998</c:v>
                </c:pt>
                <c:pt idx="45">
                  <c:v>37.658000000000001</c:v>
                </c:pt>
                <c:pt idx="46">
                  <c:v>34.209000000000003</c:v>
                </c:pt>
                <c:pt idx="47">
                  <c:v>39.564</c:v>
                </c:pt>
                <c:pt idx="48">
                  <c:v>34.276000000000003</c:v>
                </c:pt>
                <c:pt idx="49">
                  <c:v>37.24</c:v>
                </c:pt>
                <c:pt idx="50">
                  <c:v>34.319000000000003</c:v>
                </c:pt>
                <c:pt idx="51">
                  <c:v>38.290999999999997</c:v>
                </c:pt>
                <c:pt idx="52">
                  <c:v>34.414999999999999</c:v>
                </c:pt>
                <c:pt idx="53">
                  <c:v>37.741999999999997</c:v>
                </c:pt>
                <c:pt idx="54">
                  <c:v>34.36</c:v>
                </c:pt>
                <c:pt idx="55">
                  <c:v>38.917999999999999</c:v>
                </c:pt>
                <c:pt idx="56">
                  <c:v>34.338000000000001</c:v>
                </c:pt>
                <c:pt idx="57">
                  <c:v>37.040999999999997</c:v>
                </c:pt>
                <c:pt idx="58">
                  <c:v>34.378</c:v>
                </c:pt>
                <c:pt idx="59">
                  <c:v>37.567999999999998</c:v>
                </c:pt>
                <c:pt idx="60">
                  <c:v>34.295000000000002</c:v>
                </c:pt>
                <c:pt idx="61">
                  <c:v>39.381</c:v>
                </c:pt>
                <c:pt idx="62">
                  <c:v>34.334000000000003</c:v>
                </c:pt>
                <c:pt idx="63">
                  <c:v>38.042999999999999</c:v>
                </c:pt>
                <c:pt idx="64">
                  <c:v>34.375</c:v>
                </c:pt>
                <c:pt idx="65">
                  <c:v>37.722999999999999</c:v>
                </c:pt>
                <c:pt idx="66">
                  <c:v>34.296999999999997</c:v>
                </c:pt>
                <c:pt idx="67">
                  <c:v>38.546999999999997</c:v>
                </c:pt>
                <c:pt idx="68">
                  <c:v>34.286999999999999</c:v>
                </c:pt>
                <c:pt idx="69">
                  <c:v>36.076999999999998</c:v>
                </c:pt>
                <c:pt idx="70">
                  <c:v>33.868000000000002</c:v>
                </c:pt>
                <c:pt idx="71">
                  <c:v>37.750999999999998</c:v>
                </c:pt>
                <c:pt idx="72">
                  <c:v>33.787999999999997</c:v>
                </c:pt>
                <c:pt idx="73">
                  <c:v>39.933</c:v>
                </c:pt>
                <c:pt idx="74">
                  <c:v>34.484000000000002</c:v>
                </c:pt>
                <c:pt idx="75">
                  <c:v>38.685000000000002</c:v>
                </c:pt>
                <c:pt idx="76">
                  <c:v>34.183999999999997</c:v>
                </c:pt>
                <c:pt idx="77">
                  <c:v>37.201000000000001</c:v>
                </c:pt>
                <c:pt idx="78">
                  <c:v>34.267000000000003</c:v>
                </c:pt>
                <c:pt idx="79">
                  <c:v>38.182000000000002</c:v>
                </c:pt>
                <c:pt idx="80">
                  <c:v>34.122999999999998</c:v>
                </c:pt>
                <c:pt idx="81">
                  <c:v>37.238</c:v>
                </c:pt>
                <c:pt idx="82">
                  <c:v>34.463000000000001</c:v>
                </c:pt>
                <c:pt idx="83">
                  <c:v>37.584000000000003</c:v>
                </c:pt>
                <c:pt idx="84">
                  <c:v>34.244999999999997</c:v>
                </c:pt>
                <c:pt idx="85">
                  <c:v>37.048000000000002</c:v>
                </c:pt>
                <c:pt idx="86">
                  <c:v>34.203000000000003</c:v>
                </c:pt>
                <c:pt idx="87">
                  <c:v>37.78</c:v>
                </c:pt>
                <c:pt idx="88">
                  <c:v>34.213999999999999</c:v>
                </c:pt>
                <c:pt idx="89">
                  <c:v>36.31</c:v>
                </c:pt>
                <c:pt idx="90">
                  <c:v>33.954999999999998</c:v>
                </c:pt>
                <c:pt idx="91">
                  <c:v>35.975000000000001</c:v>
                </c:pt>
                <c:pt idx="92">
                  <c:v>34.076000000000001</c:v>
                </c:pt>
                <c:pt idx="93">
                  <c:v>36.371000000000002</c:v>
                </c:pt>
                <c:pt idx="94">
                  <c:v>34.15</c:v>
                </c:pt>
                <c:pt idx="95">
                  <c:v>36.411000000000001</c:v>
                </c:pt>
                <c:pt idx="96">
                  <c:v>34.201000000000001</c:v>
                </c:pt>
                <c:pt idx="97">
                  <c:v>38.450000000000003</c:v>
                </c:pt>
                <c:pt idx="98">
                  <c:v>34.261000000000003</c:v>
                </c:pt>
                <c:pt idx="99">
                  <c:v>38.862000000000002</c:v>
                </c:pt>
                <c:pt idx="100">
                  <c:v>34.281999999999996</c:v>
                </c:pt>
                <c:pt idx="101">
                  <c:v>38.088000000000001</c:v>
                </c:pt>
                <c:pt idx="102">
                  <c:v>34.456000000000003</c:v>
                </c:pt>
                <c:pt idx="103">
                  <c:v>38.634</c:v>
                </c:pt>
                <c:pt idx="104">
                  <c:v>34.238</c:v>
                </c:pt>
                <c:pt idx="105">
                  <c:v>39.640999999999998</c:v>
                </c:pt>
                <c:pt idx="106">
                  <c:v>34.36</c:v>
                </c:pt>
                <c:pt idx="107">
                  <c:v>38.83</c:v>
                </c:pt>
                <c:pt idx="108">
                  <c:v>34.408000000000001</c:v>
                </c:pt>
                <c:pt idx="109">
                  <c:v>38.793999999999997</c:v>
                </c:pt>
                <c:pt idx="110">
                  <c:v>33.970999999999997</c:v>
                </c:pt>
                <c:pt idx="111">
                  <c:v>38.816000000000003</c:v>
                </c:pt>
                <c:pt idx="112">
                  <c:v>34.142000000000003</c:v>
                </c:pt>
                <c:pt idx="113">
                  <c:v>37.31</c:v>
                </c:pt>
                <c:pt idx="114">
                  <c:v>34.252000000000002</c:v>
                </c:pt>
                <c:pt idx="115">
                  <c:v>38.203000000000003</c:v>
                </c:pt>
                <c:pt idx="116">
                  <c:v>34.216000000000001</c:v>
                </c:pt>
                <c:pt idx="117">
                  <c:v>41.877000000000002</c:v>
                </c:pt>
                <c:pt idx="118">
                  <c:v>34.316000000000003</c:v>
                </c:pt>
                <c:pt idx="119">
                  <c:v>36.468000000000004</c:v>
                </c:pt>
                <c:pt idx="120">
                  <c:v>34.005000000000003</c:v>
                </c:pt>
                <c:pt idx="121">
                  <c:v>36.875</c:v>
                </c:pt>
                <c:pt idx="122">
                  <c:v>34.277999999999999</c:v>
                </c:pt>
                <c:pt idx="123">
                  <c:v>38.543999999999997</c:v>
                </c:pt>
                <c:pt idx="124">
                  <c:v>34.152000000000001</c:v>
                </c:pt>
                <c:pt idx="125">
                  <c:v>39.173999999999999</c:v>
                </c:pt>
                <c:pt idx="126">
                  <c:v>34.252000000000002</c:v>
                </c:pt>
                <c:pt idx="127">
                  <c:v>39.292999999999999</c:v>
                </c:pt>
                <c:pt idx="128">
                  <c:v>34.200000000000003</c:v>
                </c:pt>
                <c:pt idx="129">
                  <c:v>36.655000000000001</c:v>
                </c:pt>
                <c:pt idx="130">
                  <c:v>34.17</c:v>
                </c:pt>
                <c:pt idx="131">
                  <c:v>38.808999999999997</c:v>
                </c:pt>
                <c:pt idx="132">
                  <c:v>34.49</c:v>
                </c:pt>
                <c:pt idx="133">
                  <c:v>37.241</c:v>
                </c:pt>
                <c:pt idx="134">
                  <c:v>34.137</c:v>
                </c:pt>
                <c:pt idx="135">
                  <c:v>38.145000000000003</c:v>
                </c:pt>
                <c:pt idx="136">
                  <c:v>34.421999999999997</c:v>
                </c:pt>
                <c:pt idx="137">
                  <c:v>37.777999999999999</c:v>
                </c:pt>
                <c:pt idx="138">
                  <c:v>34.319000000000003</c:v>
                </c:pt>
                <c:pt idx="139">
                  <c:v>39.984999999999999</c:v>
                </c:pt>
                <c:pt idx="140">
                  <c:v>34.590000000000003</c:v>
                </c:pt>
                <c:pt idx="141">
                  <c:v>40.222000000000001</c:v>
                </c:pt>
                <c:pt idx="142">
                  <c:v>34.695999999999998</c:v>
                </c:pt>
                <c:pt idx="143">
                  <c:v>37.290999999999997</c:v>
                </c:pt>
                <c:pt idx="144">
                  <c:v>33.606000000000002</c:v>
                </c:pt>
                <c:pt idx="145">
                  <c:v>39.360999999999997</c:v>
                </c:pt>
                <c:pt idx="146">
                  <c:v>34.286999999999999</c:v>
                </c:pt>
                <c:pt idx="147">
                  <c:v>38.451999999999998</c:v>
                </c:pt>
                <c:pt idx="148">
                  <c:v>34.429000000000002</c:v>
                </c:pt>
                <c:pt idx="149">
                  <c:v>38.191000000000003</c:v>
                </c:pt>
                <c:pt idx="150">
                  <c:v>34.329000000000001</c:v>
                </c:pt>
                <c:pt idx="151">
                  <c:v>40.783000000000001</c:v>
                </c:pt>
                <c:pt idx="152">
                  <c:v>34.438000000000002</c:v>
                </c:pt>
                <c:pt idx="153">
                  <c:v>40.902999999999999</c:v>
                </c:pt>
                <c:pt idx="154">
                  <c:v>34.338999999999999</c:v>
                </c:pt>
                <c:pt idx="155">
                  <c:v>38.938000000000002</c:v>
                </c:pt>
                <c:pt idx="156">
                  <c:v>34.189</c:v>
                </c:pt>
                <c:pt idx="157">
                  <c:v>38.305</c:v>
                </c:pt>
                <c:pt idx="158">
                  <c:v>34.747999999999998</c:v>
                </c:pt>
                <c:pt idx="159">
                  <c:v>37.953000000000003</c:v>
                </c:pt>
                <c:pt idx="160">
                  <c:v>34.243000000000002</c:v>
                </c:pt>
                <c:pt idx="161">
                  <c:v>37.31</c:v>
                </c:pt>
                <c:pt idx="162">
                  <c:v>34.369</c:v>
                </c:pt>
                <c:pt idx="163">
                  <c:v>38.423999999999999</c:v>
                </c:pt>
                <c:pt idx="164">
                  <c:v>34.676000000000002</c:v>
                </c:pt>
                <c:pt idx="165">
                  <c:v>38.716999999999999</c:v>
                </c:pt>
                <c:pt idx="166">
                  <c:v>34.408999999999999</c:v>
                </c:pt>
                <c:pt idx="167">
                  <c:v>41.738</c:v>
                </c:pt>
                <c:pt idx="168">
                  <c:v>34.094999999999999</c:v>
                </c:pt>
                <c:pt idx="169">
                  <c:v>41.457000000000001</c:v>
                </c:pt>
                <c:pt idx="170">
                  <c:v>34.524999999999999</c:v>
                </c:pt>
                <c:pt idx="171">
                  <c:v>39.819000000000003</c:v>
                </c:pt>
                <c:pt idx="172">
                  <c:v>34.323999999999998</c:v>
                </c:pt>
                <c:pt idx="173">
                  <c:v>38.673999999999999</c:v>
                </c:pt>
                <c:pt idx="174">
                  <c:v>34.167999999999999</c:v>
                </c:pt>
                <c:pt idx="175">
                  <c:v>37.869</c:v>
                </c:pt>
                <c:pt idx="176">
                  <c:v>34.290999999999997</c:v>
                </c:pt>
                <c:pt idx="177">
                  <c:v>41.095999999999997</c:v>
                </c:pt>
                <c:pt idx="178">
                  <c:v>34.548999999999999</c:v>
                </c:pt>
                <c:pt idx="179">
                  <c:v>38.469000000000001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7-47A6-A431-4DD870E2C98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('AMP4-2'!$U$4,'AMP4-2'!$U$4)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47-47A6-A431-4DD870E2C98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('AMP4-2'!$U$5,'AMP4-2'!$U$5)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47-47A6-A431-4DD870E2C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5104"/>
        <c:axId val="474915496"/>
      </c:scatterChart>
      <c:valAx>
        <c:axId val="47491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5496"/>
        <c:crosses val="autoZero"/>
        <c:crossBetween val="midCat"/>
      </c:valAx>
      <c:valAx>
        <c:axId val="4749154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'AMP4-2'!$AB$9:$AB$188</c:f>
              <c:numCache>
                <c:formatCode>General</c:formatCode>
                <c:ptCount val="180"/>
                <c:pt idx="0">
                  <c:v>-0.217</c:v>
                </c:pt>
                <c:pt idx="1">
                  <c:v>-0.193</c:v>
                </c:pt>
                <c:pt idx="2">
                  <c:v>8.8999999999999996E-2</c:v>
                </c:pt>
                <c:pt idx="3">
                  <c:v>2.3E-2</c:v>
                </c:pt>
                <c:pt idx="4">
                  <c:v>-0.20200000000000001</c:v>
                </c:pt>
                <c:pt idx="5">
                  <c:v>-0.1</c:v>
                </c:pt>
                <c:pt idx="6">
                  <c:v>0.01</c:v>
                </c:pt>
                <c:pt idx="7">
                  <c:v>-4.0000000000000001E-3</c:v>
                </c:pt>
                <c:pt idx="8">
                  <c:v>2.9000000000000001E-2</c:v>
                </c:pt>
                <c:pt idx="9">
                  <c:v>-5.7000000000000002E-2</c:v>
                </c:pt>
                <c:pt idx="10">
                  <c:v>-7.0000000000000007E-2</c:v>
                </c:pt>
                <c:pt idx="11">
                  <c:v>-0.17100000000000001</c:v>
                </c:pt>
                <c:pt idx="12">
                  <c:v>-3.5999999999999997E-2</c:v>
                </c:pt>
                <c:pt idx="13">
                  <c:v>-0.13700000000000001</c:v>
                </c:pt>
                <c:pt idx="14">
                  <c:v>8.0000000000000002E-3</c:v>
                </c:pt>
                <c:pt idx="15">
                  <c:v>-8.3000000000000004E-2</c:v>
                </c:pt>
                <c:pt idx="16">
                  <c:v>-0.187</c:v>
                </c:pt>
                <c:pt idx="17">
                  <c:v>-0.153</c:v>
                </c:pt>
                <c:pt idx="18">
                  <c:v>-5.6000000000000001E-2</c:v>
                </c:pt>
                <c:pt idx="19">
                  <c:v>-8.4000000000000005E-2</c:v>
                </c:pt>
                <c:pt idx="20">
                  <c:v>-8.0000000000000002E-3</c:v>
                </c:pt>
                <c:pt idx="21">
                  <c:v>-0.109</c:v>
                </c:pt>
                <c:pt idx="22">
                  <c:v>-0.19600000000000001</c:v>
                </c:pt>
                <c:pt idx="23">
                  <c:v>-0.22900000000000001</c:v>
                </c:pt>
                <c:pt idx="24">
                  <c:v>-0.10100000000000001</c:v>
                </c:pt>
                <c:pt idx="25">
                  <c:v>-0.13900000000000001</c:v>
                </c:pt>
                <c:pt idx="26">
                  <c:v>4.3999999999999997E-2</c:v>
                </c:pt>
                <c:pt idx="27">
                  <c:v>-3.5999999999999997E-2</c:v>
                </c:pt>
                <c:pt idx="28">
                  <c:v>-4.3999999999999997E-2</c:v>
                </c:pt>
                <c:pt idx="29">
                  <c:v>-9.0999999999999998E-2</c:v>
                </c:pt>
                <c:pt idx="30">
                  <c:v>-1.4E-2</c:v>
                </c:pt>
                <c:pt idx="31">
                  <c:v>-7.0999999999999994E-2</c:v>
                </c:pt>
                <c:pt idx="32">
                  <c:v>-0.129</c:v>
                </c:pt>
                <c:pt idx="33">
                  <c:v>-0.14599999999999999</c:v>
                </c:pt>
                <c:pt idx="34">
                  <c:v>6.3E-2</c:v>
                </c:pt>
                <c:pt idx="35">
                  <c:v>-0.33700000000000002</c:v>
                </c:pt>
                <c:pt idx="36">
                  <c:v>-5.2999999999999999E-2</c:v>
                </c:pt>
                <c:pt idx="37">
                  <c:v>-0.17299999999999999</c:v>
                </c:pt>
                <c:pt idx="38">
                  <c:v>-6.6000000000000003E-2</c:v>
                </c:pt>
                <c:pt idx="39">
                  <c:v>-4.0000000000000001E-3</c:v>
                </c:pt>
                <c:pt idx="40">
                  <c:v>-0.152</c:v>
                </c:pt>
                <c:pt idx="41">
                  <c:v>-0.17899999999999999</c:v>
                </c:pt>
                <c:pt idx="42">
                  <c:v>-8.5999999999999993E-2</c:v>
                </c:pt>
                <c:pt idx="43">
                  <c:v>-7.8E-2</c:v>
                </c:pt>
                <c:pt idx="44">
                  <c:v>-6.3E-2</c:v>
                </c:pt>
                <c:pt idx="45">
                  <c:v>-0.14599999999999999</c:v>
                </c:pt>
                <c:pt idx="46">
                  <c:v>-8.3000000000000004E-2</c:v>
                </c:pt>
                <c:pt idx="47">
                  <c:v>-0.17100000000000001</c:v>
                </c:pt>
                <c:pt idx="48">
                  <c:v>-0.14299999999999999</c:v>
                </c:pt>
                <c:pt idx="49">
                  <c:v>-0.20200000000000001</c:v>
                </c:pt>
                <c:pt idx="50">
                  <c:v>-0.13500000000000001</c:v>
                </c:pt>
                <c:pt idx="51">
                  <c:v>-0.20599999999999999</c:v>
                </c:pt>
                <c:pt idx="52">
                  <c:v>-6.0999999999999999E-2</c:v>
                </c:pt>
                <c:pt idx="53">
                  <c:v>-0.16500000000000001</c:v>
                </c:pt>
                <c:pt idx="54">
                  <c:v>-0.17599999999999999</c:v>
                </c:pt>
                <c:pt idx="55">
                  <c:v>-0.23499999999999999</c:v>
                </c:pt>
                <c:pt idx="56">
                  <c:v>-0.09</c:v>
                </c:pt>
                <c:pt idx="57">
                  <c:v>-0.26500000000000001</c:v>
                </c:pt>
                <c:pt idx="58">
                  <c:v>-0.22800000000000001</c:v>
                </c:pt>
                <c:pt idx="59">
                  <c:v>-0.248</c:v>
                </c:pt>
                <c:pt idx="60">
                  <c:v>-0.157</c:v>
                </c:pt>
                <c:pt idx="61">
                  <c:v>-0.24399999999999999</c:v>
                </c:pt>
                <c:pt idx="62">
                  <c:v>-0.123</c:v>
                </c:pt>
                <c:pt idx="63">
                  <c:v>7.0000000000000001E-3</c:v>
                </c:pt>
                <c:pt idx="64">
                  <c:v>-2.4E-2</c:v>
                </c:pt>
                <c:pt idx="65">
                  <c:v>-8.9999999999999993E-3</c:v>
                </c:pt>
                <c:pt idx="66">
                  <c:v>-0.14099999999999999</c:v>
                </c:pt>
                <c:pt idx="67">
                  <c:v>-6.0000000000000001E-3</c:v>
                </c:pt>
                <c:pt idx="68">
                  <c:v>-8.8999999999999996E-2</c:v>
                </c:pt>
                <c:pt idx="69">
                  <c:v>-0.114</c:v>
                </c:pt>
                <c:pt idx="70">
                  <c:v>-0.16800000000000001</c:v>
                </c:pt>
                <c:pt idx="71">
                  <c:v>-0.113</c:v>
                </c:pt>
                <c:pt idx="72">
                  <c:v>0.17699999999999999</c:v>
                </c:pt>
                <c:pt idx="73">
                  <c:v>0.108</c:v>
                </c:pt>
                <c:pt idx="74">
                  <c:v>0.13700000000000001</c:v>
                </c:pt>
                <c:pt idx="75">
                  <c:v>0.17899999999999999</c:v>
                </c:pt>
                <c:pt idx="76">
                  <c:v>9.0999999999999998E-2</c:v>
                </c:pt>
                <c:pt idx="77">
                  <c:v>0.20699999999999999</c:v>
                </c:pt>
                <c:pt idx="78">
                  <c:v>1.4E-2</c:v>
                </c:pt>
                <c:pt idx="79">
                  <c:v>0.16800000000000001</c:v>
                </c:pt>
                <c:pt idx="80">
                  <c:v>6.3E-2</c:v>
                </c:pt>
                <c:pt idx="81">
                  <c:v>0.125</c:v>
                </c:pt>
                <c:pt idx="82">
                  <c:v>5.8000000000000003E-2</c:v>
                </c:pt>
                <c:pt idx="83">
                  <c:v>0.16</c:v>
                </c:pt>
                <c:pt idx="84">
                  <c:v>-3.5999999999999997E-2</c:v>
                </c:pt>
                <c:pt idx="85">
                  <c:v>0.11700000000000001</c:v>
                </c:pt>
                <c:pt idx="86">
                  <c:v>-6.4000000000000001E-2</c:v>
                </c:pt>
                <c:pt idx="87">
                  <c:v>0.17299999999999999</c:v>
                </c:pt>
                <c:pt idx="88">
                  <c:v>-0.03</c:v>
                </c:pt>
                <c:pt idx="89">
                  <c:v>0.13400000000000001</c:v>
                </c:pt>
                <c:pt idx="90">
                  <c:v>-9.0999999999999998E-2</c:v>
                </c:pt>
                <c:pt idx="91">
                  <c:v>1.7999999999999999E-2</c:v>
                </c:pt>
                <c:pt idx="92">
                  <c:v>-0.17399999999999999</c:v>
                </c:pt>
                <c:pt idx="93">
                  <c:v>-0.04</c:v>
                </c:pt>
                <c:pt idx="94">
                  <c:v>1.2E-2</c:v>
                </c:pt>
                <c:pt idx="95">
                  <c:v>3.9E-2</c:v>
                </c:pt>
                <c:pt idx="96">
                  <c:v>-2.3E-2</c:v>
                </c:pt>
                <c:pt idx="97">
                  <c:v>-8.9999999999999993E-3</c:v>
                </c:pt>
                <c:pt idx="98">
                  <c:v>-0.10199999999999999</c:v>
                </c:pt>
                <c:pt idx="99">
                  <c:v>5.0000000000000001E-3</c:v>
                </c:pt>
                <c:pt idx="100">
                  <c:v>-0.1</c:v>
                </c:pt>
                <c:pt idx="101">
                  <c:v>1.9E-2</c:v>
                </c:pt>
                <c:pt idx="102">
                  <c:v>-5.8999999999999997E-2</c:v>
                </c:pt>
                <c:pt idx="103">
                  <c:v>4.1000000000000002E-2</c:v>
                </c:pt>
                <c:pt idx="104">
                  <c:v>-0.115</c:v>
                </c:pt>
                <c:pt idx="105">
                  <c:v>0.10199999999999999</c:v>
                </c:pt>
                <c:pt idx="106">
                  <c:v>-9.5000000000000001E-2</c:v>
                </c:pt>
                <c:pt idx="107">
                  <c:v>1.4999999999999999E-2</c:v>
                </c:pt>
                <c:pt idx="108">
                  <c:v>-0.13500000000000001</c:v>
                </c:pt>
                <c:pt idx="109">
                  <c:v>0.05</c:v>
                </c:pt>
                <c:pt idx="110">
                  <c:v>-0.11799999999999999</c:v>
                </c:pt>
                <c:pt idx="111">
                  <c:v>-4.2999999999999997E-2</c:v>
                </c:pt>
                <c:pt idx="112">
                  <c:v>-7.4999999999999997E-2</c:v>
                </c:pt>
                <c:pt idx="113">
                  <c:v>-0.04</c:v>
                </c:pt>
                <c:pt idx="114">
                  <c:v>1.4999999999999999E-2</c:v>
                </c:pt>
                <c:pt idx="115">
                  <c:v>9.8000000000000004E-2</c:v>
                </c:pt>
                <c:pt idx="116">
                  <c:v>5.8000000000000003E-2</c:v>
                </c:pt>
                <c:pt idx="117">
                  <c:v>0.21099999999999999</c:v>
                </c:pt>
                <c:pt idx="118">
                  <c:v>0.104</c:v>
                </c:pt>
                <c:pt idx="119">
                  <c:v>0.23400000000000001</c:v>
                </c:pt>
                <c:pt idx="120">
                  <c:v>0.27500000000000002</c:v>
                </c:pt>
                <c:pt idx="121">
                  <c:v>0.316</c:v>
                </c:pt>
                <c:pt idx="122">
                  <c:v>8.9999999999999993E-3</c:v>
                </c:pt>
                <c:pt idx="123">
                  <c:v>8.5000000000000006E-2</c:v>
                </c:pt>
                <c:pt idx="124">
                  <c:v>0.16500000000000001</c:v>
                </c:pt>
                <c:pt idx="125">
                  <c:v>0.189</c:v>
                </c:pt>
                <c:pt idx="126">
                  <c:v>0.01</c:v>
                </c:pt>
                <c:pt idx="127">
                  <c:v>0.1</c:v>
                </c:pt>
                <c:pt idx="128">
                  <c:v>0.27500000000000002</c:v>
                </c:pt>
                <c:pt idx="129">
                  <c:v>0.17699999999999999</c:v>
                </c:pt>
                <c:pt idx="130">
                  <c:v>2.3E-2</c:v>
                </c:pt>
                <c:pt idx="131">
                  <c:v>0.20799999999999999</c:v>
                </c:pt>
                <c:pt idx="132">
                  <c:v>-4.2000000000000003E-2</c:v>
                </c:pt>
                <c:pt idx="133">
                  <c:v>8.4000000000000005E-2</c:v>
                </c:pt>
                <c:pt idx="134">
                  <c:v>3.5999999999999997E-2</c:v>
                </c:pt>
                <c:pt idx="135">
                  <c:v>0.16500000000000001</c:v>
                </c:pt>
                <c:pt idx="136">
                  <c:v>-1.9E-2</c:v>
                </c:pt>
                <c:pt idx="137">
                  <c:v>0.126</c:v>
                </c:pt>
                <c:pt idx="138">
                  <c:v>-0.126</c:v>
                </c:pt>
                <c:pt idx="139">
                  <c:v>0.12</c:v>
                </c:pt>
                <c:pt idx="140">
                  <c:v>-0.16300000000000001</c:v>
                </c:pt>
                <c:pt idx="141">
                  <c:v>6.4000000000000001E-2</c:v>
                </c:pt>
                <c:pt idx="142">
                  <c:v>-8.1000000000000003E-2</c:v>
                </c:pt>
                <c:pt idx="143">
                  <c:v>6.2E-2</c:v>
                </c:pt>
                <c:pt idx="144">
                  <c:v>-0.03</c:v>
                </c:pt>
                <c:pt idx="145">
                  <c:v>0.13200000000000001</c:v>
                </c:pt>
                <c:pt idx="146">
                  <c:v>-0.11600000000000001</c:v>
                </c:pt>
                <c:pt idx="147">
                  <c:v>6.8000000000000005E-2</c:v>
                </c:pt>
                <c:pt idx="148">
                  <c:v>-1.7000000000000001E-2</c:v>
                </c:pt>
                <c:pt idx="149">
                  <c:v>0.19400000000000001</c:v>
                </c:pt>
                <c:pt idx="150">
                  <c:v>-8.9999999999999993E-3</c:v>
                </c:pt>
                <c:pt idx="151">
                  <c:v>7.5999999999999998E-2</c:v>
                </c:pt>
                <c:pt idx="152">
                  <c:v>-8.7999999999999995E-2</c:v>
                </c:pt>
                <c:pt idx="153">
                  <c:v>6.0999999999999999E-2</c:v>
                </c:pt>
                <c:pt idx="154">
                  <c:v>-8.7999999999999995E-2</c:v>
                </c:pt>
                <c:pt idx="155">
                  <c:v>3.5999999999999997E-2</c:v>
                </c:pt>
                <c:pt idx="156">
                  <c:v>-0.14799999999999999</c:v>
                </c:pt>
                <c:pt idx="157">
                  <c:v>-8.0000000000000002E-3</c:v>
                </c:pt>
                <c:pt idx="158">
                  <c:v>-0.15</c:v>
                </c:pt>
                <c:pt idx="159">
                  <c:v>-6.7000000000000004E-2</c:v>
                </c:pt>
                <c:pt idx="160">
                  <c:v>0.11799999999999999</c:v>
                </c:pt>
                <c:pt idx="161">
                  <c:v>0.184</c:v>
                </c:pt>
                <c:pt idx="162">
                  <c:v>8.7999999999999995E-2</c:v>
                </c:pt>
                <c:pt idx="163">
                  <c:v>0.27200000000000002</c:v>
                </c:pt>
                <c:pt idx="164">
                  <c:v>0.157</c:v>
                </c:pt>
                <c:pt idx="165">
                  <c:v>0.20200000000000001</c:v>
                </c:pt>
                <c:pt idx="166">
                  <c:v>5.0000000000000001E-3</c:v>
                </c:pt>
                <c:pt idx="167">
                  <c:v>0.14499999999999999</c:v>
                </c:pt>
                <c:pt idx="168">
                  <c:v>-2.3E-2</c:v>
                </c:pt>
                <c:pt idx="169">
                  <c:v>0.13200000000000001</c:v>
                </c:pt>
                <c:pt idx="170">
                  <c:v>-8.3000000000000004E-2</c:v>
                </c:pt>
                <c:pt idx="171">
                  <c:v>0.11700000000000001</c:v>
                </c:pt>
                <c:pt idx="172">
                  <c:v>0.02</c:v>
                </c:pt>
                <c:pt idx="173">
                  <c:v>0.13</c:v>
                </c:pt>
                <c:pt idx="174">
                  <c:v>-0.13600000000000001</c:v>
                </c:pt>
                <c:pt idx="175">
                  <c:v>5.2999999999999999E-2</c:v>
                </c:pt>
                <c:pt idx="176">
                  <c:v>-9.1999999999999998E-2</c:v>
                </c:pt>
                <c:pt idx="177">
                  <c:v>0</c:v>
                </c:pt>
                <c:pt idx="178">
                  <c:v>1.7000000000000001E-2</c:v>
                </c:pt>
                <c:pt idx="17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5-40A0-BF24-AB78F6692C5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('AMP4-2'!$AB$4,'AMP4-2'!$AB$4)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5-40A0-BF24-AB78F6692C5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('AMP4-2'!$AB$5,'AMP4-2'!$AB$5)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5-40A0-BF24-AB78F6692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6280"/>
        <c:axId val="474916672"/>
      </c:scatterChart>
      <c:valAx>
        <c:axId val="47491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6672"/>
        <c:crosses val="autoZero"/>
        <c:crossBetween val="midCat"/>
      </c:valAx>
      <c:valAx>
        <c:axId val="4749166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'AMP4-2'!$AC$9:$AC$188</c:f>
              <c:numCache>
                <c:formatCode>General</c:formatCode>
                <c:ptCount val="180"/>
                <c:pt idx="0">
                  <c:v>-0.17899999999999999</c:v>
                </c:pt>
                <c:pt idx="1">
                  <c:v>-0.21199999999999999</c:v>
                </c:pt>
                <c:pt idx="2">
                  <c:v>0.107</c:v>
                </c:pt>
                <c:pt idx="3">
                  <c:v>-3.4000000000000002E-2</c:v>
                </c:pt>
                <c:pt idx="4">
                  <c:v>-0.17499999999999999</c:v>
                </c:pt>
                <c:pt idx="5">
                  <c:v>-0.14199999999999999</c:v>
                </c:pt>
                <c:pt idx="6">
                  <c:v>0.04</c:v>
                </c:pt>
                <c:pt idx="7">
                  <c:v>-4.8000000000000001E-2</c:v>
                </c:pt>
                <c:pt idx="8">
                  <c:v>0.06</c:v>
                </c:pt>
                <c:pt idx="9">
                  <c:v>-9.5000000000000001E-2</c:v>
                </c:pt>
                <c:pt idx="10">
                  <c:v>-2.9000000000000001E-2</c:v>
                </c:pt>
                <c:pt idx="11">
                  <c:v>-0.21</c:v>
                </c:pt>
                <c:pt idx="12">
                  <c:v>-1.2999999999999999E-2</c:v>
                </c:pt>
                <c:pt idx="13">
                  <c:v>-0.17299999999999999</c:v>
                </c:pt>
                <c:pt idx="14">
                  <c:v>4.7E-2</c:v>
                </c:pt>
                <c:pt idx="15">
                  <c:v>-0.126</c:v>
                </c:pt>
                <c:pt idx="16">
                  <c:v>-0.13600000000000001</c:v>
                </c:pt>
                <c:pt idx="17">
                  <c:v>-0.18099999999999999</c:v>
                </c:pt>
                <c:pt idx="18">
                  <c:v>-3.3000000000000002E-2</c:v>
                </c:pt>
                <c:pt idx="19">
                  <c:v>-0.113</c:v>
                </c:pt>
                <c:pt idx="20">
                  <c:v>2.7E-2</c:v>
                </c:pt>
                <c:pt idx="21">
                  <c:v>-0.152</c:v>
                </c:pt>
                <c:pt idx="22">
                  <c:v>-0.157</c:v>
                </c:pt>
                <c:pt idx="23">
                  <c:v>-0.26800000000000002</c:v>
                </c:pt>
                <c:pt idx="24">
                  <c:v>-0.06</c:v>
                </c:pt>
                <c:pt idx="25">
                  <c:v>-0.16800000000000001</c:v>
                </c:pt>
                <c:pt idx="26">
                  <c:v>8.7999999999999995E-2</c:v>
                </c:pt>
                <c:pt idx="27">
                  <c:v>-8.2000000000000003E-2</c:v>
                </c:pt>
                <c:pt idx="28">
                  <c:v>2E-3</c:v>
                </c:pt>
                <c:pt idx="29">
                  <c:v>-0.15</c:v>
                </c:pt>
                <c:pt idx="30">
                  <c:v>2.1000000000000001E-2</c:v>
                </c:pt>
                <c:pt idx="31">
                  <c:v>-9.9000000000000005E-2</c:v>
                </c:pt>
                <c:pt idx="32">
                  <c:v>-9.6000000000000002E-2</c:v>
                </c:pt>
                <c:pt idx="33">
                  <c:v>-0.192</c:v>
                </c:pt>
                <c:pt idx="34">
                  <c:v>7.2999999999999995E-2</c:v>
                </c:pt>
                <c:pt idx="35">
                  <c:v>-0.36799999999999999</c:v>
                </c:pt>
                <c:pt idx="36">
                  <c:v>-2.4E-2</c:v>
                </c:pt>
                <c:pt idx="37">
                  <c:v>-0.21199999999999999</c:v>
                </c:pt>
                <c:pt idx="38">
                  <c:v>-3.5999999999999997E-2</c:v>
                </c:pt>
                <c:pt idx="39">
                  <c:v>-9.2999999999999999E-2</c:v>
                </c:pt>
                <c:pt idx="40">
                  <c:v>-0.112</c:v>
                </c:pt>
                <c:pt idx="41">
                  <c:v>-0.192</c:v>
                </c:pt>
                <c:pt idx="42">
                  <c:v>-6.5000000000000002E-2</c:v>
                </c:pt>
                <c:pt idx="43">
                  <c:v>-0.13</c:v>
                </c:pt>
                <c:pt idx="44">
                  <c:v>-0.03</c:v>
                </c:pt>
                <c:pt idx="45">
                  <c:v>-0.193</c:v>
                </c:pt>
                <c:pt idx="46">
                  <c:v>-5.1999999999999998E-2</c:v>
                </c:pt>
                <c:pt idx="47">
                  <c:v>-0.215</c:v>
                </c:pt>
                <c:pt idx="48">
                  <c:v>-0.11799999999999999</c:v>
                </c:pt>
                <c:pt idx="49">
                  <c:v>-0.24199999999999999</c:v>
                </c:pt>
                <c:pt idx="50">
                  <c:v>-9.8000000000000004E-2</c:v>
                </c:pt>
                <c:pt idx="51">
                  <c:v>-0.254</c:v>
                </c:pt>
                <c:pt idx="52">
                  <c:v>-2.5999999999999999E-2</c:v>
                </c:pt>
                <c:pt idx="53">
                  <c:v>-0.21</c:v>
                </c:pt>
                <c:pt idx="54">
                  <c:v>-0.13</c:v>
                </c:pt>
                <c:pt idx="55">
                  <c:v>-0.29199999999999998</c:v>
                </c:pt>
                <c:pt idx="56">
                  <c:v>-3.7999999999999999E-2</c:v>
                </c:pt>
                <c:pt idx="57">
                  <c:v>-0.32500000000000001</c:v>
                </c:pt>
                <c:pt idx="58">
                  <c:v>-0.193</c:v>
                </c:pt>
                <c:pt idx="59">
                  <c:v>-0.31900000000000001</c:v>
                </c:pt>
                <c:pt idx="60">
                  <c:v>-0.107</c:v>
                </c:pt>
                <c:pt idx="61">
                  <c:v>-0.28799999999999998</c:v>
                </c:pt>
                <c:pt idx="62">
                  <c:v>-7.0999999999999994E-2</c:v>
                </c:pt>
                <c:pt idx="63">
                  <c:v>-4.1000000000000002E-2</c:v>
                </c:pt>
                <c:pt idx="64">
                  <c:v>0.03</c:v>
                </c:pt>
                <c:pt idx="65">
                  <c:v>-6.3E-2</c:v>
                </c:pt>
                <c:pt idx="66">
                  <c:v>-7.2999999999999995E-2</c:v>
                </c:pt>
                <c:pt idx="67">
                  <c:v>-5.3999999999999999E-2</c:v>
                </c:pt>
                <c:pt idx="68">
                  <c:v>-0.03</c:v>
                </c:pt>
                <c:pt idx="69">
                  <c:v>-0.158</c:v>
                </c:pt>
                <c:pt idx="70">
                  <c:v>-0.126</c:v>
                </c:pt>
                <c:pt idx="71">
                  <c:v>-0.156</c:v>
                </c:pt>
                <c:pt idx="72">
                  <c:v>0.17799999999999999</c:v>
                </c:pt>
                <c:pt idx="73">
                  <c:v>6.2E-2</c:v>
                </c:pt>
                <c:pt idx="74">
                  <c:v>0.17399999999999999</c:v>
                </c:pt>
                <c:pt idx="75">
                  <c:v>0.125</c:v>
                </c:pt>
                <c:pt idx="76">
                  <c:v>0.124</c:v>
                </c:pt>
                <c:pt idx="77">
                  <c:v>0.16700000000000001</c:v>
                </c:pt>
                <c:pt idx="78">
                  <c:v>4.8000000000000001E-2</c:v>
                </c:pt>
                <c:pt idx="79">
                  <c:v>0.11700000000000001</c:v>
                </c:pt>
                <c:pt idx="80">
                  <c:v>9.4E-2</c:v>
                </c:pt>
                <c:pt idx="81">
                  <c:v>7.4999999999999997E-2</c:v>
                </c:pt>
                <c:pt idx="82">
                  <c:v>9.5000000000000001E-2</c:v>
                </c:pt>
                <c:pt idx="83">
                  <c:v>0.108</c:v>
                </c:pt>
                <c:pt idx="84">
                  <c:v>7.0000000000000001E-3</c:v>
                </c:pt>
                <c:pt idx="85">
                  <c:v>6.2E-2</c:v>
                </c:pt>
                <c:pt idx="86">
                  <c:v>-2.7E-2</c:v>
                </c:pt>
                <c:pt idx="87">
                  <c:v>0.127</c:v>
                </c:pt>
                <c:pt idx="88">
                  <c:v>-1.2999999999999999E-2</c:v>
                </c:pt>
                <c:pt idx="89">
                  <c:v>9.2999999999999999E-2</c:v>
                </c:pt>
                <c:pt idx="90">
                  <c:v>-6.7000000000000004E-2</c:v>
                </c:pt>
                <c:pt idx="91">
                  <c:v>-3.5000000000000003E-2</c:v>
                </c:pt>
                <c:pt idx="92">
                  <c:v>-0.13900000000000001</c:v>
                </c:pt>
                <c:pt idx="93">
                  <c:v>-8.8999999999999996E-2</c:v>
                </c:pt>
                <c:pt idx="94">
                  <c:v>6.6000000000000003E-2</c:v>
                </c:pt>
                <c:pt idx="95">
                  <c:v>-3.0000000000000001E-3</c:v>
                </c:pt>
                <c:pt idx="96">
                  <c:v>1.7999999999999999E-2</c:v>
                </c:pt>
                <c:pt idx="97">
                  <c:v>-5.5E-2</c:v>
                </c:pt>
                <c:pt idx="98">
                  <c:v>-6.6000000000000003E-2</c:v>
                </c:pt>
                <c:pt idx="99">
                  <c:v>-3.2000000000000001E-2</c:v>
                </c:pt>
                <c:pt idx="100">
                  <c:v>-5.6000000000000001E-2</c:v>
                </c:pt>
                <c:pt idx="101">
                  <c:v>-2.8000000000000001E-2</c:v>
                </c:pt>
                <c:pt idx="102">
                  <c:v>-2.7E-2</c:v>
                </c:pt>
                <c:pt idx="103">
                  <c:v>-1.2999999999999999E-2</c:v>
                </c:pt>
                <c:pt idx="104">
                  <c:v>-0.08</c:v>
                </c:pt>
                <c:pt idx="105">
                  <c:v>5.1999999999999998E-2</c:v>
                </c:pt>
                <c:pt idx="106">
                  <c:v>-5.3999999999999999E-2</c:v>
                </c:pt>
                <c:pt idx="107">
                  <c:v>-3.1E-2</c:v>
                </c:pt>
                <c:pt idx="108">
                  <c:v>-0.13300000000000001</c:v>
                </c:pt>
                <c:pt idx="109">
                  <c:v>0.01</c:v>
                </c:pt>
                <c:pt idx="110">
                  <c:v>-8.3000000000000004E-2</c:v>
                </c:pt>
                <c:pt idx="111">
                  <c:v>-9.9000000000000005E-2</c:v>
                </c:pt>
                <c:pt idx="112">
                  <c:v>-4.2999999999999997E-2</c:v>
                </c:pt>
                <c:pt idx="113">
                  <c:v>-7.0999999999999994E-2</c:v>
                </c:pt>
                <c:pt idx="114">
                  <c:v>4.1000000000000002E-2</c:v>
                </c:pt>
                <c:pt idx="115">
                  <c:v>6.9000000000000006E-2</c:v>
                </c:pt>
                <c:pt idx="116">
                  <c:v>9.1999999999999998E-2</c:v>
                </c:pt>
                <c:pt idx="117">
                  <c:v>0.19</c:v>
                </c:pt>
                <c:pt idx="118">
                  <c:v>0.14899999999999999</c:v>
                </c:pt>
                <c:pt idx="119">
                  <c:v>0.2</c:v>
                </c:pt>
                <c:pt idx="120">
                  <c:v>0.29299999999999998</c:v>
                </c:pt>
                <c:pt idx="121">
                  <c:v>0.27400000000000002</c:v>
                </c:pt>
                <c:pt idx="122">
                  <c:v>0.04</c:v>
                </c:pt>
                <c:pt idx="123">
                  <c:v>6.3E-2</c:v>
                </c:pt>
                <c:pt idx="124">
                  <c:v>0.20399999999999999</c:v>
                </c:pt>
                <c:pt idx="125">
                  <c:v>0.16500000000000001</c:v>
                </c:pt>
                <c:pt idx="126">
                  <c:v>4.4999999999999998E-2</c:v>
                </c:pt>
                <c:pt idx="127">
                  <c:v>7.3999999999999996E-2</c:v>
                </c:pt>
                <c:pt idx="128">
                  <c:v>0.29299999999999998</c:v>
                </c:pt>
                <c:pt idx="129">
                  <c:v>0.15</c:v>
                </c:pt>
                <c:pt idx="130">
                  <c:v>5.3999999999999999E-2</c:v>
                </c:pt>
                <c:pt idx="131">
                  <c:v>0.10199999999999999</c:v>
                </c:pt>
                <c:pt idx="132">
                  <c:v>-3.9E-2</c:v>
                </c:pt>
                <c:pt idx="133">
                  <c:v>6.5000000000000002E-2</c:v>
                </c:pt>
                <c:pt idx="134">
                  <c:v>5.7000000000000002E-2</c:v>
                </c:pt>
                <c:pt idx="135">
                  <c:v>0.14000000000000001</c:v>
                </c:pt>
                <c:pt idx="136">
                  <c:v>2.8000000000000001E-2</c:v>
                </c:pt>
                <c:pt idx="137">
                  <c:v>0.107</c:v>
                </c:pt>
                <c:pt idx="138">
                  <c:v>-9.2999999999999999E-2</c:v>
                </c:pt>
                <c:pt idx="139">
                  <c:v>8.5999999999999993E-2</c:v>
                </c:pt>
                <c:pt idx="140">
                  <c:v>-0.13800000000000001</c:v>
                </c:pt>
                <c:pt idx="141">
                  <c:v>7.8E-2</c:v>
                </c:pt>
                <c:pt idx="142">
                  <c:v>-4.7E-2</c:v>
                </c:pt>
                <c:pt idx="143">
                  <c:v>4.2999999999999997E-2</c:v>
                </c:pt>
                <c:pt idx="144">
                  <c:v>5.0000000000000001E-3</c:v>
                </c:pt>
                <c:pt idx="145">
                  <c:v>0.11700000000000001</c:v>
                </c:pt>
                <c:pt idx="146">
                  <c:v>-7.3999999999999996E-2</c:v>
                </c:pt>
                <c:pt idx="147">
                  <c:v>3.7999999999999999E-2</c:v>
                </c:pt>
                <c:pt idx="148">
                  <c:v>1.2E-2</c:v>
                </c:pt>
                <c:pt idx="149">
                  <c:v>0.17499999999999999</c:v>
                </c:pt>
                <c:pt idx="150">
                  <c:v>4.2999999999999997E-2</c:v>
                </c:pt>
                <c:pt idx="151">
                  <c:v>5.1999999999999998E-2</c:v>
                </c:pt>
                <c:pt idx="152">
                  <c:v>-3.5000000000000003E-2</c:v>
                </c:pt>
                <c:pt idx="153">
                  <c:v>3.3000000000000002E-2</c:v>
                </c:pt>
                <c:pt idx="154">
                  <c:v>-3.5999999999999997E-2</c:v>
                </c:pt>
                <c:pt idx="155">
                  <c:v>3.4000000000000002E-2</c:v>
                </c:pt>
                <c:pt idx="156">
                  <c:v>-0.112</c:v>
                </c:pt>
                <c:pt idx="157">
                  <c:v>-3.2000000000000001E-2</c:v>
                </c:pt>
                <c:pt idx="158">
                  <c:v>-9.8000000000000004E-2</c:v>
                </c:pt>
                <c:pt idx="159">
                  <c:v>-0.111</c:v>
                </c:pt>
                <c:pt idx="160">
                  <c:v>0.157</c:v>
                </c:pt>
                <c:pt idx="161">
                  <c:v>0.126</c:v>
                </c:pt>
                <c:pt idx="162">
                  <c:v>0.123</c:v>
                </c:pt>
                <c:pt idx="163">
                  <c:v>0.185</c:v>
                </c:pt>
                <c:pt idx="164">
                  <c:v>0.161</c:v>
                </c:pt>
                <c:pt idx="165">
                  <c:v>0.218</c:v>
                </c:pt>
                <c:pt idx="166">
                  <c:v>4.2000000000000003E-2</c:v>
                </c:pt>
                <c:pt idx="167">
                  <c:v>0.112</c:v>
                </c:pt>
                <c:pt idx="168">
                  <c:v>1.0999999999999999E-2</c:v>
                </c:pt>
                <c:pt idx="169">
                  <c:v>0.1</c:v>
                </c:pt>
                <c:pt idx="170">
                  <c:v>-3.1E-2</c:v>
                </c:pt>
                <c:pt idx="171">
                  <c:v>4.8000000000000001E-2</c:v>
                </c:pt>
                <c:pt idx="172">
                  <c:v>0.05</c:v>
                </c:pt>
                <c:pt idx="173">
                  <c:v>0.10100000000000001</c:v>
                </c:pt>
                <c:pt idx="174">
                  <c:v>-9.4E-2</c:v>
                </c:pt>
                <c:pt idx="175">
                  <c:v>2.1999999999999999E-2</c:v>
                </c:pt>
                <c:pt idx="176">
                  <c:v>-4.9000000000000002E-2</c:v>
                </c:pt>
                <c:pt idx="177">
                  <c:v>-3.5999999999999997E-2</c:v>
                </c:pt>
                <c:pt idx="178">
                  <c:v>5.3999999999999999E-2</c:v>
                </c:pt>
                <c:pt idx="179">
                  <c:v>0.157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C-44A7-8159-78CAB78AA41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('AMP4-2'!$AC$4,'AMP4-2'!$AC$4)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4C-44A7-8159-78CAB78AA41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('AMP4-2'!$AC$5,'AMP4-2'!$AC$5)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4C-44A7-8159-78CAB78AA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7456"/>
        <c:axId val="474917848"/>
      </c:scatterChart>
      <c:valAx>
        <c:axId val="474917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7848"/>
        <c:crosses val="autoZero"/>
        <c:crossBetween val="midCat"/>
      </c:valAx>
      <c:valAx>
        <c:axId val="4749178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'AMP4-2'!$AD$9:$AD$188</c:f>
              <c:numCache>
                <c:formatCode>General</c:formatCode>
                <c:ptCount val="180"/>
                <c:pt idx="0">
                  <c:v>-5.8000000000000003E-2</c:v>
                </c:pt>
                <c:pt idx="1">
                  <c:v>-0.20899999999999999</c:v>
                </c:pt>
                <c:pt idx="2">
                  <c:v>9.8000000000000004E-2</c:v>
                </c:pt>
                <c:pt idx="3">
                  <c:v>4.9000000000000002E-2</c:v>
                </c:pt>
                <c:pt idx="4">
                  <c:v>-0.13500000000000001</c:v>
                </c:pt>
                <c:pt idx="5">
                  <c:v>8.9999999999999993E-3</c:v>
                </c:pt>
                <c:pt idx="6">
                  <c:v>1.2999999999999999E-2</c:v>
                </c:pt>
                <c:pt idx="7">
                  <c:v>1.7000000000000001E-2</c:v>
                </c:pt>
                <c:pt idx="8">
                  <c:v>4.2000000000000003E-2</c:v>
                </c:pt>
                <c:pt idx="9">
                  <c:v>-2E-3</c:v>
                </c:pt>
                <c:pt idx="10">
                  <c:v>-4.1000000000000002E-2</c:v>
                </c:pt>
                <c:pt idx="11">
                  <c:v>-7.0999999999999994E-2</c:v>
                </c:pt>
                <c:pt idx="12">
                  <c:v>4.9000000000000002E-2</c:v>
                </c:pt>
                <c:pt idx="13">
                  <c:v>-4.4999999999999998E-2</c:v>
                </c:pt>
                <c:pt idx="14">
                  <c:v>1.4999999999999999E-2</c:v>
                </c:pt>
                <c:pt idx="15">
                  <c:v>3.5000000000000003E-2</c:v>
                </c:pt>
                <c:pt idx="16">
                  <c:v>-0.14499999999999999</c:v>
                </c:pt>
                <c:pt idx="17">
                  <c:v>-6.3E-2</c:v>
                </c:pt>
                <c:pt idx="18">
                  <c:v>-4.3999999999999997E-2</c:v>
                </c:pt>
                <c:pt idx="19">
                  <c:v>-2.3E-2</c:v>
                </c:pt>
                <c:pt idx="20">
                  <c:v>-3.2000000000000001E-2</c:v>
                </c:pt>
                <c:pt idx="21">
                  <c:v>-0.14599999999999999</c:v>
                </c:pt>
                <c:pt idx="22">
                  <c:v>-0.14499999999999999</c:v>
                </c:pt>
                <c:pt idx="23">
                  <c:v>-0.13100000000000001</c:v>
                </c:pt>
                <c:pt idx="24">
                  <c:v>-8.4000000000000005E-2</c:v>
                </c:pt>
                <c:pt idx="25">
                  <c:v>-0.128</c:v>
                </c:pt>
                <c:pt idx="26">
                  <c:v>0</c:v>
                </c:pt>
                <c:pt idx="27">
                  <c:v>-0.109</c:v>
                </c:pt>
                <c:pt idx="28">
                  <c:v>-7.6999999999999999E-2</c:v>
                </c:pt>
                <c:pt idx="29">
                  <c:v>-0.17799999999999999</c:v>
                </c:pt>
                <c:pt idx="30">
                  <c:v>-0.113</c:v>
                </c:pt>
                <c:pt idx="31">
                  <c:v>-0.161</c:v>
                </c:pt>
                <c:pt idx="32">
                  <c:v>-0.13900000000000001</c:v>
                </c:pt>
                <c:pt idx="33">
                  <c:v>-0.311</c:v>
                </c:pt>
                <c:pt idx="34">
                  <c:v>2.9000000000000001E-2</c:v>
                </c:pt>
                <c:pt idx="35">
                  <c:v>-0.38500000000000001</c:v>
                </c:pt>
                <c:pt idx="36">
                  <c:v>-5.6000000000000001E-2</c:v>
                </c:pt>
                <c:pt idx="37">
                  <c:v>-0.17599999999999999</c:v>
                </c:pt>
                <c:pt idx="38">
                  <c:v>-7.6999999999999999E-2</c:v>
                </c:pt>
                <c:pt idx="39">
                  <c:v>-0.151</c:v>
                </c:pt>
                <c:pt idx="40">
                  <c:v>-0.122</c:v>
                </c:pt>
                <c:pt idx="41">
                  <c:v>-0.20300000000000001</c:v>
                </c:pt>
                <c:pt idx="42">
                  <c:v>-5.6000000000000001E-2</c:v>
                </c:pt>
                <c:pt idx="43">
                  <c:v>-8.6999999999999994E-2</c:v>
                </c:pt>
                <c:pt idx="44">
                  <c:v>2.1999999999999999E-2</c:v>
                </c:pt>
                <c:pt idx="45">
                  <c:v>-0.12</c:v>
                </c:pt>
                <c:pt idx="46">
                  <c:v>2.1999999999999999E-2</c:v>
                </c:pt>
                <c:pt idx="47">
                  <c:v>-0.13900000000000001</c:v>
                </c:pt>
                <c:pt idx="48">
                  <c:v>1.4999999999999999E-2</c:v>
                </c:pt>
                <c:pt idx="49">
                  <c:v>-9.7000000000000003E-2</c:v>
                </c:pt>
                <c:pt idx="50">
                  <c:v>2.9000000000000001E-2</c:v>
                </c:pt>
                <c:pt idx="51">
                  <c:v>-0.15</c:v>
                </c:pt>
                <c:pt idx="52">
                  <c:v>0.128</c:v>
                </c:pt>
                <c:pt idx="53">
                  <c:v>-5.5E-2</c:v>
                </c:pt>
                <c:pt idx="54">
                  <c:v>0.10100000000000001</c:v>
                </c:pt>
                <c:pt idx="55">
                  <c:v>-7.4999999999999997E-2</c:v>
                </c:pt>
                <c:pt idx="56">
                  <c:v>-3.9E-2</c:v>
                </c:pt>
                <c:pt idx="57">
                  <c:v>-0.17</c:v>
                </c:pt>
                <c:pt idx="58">
                  <c:v>4.3999999999999997E-2</c:v>
                </c:pt>
                <c:pt idx="59">
                  <c:v>-0.17899999999999999</c:v>
                </c:pt>
                <c:pt idx="60">
                  <c:v>9.4E-2</c:v>
                </c:pt>
                <c:pt idx="61">
                  <c:v>-0.187</c:v>
                </c:pt>
                <c:pt idx="62">
                  <c:v>-4.2000000000000003E-2</c:v>
                </c:pt>
                <c:pt idx="63">
                  <c:v>0.11899999999999999</c:v>
                </c:pt>
                <c:pt idx="64">
                  <c:v>-6.0000000000000001E-3</c:v>
                </c:pt>
                <c:pt idx="65">
                  <c:v>-0.01</c:v>
                </c:pt>
                <c:pt idx="66">
                  <c:v>-5.2999999999999999E-2</c:v>
                </c:pt>
                <c:pt idx="67">
                  <c:v>6.2E-2</c:v>
                </c:pt>
                <c:pt idx="68">
                  <c:v>5.6000000000000001E-2</c:v>
                </c:pt>
                <c:pt idx="69">
                  <c:v>3.4000000000000002E-2</c:v>
                </c:pt>
                <c:pt idx="70">
                  <c:v>-0.15</c:v>
                </c:pt>
                <c:pt idx="71">
                  <c:v>-8.1000000000000003E-2</c:v>
                </c:pt>
                <c:pt idx="72">
                  <c:v>4.2000000000000003E-2</c:v>
                </c:pt>
                <c:pt idx="73">
                  <c:v>8.4000000000000005E-2</c:v>
                </c:pt>
                <c:pt idx="74">
                  <c:v>2.3E-2</c:v>
                </c:pt>
                <c:pt idx="75">
                  <c:v>0.188</c:v>
                </c:pt>
                <c:pt idx="76">
                  <c:v>1.4E-2</c:v>
                </c:pt>
                <c:pt idx="77">
                  <c:v>0.183</c:v>
                </c:pt>
                <c:pt idx="78">
                  <c:v>-5.7000000000000002E-2</c:v>
                </c:pt>
                <c:pt idx="79">
                  <c:v>0.23200000000000001</c:v>
                </c:pt>
                <c:pt idx="80">
                  <c:v>-5.1999999999999998E-2</c:v>
                </c:pt>
                <c:pt idx="81">
                  <c:v>0.154</c:v>
                </c:pt>
                <c:pt idx="82">
                  <c:v>-6.5000000000000002E-2</c:v>
                </c:pt>
                <c:pt idx="83">
                  <c:v>0.16200000000000001</c:v>
                </c:pt>
                <c:pt idx="84">
                  <c:v>-7.2999999999999995E-2</c:v>
                </c:pt>
                <c:pt idx="85">
                  <c:v>0.156</c:v>
                </c:pt>
                <c:pt idx="86">
                  <c:v>-0.128</c:v>
                </c:pt>
                <c:pt idx="87">
                  <c:v>0.156</c:v>
                </c:pt>
                <c:pt idx="88">
                  <c:v>-9.0999999999999998E-2</c:v>
                </c:pt>
                <c:pt idx="89">
                  <c:v>0.16900000000000001</c:v>
                </c:pt>
                <c:pt idx="90">
                  <c:v>-4.9000000000000002E-2</c:v>
                </c:pt>
                <c:pt idx="91">
                  <c:v>8.8999999999999996E-2</c:v>
                </c:pt>
                <c:pt idx="92">
                  <c:v>-0.189</c:v>
                </c:pt>
                <c:pt idx="93">
                  <c:v>0.08</c:v>
                </c:pt>
                <c:pt idx="94">
                  <c:v>-9.1999999999999998E-2</c:v>
                </c:pt>
                <c:pt idx="95">
                  <c:v>4.8000000000000001E-2</c:v>
                </c:pt>
                <c:pt idx="96">
                  <c:v>-3.9E-2</c:v>
                </c:pt>
                <c:pt idx="97">
                  <c:v>6.3E-2</c:v>
                </c:pt>
                <c:pt idx="98">
                  <c:v>-0.14499999999999999</c:v>
                </c:pt>
                <c:pt idx="99">
                  <c:v>0.15</c:v>
                </c:pt>
                <c:pt idx="100">
                  <c:v>3.0000000000000001E-3</c:v>
                </c:pt>
                <c:pt idx="101">
                  <c:v>0.17499999999999999</c:v>
                </c:pt>
                <c:pt idx="102">
                  <c:v>-2.8000000000000001E-2</c:v>
                </c:pt>
                <c:pt idx="103">
                  <c:v>0.19400000000000001</c:v>
                </c:pt>
                <c:pt idx="104">
                  <c:v>3.6999999999999998E-2</c:v>
                </c:pt>
                <c:pt idx="105">
                  <c:v>0.02</c:v>
                </c:pt>
                <c:pt idx="106">
                  <c:v>-2.5999999999999999E-2</c:v>
                </c:pt>
                <c:pt idx="107">
                  <c:v>0.156</c:v>
                </c:pt>
                <c:pt idx="108">
                  <c:v>-1.7000000000000001E-2</c:v>
                </c:pt>
                <c:pt idx="109">
                  <c:v>6.4000000000000001E-2</c:v>
                </c:pt>
                <c:pt idx="110">
                  <c:v>-6.4000000000000001E-2</c:v>
                </c:pt>
                <c:pt idx="111">
                  <c:v>9.4E-2</c:v>
                </c:pt>
                <c:pt idx="112">
                  <c:v>-3.4000000000000002E-2</c:v>
                </c:pt>
                <c:pt idx="113">
                  <c:v>0.10100000000000001</c:v>
                </c:pt>
                <c:pt idx="114">
                  <c:v>5.3999999999999999E-2</c:v>
                </c:pt>
                <c:pt idx="115">
                  <c:v>0.20699999999999999</c:v>
                </c:pt>
                <c:pt idx="116">
                  <c:v>-3.3000000000000002E-2</c:v>
                </c:pt>
                <c:pt idx="117">
                  <c:v>0.22500000000000001</c:v>
                </c:pt>
                <c:pt idx="118">
                  <c:v>5.6000000000000001E-2</c:v>
                </c:pt>
                <c:pt idx="119">
                  <c:v>0.19800000000000001</c:v>
                </c:pt>
                <c:pt idx="120">
                  <c:v>5.8000000000000003E-2</c:v>
                </c:pt>
                <c:pt idx="121">
                  <c:v>0.34300000000000003</c:v>
                </c:pt>
                <c:pt idx="122">
                  <c:v>5.0999999999999997E-2</c:v>
                </c:pt>
                <c:pt idx="123">
                  <c:v>0.26</c:v>
                </c:pt>
                <c:pt idx="124">
                  <c:v>6.3E-2</c:v>
                </c:pt>
                <c:pt idx="125">
                  <c:v>0.14099999999999999</c:v>
                </c:pt>
                <c:pt idx="126">
                  <c:v>-1.2E-2</c:v>
                </c:pt>
                <c:pt idx="127">
                  <c:v>0.23699999999999999</c:v>
                </c:pt>
                <c:pt idx="128">
                  <c:v>0.14499999999999999</c:v>
                </c:pt>
                <c:pt idx="129">
                  <c:v>9.8000000000000004E-2</c:v>
                </c:pt>
                <c:pt idx="130">
                  <c:v>1.2E-2</c:v>
                </c:pt>
                <c:pt idx="131">
                  <c:v>0.16700000000000001</c:v>
                </c:pt>
                <c:pt idx="132">
                  <c:v>6.7000000000000004E-2</c:v>
                </c:pt>
                <c:pt idx="133">
                  <c:v>0.23799999999999999</c:v>
                </c:pt>
                <c:pt idx="134">
                  <c:v>3.6999999999999998E-2</c:v>
                </c:pt>
                <c:pt idx="135">
                  <c:v>0.222</c:v>
                </c:pt>
                <c:pt idx="136">
                  <c:v>1.7000000000000001E-2</c:v>
                </c:pt>
                <c:pt idx="137">
                  <c:v>0.193</c:v>
                </c:pt>
                <c:pt idx="138">
                  <c:v>-7.3999999999999996E-2</c:v>
                </c:pt>
                <c:pt idx="139">
                  <c:v>0.185</c:v>
                </c:pt>
                <c:pt idx="140">
                  <c:v>-7.0000000000000001E-3</c:v>
                </c:pt>
                <c:pt idx="141">
                  <c:v>5.8000000000000003E-2</c:v>
                </c:pt>
                <c:pt idx="142">
                  <c:v>-8.3000000000000004E-2</c:v>
                </c:pt>
                <c:pt idx="143">
                  <c:v>0.108</c:v>
                </c:pt>
                <c:pt idx="144">
                  <c:v>-1.2999999999999999E-2</c:v>
                </c:pt>
                <c:pt idx="145">
                  <c:v>7.1999999999999995E-2</c:v>
                </c:pt>
                <c:pt idx="146">
                  <c:v>2.1999999999999999E-2</c:v>
                </c:pt>
                <c:pt idx="147">
                  <c:v>0.12</c:v>
                </c:pt>
                <c:pt idx="148">
                  <c:v>-4.3999999999999997E-2</c:v>
                </c:pt>
                <c:pt idx="149">
                  <c:v>0.17299999999999999</c:v>
                </c:pt>
                <c:pt idx="150">
                  <c:v>7.2999999999999995E-2</c:v>
                </c:pt>
                <c:pt idx="151">
                  <c:v>0.14099999999999999</c:v>
                </c:pt>
                <c:pt idx="152">
                  <c:v>-3.5999999999999997E-2</c:v>
                </c:pt>
                <c:pt idx="153">
                  <c:v>0.11799999999999999</c:v>
                </c:pt>
                <c:pt idx="154">
                  <c:v>-5.3999999999999999E-2</c:v>
                </c:pt>
                <c:pt idx="155">
                  <c:v>8.1000000000000003E-2</c:v>
                </c:pt>
                <c:pt idx="156">
                  <c:v>-2.5999999999999999E-2</c:v>
                </c:pt>
                <c:pt idx="157">
                  <c:v>3.2000000000000001E-2</c:v>
                </c:pt>
                <c:pt idx="158">
                  <c:v>6.3E-2</c:v>
                </c:pt>
                <c:pt idx="159">
                  <c:v>8.7999999999999995E-2</c:v>
                </c:pt>
                <c:pt idx="160">
                  <c:v>0.121</c:v>
                </c:pt>
                <c:pt idx="161">
                  <c:v>0.224</c:v>
                </c:pt>
                <c:pt idx="162">
                  <c:v>0.107</c:v>
                </c:pt>
                <c:pt idx="163">
                  <c:v>0.20399999999999999</c:v>
                </c:pt>
                <c:pt idx="164">
                  <c:v>0.26600000000000001</c:v>
                </c:pt>
                <c:pt idx="165">
                  <c:v>8.9999999999999993E-3</c:v>
                </c:pt>
                <c:pt idx="166">
                  <c:v>-1.6E-2</c:v>
                </c:pt>
                <c:pt idx="167">
                  <c:v>0.16700000000000001</c:v>
                </c:pt>
                <c:pt idx="168">
                  <c:v>1.4E-2</c:v>
                </c:pt>
                <c:pt idx="169">
                  <c:v>0.20699999999999999</c:v>
                </c:pt>
                <c:pt idx="170">
                  <c:v>0.02</c:v>
                </c:pt>
                <c:pt idx="171">
                  <c:v>0.21</c:v>
                </c:pt>
                <c:pt idx="172">
                  <c:v>8.7999999999999995E-2</c:v>
                </c:pt>
                <c:pt idx="173">
                  <c:v>0.08</c:v>
                </c:pt>
                <c:pt idx="174">
                  <c:v>3.7999999999999999E-2</c:v>
                </c:pt>
                <c:pt idx="175">
                  <c:v>0.193</c:v>
                </c:pt>
                <c:pt idx="176">
                  <c:v>6.0999999999999999E-2</c:v>
                </c:pt>
                <c:pt idx="177">
                  <c:v>8.4000000000000005E-2</c:v>
                </c:pt>
                <c:pt idx="178">
                  <c:v>0.02</c:v>
                </c:pt>
                <c:pt idx="179">
                  <c:v>0.161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C4-441A-B66C-2331154A760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('AMP4-2'!$AD$4,'AMP4-2'!$AD$4)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C4-441A-B66C-2331154A760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('AMP4-2'!$AD$5,'AMP4-2'!$AD$5)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C4-441A-B66C-2331154A7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8632"/>
        <c:axId val="474919024"/>
      </c:scatterChart>
      <c:valAx>
        <c:axId val="474918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9024"/>
        <c:crosses val="autoZero"/>
        <c:crossBetween val="midCat"/>
      </c:valAx>
      <c:valAx>
        <c:axId val="4749190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1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'AMP4-2'!$AE$9:$AE$188</c:f>
              <c:numCache>
                <c:formatCode>General</c:formatCode>
                <c:ptCount val="180"/>
                <c:pt idx="0">
                  <c:v>-0.02</c:v>
                </c:pt>
                <c:pt idx="1">
                  <c:v>-0.432</c:v>
                </c:pt>
                <c:pt idx="2">
                  <c:v>0.11799999999999999</c:v>
                </c:pt>
                <c:pt idx="3">
                  <c:v>-0.108</c:v>
                </c:pt>
                <c:pt idx="4">
                  <c:v>-0.19600000000000001</c:v>
                </c:pt>
                <c:pt idx="5">
                  <c:v>-0.16300000000000001</c:v>
                </c:pt>
                <c:pt idx="6">
                  <c:v>4.1000000000000002E-2</c:v>
                </c:pt>
                <c:pt idx="7">
                  <c:v>-0.13200000000000001</c:v>
                </c:pt>
                <c:pt idx="8">
                  <c:v>7.3999999999999996E-2</c:v>
                </c:pt>
                <c:pt idx="9">
                  <c:v>-0.20599999999999999</c:v>
                </c:pt>
                <c:pt idx="10">
                  <c:v>0.04</c:v>
                </c:pt>
                <c:pt idx="11">
                  <c:v>-0.25</c:v>
                </c:pt>
                <c:pt idx="12">
                  <c:v>3.3000000000000002E-2</c:v>
                </c:pt>
                <c:pt idx="13">
                  <c:v>-0.219</c:v>
                </c:pt>
                <c:pt idx="14">
                  <c:v>1.6E-2</c:v>
                </c:pt>
                <c:pt idx="15">
                  <c:v>-0.125</c:v>
                </c:pt>
                <c:pt idx="16">
                  <c:v>-0.23400000000000001</c:v>
                </c:pt>
                <c:pt idx="17">
                  <c:v>-0.27500000000000002</c:v>
                </c:pt>
                <c:pt idx="18">
                  <c:v>1.2E-2</c:v>
                </c:pt>
                <c:pt idx="19">
                  <c:v>-0.14099999999999999</c:v>
                </c:pt>
                <c:pt idx="20">
                  <c:v>-2.7E-2</c:v>
                </c:pt>
                <c:pt idx="21">
                  <c:v>-0.36399999999999999</c:v>
                </c:pt>
                <c:pt idx="22">
                  <c:v>-0.2</c:v>
                </c:pt>
                <c:pt idx="23">
                  <c:v>-0.307</c:v>
                </c:pt>
                <c:pt idx="24">
                  <c:v>-0.14899999999999999</c:v>
                </c:pt>
                <c:pt idx="25">
                  <c:v>-0.33800000000000002</c:v>
                </c:pt>
                <c:pt idx="26">
                  <c:v>-2.1000000000000001E-2</c:v>
                </c:pt>
                <c:pt idx="27">
                  <c:v>-0.33500000000000002</c:v>
                </c:pt>
                <c:pt idx="28">
                  <c:v>-0.14199999999999999</c:v>
                </c:pt>
                <c:pt idx="29">
                  <c:v>-0.38500000000000001</c:v>
                </c:pt>
                <c:pt idx="30">
                  <c:v>-0.17199999999999999</c:v>
                </c:pt>
                <c:pt idx="31">
                  <c:v>-0.4</c:v>
                </c:pt>
                <c:pt idx="32">
                  <c:v>-0.13900000000000001</c:v>
                </c:pt>
                <c:pt idx="33">
                  <c:v>-0.53700000000000003</c:v>
                </c:pt>
                <c:pt idx="34">
                  <c:v>-4.2000000000000003E-2</c:v>
                </c:pt>
                <c:pt idx="35">
                  <c:v>-0.58599999999999997</c:v>
                </c:pt>
                <c:pt idx="36">
                  <c:v>-0.151</c:v>
                </c:pt>
                <c:pt idx="37">
                  <c:v>-0.36</c:v>
                </c:pt>
                <c:pt idx="38">
                  <c:v>-0.193</c:v>
                </c:pt>
                <c:pt idx="39">
                  <c:v>-0.40300000000000002</c:v>
                </c:pt>
                <c:pt idx="40">
                  <c:v>-0.193</c:v>
                </c:pt>
                <c:pt idx="41">
                  <c:v>-0.375</c:v>
                </c:pt>
                <c:pt idx="42">
                  <c:v>-0.14000000000000001</c:v>
                </c:pt>
                <c:pt idx="43">
                  <c:v>-0.27400000000000002</c:v>
                </c:pt>
                <c:pt idx="44">
                  <c:v>-7.4999999999999997E-2</c:v>
                </c:pt>
                <c:pt idx="45">
                  <c:v>-0.33300000000000002</c:v>
                </c:pt>
                <c:pt idx="46">
                  <c:v>-5.2999999999999999E-2</c:v>
                </c:pt>
                <c:pt idx="47">
                  <c:v>-0.35199999999999998</c:v>
                </c:pt>
                <c:pt idx="48">
                  <c:v>-8.5999999999999993E-2</c:v>
                </c:pt>
                <c:pt idx="49">
                  <c:v>-0.28899999999999998</c:v>
                </c:pt>
                <c:pt idx="50">
                  <c:v>-5.3999999999999999E-2</c:v>
                </c:pt>
                <c:pt idx="51">
                  <c:v>-0.34100000000000003</c:v>
                </c:pt>
                <c:pt idx="52">
                  <c:v>8.4000000000000005E-2</c:v>
                </c:pt>
                <c:pt idx="53">
                  <c:v>-0.247</c:v>
                </c:pt>
                <c:pt idx="54">
                  <c:v>-5.0000000000000001E-3</c:v>
                </c:pt>
                <c:pt idx="55">
                  <c:v>-0.22800000000000001</c:v>
                </c:pt>
                <c:pt idx="56">
                  <c:v>-8.4000000000000005E-2</c:v>
                </c:pt>
                <c:pt idx="57">
                  <c:v>-0.19</c:v>
                </c:pt>
                <c:pt idx="58">
                  <c:v>-1.7999999999999999E-2</c:v>
                </c:pt>
                <c:pt idx="59">
                  <c:v>-0.38500000000000001</c:v>
                </c:pt>
                <c:pt idx="60">
                  <c:v>0.109</c:v>
                </c:pt>
                <c:pt idx="61">
                  <c:v>-0.41599999999999998</c:v>
                </c:pt>
                <c:pt idx="62">
                  <c:v>-0.108</c:v>
                </c:pt>
                <c:pt idx="63">
                  <c:v>-0.127</c:v>
                </c:pt>
                <c:pt idx="64">
                  <c:v>0.05</c:v>
                </c:pt>
                <c:pt idx="65">
                  <c:v>-0.254</c:v>
                </c:pt>
                <c:pt idx="66">
                  <c:v>-2.9000000000000001E-2</c:v>
                </c:pt>
                <c:pt idx="67">
                  <c:v>-0.18</c:v>
                </c:pt>
                <c:pt idx="68">
                  <c:v>0.112</c:v>
                </c:pt>
                <c:pt idx="69">
                  <c:v>-0.16200000000000001</c:v>
                </c:pt>
                <c:pt idx="70">
                  <c:v>-0.216</c:v>
                </c:pt>
                <c:pt idx="71">
                  <c:v>-0.312</c:v>
                </c:pt>
                <c:pt idx="72">
                  <c:v>-2E-3</c:v>
                </c:pt>
                <c:pt idx="73">
                  <c:v>-0.11799999999999999</c:v>
                </c:pt>
                <c:pt idx="74">
                  <c:v>-4.3999999999999997E-2</c:v>
                </c:pt>
                <c:pt idx="75">
                  <c:v>-2.5999999999999999E-2</c:v>
                </c:pt>
                <c:pt idx="76">
                  <c:v>1.6E-2</c:v>
                </c:pt>
                <c:pt idx="77">
                  <c:v>5.0000000000000001E-3</c:v>
                </c:pt>
                <c:pt idx="78">
                  <c:v>-0.17</c:v>
                </c:pt>
                <c:pt idx="79">
                  <c:v>8.0000000000000002E-3</c:v>
                </c:pt>
                <c:pt idx="80">
                  <c:v>-0.1</c:v>
                </c:pt>
                <c:pt idx="81">
                  <c:v>-5.0999999999999997E-2</c:v>
                </c:pt>
                <c:pt idx="82">
                  <c:v>-0.14199999999999999</c:v>
                </c:pt>
                <c:pt idx="83">
                  <c:v>-5.2999999999999999E-2</c:v>
                </c:pt>
                <c:pt idx="84">
                  <c:v>-0.14599999999999999</c:v>
                </c:pt>
                <c:pt idx="85">
                  <c:v>-2.8000000000000001E-2</c:v>
                </c:pt>
                <c:pt idx="86">
                  <c:v>-0.24399999999999999</c:v>
                </c:pt>
                <c:pt idx="87">
                  <c:v>-7.3999999999999996E-2</c:v>
                </c:pt>
                <c:pt idx="88">
                  <c:v>-0.23799999999999999</c:v>
                </c:pt>
                <c:pt idx="89">
                  <c:v>-4.3999999999999997E-2</c:v>
                </c:pt>
                <c:pt idx="90">
                  <c:v>-0.13600000000000001</c:v>
                </c:pt>
                <c:pt idx="91">
                  <c:v>-9.9000000000000005E-2</c:v>
                </c:pt>
                <c:pt idx="92">
                  <c:v>-0.24199999999999999</c:v>
                </c:pt>
                <c:pt idx="93">
                  <c:v>-0.09</c:v>
                </c:pt>
                <c:pt idx="94">
                  <c:v>-0.115</c:v>
                </c:pt>
                <c:pt idx="95">
                  <c:v>-0.187</c:v>
                </c:pt>
                <c:pt idx="96">
                  <c:v>-0.121</c:v>
                </c:pt>
                <c:pt idx="97">
                  <c:v>-0.14000000000000001</c:v>
                </c:pt>
                <c:pt idx="98">
                  <c:v>-0.23400000000000001</c:v>
                </c:pt>
                <c:pt idx="99">
                  <c:v>-7.3999999999999996E-2</c:v>
                </c:pt>
                <c:pt idx="100">
                  <c:v>-5.3999999999999999E-2</c:v>
                </c:pt>
                <c:pt idx="101">
                  <c:v>-3.7999999999999999E-2</c:v>
                </c:pt>
                <c:pt idx="102">
                  <c:v>-9.5000000000000001E-2</c:v>
                </c:pt>
                <c:pt idx="103">
                  <c:v>-3.7999999999999999E-2</c:v>
                </c:pt>
                <c:pt idx="104">
                  <c:v>-2E-3</c:v>
                </c:pt>
                <c:pt idx="105">
                  <c:v>-0.224</c:v>
                </c:pt>
                <c:pt idx="106">
                  <c:v>0.03</c:v>
                </c:pt>
                <c:pt idx="107">
                  <c:v>-8.2000000000000003E-2</c:v>
                </c:pt>
                <c:pt idx="108">
                  <c:v>-0.17199999999999999</c:v>
                </c:pt>
                <c:pt idx="109">
                  <c:v>-0.19700000000000001</c:v>
                </c:pt>
                <c:pt idx="110">
                  <c:v>-0.126</c:v>
                </c:pt>
                <c:pt idx="111">
                  <c:v>-0.154</c:v>
                </c:pt>
                <c:pt idx="112">
                  <c:v>3.0000000000000001E-3</c:v>
                </c:pt>
                <c:pt idx="113">
                  <c:v>-0.151</c:v>
                </c:pt>
                <c:pt idx="114">
                  <c:v>-0.04</c:v>
                </c:pt>
                <c:pt idx="115">
                  <c:v>0.104</c:v>
                </c:pt>
                <c:pt idx="116">
                  <c:v>-4.4999999999999998E-2</c:v>
                </c:pt>
                <c:pt idx="117">
                  <c:v>0.113</c:v>
                </c:pt>
                <c:pt idx="118">
                  <c:v>-8.9999999999999993E-3</c:v>
                </c:pt>
                <c:pt idx="119">
                  <c:v>5.0999999999999997E-2</c:v>
                </c:pt>
                <c:pt idx="120">
                  <c:v>4.2000000000000003E-2</c:v>
                </c:pt>
                <c:pt idx="121">
                  <c:v>0.191</c:v>
                </c:pt>
                <c:pt idx="122">
                  <c:v>-5.8999999999999997E-2</c:v>
                </c:pt>
                <c:pt idx="123">
                  <c:v>0.13600000000000001</c:v>
                </c:pt>
                <c:pt idx="124">
                  <c:v>1.4E-2</c:v>
                </c:pt>
                <c:pt idx="125">
                  <c:v>-0.04</c:v>
                </c:pt>
                <c:pt idx="126">
                  <c:v>-6.9000000000000006E-2</c:v>
                </c:pt>
                <c:pt idx="127">
                  <c:v>0.121</c:v>
                </c:pt>
                <c:pt idx="128">
                  <c:v>-2.9000000000000001E-2</c:v>
                </c:pt>
                <c:pt idx="129">
                  <c:v>-4.2000000000000003E-2</c:v>
                </c:pt>
                <c:pt idx="130">
                  <c:v>-7.5999999999999998E-2</c:v>
                </c:pt>
                <c:pt idx="131">
                  <c:v>0.08</c:v>
                </c:pt>
                <c:pt idx="132">
                  <c:v>4.0000000000000001E-3</c:v>
                </c:pt>
                <c:pt idx="133">
                  <c:v>7.4999999999999997E-2</c:v>
                </c:pt>
                <c:pt idx="134">
                  <c:v>-6.3E-2</c:v>
                </c:pt>
                <c:pt idx="135">
                  <c:v>7.3999999999999996E-2</c:v>
                </c:pt>
                <c:pt idx="136">
                  <c:v>-6.7000000000000004E-2</c:v>
                </c:pt>
                <c:pt idx="137">
                  <c:v>3.6999999999999998E-2</c:v>
                </c:pt>
                <c:pt idx="138">
                  <c:v>-0.14599999999999999</c:v>
                </c:pt>
                <c:pt idx="139">
                  <c:v>1.6E-2</c:v>
                </c:pt>
                <c:pt idx="140">
                  <c:v>-0.2</c:v>
                </c:pt>
                <c:pt idx="141">
                  <c:v>5.5E-2</c:v>
                </c:pt>
                <c:pt idx="142">
                  <c:v>-0.14899999999999999</c:v>
                </c:pt>
                <c:pt idx="143">
                  <c:v>-3.6999999999999998E-2</c:v>
                </c:pt>
                <c:pt idx="144">
                  <c:v>5.2999999999999999E-2</c:v>
                </c:pt>
                <c:pt idx="145">
                  <c:v>-0.113</c:v>
                </c:pt>
                <c:pt idx="146">
                  <c:v>-6.0999999999999999E-2</c:v>
                </c:pt>
                <c:pt idx="147">
                  <c:v>-5.7000000000000002E-2</c:v>
                </c:pt>
                <c:pt idx="148">
                  <c:v>1.7000000000000001E-2</c:v>
                </c:pt>
                <c:pt idx="149">
                  <c:v>4.3999999999999997E-2</c:v>
                </c:pt>
                <c:pt idx="150">
                  <c:v>0.06</c:v>
                </c:pt>
                <c:pt idx="151">
                  <c:v>-0.03</c:v>
                </c:pt>
                <c:pt idx="152">
                  <c:v>-7.0000000000000007E-2</c:v>
                </c:pt>
                <c:pt idx="153">
                  <c:v>-5.8000000000000003E-2</c:v>
                </c:pt>
                <c:pt idx="154">
                  <c:v>-2.9000000000000001E-2</c:v>
                </c:pt>
                <c:pt idx="155">
                  <c:v>-0.253</c:v>
                </c:pt>
                <c:pt idx="156">
                  <c:v>-7.8E-2</c:v>
                </c:pt>
                <c:pt idx="157">
                  <c:v>-0.15</c:v>
                </c:pt>
                <c:pt idx="158">
                  <c:v>3.5000000000000003E-2</c:v>
                </c:pt>
                <c:pt idx="159">
                  <c:v>0</c:v>
                </c:pt>
                <c:pt idx="160">
                  <c:v>0.14199999999999999</c:v>
                </c:pt>
                <c:pt idx="161">
                  <c:v>8.9999999999999993E-3</c:v>
                </c:pt>
                <c:pt idx="162">
                  <c:v>5.0999999999999997E-2</c:v>
                </c:pt>
                <c:pt idx="163">
                  <c:v>0.03</c:v>
                </c:pt>
                <c:pt idx="164">
                  <c:v>0.23300000000000001</c:v>
                </c:pt>
                <c:pt idx="165">
                  <c:v>-7.0000000000000001E-3</c:v>
                </c:pt>
                <c:pt idx="166">
                  <c:v>-0.12</c:v>
                </c:pt>
                <c:pt idx="167">
                  <c:v>-1.6E-2</c:v>
                </c:pt>
                <c:pt idx="168">
                  <c:v>-8.8999999999999996E-2</c:v>
                </c:pt>
                <c:pt idx="169">
                  <c:v>2.8000000000000001E-2</c:v>
                </c:pt>
                <c:pt idx="170">
                  <c:v>-7.5999999999999998E-2</c:v>
                </c:pt>
                <c:pt idx="171">
                  <c:v>2.1999999999999999E-2</c:v>
                </c:pt>
                <c:pt idx="172">
                  <c:v>-8.9999999999999993E-3</c:v>
                </c:pt>
                <c:pt idx="173">
                  <c:v>-0.1</c:v>
                </c:pt>
                <c:pt idx="174">
                  <c:v>-2.8000000000000001E-2</c:v>
                </c:pt>
                <c:pt idx="175">
                  <c:v>-0.02</c:v>
                </c:pt>
                <c:pt idx="176">
                  <c:v>-2.3E-2</c:v>
                </c:pt>
                <c:pt idx="177">
                  <c:v>-8.3000000000000004E-2</c:v>
                </c:pt>
                <c:pt idx="178">
                  <c:v>4.0000000000000001E-3</c:v>
                </c:pt>
                <c:pt idx="179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1-4A34-BB4C-7153870AC1C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('AMP4-2'!$AE$4,'AMP4-2'!$AE$4)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31-4A34-BB4C-7153870AC1C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('AMP4-2'!$AE$5,'AMP4-2'!$AE$5)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31-4A34-BB4C-7153870AC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20200"/>
        <c:axId val="474920592"/>
      </c:scatterChart>
      <c:valAx>
        <c:axId val="47492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0592"/>
        <c:crosses val="autoZero"/>
        <c:crossBetween val="midCat"/>
      </c:valAx>
      <c:valAx>
        <c:axId val="474920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'AMP4-2'!$AF$9:$AF$188</c:f>
              <c:numCache>
                <c:formatCode>General</c:formatCode>
                <c:ptCount val="180"/>
                <c:pt idx="0">
                  <c:v>-5.7000000000000002E-2</c:v>
                </c:pt>
                <c:pt idx="1">
                  <c:v>-0.124</c:v>
                </c:pt>
                <c:pt idx="2">
                  <c:v>0.20300000000000001</c:v>
                </c:pt>
                <c:pt idx="3">
                  <c:v>9.5000000000000001E-2</c:v>
                </c:pt>
                <c:pt idx="4">
                  <c:v>3.9E-2</c:v>
                </c:pt>
                <c:pt idx="5">
                  <c:v>-5.0999999999999997E-2</c:v>
                </c:pt>
                <c:pt idx="6">
                  <c:v>0.12</c:v>
                </c:pt>
                <c:pt idx="7">
                  <c:v>-0.06</c:v>
                </c:pt>
                <c:pt idx="8">
                  <c:v>0.114</c:v>
                </c:pt>
                <c:pt idx="9">
                  <c:v>-3.2000000000000001E-2</c:v>
                </c:pt>
                <c:pt idx="10">
                  <c:v>-7.1999999999999995E-2</c:v>
                </c:pt>
                <c:pt idx="11">
                  <c:v>-0.113</c:v>
                </c:pt>
                <c:pt idx="12">
                  <c:v>2.4E-2</c:v>
                </c:pt>
                <c:pt idx="13">
                  <c:v>-8.6999999999999994E-2</c:v>
                </c:pt>
                <c:pt idx="14">
                  <c:v>9.6000000000000002E-2</c:v>
                </c:pt>
                <c:pt idx="15">
                  <c:v>-4.0000000000000001E-3</c:v>
                </c:pt>
                <c:pt idx="16">
                  <c:v>-5.6000000000000001E-2</c:v>
                </c:pt>
                <c:pt idx="17">
                  <c:v>-4.2999999999999997E-2</c:v>
                </c:pt>
                <c:pt idx="18">
                  <c:v>5.1999999999999998E-2</c:v>
                </c:pt>
                <c:pt idx="19">
                  <c:v>-7.6999999999999999E-2</c:v>
                </c:pt>
                <c:pt idx="20">
                  <c:v>6.3E-2</c:v>
                </c:pt>
                <c:pt idx="21">
                  <c:v>-5.8999999999999997E-2</c:v>
                </c:pt>
                <c:pt idx="22">
                  <c:v>-8.1000000000000003E-2</c:v>
                </c:pt>
                <c:pt idx="23">
                  <c:v>-0.16800000000000001</c:v>
                </c:pt>
                <c:pt idx="24">
                  <c:v>-2.7E-2</c:v>
                </c:pt>
                <c:pt idx="25">
                  <c:v>-8.7999999999999995E-2</c:v>
                </c:pt>
                <c:pt idx="26">
                  <c:v>0.13800000000000001</c:v>
                </c:pt>
                <c:pt idx="27">
                  <c:v>3.9E-2</c:v>
                </c:pt>
                <c:pt idx="28">
                  <c:v>5.1999999999999998E-2</c:v>
                </c:pt>
                <c:pt idx="29">
                  <c:v>1.6E-2</c:v>
                </c:pt>
                <c:pt idx="30">
                  <c:v>9.2999999999999999E-2</c:v>
                </c:pt>
                <c:pt idx="31">
                  <c:v>-1.2E-2</c:v>
                </c:pt>
                <c:pt idx="32">
                  <c:v>-5.1999999999999998E-2</c:v>
                </c:pt>
                <c:pt idx="33">
                  <c:v>-0.18</c:v>
                </c:pt>
                <c:pt idx="34">
                  <c:v>0.114</c:v>
                </c:pt>
                <c:pt idx="35">
                  <c:v>-0.183</c:v>
                </c:pt>
                <c:pt idx="36">
                  <c:v>2.1999999999999999E-2</c:v>
                </c:pt>
                <c:pt idx="37">
                  <c:v>-4.7E-2</c:v>
                </c:pt>
                <c:pt idx="38">
                  <c:v>9.1999999999999998E-2</c:v>
                </c:pt>
                <c:pt idx="39">
                  <c:v>0.115</c:v>
                </c:pt>
                <c:pt idx="40">
                  <c:v>-3.3000000000000002E-2</c:v>
                </c:pt>
                <c:pt idx="41">
                  <c:v>-3.3000000000000002E-2</c:v>
                </c:pt>
                <c:pt idx="42">
                  <c:v>7.5999999999999998E-2</c:v>
                </c:pt>
                <c:pt idx="43">
                  <c:v>4.2999999999999997E-2</c:v>
                </c:pt>
                <c:pt idx="44">
                  <c:v>3.9E-2</c:v>
                </c:pt>
                <c:pt idx="45">
                  <c:v>-3.4000000000000002E-2</c:v>
                </c:pt>
                <c:pt idx="46">
                  <c:v>1.4E-2</c:v>
                </c:pt>
                <c:pt idx="47">
                  <c:v>-7.4999999999999997E-2</c:v>
                </c:pt>
                <c:pt idx="48">
                  <c:v>-4.4999999999999998E-2</c:v>
                </c:pt>
                <c:pt idx="49">
                  <c:v>-4.4999999999999998E-2</c:v>
                </c:pt>
                <c:pt idx="50">
                  <c:v>-2.9000000000000001E-2</c:v>
                </c:pt>
                <c:pt idx="51">
                  <c:v>-0.128</c:v>
                </c:pt>
                <c:pt idx="52">
                  <c:v>6.4000000000000001E-2</c:v>
                </c:pt>
                <c:pt idx="53">
                  <c:v>-0.06</c:v>
                </c:pt>
                <c:pt idx="54">
                  <c:v>-0.186</c:v>
                </c:pt>
                <c:pt idx="55">
                  <c:v>-0.109</c:v>
                </c:pt>
                <c:pt idx="56">
                  <c:v>0.14699999999999999</c:v>
                </c:pt>
                <c:pt idx="57">
                  <c:v>-3.5999999999999997E-2</c:v>
                </c:pt>
                <c:pt idx="58">
                  <c:v>-8.2000000000000003E-2</c:v>
                </c:pt>
                <c:pt idx="59">
                  <c:v>-0.16700000000000001</c:v>
                </c:pt>
                <c:pt idx="60">
                  <c:v>-0.11600000000000001</c:v>
                </c:pt>
                <c:pt idx="61">
                  <c:v>-0.114</c:v>
                </c:pt>
                <c:pt idx="62">
                  <c:v>2E-3</c:v>
                </c:pt>
                <c:pt idx="63">
                  <c:v>-6.6000000000000003E-2</c:v>
                </c:pt>
                <c:pt idx="64">
                  <c:v>-1.9E-2</c:v>
                </c:pt>
                <c:pt idx="65">
                  <c:v>-3.2000000000000001E-2</c:v>
                </c:pt>
                <c:pt idx="66">
                  <c:v>-8.0000000000000002E-3</c:v>
                </c:pt>
                <c:pt idx="67">
                  <c:v>-5.5E-2</c:v>
                </c:pt>
                <c:pt idx="68">
                  <c:v>-0.13300000000000001</c:v>
                </c:pt>
                <c:pt idx="69">
                  <c:v>-0.14699999999999999</c:v>
                </c:pt>
                <c:pt idx="70">
                  <c:v>-0.17599999999999999</c:v>
                </c:pt>
                <c:pt idx="71">
                  <c:v>-0.161</c:v>
                </c:pt>
                <c:pt idx="72">
                  <c:v>8.3000000000000004E-2</c:v>
                </c:pt>
                <c:pt idx="73">
                  <c:v>0.129</c:v>
                </c:pt>
                <c:pt idx="74">
                  <c:v>0.17499999999999999</c:v>
                </c:pt>
                <c:pt idx="75">
                  <c:v>0.16300000000000001</c:v>
                </c:pt>
                <c:pt idx="76">
                  <c:v>7.6999999999999999E-2</c:v>
                </c:pt>
                <c:pt idx="77">
                  <c:v>0.186</c:v>
                </c:pt>
                <c:pt idx="78">
                  <c:v>0.107</c:v>
                </c:pt>
                <c:pt idx="79">
                  <c:v>5.7000000000000002E-2</c:v>
                </c:pt>
                <c:pt idx="80">
                  <c:v>5.8000000000000003E-2</c:v>
                </c:pt>
                <c:pt idx="81">
                  <c:v>0.106</c:v>
                </c:pt>
                <c:pt idx="82">
                  <c:v>7.1999999999999995E-2</c:v>
                </c:pt>
                <c:pt idx="83">
                  <c:v>6.3E-2</c:v>
                </c:pt>
                <c:pt idx="84">
                  <c:v>8.0000000000000002E-3</c:v>
                </c:pt>
                <c:pt idx="85">
                  <c:v>0.04</c:v>
                </c:pt>
                <c:pt idx="86">
                  <c:v>5.5E-2</c:v>
                </c:pt>
                <c:pt idx="87">
                  <c:v>4.4999999999999998E-2</c:v>
                </c:pt>
                <c:pt idx="88">
                  <c:v>5.2999999999999999E-2</c:v>
                </c:pt>
                <c:pt idx="89">
                  <c:v>0.08</c:v>
                </c:pt>
                <c:pt idx="90">
                  <c:v>-0.106</c:v>
                </c:pt>
                <c:pt idx="91">
                  <c:v>-0.01</c:v>
                </c:pt>
                <c:pt idx="92">
                  <c:v>-9.8000000000000004E-2</c:v>
                </c:pt>
                <c:pt idx="93">
                  <c:v>-3.4000000000000002E-2</c:v>
                </c:pt>
                <c:pt idx="94">
                  <c:v>3.5000000000000003E-2</c:v>
                </c:pt>
                <c:pt idx="95">
                  <c:v>-2.4E-2</c:v>
                </c:pt>
                <c:pt idx="96">
                  <c:v>-4.8000000000000001E-2</c:v>
                </c:pt>
                <c:pt idx="97">
                  <c:v>-3.5000000000000003E-2</c:v>
                </c:pt>
                <c:pt idx="98">
                  <c:v>-0.01</c:v>
                </c:pt>
                <c:pt idx="99">
                  <c:v>-9.1999999999999998E-2</c:v>
                </c:pt>
                <c:pt idx="100">
                  <c:v>-9.5000000000000001E-2</c:v>
                </c:pt>
                <c:pt idx="101">
                  <c:v>3.1E-2</c:v>
                </c:pt>
                <c:pt idx="102">
                  <c:v>-2.8000000000000001E-2</c:v>
                </c:pt>
                <c:pt idx="103">
                  <c:v>-3.1E-2</c:v>
                </c:pt>
                <c:pt idx="104">
                  <c:v>-6.6000000000000003E-2</c:v>
                </c:pt>
                <c:pt idx="105">
                  <c:v>4.9000000000000002E-2</c:v>
                </c:pt>
                <c:pt idx="106">
                  <c:v>-1E-3</c:v>
                </c:pt>
                <c:pt idx="107">
                  <c:v>-9.4E-2</c:v>
                </c:pt>
                <c:pt idx="108">
                  <c:v>-5.8999999999999997E-2</c:v>
                </c:pt>
                <c:pt idx="109">
                  <c:v>3.3000000000000002E-2</c:v>
                </c:pt>
                <c:pt idx="110">
                  <c:v>-9.5000000000000001E-2</c:v>
                </c:pt>
                <c:pt idx="111">
                  <c:v>-0.14499999999999999</c:v>
                </c:pt>
                <c:pt idx="112">
                  <c:v>-0.05</c:v>
                </c:pt>
                <c:pt idx="113">
                  <c:v>-4.5999999999999999E-2</c:v>
                </c:pt>
                <c:pt idx="114">
                  <c:v>0.05</c:v>
                </c:pt>
                <c:pt idx="115">
                  <c:v>7.0000000000000001E-3</c:v>
                </c:pt>
                <c:pt idx="116">
                  <c:v>0.13700000000000001</c:v>
                </c:pt>
                <c:pt idx="117">
                  <c:v>0.11799999999999999</c:v>
                </c:pt>
                <c:pt idx="118">
                  <c:v>0.16300000000000001</c:v>
                </c:pt>
                <c:pt idx="119">
                  <c:v>0.16700000000000001</c:v>
                </c:pt>
                <c:pt idx="120">
                  <c:v>0.245</c:v>
                </c:pt>
                <c:pt idx="121">
                  <c:v>0.23100000000000001</c:v>
                </c:pt>
                <c:pt idx="122">
                  <c:v>-1E-3</c:v>
                </c:pt>
                <c:pt idx="123">
                  <c:v>0.05</c:v>
                </c:pt>
                <c:pt idx="124">
                  <c:v>0.17499999999999999</c:v>
                </c:pt>
                <c:pt idx="125">
                  <c:v>0.17399999999999999</c:v>
                </c:pt>
                <c:pt idx="126">
                  <c:v>2.9000000000000001E-2</c:v>
                </c:pt>
                <c:pt idx="127">
                  <c:v>-2.9000000000000001E-2</c:v>
                </c:pt>
                <c:pt idx="128">
                  <c:v>0.26100000000000001</c:v>
                </c:pt>
                <c:pt idx="129">
                  <c:v>0.109</c:v>
                </c:pt>
                <c:pt idx="130">
                  <c:v>7.5999999999999998E-2</c:v>
                </c:pt>
                <c:pt idx="131">
                  <c:v>6.4000000000000001E-2</c:v>
                </c:pt>
                <c:pt idx="132">
                  <c:v>0</c:v>
                </c:pt>
                <c:pt idx="133">
                  <c:v>0.108</c:v>
                </c:pt>
                <c:pt idx="134">
                  <c:v>8.7999999999999995E-2</c:v>
                </c:pt>
                <c:pt idx="135">
                  <c:v>6.6000000000000003E-2</c:v>
                </c:pt>
                <c:pt idx="136">
                  <c:v>6.2E-2</c:v>
                </c:pt>
                <c:pt idx="137">
                  <c:v>0.114</c:v>
                </c:pt>
                <c:pt idx="138">
                  <c:v>-0.06</c:v>
                </c:pt>
                <c:pt idx="139">
                  <c:v>4.5999999999999999E-2</c:v>
                </c:pt>
                <c:pt idx="140">
                  <c:v>-0.06</c:v>
                </c:pt>
                <c:pt idx="141">
                  <c:v>0.153</c:v>
                </c:pt>
                <c:pt idx="142">
                  <c:v>-2.4E-2</c:v>
                </c:pt>
                <c:pt idx="143">
                  <c:v>0.01</c:v>
                </c:pt>
                <c:pt idx="144">
                  <c:v>5.3999999999999999E-2</c:v>
                </c:pt>
                <c:pt idx="145">
                  <c:v>0.128</c:v>
                </c:pt>
                <c:pt idx="146">
                  <c:v>-1E-3</c:v>
                </c:pt>
                <c:pt idx="147">
                  <c:v>-8.3000000000000004E-2</c:v>
                </c:pt>
                <c:pt idx="148">
                  <c:v>0.158</c:v>
                </c:pt>
                <c:pt idx="149">
                  <c:v>8.1000000000000003E-2</c:v>
                </c:pt>
                <c:pt idx="150">
                  <c:v>-1.6E-2</c:v>
                </c:pt>
                <c:pt idx="151">
                  <c:v>-1.4999999999999999E-2</c:v>
                </c:pt>
                <c:pt idx="152">
                  <c:v>1.2E-2</c:v>
                </c:pt>
                <c:pt idx="153">
                  <c:v>-3.1E-2</c:v>
                </c:pt>
                <c:pt idx="154">
                  <c:v>-7.0000000000000001E-3</c:v>
                </c:pt>
                <c:pt idx="155">
                  <c:v>0.03</c:v>
                </c:pt>
                <c:pt idx="156">
                  <c:v>-5.5E-2</c:v>
                </c:pt>
                <c:pt idx="157">
                  <c:v>-4.1000000000000002E-2</c:v>
                </c:pt>
                <c:pt idx="158">
                  <c:v>-0.20300000000000001</c:v>
                </c:pt>
                <c:pt idx="159">
                  <c:v>-3.1E-2</c:v>
                </c:pt>
                <c:pt idx="160">
                  <c:v>7.8E-2</c:v>
                </c:pt>
                <c:pt idx="161">
                  <c:v>0.14899999999999999</c:v>
                </c:pt>
                <c:pt idx="162">
                  <c:v>8.8999999999999996E-2</c:v>
                </c:pt>
                <c:pt idx="163">
                  <c:v>0.159</c:v>
                </c:pt>
                <c:pt idx="164">
                  <c:v>0.159</c:v>
                </c:pt>
                <c:pt idx="165">
                  <c:v>0.28599999999999998</c:v>
                </c:pt>
                <c:pt idx="166">
                  <c:v>6.2E-2</c:v>
                </c:pt>
                <c:pt idx="167">
                  <c:v>0.152</c:v>
                </c:pt>
                <c:pt idx="168">
                  <c:v>0.02</c:v>
                </c:pt>
                <c:pt idx="169">
                  <c:v>0.10100000000000001</c:v>
                </c:pt>
                <c:pt idx="170">
                  <c:v>2.1000000000000001E-2</c:v>
                </c:pt>
                <c:pt idx="171">
                  <c:v>-2.8000000000000001E-2</c:v>
                </c:pt>
                <c:pt idx="172">
                  <c:v>6.3E-2</c:v>
                </c:pt>
                <c:pt idx="173">
                  <c:v>5.1999999999999998E-2</c:v>
                </c:pt>
                <c:pt idx="174">
                  <c:v>-2.9000000000000001E-2</c:v>
                </c:pt>
                <c:pt idx="175">
                  <c:v>-0.02</c:v>
                </c:pt>
                <c:pt idx="176">
                  <c:v>-5.6000000000000001E-2</c:v>
                </c:pt>
                <c:pt idx="177">
                  <c:v>-0.13100000000000001</c:v>
                </c:pt>
                <c:pt idx="178">
                  <c:v>0.16</c:v>
                </c:pt>
                <c:pt idx="179">
                  <c:v>4.5999999999999999E-2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D-4F3B-B5FB-C11261C09F8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('AMP4-2'!$AF$4,'AMP4-2'!$AF$4)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D-4F3B-B5FB-C11261C09F8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('AMP4-2'!$AF$5,'AMP4-2'!$AF$5)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3D-4F3B-B5FB-C11261C09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20984"/>
        <c:axId val="474921376"/>
      </c:scatterChart>
      <c:valAx>
        <c:axId val="474920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1376"/>
        <c:crosses val="autoZero"/>
        <c:crossBetween val="midCat"/>
      </c:valAx>
      <c:valAx>
        <c:axId val="4749213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'AMP4-2'!$AG$9:$AG$188</c:f>
              <c:numCache>
                <c:formatCode>General</c:formatCode>
                <c:ptCount val="180"/>
                <c:pt idx="0">
                  <c:v>-0.13900000000000001</c:v>
                </c:pt>
                <c:pt idx="1">
                  <c:v>-0.17899999999999999</c:v>
                </c:pt>
                <c:pt idx="2">
                  <c:v>0.151</c:v>
                </c:pt>
                <c:pt idx="3">
                  <c:v>6.7000000000000004E-2</c:v>
                </c:pt>
                <c:pt idx="4">
                  <c:v>-1.7000000000000001E-2</c:v>
                </c:pt>
                <c:pt idx="5">
                  <c:v>-9.1999999999999998E-2</c:v>
                </c:pt>
                <c:pt idx="6">
                  <c:v>6.0999999999999999E-2</c:v>
                </c:pt>
                <c:pt idx="7">
                  <c:v>-0.08</c:v>
                </c:pt>
                <c:pt idx="8">
                  <c:v>6.2E-2</c:v>
                </c:pt>
                <c:pt idx="9">
                  <c:v>-7.0000000000000007E-2</c:v>
                </c:pt>
                <c:pt idx="10">
                  <c:v>-0.14399999999999999</c:v>
                </c:pt>
                <c:pt idx="11">
                  <c:v>-0.128</c:v>
                </c:pt>
                <c:pt idx="12">
                  <c:v>-5.6000000000000001E-2</c:v>
                </c:pt>
                <c:pt idx="13">
                  <c:v>-0.122</c:v>
                </c:pt>
                <c:pt idx="14">
                  <c:v>4.3999999999999997E-2</c:v>
                </c:pt>
                <c:pt idx="15">
                  <c:v>-4.7E-2</c:v>
                </c:pt>
                <c:pt idx="16">
                  <c:v>-0.128</c:v>
                </c:pt>
                <c:pt idx="17">
                  <c:v>-7.6999999999999999E-2</c:v>
                </c:pt>
                <c:pt idx="18">
                  <c:v>-1.4999999999999999E-2</c:v>
                </c:pt>
                <c:pt idx="19">
                  <c:v>-0.10299999999999999</c:v>
                </c:pt>
                <c:pt idx="20">
                  <c:v>-2.4E-2</c:v>
                </c:pt>
                <c:pt idx="21">
                  <c:v>-9.5000000000000001E-2</c:v>
                </c:pt>
                <c:pt idx="22">
                  <c:v>-0.14899999999999999</c:v>
                </c:pt>
                <c:pt idx="23">
                  <c:v>-0.20899999999999999</c:v>
                </c:pt>
                <c:pt idx="24">
                  <c:v>-0.10100000000000001</c:v>
                </c:pt>
                <c:pt idx="25">
                  <c:v>-0.13</c:v>
                </c:pt>
                <c:pt idx="26">
                  <c:v>8.5999999999999993E-2</c:v>
                </c:pt>
                <c:pt idx="27">
                  <c:v>0.03</c:v>
                </c:pt>
                <c:pt idx="28">
                  <c:v>-0.01</c:v>
                </c:pt>
                <c:pt idx="29">
                  <c:v>1.2999999999999999E-2</c:v>
                </c:pt>
                <c:pt idx="30">
                  <c:v>1.2999999999999999E-2</c:v>
                </c:pt>
                <c:pt idx="31">
                  <c:v>-3.3000000000000002E-2</c:v>
                </c:pt>
                <c:pt idx="32">
                  <c:v>-0.122</c:v>
                </c:pt>
                <c:pt idx="33">
                  <c:v>-0.20699999999999999</c:v>
                </c:pt>
                <c:pt idx="34">
                  <c:v>3.7999999999999999E-2</c:v>
                </c:pt>
                <c:pt idx="35">
                  <c:v>-0.23499999999999999</c:v>
                </c:pt>
                <c:pt idx="36">
                  <c:v>-3.9E-2</c:v>
                </c:pt>
                <c:pt idx="37">
                  <c:v>-7.6999999999999999E-2</c:v>
                </c:pt>
                <c:pt idx="38">
                  <c:v>1.7999999999999999E-2</c:v>
                </c:pt>
                <c:pt idx="39">
                  <c:v>0.11700000000000001</c:v>
                </c:pt>
                <c:pt idx="40">
                  <c:v>-7.4999999999999997E-2</c:v>
                </c:pt>
                <c:pt idx="41">
                  <c:v>-6.9000000000000006E-2</c:v>
                </c:pt>
                <c:pt idx="42">
                  <c:v>2.4E-2</c:v>
                </c:pt>
                <c:pt idx="43">
                  <c:v>2.7E-2</c:v>
                </c:pt>
                <c:pt idx="44">
                  <c:v>-0.05</c:v>
                </c:pt>
                <c:pt idx="45">
                  <c:v>-6.7000000000000004E-2</c:v>
                </c:pt>
                <c:pt idx="46">
                  <c:v>-5.3999999999999999E-2</c:v>
                </c:pt>
                <c:pt idx="47">
                  <c:v>-0.109</c:v>
                </c:pt>
                <c:pt idx="48">
                  <c:v>-0.14099999999999999</c:v>
                </c:pt>
                <c:pt idx="49">
                  <c:v>-7.5999999999999998E-2</c:v>
                </c:pt>
                <c:pt idx="50">
                  <c:v>-0.1</c:v>
                </c:pt>
                <c:pt idx="51">
                  <c:v>-0.159</c:v>
                </c:pt>
                <c:pt idx="52">
                  <c:v>-7.0000000000000001E-3</c:v>
                </c:pt>
                <c:pt idx="53">
                  <c:v>-0.104</c:v>
                </c:pt>
                <c:pt idx="54">
                  <c:v>-0.17199999999999999</c:v>
                </c:pt>
                <c:pt idx="55">
                  <c:v>-0.13700000000000001</c:v>
                </c:pt>
                <c:pt idx="56">
                  <c:v>0.08</c:v>
                </c:pt>
                <c:pt idx="57">
                  <c:v>-6.9000000000000006E-2</c:v>
                </c:pt>
                <c:pt idx="58">
                  <c:v>-0.157</c:v>
                </c:pt>
                <c:pt idx="59">
                  <c:v>-0.20799999999999999</c:v>
                </c:pt>
                <c:pt idx="60">
                  <c:v>-0.224</c:v>
                </c:pt>
                <c:pt idx="61">
                  <c:v>-0.14499999999999999</c:v>
                </c:pt>
                <c:pt idx="62">
                  <c:v>-7.9000000000000001E-2</c:v>
                </c:pt>
                <c:pt idx="63">
                  <c:v>-0.106</c:v>
                </c:pt>
                <c:pt idx="64">
                  <c:v>-0.123</c:v>
                </c:pt>
                <c:pt idx="65">
                  <c:v>-7.0000000000000007E-2</c:v>
                </c:pt>
                <c:pt idx="66">
                  <c:v>-8.6999999999999994E-2</c:v>
                </c:pt>
                <c:pt idx="67">
                  <c:v>-8.7999999999999995E-2</c:v>
                </c:pt>
                <c:pt idx="68">
                  <c:v>-0.22500000000000001</c:v>
                </c:pt>
                <c:pt idx="69">
                  <c:v>-0.2</c:v>
                </c:pt>
                <c:pt idx="70">
                  <c:v>-0.254</c:v>
                </c:pt>
                <c:pt idx="71">
                  <c:v>-0.19700000000000001</c:v>
                </c:pt>
                <c:pt idx="72">
                  <c:v>2.5000000000000001E-2</c:v>
                </c:pt>
                <c:pt idx="73">
                  <c:v>0.107</c:v>
                </c:pt>
                <c:pt idx="74">
                  <c:v>0.10100000000000001</c:v>
                </c:pt>
                <c:pt idx="75">
                  <c:v>0.125</c:v>
                </c:pt>
                <c:pt idx="76">
                  <c:v>1.2E-2</c:v>
                </c:pt>
                <c:pt idx="77">
                  <c:v>0.158</c:v>
                </c:pt>
                <c:pt idx="78">
                  <c:v>4.4999999999999998E-2</c:v>
                </c:pt>
                <c:pt idx="79">
                  <c:v>3.4000000000000002E-2</c:v>
                </c:pt>
                <c:pt idx="80">
                  <c:v>-1.0999999999999999E-2</c:v>
                </c:pt>
                <c:pt idx="81">
                  <c:v>9.0999999999999998E-2</c:v>
                </c:pt>
                <c:pt idx="82">
                  <c:v>2.1999999999999999E-2</c:v>
                </c:pt>
                <c:pt idx="83">
                  <c:v>0.03</c:v>
                </c:pt>
                <c:pt idx="84">
                  <c:v>-6.3E-2</c:v>
                </c:pt>
                <c:pt idx="85">
                  <c:v>5.0000000000000001E-3</c:v>
                </c:pt>
                <c:pt idx="86">
                  <c:v>-1.7999999999999999E-2</c:v>
                </c:pt>
                <c:pt idx="87">
                  <c:v>1.7000000000000001E-2</c:v>
                </c:pt>
                <c:pt idx="88">
                  <c:v>0</c:v>
                </c:pt>
                <c:pt idx="89">
                  <c:v>5.2999999999999999E-2</c:v>
                </c:pt>
                <c:pt idx="90">
                  <c:v>-0.16300000000000001</c:v>
                </c:pt>
                <c:pt idx="91">
                  <c:v>-3.4000000000000002E-2</c:v>
                </c:pt>
                <c:pt idx="92">
                  <c:v>-0.16900000000000001</c:v>
                </c:pt>
                <c:pt idx="93">
                  <c:v>-8.3000000000000004E-2</c:v>
                </c:pt>
                <c:pt idx="94">
                  <c:v>-2.8000000000000001E-2</c:v>
                </c:pt>
                <c:pt idx="95">
                  <c:v>-7.0999999999999994E-2</c:v>
                </c:pt>
                <c:pt idx="96">
                  <c:v>-0.13300000000000001</c:v>
                </c:pt>
                <c:pt idx="97">
                  <c:v>-7.5999999999999998E-2</c:v>
                </c:pt>
                <c:pt idx="98">
                  <c:v>-7.2999999999999995E-2</c:v>
                </c:pt>
                <c:pt idx="99">
                  <c:v>-0.186</c:v>
                </c:pt>
                <c:pt idx="100">
                  <c:v>-0.14299999999999999</c:v>
                </c:pt>
                <c:pt idx="101">
                  <c:v>-8.0000000000000002E-3</c:v>
                </c:pt>
                <c:pt idx="102">
                  <c:v>-0.128</c:v>
                </c:pt>
                <c:pt idx="103">
                  <c:v>-7.6999999999999999E-2</c:v>
                </c:pt>
                <c:pt idx="104">
                  <c:v>-0.14199999999999999</c:v>
                </c:pt>
                <c:pt idx="105">
                  <c:v>5.0000000000000001E-3</c:v>
                </c:pt>
                <c:pt idx="106">
                  <c:v>-8.1000000000000003E-2</c:v>
                </c:pt>
                <c:pt idx="107">
                  <c:v>-0.108</c:v>
                </c:pt>
                <c:pt idx="108">
                  <c:v>-0.13500000000000001</c:v>
                </c:pt>
                <c:pt idx="109">
                  <c:v>1E-3</c:v>
                </c:pt>
                <c:pt idx="110">
                  <c:v>-0.185</c:v>
                </c:pt>
                <c:pt idx="111">
                  <c:v>-0.193</c:v>
                </c:pt>
                <c:pt idx="112">
                  <c:v>-0.13700000000000001</c:v>
                </c:pt>
                <c:pt idx="113">
                  <c:v>-0.109</c:v>
                </c:pt>
                <c:pt idx="114">
                  <c:v>4.0000000000000001E-3</c:v>
                </c:pt>
                <c:pt idx="115">
                  <c:v>-1.2E-2</c:v>
                </c:pt>
                <c:pt idx="116">
                  <c:v>6.7000000000000004E-2</c:v>
                </c:pt>
                <c:pt idx="117">
                  <c:v>9.4E-2</c:v>
                </c:pt>
                <c:pt idx="118">
                  <c:v>0.11</c:v>
                </c:pt>
                <c:pt idx="119">
                  <c:v>0.128</c:v>
                </c:pt>
                <c:pt idx="120">
                  <c:v>0.219</c:v>
                </c:pt>
                <c:pt idx="121">
                  <c:v>0.23100000000000001</c:v>
                </c:pt>
                <c:pt idx="122">
                  <c:v>-6.9000000000000006E-2</c:v>
                </c:pt>
                <c:pt idx="123">
                  <c:v>1.6E-2</c:v>
                </c:pt>
                <c:pt idx="124">
                  <c:v>0.13400000000000001</c:v>
                </c:pt>
                <c:pt idx="125">
                  <c:v>0.13500000000000001</c:v>
                </c:pt>
                <c:pt idx="126">
                  <c:v>-3.5000000000000003E-2</c:v>
                </c:pt>
                <c:pt idx="127">
                  <c:v>-5.8999999999999997E-2</c:v>
                </c:pt>
                <c:pt idx="128">
                  <c:v>0.21199999999999999</c:v>
                </c:pt>
                <c:pt idx="129">
                  <c:v>8.5000000000000006E-2</c:v>
                </c:pt>
                <c:pt idx="130">
                  <c:v>5.0000000000000001E-3</c:v>
                </c:pt>
                <c:pt idx="131">
                  <c:v>3.6999999999999998E-2</c:v>
                </c:pt>
                <c:pt idx="132">
                  <c:v>-6.4000000000000001E-2</c:v>
                </c:pt>
                <c:pt idx="133">
                  <c:v>4.2999999999999997E-2</c:v>
                </c:pt>
                <c:pt idx="134">
                  <c:v>2.5000000000000001E-2</c:v>
                </c:pt>
                <c:pt idx="135">
                  <c:v>3.6999999999999998E-2</c:v>
                </c:pt>
                <c:pt idx="136">
                  <c:v>3.0000000000000001E-3</c:v>
                </c:pt>
                <c:pt idx="137">
                  <c:v>7.3999999999999996E-2</c:v>
                </c:pt>
                <c:pt idx="138">
                  <c:v>-0.13</c:v>
                </c:pt>
                <c:pt idx="139">
                  <c:v>2.1000000000000001E-2</c:v>
                </c:pt>
                <c:pt idx="140">
                  <c:v>-0.11899999999999999</c:v>
                </c:pt>
                <c:pt idx="141">
                  <c:v>0.09</c:v>
                </c:pt>
                <c:pt idx="142">
                  <c:v>-9.5000000000000001E-2</c:v>
                </c:pt>
                <c:pt idx="143">
                  <c:v>-3.5000000000000003E-2</c:v>
                </c:pt>
                <c:pt idx="144">
                  <c:v>-2.1000000000000001E-2</c:v>
                </c:pt>
                <c:pt idx="145">
                  <c:v>8.5000000000000006E-2</c:v>
                </c:pt>
                <c:pt idx="146">
                  <c:v>-7.4999999999999997E-2</c:v>
                </c:pt>
                <c:pt idx="147">
                  <c:v>-0.13100000000000001</c:v>
                </c:pt>
                <c:pt idx="148">
                  <c:v>9.1999999999999998E-2</c:v>
                </c:pt>
                <c:pt idx="149">
                  <c:v>2.1999999999999999E-2</c:v>
                </c:pt>
                <c:pt idx="150">
                  <c:v>-9.8000000000000004E-2</c:v>
                </c:pt>
                <c:pt idx="151">
                  <c:v>-7.0000000000000007E-2</c:v>
                </c:pt>
                <c:pt idx="152">
                  <c:v>-6.7000000000000004E-2</c:v>
                </c:pt>
                <c:pt idx="153">
                  <c:v>-7.1999999999999995E-2</c:v>
                </c:pt>
                <c:pt idx="154">
                  <c:v>-6.8000000000000005E-2</c:v>
                </c:pt>
                <c:pt idx="155">
                  <c:v>-0.04</c:v>
                </c:pt>
                <c:pt idx="156">
                  <c:v>-0.12</c:v>
                </c:pt>
                <c:pt idx="157">
                  <c:v>-9.8000000000000004E-2</c:v>
                </c:pt>
                <c:pt idx="158">
                  <c:v>-0.28100000000000003</c:v>
                </c:pt>
                <c:pt idx="159">
                  <c:v>-0.1</c:v>
                </c:pt>
                <c:pt idx="160">
                  <c:v>3.1E-2</c:v>
                </c:pt>
                <c:pt idx="161">
                  <c:v>0.122</c:v>
                </c:pt>
                <c:pt idx="162">
                  <c:v>3.1E-2</c:v>
                </c:pt>
                <c:pt idx="163">
                  <c:v>0.125</c:v>
                </c:pt>
                <c:pt idx="164">
                  <c:v>0.114</c:v>
                </c:pt>
                <c:pt idx="165">
                  <c:v>0.214</c:v>
                </c:pt>
                <c:pt idx="166">
                  <c:v>8.0000000000000002E-3</c:v>
                </c:pt>
                <c:pt idx="167">
                  <c:v>0.125</c:v>
                </c:pt>
                <c:pt idx="168">
                  <c:v>-3.4000000000000002E-2</c:v>
                </c:pt>
                <c:pt idx="169">
                  <c:v>6.6000000000000003E-2</c:v>
                </c:pt>
                <c:pt idx="170">
                  <c:v>-3.6999999999999998E-2</c:v>
                </c:pt>
                <c:pt idx="171">
                  <c:v>-5.3999999999999999E-2</c:v>
                </c:pt>
                <c:pt idx="172">
                  <c:v>4.0000000000000001E-3</c:v>
                </c:pt>
                <c:pt idx="173">
                  <c:v>3.7999999999999999E-2</c:v>
                </c:pt>
                <c:pt idx="174">
                  <c:v>-7.6999999999999999E-2</c:v>
                </c:pt>
                <c:pt idx="175">
                  <c:v>-7.1999999999999995E-2</c:v>
                </c:pt>
                <c:pt idx="176">
                  <c:v>-0.13100000000000001</c:v>
                </c:pt>
                <c:pt idx="177">
                  <c:v>-0.17</c:v>
                </c:pt>
                <c:pt idx="178">
                  <c:v>8.7999999999999995E-2</c:v>
                </c:pt>
                <c:pt idx="179">
                  <c:v>-3.0000000000000001E-3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3-49A0-A96A-E9EB46990E2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('AMP4-2'!$AG$4,'AMP4-2'!$AG$4)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03-49A0-A96A-E9EB46990E2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('AMP4-2'!$AG$5,'AMP4-2'!$AG$5)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03-49A0-A96A-E9EB46990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22160"/>
        <c:axId val="474922552"/>
      </c:scatterChart>
      <c:valAx>
        <c:axId val="47492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2552"/>
        <c:crosses val="autoZero"/>
        <c:crossBetween val="midCat"/>
      </c:valAx>
      <c:valAx>
        <c:axId val="4749225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92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'AMP4-2'!$AH$9:$AH$188</c:f>
              <c:numCache>
                <c:formatCode>General</c:formatCode>
                <c:ptCount val="180"/>
                <c:pt idx="0">
                  <c:v>-6.8000000000000005E-2</c:v>
                </c:pt>
                <c:pt idx="1">
                  <c:v>-0.16600000000000001</c:v>
                </c:pt>
                <c:pt idx="2">
                  <c:v>0.08</c:v>
                </c:pt>
                <c:pt idx="3">
                  <c:v>2.4E-2</c:v>
                </c:pt>
                <c:pt idx="4">
                  <c:v>-8.9999999999999993E-3</c:v>
                </c:pt>
                <c:pt idx="5">
                  <c:v>3.7999999999999999E-2</c:v>
                </c:pt>
                <c:pt idx="6">
                  <c:v>-0.04</c:v>
                </c:pt>
                <c:pt idx="7">
                  <c:v>-4.5999999999999999E-2</c:v>
                </c:pt>
                <c:pt idx="8">
                  <c:v>-3.3000000000000002E-2</c:v>
                </c:pt>
                <c:pt idx="9">
                  <c:v>-4.1000000000000002E-2</c:v>
                </c:pt>
                <c:pt idx="10">
                  <c:v>-0.114</c:v>
                </c:pt>
                <c:pt idx="11">
                  <c:v>-2.3E-2</c:v>
                </c:pt>
                <c:pt idx="12">
                  <c:v>-2.5000000000000001E-2</c:v>
                </c:pt>
                <c:pt idx="13">
                  <c:v>-5.2999999999999999E-2</c:v>
                </c:pt>
                <c:pt idx="14">
                  <c:v>-3.9E-2</c:v>
                </c:pt>
                <c:pt idx="15">
                  <c:v>4.1000000000000002E-2</c:v>
                </c:pt>
                <c:pt idx="16">
                  <c:v>-0.13800000000000001</c:v>
                </c:pt>
                <c:pt idx="17">
                  <c:v>-3.3000000000000002E-2</c:v>
                </c:pt>
                <c:pt idx="18">
                  <c:v>2E-3</c:v>
                </c:pt>
                <c:pt idx="19">
                  <c:v>-6.8000000000000005E-2</c:v>
                </c:pt>
                <c:pt idx="20">
                  <c:v>-5.8999999999999997E-2</c:v>
                </c:pt>
                <c:pt idx="21">
                  <c:v>-0.127</c:v>
                </c:pt>
                <c:pt idx="22">
                  <c:v>-0.155</c:v>
                </c:pt>
                <c:pt idx="23">
                  <c:v>-0.13300000000000001</c:v>
                </c:pt>
                <c:pt idx="24">
                  <c:v>-0.158</c:v>
                </c:pt>
                <c:pt idx="25">
                  <c:v>-0.17199999999999999</c:v>
                </c:pt>
                <c:pt idx="26">
                  <c:v>-4.0000000000000001E-3</c:v>
                </c:pt>
                <c:pt idx="27">
                  <c:v>-8.5000000000000006E-2</c:v>
                </c:pt>
                <c:pt idx="28">
                  <c:v>-0.112</c:v>
                </c:pt>
                <c:pt idx="29">
                  <c:v>-9.0999999999999998E-2</c:v>
                </c:pt>
                <c:pt idx="30">
                  <c:v>-0.151</c:v>
                </c:pt>
                <c:pt idx="31">
                  <c:v>-0.182</c:v>
                </c:pt>
                <c:pt idx="32">
                  <c:v>-0.22700000000000001</c:v>
                </c:pt>
                <c:pt idx="33">
                  <c:v>-0.35399999999999998</c:v>
                </c:pt>
                <c:pt idx="34">
                  <c:v>-8.2000000000000003E-2</c:v>
                </c:pt>
                <c:pt idx="35">
                  <c:v>-0.253</c:v>
                </c:pt>
                <c:pt idx="36">
                  <c:v>-8.7999999999999995E-2</c:v>
                </c:pt>
                <c:pt idx="37">
                  <c:v>-0.122</c:v>
                </c:pt>
                <c:pt idx="38">
                  <c:v>-5.8000000000000003E-2</c:v>
                </c:pt>
                <c:pt idx="39">
                  <c:v>-5.1999999999999998E-2</c:v>
                </c:pt>
                <c:pt idx="40">
                  <c:v>-0.11799999999999999</c:v>
                </c:pt>
                <c:pt idx="41">
                  <c:v>-0.122</c:v>
                </c:pt>
                <c:pt idx="42">
                  <c:v>3.0000000000000001E-3</c:v>
                </c:pt>
                <c:pt idx="43">
                  <c:v>-3.0000000000000001E-3</c:v>
                </c:pt>
                <c:pt idx="44">
                  <c:v>-1.2999999999999999E-2</c:v>
                </c:pt>
                <c:pt idx="45">
                  <c:v>-2.8000000000000001E-2</c:v>
                </c:pt>
                <c:pt idx="46">
                  <c:v>7.0000000000000001E-3</c:v>
                </c:pt>
                <c:pt idx="47">
                  <c:v>-0.05</c:v>
                </c:pt>
                <c:pt idx="48">
                  <c:v>-1.7999999999999999E-2</c:v>
                </c:pt>
                <c:pt idx="49">
                  <c:v>2.9000000000000001E-2</c:v>
                </c:pt>
                <c:pt idx="50">
                  <c:v>2.4E-2</c:v>
                </c:pt>
                <c:pt idx="51">
                  <c:v>-0.1</c:v>
                </c:pt>
                <c:pt idx="52">
                  <c:v>0.13</c:v>
                </c:pt>
                <c:pt idx="53">
                  <c:v>0</c:v>
                </c:pt>
                <c:pt idx="54">
                  <c:v>4.0000000000000001E-3</c:v>
                </c:pt>
                <c:pt idx="55">
                  <c:v>4.7E-2</c:v>
                </c:pt>
                <c:pt idx="56">
                  <c:v>0.128</c:v>
                </c:pt>
                <c:pt idx="57">
                  <c:v>-2.5000000000000001E-2</c:v>
                </c:pt>
                <c:pt idx="58">
                  <c:v>7.2999999999999995E-2</c:v>
                </c:pt>
                <c:pt idx="59">
                  <c:v>-9.5000000000000001E-2</c:v>
                </c:pt>
                <c:pt idx="60">
                  <c:v>-1.0999999999999999E-2</c:v>
                </c:pt>
                <c:pt idx="61">
                  <c:v>-0.105</c:v>
                </c:pt>
                <c:pt idx="62">
                  <c:v>-4.2999999999999997E-2</c:v>
                </c:pt>
                <c:pt idx="63">
                  <c:v>7.6999999999999999E-2</c:v>
                </c:pt>
                <c:pt idx="64">
                  <c:v>1E-3</c:v>
                </c:pt>
                <c:pt idx="65">
                  <c:v>-0.05</c:v>
                </c:pt>
                <c:pt idx="66">
                  <c:v>8.9999999999999993E-3</c:v>
                </c:pt>
                <c:pt idx="67">
                  <c:v>2.1999999999999999E-2</c:v>
                </c:pt>
                <c:pt idx="68">
                  <c:v>-1.2999999999999999E-2</c:v>
                </c:pt>
                <c:pt idx="69">
                  <c:v>0</c:v>
                </c:pt>
                <c:pt idx="70">
                  <c:v>-0.189</c:v>
                </c:pt>
                <c:pt idx="71">
                  <c:v>-0.123</c:v>
                </c:pt>
                <c:pt idx="72">
                  <c:v>-0.127</c:v>
                </c:pt>
                <c:pt idx="73">
                  <c:v>8.0000000000000002E-3</c:v>
                </c:pt>
                <c:pt idx="74">
                  <c:v>-4.4999999999999998E-2</c:v>
                </c:pt>
                <c:pt idx="75">
                  <c:v>0.127</c:v>
                </c:pt>
                <c:pt idx="76">
                  <c:v>-2.7E-2</c:v>
                </c:pt>
                <c:pt idx="77">
                  <c:v>9.7000000000000003E-2</c:v>
                </c:pt>
                <c:pt idx="78">
                  <c:v>-6.0999999999999999E-2</c:v>
                </c:pt>
                <c:pt idx="79">
                  <c:v>4.9000000000000002E-2</c:v>
                </c:pt>
                <c:pt idx="80">
                  <c:v>-9.2999999999999999E-2</c:v>
                </c:pt>
                <c:pt idx="81">
                  <c:v>7.4999999999999997E-2</c:v>
                </c:pt>
                <c:pt idx="82">
                  <c:v>-7.3999999999999996E-2</c:v>
                </c:pt>
                <c:pt idx="83">
                  <c:v>2.1000000000000001E-2</c:v>
                </c:pt>
                <c:pt idx="84">
                  <c:v>-4.5999999999999999E-2</c:v>
                </c:pt>
                <c:pt idx="85">
                  <c:v>2.1000000000000001E-2</c:v>
                </c:pt>
                <c:pt idx="86">
                  <c:v>-8.2000000000000003E-2</c:v>
                </c:pt>
                <c:pt idx="87">
                  <c:v>-1.2E-2</c:v>
                </c:pt>
                <c:pt idx="88">
                  <c:v>-8.5999999999999993E-2</c:v>
                </c:pt>
                <c:pt idx="89">
                  <c:v>8.5999999999999993E-2</c:v>
                </c:pt>
                <c:pt idx="90">
                  <c:v>-0.112</c:v>
                </c:pt>
                <c:pt idx="91">
                  <c:v>-2.4E-2</c:v>
                </c:pt>
                <c:pt idx="92">
                  <c:v>-0.17899999999999999</c:v>
                </c:pt>
                <c:pt idx="93">
                  <c:v>2.1999999999999999E-2</c:v>
                </c:pt>
                <c:pt idx="94">
                  <c:v>-0.156</c:v>
                </c:pt>
                <c:pt idx="95">
                  <c:v>-7.3999999999999996E-2</c:v>
                </c:pt>
                <c:pt idx="96">
                  <c:v>-0.10199999999999999</c:v>
                </c:pt>
                <c:pt idx="97">
                  <c:v>-4.2999999999999997E-2</c:v>
                </c:pt>
                <c:pt idx="98">
                  <c:v>-6.3E-2</c:v>
                </c:pt>
                <c:pt idx="99">
                  <c:v>4.0000000000000001E-3</c:v>
                </c:pt>
                <c:pt idx="100">
                  <c:v>-5.7000000000000002E-2</c:v>
                </c:pt>
                <c:pt idx="101">
                  <c:v>0.13</c:v>
                </c:pt>
                <c:pt idx="102">
                  <c:v>2.1000000000000001E-2</c:v>
                </c:pt>
                <c:pt idx="103">
                  <c:v>5.1999999999999998E-2</c:v>
                </c:pt>
                <c:pt idx="104">
                  <c:v>3.2000000000000001E-2</c:v>
                </c:pt>
                <c:pt idx="105">
                  <c:v>-5.7000000000000002E-2</c:v>
                </c:pt>
                <c:pt idx="106">
                  <c:v>0.08</c:v>
                </c:pt>
                <c:pt idx="107">
                  <c:v>2.1000000000000001E-2</c:v>
                </c:pt>
                <c:pt idx="108">
                  <c:v>-4.2999999999999997E-2</c:v>
                </c:pt>
                <c:pt idx="109">
                  <c:v>8.9999999999999993E-3</c:v>
                </c:pt>
                <c:pt idx="110">
                  <c:v>-5.1999999999999998E-2</c:v>
                </c:pt>
                <c:pt idx="111">
                  <c:v>-2.1000000000000001E-2</c:v>
                </c:pt>
                <c:pt idx="112">
                  <c:v>-8.2000000000000003E-2</c:v>
                </c:pt>
                <c:pt idx="113">
                  <c:v>5.0999999999999997E-2</c:v>
                </c:pt>
                <c:pt idx="114">
                  <c:v>4.7E-2</c:v>
                </c:pt>
                <c:pt idx="115">
                  <c:v>4.2000000000000003E-2</c:v>
                </c:pt>
                <c:pt idx="116">
                  <c:v>5.5E-2</c:v>
                </c:pt>
                <c:pt idx="117">
                  <c:v>5.6000000000000001E-2</c:v>
                </c:pt>
                <c:pt idx="118">
                  <c:v>6.0999999999999999E-2</c:v>
                </c:pt>
                <c:pt idx="119">
                  <c:v>4.5999999999999999E-2</c:v>
                </c:pt>
                <c:pt idx="120">
                  <c:v>1.7999999999999999E-2</c:v>
                </c:pt>
                <c:pt idx="121">
                  <c:v>0.18</c:v>
                </c:pt>
                <c:pt idx="122">
                  <c:v>-6.0000000000000001E-3</c:v>
                </c:pt>
                <c:pt idx="123">
                  <c:v>0.13500000000000001</c:v>
                </c:pt>
                <c:pt idx="124">
                  <c:v>8.9999999999999993E-3</c:v>
                </c:pt>
                <c:pt idx="125">
                  <c:v>2.9000000000000001E-2</c:v>
                </c:pt>
                <c:pt idx="126">
                  <c:v>-4.1000000000000002E-2</c:v>
                </c:pt>
                <c:pt idx="127">
                  <c:v>5.5E-2</c:v>
                </c:pt>
                <c:pt idx="128">
                  <c:v>0.05</c:v>
                </c:pt>
                <c:pt idx="129">
                  <c:v>-7.2999999999999995E-2</c:v>
                </c:pt>
                <c:pt idx="130">
                  <c:v>6.0000000000000001E-3</c:v>
                </c:pt>
                <c:pt idx="131">
                  <c:v>-1.4E-2</c:v>
                </c:pt>
                <c:pt idx="132">
                  <c:v>-7.0000000000000001E-3</c:v>
                </c:pt>
                <c:pt idx="133">
                  <c:v>0.159</c:v>
                </c:pt>
                <c:pt idx="134">
                  <c:v>5.1999999999999998E-2</c:v>
                </c:pt>
                <c:pt idx="135">
                  <c:v>4.7E-2</c:v>
                </c:pt>
                <c:pt idx="136">
                  <c:v>0.06</c:v>
                </c:pt>
                <c:pt idx="137">
                  <c:v>8.8999999999999996E-2</c:v>
                </c:pt>
                <c:pt idx="138">
                  <c:v>-0.10299999999999999</c:v>
                </c:pt>
                <c:pt idx="139">
                  <c:v>5.7000000000000002E-2</c:v>
                </c:pt>
                <c:pt idx="140">
                  <c:v>-3.5999999999999997E-2</c:v>
                </c:pt>
                <c:pt idx="141">
                  <c:v>8.1000000000000003E-2</c:v>
                </c:pt>
                <c:pt idx="142">
                  <c:v>-9.8000000000000004E-2</c:v>
                </c:pt>
                <c:pt idx="143">
                  <c:v>-5.0000000000000001E-3</c:v>
                </c:pt>
                <c:pt idx="144">
                  <c:v>-8.9999999999999993E-3</c:v>
                </c:pt>
                <c:pt idx="145">
                  <c:v>1.0999999999999999E-2</c:v>
                </c:pt>
                <c:pt idx="146">
                  <c:v>-4.4999999999999998E-2</c:v>
                </c:pt>
                <c:pt idx="147">
                  <c:v>-7.5999999999999998E-2</c:v>
                </c:pt>
                <c:pt idx="148">
                  <c:v>9.0999999999999998E-2</c:v>
                </c:pt>
                <c:pt idx="149">
                  <c:v>-1.9E-2</c:v>
                </c:pt>
                <c:pt idx="150">
                  <c:v>-2.3E-2</c:v>
                </c:pt>
                <c:pt idx="151">
                  <c:v>-3.4000000000000002E-2</c:v>
                </c:pt>
                <c:pt idx="152">
                  <c:v>-1.4999999999999999E-2</c:v>
                </c:pt>
                <c:pt idx="153">
                  <c:v>2E-3</c:v>
                </c:pt>
                <c:pt idx="154">
                  <c:v>-3.1E-2</c:v>
                </c:pt>
                <c:pt idx="155">
                  <c:v>-3.1E-2</c:v>
                </c:pt>
                <c:pt idx="156">
                  <c:v>5.0000000000000001E-3</c:v>
                </c:pt>
                <c:pt idx="157">
                  <c:v>-2.5999999999999999E-2</c:v>
                </c:pt>
                <c:pt idx="158">
                  <c:v>-0.05</c:v>
                </c:pt>
                <c:pt idx="159">
                  <c:v>0.105</c:v>
                </c:pt>
                <c:pt idx="160">
                  <c:v>9.6000000000000002E-2</c:v>
                </c:pt>
                <c:pt idx="161">
                  <c:v>0.158</c:v>
                </c:pt>
                <c:pt idx="162">
                  <c:v>6.7000000000000004E-2</c:v>
                </c:pt>
                <c:pt idx="163">
                  <c:v>0.14299999999999999</c:v>
                </c:pt>
                <c:pt idx="164">
                  <c:v>0.19400000000000001</c:v>
                </c:pt>
                <c:pt idx="165">
                  <c:v>6.0999999999999999E-2</c:v>
                </c:pt>
                <c:pt idx="166">
                  <c:v>-2.7E-2</c:v>
                </c:pt>
                <c:pt idx="167">
                  <c:v>0.13</c:v>
                </c:pt>
                <c:pt idx="168">
                  <c:v>-4.3999999999999997E-2</c:v>
                </c:pt>
                <c:pt idx="169">
                  <c:v>0.112</c:v>
                </c:pt>
                <c:pt idx="170">
                  <c:v>4.2000000000000003E-2</c:v>
                </c:pt>
                <c:pt idx="171">
                  <c:v>5.0999999999999997E-2</c:v>
                </c:pt>
                <c:pt idx="172">
                  <c:v>4.8000000000000001E-2</c:v>
                </c:pt>
                <c:pt idx="173">
                  <c:v>3.5000000000000003E-2</c:v>
                </c:pt>
                <c:pt idx="174">
                  <c:v>7.4999999999999997E-2</c:v>
                </c:pt>
                <c:pt idx="175">
                  <c:v>3.7999999999999999E-2</c:v>
                </c:pt>
                <c:pt idx="176">
                  <c:v>0.04</c:v>
                </c:pt>
                <c:pt idx="177">
                  <c:v>-4.1000000000000002E-2</c:v>
                </c:pt>
                <c:pt idx="178">
                  <c:v>8.5999999999999993E-2</c:v>
                </c:pt>
                <c:pt idx="179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CC-4E9F-83C5-24A3F7C4142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('AMP4-2'!$AH$4,'AMP4-2'!$AH$4)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CC-4E9F-83C5-24A3F7C4142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('AMP4-2'!$AH$5,'AMP4-2'!$AH$5)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CC-4E9F-83C5-24A3F7C41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57560"/>
        <c:axId val="475857952"/>
      </c:scatterChart>
      <c:valAx>
        <c:axId val="47585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57952"/>
        <c:crosses val="autoZero"/>
        <c:crossBetween val="midCat"/>
      </c:valAx>
      <c:valAx>
        <c:axId val="4758579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5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'AMP4-2'!$AI$8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'AMP4-2'!$C$9:$C$188</c:f>
              <c:numCache>
                <c:formatCode>m/d/yy\ h:mm;@</c:formatCode>
                <c:ptCount val="180"/>
                <c:pt idx="0">
                  <c:v>43698.507372685184</c:v>
                </c:pt>
                <c:pt idx="1">
                  <c:v>43698.509432870371</c:v>
                </c:pt>
                <c:pt idx="2">
                  <c:v>43698.611932870372</c:v>
                </c:pt>
                <c:pt idx="3">
                  <c:v>43698.613958333335</c:v>
                </c:pt>
                <c:pt idx="4">
                  <c:v>43698.791875000003</c:v>
                </c:pt>
                <c:pt idx="5">
                  <c:v>43698.794016203705</c:v>
                </c:pt>
                <c:pt idx="6">
                  <c:v>43698.831250000003</c:v>
                </c:pt>
                <c:pt idx="7">
                  <c:v>43698.833553240744</c:v>
                </c:pt>
                <c:pt idx="8">
                  <c:v>43698.864016203705</c:v>
                </c:pt>
                <c:pt idx="9">
                  <c:v>43698.866608796299</c:v>
                </c:pt>
                <c:pt idx="10">
                  <c:v>43698.952766203707</c:v>
                </c:pt>
                <c:pt idx="11">
                  <c:v>43698.954791666663</c:v>
                </c:pt>
                <c:pt idx="12">
                  <c:v>43699.03502314815</c:v>
                </c:pt>
                <c:pt idx="13">
                  <c:v>43699.038958333331</c:v>
                </c:pt>
                <c:pt idx="14">
                  <c:v>43699.355381944442</c:v>
                </c:pt>
                <c:pt idx="15">
                  <c:v>43699.358159722222</c:v>
                </c:pt>
                <c:pt idx="16">
                  <c:v>43699.454247685186</c:v>
                </c:pt>
                <c:pt idx="17">
                  <c:v>43699.45648148148</c:v>
                </c:pt>
                <c:pt idx="18">
                  <c:v>43699.490428240744</c:v>
                </c:pt>
                <c:pt idx="19">
                  <c:v>43699.492534722223</c:v>
                </c:pt>
                <c:pt idx="20">
                  <c:v>43699.612349537034</c:v>
                </c:pt>
                <c:pt idx="21">
                  <c:v>43699.614432870374</c:v>
                </c:pt>
                <c:pt idx="22">
                  <c:v>43699.667280092595</c:v>
                </c:pt>
                <c:pt idx="23">
                  <c:v>43699.670300925929</c:v>
                </c:pt>
                <c:pt idx="24">
                  <c:v>43699.749502314815</c:v>
                </c:pt>
                <c:pt idx="25">
                  <c:v>43699.751770833333</c:v>
                </c:pt>
                <c:pt idx="26">
                  <c:v>43699.931863425925</c:v>
                </c:pt>
                <c:pt idx="27">
                  <c:v>43699.93414351852</c:v>
                </c:pt>
                <c:pt idx="28">
                  <c:v>43700.020624999997</c:v>
                </c:pt>
                <c:pt idx="29">
                  <c:v>43700.022650462961</c:v>
                </c:pt>
                <c:pt idx="30">
                  <c:v>43700.056747685187</c:v>
                </c:pt>
                <c:pt idx="31">
                  <c:v>43700.05877314815</c:v>
                </c:pt>
                <c:pt idx="32">
                  <c:v>43700.321562500001</c:v>
                </c:pt>
                <c:pt idx="33">
                  <c:v>43700.324131944442</c:v>
                </c:pt>
                <c:pt idx="34">
                  <c:v>43700.42491898148</c:v>
                </c:pt>
                <c:pt idx="35">
                  <c:v>43700.427303240744</c:v>
                </c:pt>
                <c:pt idx="36">
                  <c:v>43700.520578703705</c:v>
                </c:pt>
                <c:pt idx="37">
                  <c:v>43700.522233796299</c:v>
                </c:pt>
                <c:pt idx="38">
                  <c:v>43700.655069444445</c:v>
                </c:pt>
                <c:pt idx="39">
                  <c:v>43700.661319444444</c:v>
                </c:pt>
                <c:pt idx="40">
                  <c:v>43700.702245370368</c:v>
                </c:pt>
                <c:pt idx="41">
                  <c:v>43700.704780092594</c:v>
                </c:pt>
                <c:pt idx="42">
                  <c:v>43701.305254629631</c:v>
                </c:pt>
                <c:pt idx="43">
                  <c:v>43701.307719907411</c:v>
                </c:pt>
                <c:pt idx="44">
                  <c:v>43701.388402777775</c:v>
                </c:pt>
                <c:pt idx="45">
                  <c:v>43701.390011574076</c:v>
                </c:pt>
                <c:pt idx="46">
                  <c:v>43701.510243055556</c:v>
                </c:pt>
                <c:pt idx="47">
                  <c:v>43701.512418981481</c:v>
                </c:pt>
                <c:pt idx="48">
                  <c:v>43701.589120370372</c:v>
                </c:pt>
                <c:pt idx="49">
                  <c:v>43701.591562499998</c:v>
                </c:pt>
                <c:pt idx="50">
                  <c:v>43701.706909722219</c:v>
                </c:pt>
                <c:pt idx="51">
                  <c:v>43701.709016203706</c:v>
                </c:pt>
                <c:pt idx="52">
                  <c:v>43702.309965277775</c:v>
                </c:pt>
                <c:pt idx="53">
                  <c:v>43702.312152777777</c:v>
                </c:pt>
                <c:pt idx="54">
                  <c:v>43702.402384259258</c:v>
                </c:pt>
                <c:pt idx="55">
                  <c:v>43702.404143518521</c:v>
                </c:pt>
                <c:pt idx="56">
                  <c:v>43702.48159722222</c:v>
                </c:pt>
                <c:pt idx="57">
                  <c:v>43702.483634259261</c:v>
                </c:pt>
                <c:pt idx="58">
                  <c:v>43702.577893518515</c:v>
                </c:pt>
                <c:pt idx="59">
                  <c:v>43702.580231481479</c:v>
                </c:pt>
                <c:pt idx="60">
                  <c:v>43702.665706018517</c:v>
                </c:pt>
                <c:pt idx="61">
                  <c:v>43702.667407407411</c:v>
                </c:pt>
                <c:pt idx="62">
                  <c:v>43703.373761574076</c:v>
                </c:pt>
                <c:pt idx="63">
                  <c:v>43703.375902777778</c:v>
                </c:pt>
                <c:pt idx="64">
                  <c:v>43703.460231481484</c:v>
                </c:pt>
                <c:pt idx="65">
                  <c:v>43703.461793981478</c:v>
                </c:pt>
                <c:pt idx="66">
                  <c:v>43703.544456018521</c:v>
                </c:pt>
                <c:pt idx="67">
                  <c:v>43703.546018518522</c:v>
                </c:pt>
                <c:pt idx="68">
                  <c:v>43703.638726851852</c:v>
                </c:pt>
                <c:pt idx="69">
                  <c:v>43703.640428240738</c:v>
                </c:pt>
                <c:pt idx="70">
                  <c:v>43703.725636574076</c:v>
                </c:pt>
                <c:pt idx="71">
                  <c:v>43703.727314814816</c:v>
                </c:pt>
                <c:pt idx="72">
                  <c:v>43703.799085648148</c:v>
                </c:pt>
                <c:pt idx="73">
                  <c:v>43703.801122685189</c:v>
                </c:pt>
                <c:pt idx="74">
                  <c:v>43703.890740740739</c:v>
                </c:pt>
                <c:pt idx="75">
                  <c:v>43703.892789351848</c:v>
                </c:pt>
                <c:pt idx="76">
                  <c:v>43703.987083333333</c:v>
                </c:pt>
                <c:pt idx="77">
                  <c:v>43703.988587962966</c:v>
                </c:pt>
                <c:pt idx="78">
                  <c:v>43704.060231481482</c:v>
                </c:pt>
                <c:pt idx="79">
                  <c:v>43704.061736111114</c:v>
                </c:pt>
                <c:pt idx="80">
                  <c:v>43704.316608796296</c:v>
                </c:pt>
                <c:pt idx="81">
                  <c:v>43704.318657407406</c:v>
                </c:pt>
                <c:pt idx="82">
                  <c:v>43704.398090277777</c:v>
                </c:pt>
                <c:pt idx="83">
                  <c:v>43704.400150462963</c:v>
                </c:pt>
                <c:pt idx="84">
                  <c:v>43704.501006944447</c:v>
                </c:pt>
                <c:pt idx="85">
                  <c:v>43704.503553240742</c:v>
                </c:pt>
                <c:pt idx="86">
                  <c:v>43704.578831018516</c:v>
                </c:pt>
                <c:pt idx="87">
                  <c:v>43704.588819444441</c:v>
                </c:pt>
                <c:pt idx="88">
                  <c:v>43704.693749999999</c:v>
                </c:pt>
                <c:pt idx="89">
                  <c:v>43704.6952662037</c:v>
                </c:pt>
                <c:pt idx="90">
                  <c:v>43704.777303240742</c:v>
                </c:pt>
                <c:pt idx="91">
                  <c:v>43704.779432870368</c:v>
                </c:pt>
                <c:pt idx="92">
                  <c:v>43704.844328703701</c:v>
                </c:pt>
                <c:pt idx="93">
                  <c:v>43704.84584490741</c:v>
                </c:pt>
                <c:pt idx="94">
                  <c:v>43704.92560185185</c:v>
                </c:pt>
                <c:pt idx="95">
                  <c:v>43704.927141203705</c:v>
                </c:pt>
                <c:pt idx="96">
                  <c:v>43705.0387962963</c:v>
                </c:pt>
                <c:pt idx="97">
                  <c:v>43705.040335648147</c:v>
                </c:pt>
                <c:pt idx="98">
                  <c:v>43705.057199074072</c:v>
                </c:pt>
                <c:pt idx="99">
                  <c:v>43705.059699074074</c:v>
                </c:pt>
                <c:pt idx="100">
                  <c:v>43705.328842592593</c:v>
                </c:pt>
                <c:pt idx="101">
                  <c:v>43705.331296296295</c:v>
                </c:pt>
                <c:pt idx="102">
                  <c:v>43705.412557870368</c:v>
                </c:pt>
                <c:pt idx="103">
                  <c:v>43705.414571759262</c:v>
                </c:pt>
                <c:pt idx="104">
                  <c:v>43705.513252314813</c:v>
                </c:pt>
                <c:pt idx="105">
                  <c:v>43705.515451388892</c:v>
                </c:pt>
                <c:pt idx="106">
                  <c:v>43705.639386574076</c:v>
                </c:pt>
                <c:pt idx="107">
                  <c:v>43705.641412037039</c:v>
                </c:pt>
                <c:pt idx="108">
                  <c:v>43705.733136574076</c:v>
                </c:pt>
                <c:pt idx="109">
                  <c:v>43705.7346412037</c:v>
                </c:pt>
                <c:pt idx="110">
                  <c:v>43705.796597222223</c:v>
                </c:pt>
                <c:pt idx="111">
                  <c:v>43705.798159722224</c:v>
                </c:pt>
                <c:pt idx="112">
                  <c:v>43705.926203703704</c:v>
                </c:pt>
                <c:pt idx="113">
                  <c:v>43705.927835648145</c:v>
                </c:pt>
                <c:pt idx="114">
                  <c:v>43706.012164351851</c:v>
                </c:pt>
                <c:pt idx="115">
                  <c:v>43706.014374999999</c:v>
                </c:pt>
                <c:pt idx="116">
                  <c:v>43706.041979166665</c:v>
                </c:pt>
                <c:pt idx="117">
                  <c:v>43706.04347222222</c:v>
                </c:pt>
                <c:pt idx="118">
                  <c:v>43706.348495370374</c:v>
                </c:pt>
                <c:pt idx="119">
                  <c:v>43706.350590277776</c:v>
                </c:pt>
                <c:pt idx="120">
                  <c:v>43706.453703703701</c:v>
                </c:pt>
                <c:pt idx="121">
                  <c:v>43706.455763888887</c:v>
                </c:pt>
                <c:pt idx="122">
                  <c:v>43706.570034722223</c:v>
                </c:pt>
                <c:pt idx="123">
                  <c:v>43706.572210648148</c:v>
                </c:pt>
                <c:pt idx="124">
                  <c:v>43706.714166666665</c:v>
                </c:pt>
                <c:pt idx="125">
                  <c:v>43706.716192129628</c:v>
                </c:pt>
                <c:pt idx="126">
                  <c:v>43706.760127314818</c:v>
                </c:pt>
                <c:pt idx="127">
                  <c:v>43706.762164351851</c:v>
                </c:pt>
                <c:pt idx="128">
                  <c:v>43706.83697916667</c:v>
                </c:pt>
                <c:pt idx="129">
                  <c:v>43706.841307870367</c:v>
                </c:pt>
                <c:pt idx="130">
                  <c:v>43706.951956018522</c:v>
                </c:pt>
                <c:pt idx="131">
                  <c:v>43706.954386574071</c:v>
                </c:pt>
                <c:pt idx="132">
                  <c:v>43707.008067129631</c:v>
                </c:pt>
                <c:pt idx="133">
                  <c:v>43707.010081018518</c:v>
                </c:pt>
                <c:pt idx="134">
                  <c:v>43707.050324074073</c:v>
                </c:pt>
                <c:pt idx="135">
                  <c:v>43707.052372685182</c:v>
                </c:pt>
                <c:pt idx="136">
                  <c:v>43707.31145833333</c:v>
                </c:pt>
                <c:pt idx="137">
                  <c:v>43707.314571759256</c:v>
                </c:pt>
                <c:pt idx="138">
                  <c:v>43707.391469907408</c:v>
                </c:pt>
                <c:pt idx="139">
                  <c:v>43707.393680555557</c:v>
                </c:pt>
                <c:pt idx="140">
                  <c:v>43707.557962962965</c:v>
                </c:pt>
                <c:pt idx="141">
                  <c:v>43707.564884259256</c:v>
                </c:pt>
                <c:pt idx="142">
                  <c:v>43707.645127314812</c:v>
                </c:pt>
                <c:pt idx="143">
                  <c:v>43707.647372685184</c:v>
                </c:pt>
                <c:pt idx="144">
                  <c:v>43707.66609953704</c:v>
                </c:pt>
                <c:pt idx="145">
                  <c:v>43707.668298611112</c:v>
                </c:pt>
                <c:pt idx="146">
                  <c:v>43707.701192129629</c:v>
                </c:pt>
                <c:pt idx="147">
                  <c:v>43707.705381944441</c:v>
                </c:pt>
                <c:pt idx="148">
                  <c:v>43708.330671296295</c:v>
                </c:pt>
                <c:pt idx="149">
                  <c:v>43708.333194444444</c:v>
                </c:pt>
                <c:pt idx="150">
                  <c:v>43708.413877314815</c:v>
                </c:pt>
                <c:pt idx="151">
                  <c:v>43708.418611111112</c:v>
                </c:pt>
                <c:pt idx="152">
                  <c:v>43708.500335648147</c:v>
                </c:pt>
                <c:pt idx="153">
                  <c:v>43708.507719907408</c:v>
                </c:pt>
                <c:pt idx="154">
                  <c:v>43708.584976851853</c:v>
                </c:pt>
                <c:pt idx="155">
                  <c:v>43708.587187500001</c:v>
                </c:pt>
                <c:pt idx="156">
                  <c:v>43708.66777777778</c:v>
                </c:pt>
                <c:pt idx="157">
                  <c:v>43708.670648148145</c:v>
                </c:pt>
                <c:pt idx="158">
                  <c:v>43711.344143518516</c:v>
                </c:pt>
                <c:pt idx="159">
                  <c:v>43711.352951388886</c:v>
                </c:pt>
                <c:pt idx="160">
                  <c:v>43711.456793981481</c:v>
                </c:pt>
                <c:pt idx="161">
                  <c:v>43711.458854166667</c:v>
                </c:pt>
                <c:pt idx="162">
                  <c:v>43711.551770833335</c:v>
                </c:pt>
                <c:pt idx="163">
                  <c:v>43711.554085648146</c:v>
                </c:pt>
                <c:pt idx="164">
                  <c:v>43711.564733796295</c:v>
                </c:pt>
                <c:pt idx="165">
                  <c:v>43711.566782407404</c:v>
                </c:pt>
                <c:pt idx="166">
                  <c:v>43711.634756944448</c:v>
                </c:pt>
                <c:pt idx="167">
                  <c:v>43711.636759259258</c:v>
                </c:pt>
                <c:pt idx="168">
                  <c:v>43711.765949074077</c:v>
                </c:pt>
                <c:pt idx="169">
                  <c:v>43711.767997685187</c:v>
                </c:pt>
                <c:pt idx="170">
                  <c:v>43711.806886574072</c:v>
                </c:pt>
                <c:pt idx="171">
                  <c:v>43711.809027777781</c:v>
                </c:pt>
                <c:pt idx="172">
                  <c:v>43711.891516203701</c:v>
                </c:pt>
                <c:pt idx="173">
                  <c:v>43711.893611111111</c:v>
                </c:pt>
                <c:pt idx="174">
                  <c:v>43711.984583333331</c:v>
                </c:pt>
                <c:pt idx="175">
                  <c:v>43711.986643518518</c:v>
                </c:pt>
                <c:pt idx="176">
                  <c:v>43712.054629629631</c:v>
                </c:pt>
                <c:pt idx="177">
                  <c:v>43712.056643518517</c:v>
                </c:pt>
                <c:pt idx="178">
                  <c:v>43712.333923611113</c:v>
                </c:pt>
                <c:pt idx="179">
                  <c:v>43712.336053240739</c:v>
                </c:pt>
              </c:numCache>
            </c:numRef>
          </c:xVal>
          <c:yVal>
            <c:numRef>
              <c:f>'AMP4-2'!$AI$9:$AI$188</c:f>
              <c:numCache>
                <c:formatCode>General</c:formatCode>
                <c:ptCount val="180"/>
                <c:pt idx="0">
                  <c:v>-2.8000000000000001E-2</c:v>
                </c:pt>
                <c:pt idx="1">
                  <c:v>-0.186</c:v>
                </c:pt>
                <c:pt idx="2">
                  <c:v>0.13500000000000001</c:v>
                </c:pt>
                <c:pt idx="3">
                  <c:v>0.13</c:v>
                </c:pt>
                <c:pt idx="4">
                  <c:v>-1.0999999999999999E-2</c:v>
                </c:pt>
                <c:pt idx="5">
                  <c:v>2.7E-2</c:v>
                </c:pt>
                <c:pt idx="6">
                  <c:v>4.1000000000000002E-2</c:v>
                </c:pt>
                <c:pt idx="7">
                  <c:v>-0.02</c:v>
                </c:pt>
                <c:pt idx="8">
                  <c:v>0.04</c:v>
                </c:pt>
                <c:pt idx="9">
                  <c:v>-0.01</c:v>
                </c:pt>
                <c:pt idx="10">
                  <c:v>-0.109</c:v>
                </c:pt>
                <c:pt idx="11">
                  <c:v>-4.2999999999999997E-2</c:v>
                </c:pt>
                <c:pt idx="12">
                  <c:v>0.01</c:v>
                </c:pt>
                <c:pt idx="13">
                  <c:v>-2.9000000000000001E-2</c:v>
                </c:pt>
                <c:pt idx="14">
                  <c:v>-1.7000000000000001E-2</c:v>
                </c:pt>
                <c:pt idx="15">
                  <c:v>7.8E-2</c:v>
                </c:pt>
                <c:pt idx="16">
                  <c:v>-0.151</c:v>
                </c:pt>
                <c:pt idx="17">
                  <c:v>3.0000000000000001E-3</c:v>
                </c:pt>
                <c:pt idx="18">
                  <c:v>-4.2000000000000003E-2</c:v>
                </c:pt>
                <c:pt idx="19">
                  <c:v>-2.7E-2</c:v>
                </c:pt>
                <c:pt idx="20">
                  <c:v>-8.2000000000000003E-2</c:v>
                </c:pt>
                <c:pt idx="21">
                  <c:v>-0.14199999999999999</c:v>
                </c:pt>
                <c:pt idx="22">
                  <c:v>-0.152</c:v>
                </c:pt>
                <c:pt idx="23">
                  <c:v>-0.126</c:v>
                </c:pt>
                <c:pt idx="24">
                  <c:v>-0.151</c:v>
                </c:pt>
                <c:pt idx="25">
                  <c:v>-0.129</c:v>
                </c:pt>
                <c:pt idx="26">
                  <c:v>2.9000000000000001E-2</c:v>
                </c:pt>
                <c:pt idx="27">
                  <c:v>-4.5999999999999999E-2</c:v>
                </c:pt>
                <c:pt idx="28">
                  <c:v>-7.1999999999999995E-2</c:v>
                </c:pt>
                <c:pt idx="29">
                  <c:v>-7.3999999999999996E-2</c:v>
                </c:pt>
                <c:pt idx="30">
                  <c:v>-8.7999999999999995E-2</c:v>
                </c:pt>
                <c:pt idx="31">
                  <c:v>-0.14399999999999999</c:v>
                </c:pt>
                <c:pt idx="32">
                  <c:v>-0.158</c:v>
                </c:pt>
                <c:pt idx="33">
                  <c:v>-0.32500000000000001</c:v>
                </c:pt>
                <c:pt idx="34">
                  <c:v>-8.0000000000000002E-3</c:v>
                </c:pt>
                <c:pt idx="35">
                  <c:v>-0.26100000000000001</c:v>
                </c:pt>
                <c:pt idx="36">
                  <c:v>-7.3999999999999996E-2</c:v>
                </c:pt>
                <c:pt idx="37">
                  <c:v>-0.113</c:v>
                </c:pt>
                <c:pt idx="38">
                  <c:v>-6.0000000000000001E-3</c:v>
                </c:pt>
                <c:pt idx="39">
                  <c:v>1.7999999999999999E-2</c:v>
                </c:pt>
                <c:pt idx="40">
                  <c:v>-8.5999999999999993E-2</c:v>
                </c:pt>
                <c:pt idx="41">
                  <c:v>-0.13200000000000001</c:v>
                </c:pt>
                <c:pt idx="42">
                  <c:v>0.03</c:v>
                </c:pt>
                <c:pt idx="43">
                  <c:v>2.7E-2</c:v>
                </c:pt>
                <c:pt idx="44">
                  <c:v>1.2E-2</c:v>
                </c:pt>
                <c:pt idx="45">
                  <c:v>-4.2000000000000003E-2</c:v>
                </c:pt>
                <c:pt idx="46">
                  <c:v>1.2E-2</c:v>
                </c:pt>
                <c:pt idx="47">
                  <c:v>-6.5000000000000002E-2</c:v>
                </c:pt>
                <c:pt idx="48">
                  <c:v>-3.1E-2</c:v>
                </c:pt>
                <c:pt idx="49">
                  <c:v>5.0000000000000001E-3</c:v>
                </c:pt>
                <c:pt idx="50">
                  <c:v>2.7E-2</c:v>
                </c:pt>
                <c:pt idx="51">
                  <c:v>-0.105</c:v>
                </c:pt>
                <c:pt idx="52">
                  <c:v>0.161</c:v>
                </c:pt>
                <c:pt idx="53">
                  <c:v>4.0000000000000001E-3</c:v>
                </c:pt>
                <c:pt idx="54">
                  <c:v>3.5000000000000003E-2</c:v>
                </c:pt>
                <c:pt idx="55">
                  <c:v>4.3999999999999997E-2</c:v>
                </c:pt>
                <c:pt idx="56">
                  <c:v>7.4999999999999997E-2</c:v>
                </c:pt>
                <c:pt idx="57">
                  <c:v>-3.4000000000000002E-2</c:v>
                </c:pt>
                <c:pt idx="58">
                  <c:v>4.2000000000000003E-2</c:v>
                </c:pt>
                <c:pt idx="59">
                  <c:v>-0.14799999999999999</c:v>
                </c:pt>
                <c:pt idx="60">
                  <c:v>-6.5000000000000002E-2</c:v>
                </c:pt>
                <c:pt idx="61">
                  <c:v>-9.4E-2</c:v>
                </c:pt>
                <c:pt idx="62">
                  <c:v>-1.2E-2</c:v>
                </c:pt>
                <c:pt idx="63">
                  <c:v>4.3999999999999997E-2</c:v>
                </c:pt>
                <c:pt idx="64">
                  <c:v>-3.7999999999999999E-2</c:v>
                </c:pt>
                <c:pt idx="65">
                  <c:v>-2.7E-2</c:v>
                </c:pt>
                <c:pt idx="66">
                  <c:v>1.6E-2</c:v>
                </c:pt>
                <c:pt idx="67">
                  <c:v>3.3000000000000002E-2</c:v>
                </c:pt>
                <c:pt idx="68">
                  <c:v>-6.2E-2</c:v>
                </c:pt>
                <c:pt idx="69">
                  <c:v>-2.5000000000000001E-2</c:v>
                </c:pt>
                <c:pt idx="70">
                  <c:v>-0.245</c:v>
                </c:pt>
                <c:pt idx="71">
                  <c:v>-0.13700000000000001</c:v>
                </c:pt>
                <c:pt idx="72">
                  <c:v>-6.9000000000000006E-2</c:v>
                </c:pt>
                <c:pt idx="73">
                  <c:v>9.1999999999999998E-2</c:v>
                </c:pt>
                <c:pt idx="74">
                  <c:v>4.9000000000000002E-2</c:v>
                </c:pt>
                <c:pt idx="75">
                  <c:v>0.161</c:v>
                </c:pt>
                <c:pt idx="76">
                  <c:v>3.0000000000000001E-3</c:v>
                </c:pt>
                <c:pt idx="77">
                  <c:v>0.14099999999999999</c:v>
                </c:pt>
                <c:pt idx="78">
                  <c:v>-1.4999999999999999E-2</c:v>
                </c:pt>
                <c:pt idx="79">
                  <c:v>0.11700000000000001</c:v>
                </c:pt>
                <c:pt idx="80">
                  <c:v>-8.5000000000000006E-2</c:v>
                </c:pt>
                <c:pt idx="81">
                  <c:v>0.113</c:v>
                </c:pt>
                <c:pt idx="82">
                  <c:v>-5.2999999999999999E-2</c:v>
                </c:pt>
                <c:pt idx="83">
                  <c:v>6.2E-2</c:v>
                </c:pt>
                <c:pt idx="84">
                  <c:v>-6.0999999999999999E-2</c:v>
                </c:pt>
                <c:pt idx="85">
                  <c:v>5.2999999999999999E-2</c:v>
                </c:pt>
                <c:pt idx="86">
                  <c:v>-5.3999999999999999E-2</c:v>
                </c:pt>
                <c:pt idx="87">
                  <c:v>3.1E-2</c:v>
                </c:pt>
                <c:pt idx="88">
                  <c:v>-0.04</c:v>
                </c:pt>
                <c:pt idx="89">
                  <c:v>0.113</c:v>
                </c:pt>
                <c:pt idx="90">
                  <c:v>-0.13800000000000001</c:v>
                </c:pt>
                <c:pt idx="91">
                  <c:v>0.04</c:v>
                </c:pt>
                <c:pt idx="92">
                  <c:v>-0.16400000000000001</c:v>
                </c:pt>
                <c:pt idx="93">
                  <c:v>3.3000000000000002E-2</c:v>
                </c:pt>
                <c:pt idx="94">
                  <c:v>-0.104</c:v>
                </c:pt>
                <c:pt idx="95">
                  <c:v>-5.8000000000000003E-2</c:v>
                </c:pt>
                <c:pt idx="96">
                  <c:v>-0.121</c:v>
                </c:pt>
                <c:pt idx="97">
                  <c:v>-6.0000000000000001E-3</c:v>
                </c:pt>
                <c:pt idx="98">
                  <c:v>-8.1000000000000003E-2</c:v>
                </c:pt>
                <c:pt idx="99">
                  <c:v>-1.6E-2</c:v>
                </c:pt>
                <c:pt idx="100">
                  <c:v>-1.6E-2</c:v>
                </c:pt>
                <c:pt idx="101">
                  <c:v>0.13800000000000001</c:v>
                </c:pt>
                <c:pt idx="102">
                  <c:v>-0.06</c:v>
                </c:pt>
                <c:pt idx="103">
                  <c:v>7.3999999999999996E-2</c:v>
                </c:pt>
                <c:pt idx="104">
                  <c:v>2.7E-2</c:v>
                </c:pt>
                <c:pt idx="105">
                  <c:v>-5.7000000000000002E-2</c:v>
                </c:pt>
                <c:pt idx="106">
                  <c:v>2.9000000000000001E-2</c:v>
                </c:pt>
                <c:pt idx="107">
                  <c:v>4.1000000000000002E-2</c:v>
                </c:pt>
                <c:pt idx="108">
                  <c:v>-0.03</c:v>
                </c:pt>
                <c:pt idx="109">
                  <c:v>1.6E-2</c:v>
                </c:pt>
                <c:pt idx="110">
                  <c:v>-0.109</c:v>
                </c:pt>
                <c:pt idx="111">
                  <c:v>-3.1E-2</c:v>
                </c:pt>
                <c:pt idx="112">
                  <c:v>-9.0999999999999998E-2</c:v>
                </c:pt>
                <c:pt idx="113">
                  <c:v>5.2999999999999999E-2</c:v>
                </c:pt>
                <c:pt idx="114">
                  <c:v>9.6000000000000002E-2</c:v>
                </c:pt>
                <c:pt idx="115">
                  <c:v>0.08</c:v>
                </c:pt>
                <c:pt idx="116">
                  <c:v>0.108</c:v>
                </c:pt>
                <c:pt idx="117">
                  <c:v>0.11799999999999999</c:v>
                </c:pt>
                <c:pt idx="118">
                  <c:v>0.127</c:v>
                </c:pt>
                <c:pt idx="119">
                  <c:v>0.113</c:v>
                </c:pt>
                <c:pt idx="120">
                  <c:v>0.107</c:v>
                </c:pt>
                <c:pt idx="121">
                  <c:v>0.26400000000000001</c:v>
                </c:pt>
                <c:pt idx="122">
                  <c:v>7.0000000000000001E-3</c:v>
                </c:pt>
                <c:pt idx="123">
                  <c:v>0.17299999999999999</c:v>
                </c:pt>
                <c:pt idx="124">
                  <c:v>6.4000000000000001E-2</c:v>
                </c:pt>
                <c:pt idx="125">
                  <c:v>7.4999999999999997E-2</c:v>
                </c:pt>
                <c:pt idx="126">
                  <c:v>-1.4999999999999999E-2</c:v>
                </c:pt>
                <c:pt idx="127">
                  <c:v>5.8000000000000003E-2</c:v>
                </c:pt>
                <c:pt idx="128">
                  <c:v>0.16900000000000001</c:v>
                </c:pt>
                <c:pt idx="129">
                  <c:v>-0.01</c:v>
                </c:pt>
                <c:pt idx="130">
                  <c:v>0.03</c:v>
                </c:pt>
                <c:pt idx="131">
                  <c:v>0.10299999999999999</c:v>
                </c:pt>
                <c:pt idx="132">
                  <c:v>0.11600000000000001</c:v>
                </c:pt>
                <c:pt idx="133">
                  <c:v>0.20100000000000001</c:v>
                </c:pt>
                <c:pt idx="134">
                  <c:v>7.2999999999999995E-2</c:v>
                </c:pt>
                <c:pt idx="135">
                  <c:v>0.11</c:v>
                </c:pt>
                <c:pt idx="136">
                  <c:v>0.106</c:v>
                </c:pt>
                <c:pt idx="137">
                  <c:v>0.14799999999999999</c:v>
                </c:pt>
                <c:pt idx="138">
                  <c:v>-5.8000000000000003E-2</c:v>
                </c:pt>
                <c:pt idx="139">
                  <c:v>8.5999999999999993E-2</c:v>
                </c:pt>
                <c:pt idx="140">
                  <c:v>-0.01</c:v>
                </c:pt>
                <c:pt idx="141">
                  <c:v>0.06</c:v>
                </c:pt>
                <c:pt idx="142">
                  <c:v>-4.8000000000000001E-2</c:v>
                </c:pt>
                <c:pt idx="143">
                  <c:v>1E-3</c:v>
                </c:pt>
                <c:pt idx="144">
                  <c:v>6.9000000000000006E-2</c:v>
                </c:pt>
                <c:pt idx="145">
                  <c:v>0.06</c:v>
                </c:pt>
                <c:pt idx="146">
                  <c:v>0.08</c:v>
                </c:pt>
                <c:pt idx="147">
                  <c:v>-6.6000000000000003E-2</c:v>
                </c:pt>
                <c:pt idx="148">
                  <c:v>0.155</c:v>
                </c:pt>
                <c:pt idx="149">
                  <c:v>4.5999999999999999E-2</c:v>
                </c:pt>
                <c:pt idx="150">
                  <c:v>2.3E-2</c:v>
                </c:pt>
                <c:pt idx="151">
                  <c:v>3.2000000000000001E-2</c:v>
                </c:pt>
                <c:pt idx="152">
                  <c:v>3.5000000000000003E-2</c:v>
                </c:pt>
                <c:pt idx="153">
                  <c:v>3.1E-2</c:v>
                </c:pt>
                <c:pt idx="154">
                  <c:v>1.6E-2</c:v>
                </c:pt>
                <c:pt idx="155">
                  <c:v>2E-3</c:v>
                </c:pt>
                <c:pt idx="156">
                  <c:v>3.1E-2</c:v>
                </c:pt>
                <c:pt idx="157">
                  <c:v>-4.1000000000000002E-2</c:v>
                </c:pt>
                <c:pt idx="158">
                  <c:v>-4.8000000000000001E-2</c:v>
                </c:pt>
                <c:pt idx="159">
                  <c:v>0.11</c:v>
                </c:pt>
                <c:pt idx="160">
                  <c:v>0.11899999999999999</c:v>
                </c:pt>
                <c:pt idx="161">
                  <c:v>0.17399999999999999</c:v>
                </c:pt>
                <c:pt idx="162">
                  <c:v>0.124</c:v>
                </c:pt>
                <c:pt idx="163">
                  <c:v>0.189</c:v>
                </c:pt>
                <c:pt idx="164">
                  <c:v>0.25600000000000001</c:v>
                </c:pt>
                <c:pt idx="165">
                  <c:v>6.4000000000000001E-2</c:v>
                </c:pt>
                <c:pt idx="166">
                  <c:v>2.8000000000000001E-2</c:v>
                </c:pt>
                <c:pt idx="167">
                  <c:v>0.14799999999999999</c:v>
                </c:pt>
                <c:pt idx="168">
                  <c:v>0.08</c:v>
                </c:pt>
                <c:pt idx="169">
                  <c:v>0.13900000000000001</c:v>
                </c:pt>
                <c:pt idx="170">
                  <c:v>7.8E-2</c:v>
                </c:pt>
                <c:pt idx="171">
                  <c:v>7.2999999999999995E-2</c:v>
                </c:pt>
                <c:pt idx="172">
                  <c:v>0.106</c:v>
                </c:pt>
                <c:pt idx="173">
                  <c:v>2.5999999999999999E-2</c:v>
                </c:pt>
                <c:pt idx="174">
                  <c:v>0.11</c:v>
                </c:pt>
                <c:pt idx="175">
                  <c:v>6.5000000000000002E-2</c:v>
                </c:pt>
                <c:pt idx="176">
                  <c:v>3.7999999999999999E-2</c:v>
                </c:pt>
                <c:pt idx="177">
                  <c:v>-5.2999999999999999E-2</c:v>
                </c:pt>
                <c:pt idx="178">
                  <c:v>0.13200000000000001</c:v>
                </c:pt>
                <c:pt idx="179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BF-4569-8F20-39AADE83A83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('AMP4-2'!$AI$4,'AMP4-2'!$AI$4)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BF-4569-8F20-39AADE83A83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('AMP4-2'!$C$1,'AMP4-2'!$C$2)</c:f>
              <c:numCache>
                <c:formatCode>m/d/yy\ h:mm;@</c:formatCode>
                <c:ptCount val="2"/>
                <c:pt idx="0">
                  <c:v>43698.507372685184</c:v>
                </c:pt>
                <c:pt idx="1">
                  <c:v>43712.336053240739</c:v>
                </c:pt>
              </c:numCache>
            </c:numRef>
          </c:xVal>
          <c:yVal>
            <c:numRef>
              <c:f>('AMP4-2'!$AI$5,'AMP4-2'!$AI$5)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BF-4569-8F20-39AADE83A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58736"/>
        <c:axId val="475859128"/>
      </c:scatterChart>
      <c:valAx>
        <c:axId val="47585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59128"/>
        <c:crosses val="autoZero"/>
        <c:crossBetween val="midCat"/>
      </c:valAx>
      <c:valAx>
        <c:axId val="4758591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5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'AMP4-4'!$F$8</c:f>
              <c:strCache>
                <c:ptCount val="1"/>
                <c:pt idx="0">
                  <c:v>Dim 1_1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'AMP4-4'!$F$9:$F$176</c:f>
              <c:numCache>
                <c:formatCode>General</c:formatCode>
                <c:ptCount val="168"/>
                <c:pt idx="0">
                  <c:v>41.552999999999997</c:v>
                </c:pt>
                <c:pt idx="2">
                  <c:v>41.533000000000001</c:v>
                </c:pt>
                <c:pt idx="4">
                  <c:v>41.63</c:v>
                </c:pt>
                <c:pt idx="6">
                  <c:v>41.521999999999998</c:v>
                </c:pt>
                <c:pt idx="8">
                  <c:v>41.435000000000002</c:v>
                </c:pt>
                <c:pt idx="10">
                  <c:v>41.497</c:v>
                </c:pt>
                <c:pt idx="12">
                  <c:v>41.399000000000001</c:v>
                </c:pt>
                <c:pt idx="14">
                  <c:v>41.326000000000001</c:v>
                </c:pt>
                <c:pt idx="16">
                  <c:v>41.485999999999997</c:v>
                </c:pt>
                <c:pt idx="18">
                  <c:v>41.545000000000002</c:v>
                </c:pt>
                <c:pt idx="20">
                  <c:v>41.323</c:v>
                </c:pt>
                <c:pt idx="22">
                  <c:v>41.381</c:v>
                </c:pt>
                <c:pt idx="24">
                  <c:v>41.326999999999998</c:v>
                </c:pt>
                <c:pt idx="26">
                  <c:v>41.317999999999998</c:v>
                </c:pt>
                <c:pt idx="28">
                  <c:v>41.656999999999996</c:v>
                </c:pt>
                <c:pt idx="30">
                  <c:v>41.551000000000002</c:v>
                </c:pt>
                <c:pt idx="32">
                  <c:v>41.6</c:v>
                </c:pt>
                <c:pt idx="34">
                  <c:v>41.454000000000001</c:v>
                </c:pt>
                <c:pt idx="36">
                  <c:v>41.523000000000003</c:v>
                </c:pt>
                <c:pt idx="38">
                  <c:v>41.462000000000003</c:v>
                </c:pt>
                <c:pt idx="40">
                  <c:v>41.506</c:v>
                </c:pt>
                <c:pt idx="42">
                  <c:v>41.545000000000002</c:v>
                </c:pt>
                <c:pt idx="44">
                  <c:v>41.613</c:v>
                </c:pt>
                <c:pt idx="46">
                  <c:v>41.453000000000003</c:v>
                </c:pt>
                <c:pt idx="48">
                  <c:v>41.506999999999998</c:v>
                </c:pt>
                <c:pt idx="50">
                  <c:v>41.481000000000002</c:v>
                </c:pt>
                <c:pt idx="52">
                  <c:v>41.593000000000004</c:v>
                </c:pt>
                <c:pt idx="54">
                  <c:v>41.555999999999997</c:v>
                </c:pt>
                <c:pt idx="56">
                  <c:v>41.545999999999999</c:v>
                </c:pt>
                <c:pt idx="58">
                  <c:v>41.383000000000003</c:v>
                </c:pt>
                <c:pt idx="60">
                  <c:v>41.529000000000003</c:v>
                </c:pt>
                <c:pt idx="62">
                  <c:v>41.548999999999999</c:v>
                </c:pt>
                <c:pt idx="64">
                  <c:v>41.384999999999998</c:v>
                </c:pt>
                <c:pt idx="66">
                  <c:v>41.468000000000004</c:v>
                </c:pt>
                <c:pt idx="68">
                  <c:v>41.552</c:v>
                </c:pt>
                <c:pt idx="70">
                  <c:v>41.444000000000003</c:v>
                </c:pt>
                <c:pt idx="72">
                  <c:v>41.396000000000001</c:v>
                </c:pt>
                <c:pt idx="74">
                  <c:v>41.264000000000003</c:v>
                </c:pt>
                <c:pt idx="76">
                  <c:v>41.435000000000002</c:v>
                </c:pt>
                <c:pt idx="78">
                  <c:v>41.27</c:v>
                </c:pt>
                <c:pt idx="80">
                  <c:v>41.262</c:v>
                </c:pt>
                <c:pt idx="82">
                  <c:v>41.463000000000001</c:v>
                </c:pt>
                <c:pt idx="84">
                  <c:v>41.28</c:v>
                </c:pt>
                <c:pt idx="86">
                  <c:v>41.37</c:v>
                </c:pt>
                <c:pt idx="88">
                  <c:v>41.311</c:v>
                </c:pt>
                <c:pt idx="90">
                  <c:v>41.286000000000001</c:v>
                </c:pt>
                <c:pt idx="92">
                  <c:v>41.351999999999997</c:v>
                </c:pt>
                <c:pt idx="94">
                  <c:v>41.280999999999999</c:v>
                </c:pt>
                <c:pt idx="96">
                  <c:v>41.234000000000002</c:v>
                </c:pt>
                <c:pt idx="98">
                  <c:v>41.344999999999999</c:v>
                </c:pt>
                <c:pt idx="100">
                  <c:v>41.313000000000002</c:v>
                </c:pt>
                <c:pt idx="102">
                  <c:v>41.265999999999998</c:v>
                </c:pt>
                <c:pt idx="104">
                  <c:v>41.137999999999998</c:v>
                </c:pt>
                <c:pt idx="106">
                  <c:v>41.143999999999998</c:v>
                </c:pt>
                <c:pt idx="108">
                  <c:v>41.26</c:v>
                </c:pt>
                <c:pt idx="110">
                  <c:v>41.421999999999997</c:v>
                </c:pt>
                <c:pt idx="112">
                  <c:v>41.523000000000003</c:v>
                </c:pt>
                <c:pt idx="114">
                  <c:v>41.39</c:v>
                </c:pt>
                <c:pt idx="116">
                  <c:v>41.348999999999997</c:v>
                </c:pt>
                <c:pt idx="118">
                  <c:v>41.485999999999997</c:v>
                </c:pt>
                <c:pt idx="120">
                  <c:v>41.432000000000002</c:v>
                </c:pt>
                <c:pt idx="122">
                  <c:v>41.442999999999998</c:v>
                </c:pt>
                <c:pt idx="124">
                  <c:v>41.396000000000001</c:v>
                </c:pt>
                <c:pt idx="126">
                  <c:v>41.594000000000001</c:v>
                </c:pt>
                <c:pt idx="128">
                  <c:v>41.387999999999998</c:v>
                </c:pt>
                <c:pt idx="130">
                  <c:v>41.279000000000003</c:v>
                </c:pt>
                <c:pt idx="132">
                  <c:v>41.295999999999999</c:v>
                </c:pt>
                <c:pt idx="134">
                  <c:v>41.412999999999997</c:v>
                </c:pt>
                <c:pt idx="136">
                  <c:v>41.374000000000002</c:v>
                </c:pt>
                <c:pt idx="138">
                  <c:v>41.444000000000003</c:v>
                </c:pt>
                <c:pt idx="140">
                  <c:v>41.273000000000003</c:v>
                </c:pt>
                <c:pt idx="142">
                  <c:v>41.252000000000002</c:v>
                </c:pt>
                <c:pt idx="144">
                  <c:v>41.271000000000001</c:v>
                </c:pt>
                <c:pt idx="146">
                  <c:v>41.387999999999998</c:v>
                </c:pt>
                <c:pt idx="148">
                  <c:v>41.220999999999997</c:v>
                </c:pt>
                <c:pt idx="150">
                  <c:v>41.314</c:v>
                </c:pt>
                <c:pt idx="152">
                  <c:v>41.387</c:v>
                </c:pt>
                <c:pt idx="154">
                  <c:v>41.414999999999999</c:v>
                </c:pt>
                <c:pt idx="156">
                  <c:v>41.314999999999998</c:v>
                </c:pt>
                <c:pt idx="158">
                  <c:v>41.276000000000003</c:v>
                </c:pt>
                <c:pt idx="160">
                  <c:v>41.267000000000003</c:v>
                </c:pt>
                <c:pt idx="162">
                  <c:v>41.218000000000004</c:v>
                </c:pt>
                <c:pt idx="164">
                  <c:v>41.316000000000003</c:v>
                </c:pt>
                <c:pt idx="166">
                  <c:v>41.283999999999999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44-443D-8510-8802D01B4101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744-443D-8510-8802D01B4101}"/>
              </c:ext>
            </c:extLst>
          </c:dPt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('AMP4-4'!$F$4,'AMP4-4'!$F$4)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44-443D-8510-8802D01B4101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44-443D-8510-8802D01B4101}"/>
              </c:ext>
            </c:extLst>
          </c:dPt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('AMP4-4'!$F$5,'AMP4-4'!$F$5)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44-443D-8510-8802D01B4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0696"/>
        <c:axId val="475861088"/>
      </c:scatterChart>
      <c:valAx>
        <c:axId val="475860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1088"/>
        <c:crosses val="autoZero"/>
        <c:crossBetween val="midCat"/>
      </c:valAx>
      <c:valAx>
        <c:axId val="4758610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'AMP4-4'!$G$8</c:f>
              <c:strCache>
                <c:ptCount val="1"/>
                <c:pt idx="0">
                  <c:v>Dim 1_2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'AMP4-4'!$G$9:$G$176</c:f>
              <c:numCache>
                <c:formatCode>General</c:formatCode>
                <c:ptCount val="168"/>
                <c:pt idx="0">
                  <c:v>41.639000000000003</c:v>
                </c:pt>
                <c:pt idx="2">
                  <c:v>41.61</c:v>
                </c:pt>
                <c:pt idx="4">
                  <c:v>41.561</c:v>
                </c:pt>
                <c:pt idx="6">
                  <c:v>41.460999999999999</c:v>
                </c:pt>
                <c:pt idx="8">
                  <c:v>41.343000000000004</c:v>
                </c:pt>
                <c:pt idx="10">
                  <c:v>41.463000000000001</c:v>
                </c:pt>
                <c:pt idx="12">
                  <c:v>41.320999999999998</c:v>
                </c:pt>
                <c:pt idx="14">
                  <c:v>41.32</c:v>
                </c:pt>
                <c:pt idx="16">
                  <c:v>41.470999999999997</c:v>
                </c:pt>
                <c:pt idx="18">
                  <c:v>41.609000000000002</c:v>
                </c:pt>
                <c:pt idx="20">
                  <c:v>41.268999999999998</c:v>
                </c:pt>
                <c:pt idx="22">
                  <c:v>41.448</c:v>
                </c:pt>
                <c:pt idx="24">
                  <c:v>41.305</c:v>
                </c:pt>
                <c:pt idx="26">
                  <c:v>41.427</c:v>
                </c:pt>
                <c:pt idx="28">
                  <c:v>41.604999999999997</c:v>
                </c:pt>
                <c:pt idx="30">
                  <c:v>41.463000000000001</c:v>
                </c:pt>
                <c:pt idx="32">
                  <c:v>41.470999999999997</c:v>
                </c:pt>
                <c:pt idx="34">
                  <c:v>41.533999999999999</c:v>
                </c:pt>
                <c:pt idx="36">
                  <c:v>41.427999999999997</c:v>
                </c:pt>
                <c:pt idx="38">
                  <c:v>41.441000000000003</c:v>
                </c:pt>
                <c:pt idx="40">
                  <c:v>41.484999999999999</c:v>
                </c:pt>
                <c:pt idx="42">
                  <c:v>41.503</c:v>
                </c:pt>
                <c:pt idx="44">
                  <c:v>41.613</c:v>
                </c:pt>
                <c:pt idx="46">
                  <c:v>41.640999999999998</c:v>
                </c:pt>
                <c:pt idx="48">
                  <c:v>41.48</c:v>
                </c:pt>
                <c:pt idx="50">
                  <c:v>41.524000000000001</c:v>
                </c:pt>
                <c:pt idx="52">
                  <c:v>41.634999999999998</c:v>
                </c:pt>
                <c:pt idx="54">
                  <c:v>41.526000000000003</c:v>
                </c:pt>
                <c:pt idx="56">
                  <c:v>41.753</c:v>
                </c:pt>
                <c:pt idx="58">
                  <c:v>41.481000000000002</c:v>
                </c:pt>
                <c:pt idx="60">
                  <c:v>41.649000000000001</c:v>
                </c:pt>
                <c:pt idx="62">
                  <c:v>41.695</c:v>
                </c:pt>
                <c:pt idx="64">
                  <c:v>41.542999999999999</c:v>
                </c:pt>
                <c:pt idx="66">
                  <c:v>41.6</c:v>
                </c:pt>
                <c:pt idx="68">
                  <c:v>41.680999999999997</c:v>
                </c:pt>
                <c:pt idx="70">
                  <c:v>41.588999999999999</c:v>
                </c:pt>
                <c:pt idx="72">
                  <c:v>41.155999999999999</c:v>
                </c:pt>
                <c:pt idx="74">
                  <c:v>41.170999999999999</c:v>
                </c:pt>
                <c:pt idx="76">
                  <c:v>41.387999999999998</c:v>
                </c:pt>
                <c:pt idx="78">
                  <c:v>41.206000000000003</c:v>
                </c:pt>
                <c:pt idx="80">
                  <c:v>41.174999999999997</c:v>
                </c:pt>
                <c:pt idx="82">
                  <c:v>41.405999999999999</c:v>
                </c:pt>
                <c:pt idx="84">
                  <c:v>41.097999999999999</c:v>
                </c:pt>
                <c:pt idx="86">
                  <c:v>41.281999999999996</c:v>
                </c:pt>
                <c:pt idx="88">
                  <c:v>41.264000000000003</c:v>
                </c:pt>
                <c:pt idx="90">
                  <c:v>41.274000000000001</c:v>
                </c:pt>
                <c:pt idx="92">
                  <c:v>41.27</c:v>
                </c:pt>
                <c:pt idx="94">
                  <c:v>41.292999999999999</c:v>
                </c:pt>
                <c:pt idx="96">
                  <c:v>41.206000000000003</c:v>
                </c:pt>
                <c:pt idx="98">
                  <c:v>41.345999999999997</c:v>
                </c:pt>
                <c:pt idx="100">
                  <c:v>41.314999999999998</c:v>
                </c:pt>
                <c:pt idx="102">
                  <c:v>41.3</c:v>
                </c:pt>
                <c:pt idx="104">
                  <c:v>41.228999999999999</c:v>
                </c:pt>
                <c:pt idx="106">
                  <c:v>41.293999999999997</c:v>
                </c:pt>
                <c:pt idx="108">
                  <c:v>41.356999999999999</c:v>
                </c:pt>
                <c:pt idx="110">
                  <c:v>41.52</c:v>
                </c:pt>
                <c:pt idx="112">
                  <c:v>41.472999999999999</c:v>
                </c:pt>
                <c:pt idx="114">
                  <c:v>41.343000000000004</c:v>
                </c:pt>
                <c:pt idx="116">
                  <c:v>41.311999999999998</c:v>
                </c:pt>
                <c:pt idx="118">
                  <c:v>41.427</c:v>
                </c:pt>
                <c:pt idx="120">
                  <c:v>41.32</c:v>
                </c:pt>
                <c:pt idx="122">
                  <c:v>41.381999999999998</c:v>
                </c:pt>
                <c:pt idx="124">
                  <c:v>41.325000000000003</c:v>
                </c:pt>
                <c:pt idx="126">
                  <c:v>41.61</c:v>
                </c:pt>
                <c:pt idx="128">
                  <c:v>41.290999999999997</c:v>
                </c:pt>
                <c:pt idx="130">
                  <c:v>41.216000000000001</c:v>
                </c:pt>
                <c:pt idx="132">
                  <c:v>41.234999999999999</c:v>
                </c:pt>
                <c:pt idx="134">
                  <c:v>41.314999999999998</c:v>
                </c:pt>
                <c:pt idx="136">
                  <c:v>41.41</c:v>
                </c:pt>
                <c:pt idx="138">
                  <c:v>41.363999999999997</c:v>
                </c:pt>
                <c:pt idx="140">
                  <c:v>41.317</c:v>
                </c:pt>
                <c:pt idx="142">
                  <c:v>41.331000000000003</c:v>
                </c:pt>
                <c:pt idx="144">
                  <c:v>41.436999999999998</c:v>
                </c:pt>
                <c:pt idx="146">
                  <c:v>41.511000000000003</c:v>
                </c:pt>
                <c:pt idx="148">
                  <c:v>41.3</c:v>
                </c:pt>
                <c:pt idx="150">
                  <c:v>41.35</c:v>
                </c:pt>
                <c:pt idx="152">
                  <c:v>41.56</c:v>
                </c:pt>
                <c:pt idx="154">
                  <c:v>41.305</c:v>
                </c:pt>
                <c:pt idx="156">
                  <c:v>41.201000000000001</c:v>
                </c:pt>
                <c:pt idx="158">
                  <c:v>41.220999999999997</c:v>
                </c:pt>
                <c:pt idx="160">
                  <c:v>41.197000000000003</c:v>
                </c:pt>
                <c:pt idx="162">
                  <c:v>41.145000000000003</c:v>
                </c:pt>
                <c:pt idx="164">
                  <c:v>41.231999999999999</c:v>
                </c:pt>
                <c:pt idx="166">
                  <c:v>41.302999999999997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A-47B8-BE5E-CC634ACACD9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('AMP4-4'!$G$4,'AMP4-4'!$G$4)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EA-47B8-BE5E-CC634ACACD9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('AMP4-4'!$G$5,'AMP4-4'!$G$5)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EA-47B8-BE5E-CC634ACAC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1872"/>
        <c:axId val="475862264"/>
      </c:scatterChart>
      <c:valAx>
        <c:axId val="47586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2264"/>
        <c:crosses val="autoZero"/>
        <c:crossBetween val="midCat"/>
      </c:valAx>
      <c:valAx>
        <c:axId val="4758622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'AMP4-4'!$H$8</c:f>
              <c:strCache>
                <c:ptCount val="1"/>
                <c:pt idx="0">
                  <c:v>Dim 2_1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'AMP4-4'!$H$9:$H$176</c:f>
              <c:numCache>
                <c:formatCode>General</c:formatCode>
                <c:ptCount val="168"/>
                <c:pt idx="0">
                  <c:v>155.87799999999999</c:v>
                </c:pt>
                <c:pt idx="1">
                  <c:v>155.578</c:v>
                </c:pt>
                <c:pt idx="2">
                  <c:v>155.66</c:v>
                </c:pt>
                <c:pt idx="3">
                  <c:v>155.38900000000001</c:v>
                </c:pt>
                <c:pt idx="4">
                  <c:v>155.721</c:v>
                </c:pt>
                <c:pt idx="5">
                  <c:v>155.44300000000001</c:v>
                </c:pt>
                <c:pt idx="6">
                  <c:v>155.709</c:v>
                </c:pt>
                <c:pt idx="7">
                  <c:v>155.464</c:v>
                </c:pt>
                <c:pt idx="8">
                  <c:v>155.74600000000001</c:v>
                </c:pt>
                <c:pt idx="9">
                  <c:v>155.50800000000001</c:v>
                </c:pt>
                <c:pt idx="10">
                  <c:v>155.751</c:v>
                </c:pt>
                <c:pt idx="11">
                  <c:v>155.47200000000001</c:v>
                </c:pt>
                <c:pt idx="12">
                  <c:v>155.82900000000001</c:v>
                </c:pt>
                <c:pt idx="13">
                  <c:v>155.559</c:v>
                </c:pt>
                <c:pt idx="14">
                  <c:v>155.78299999999999</c:v>
                </c:pt>
                <c:pt idx="15">
                  <c:v>155.54599999999999</c:v>
                </c:pt>
                <c:pt idx="16">
                  <c:v>155.80699999999999</c:v>
                </c:pt>
                <c:pt idx="17">
                  <c:v>155.55699999999999</c:v>
                </c:pt>
                <c:pt idx="18">
                  <c:v>155.84299999999999</c:v>
                </c:pt>
                <c:pt idx="19">
                  <c:v>155.57900000000001</c:v>
                </c:pt>
                <c:pt idx="20">
                  <c:v>155.89599999999999</c:v>
                </c:pt>
                <c:pt idx="21">
                  <c:v>155.63900000000001</c:v>
                </c:pt>
                <c:pt idx="22">
                  <c:v>155.88200000000001</c:v>
                </c:pt>
                <c:pt idx="23">
                  <c:v>155.58699999999999</c:v>
                </c:pt>
                <c:pt idx="24">
                  <c:v>155.88200000000001</c:v>
                </c:pt>
                <c:pt idx="25">
                  <c:v>155.63399999999999</c:v>
                </c:pt>
                <c:pt idx="26">
                  <c:v>155.73699999999999</c:v>
                </c:pt>
                <c:pt idx="27">
                  <c:v>155.42400000000001</c:v>
                </c:pt>
                <c:pt idx="28">
                  <c:v>155.68100000000001</c:v>
                </c:pt>
                <c:pt idx="29">
                  <c:v>155.364</c:v>
                </c:pt>
                <c:pt idx="30">
                  <c:v>155.738</c:v>
                </c:pt>
                <c:pt idx="31">
                  <c:v>155.37799999999999</c:v>
                </c:pt>
                <c:pt idx="32">
                  <c:v>155.73400000000001</c:v>
                </c:pt>
                <c:pt idx="33">
                  <c:v>155.37</c:v>
                </c:pt>
                <c:pt idx="34">
                  <c:v>155.80699999999999</c:v>
                </c:pt>
                <c:pt idx="35">
                  <c:v>155.38800000000001</c:v>
                </c:pt>
                <c:pt idx="36">
                  <c:v>155.79</c:v>
                </c:pt>
                <c:pt idx="37">
                  <c:v>155.38900000000001</c:v>
                </c:pt>
                <c:pt idx="38">
                  <c:v>155.86500000000001</c:v>
                </c:pt>
                <c:pt idx="39">
                  <c:v>155.44999999999999</c:v>
                </c:pt>
                <c:pt idx="40">
                  <c:v>155.846</c:v>
                </c:pt>
                <c:pt idx="41">
                  <c:v>155.417</c:v>
                </c:pt>
                <c:pt idx="42">
                  <c:v>155.80799999999999</c:v>
                </c:pt>
                <c:pt idx="43">
                  <c:v>155.37200000000001</c:v>
                </c:pt>
                <c:pt idx="44">
                  <c:v>155.80699999999999</c:v>
                </c:pt>
                <c:pt idx="45">
                  <c:v>155.38399999999999</c:v>
                </c:pt>
                <c:pt idx="46">
                  <c:v>155.86600000000001</c:v>
                </c:pt>
                <c:pt idx="47">
                  <c:v>155.45599999999999</c:v>
                </c:pt>
                <c:pt idx="48">
                  <c:v>155.881</c:v>
                </c:pt>
                <c:pt idx="49">
                  <c:v>155.44499999999999</c:v>
                </c:pt>
                <c:pt idx="50">
                  <c:v>155.929</c:v>
                </c:pt>
                <c:pt idx="51">
                  <c:v>155.47</c:v>
                </c:pt>
                <c:pt idx="52">
                  <c:v>155.84</c:v>
                </c:pt>
                <c:pt idx="53">
                  <c:v>155.39099999999999</c:v>
                </c:pt>
                <c:pt idx="54">
                  <c:v>155.90100000000001</c:v>
                </c:pt>
                <c:pt idx="55">
                  <c:v>155.417</c:v>
                </c:pt>
                <c:pt idx="56">
                  <c:v>155.90700000000001</c:v>
                </c:pt>
                <c:pt idx="57">
                  <c:v>155.429</c:v>
                </c:pt>
                <c:pt idx="58">
                  <c:v>155.87200000000001</c:v>
                </c:pt>
                <c:pt idx="59">
                  <c:v>155.452</c:v>
                </c:pt>
                <c:pt idx="60">
                  <c:v>155.97499999999999</c:v>
                </c:pt>
                <c:pt idx="61">
                  <c:v>155.547</c:v>
                </c:pt>
                <c:pt idx="62">
                  <c:v>155.90700000000001</c:v>
                </c:pt>
                <c:pt idx="63">
                  <c:v>155.46799999999999</c:v>
                </c:pt>
                <c:pt idx="64">
                  <c:v>155.96</c:v>
                </c:pt>
                <c:pt idx="65">
                  <c:v>155.52799999999999</c:v>
                </c:pt>
                <c:pt idx="66">
                  <c:v>155.892</c:v>
                </c:pt>
                <c:pt idx="67">
                  <c:v>155.477</c:v>
                </c:pt>
                <c:pt idx="68">
                  <c:v>155.923</c:v>
                </c:pt>
                <c:pt idx="69">
                  <c:v>155.49700000000001</c:v>
                </c:pt>
                <c:pt idx="70">
                  <c:v>155.77000000000001</c:v>
                </c:pt>
                <c:pt idx="71">
                  <c:v>155.56200000000001</c:v>
                </c:pt>
                <c:pt idx="72">
                  <c:v>155.77099999999999</c:v>
                </c:pt>
                <c:pt idx="73">
                  <c:v>155.55600000000001</c:v>
                </c:pt>
                <c:pt idx="74">
                  <c:v>155.77699999999999</c:v>
                </c:pt>
                <c:pt idx="75">
                  <c:v>155.595</c:v>
                </c:pt>
                <c:pt idx="76">
                  <c:v>155.72499999999999</c:v>
                </c:pt>
                <c:pt idx="77">
                  <c:v>155.55699999999999</c:v>
                </c:pt>
                <c:pt idx="78">
                  <c:v>155.786</c:v>
                </c:pt>
                <c:pt idx="79">
                  <c:v>155.601</c:v>
                </c:pt>
                <c:pt idx="80">
                  <c:v>155.83500000000001</c:v>
                </c:pt>
                <c:pt idx="81">
                  <c:v>155.59399999999999</c:v>
                </c:pt>
                <c:pt idx="82">
                  <c:v>155.80500000000001</c:v>
                </c:pt>
                <c:pt idx="83">
                  <c:v>155.53299999999999</c:v>
                </c:pt>
                <c:pt idx="84">
                  <c:v>155.84800000000001</c:v>
                </c:pt>
                <c:pt idx="85">
                  <c:v>155.596</c:v>
                </c:pt>
                <c:pt idx="86">
                  <c:v>155.83199999999999</c:v>
                </c:pt>
                <c:pt idx="87">
                  <c:v>155.63399999999999</c:v>
                </c:pt>
                <c:pt idx="88">
                  <c:v>155.86500000000001</c:v>
                </c:pt>
                <c:pt idx="89">
                  <c:v>155.624</c:v>
                </c:pt>
                <c:pt idx="90">
                  <c:v>155.84299999999999</c:v>
                </c:pt>
                <c:pt idx="91">
                  <c:v>155.62299999999999</c:v>
                </c:pt>
                <c:pt idx="92">
                  <c:v>155.815</c:v>
                </c:pt>
                <c:pt idx="93">
                  <c:v>155.61600000000001</c:v>
                </c:pt>
                <c:pt idx="94">
                  <c:v>155.84899999999999</c:v>
                </c:pt>
                <c:pt idx="95">
                  <c:v>155.607</c:v>
                </c:pt>
                <c:pt idx="96">
                  <c:v>155.94</c:v>
                </c:pt>
                <c:pt idx="97">
                  <c:v>155.739</c:v>
                </c:pt>
                <c:pt idx="98">
                  <c:v>155.88499999999999</c:v>
                </c:pt>
                <c:pt idx="99">
                  <c:v>155.654</c:v>
                </c:pt>
                <c:pt idx="100">
                  <c:v>155.874</c:v>
                </c:pt>
                <c:pt idx="101">
                  <c:v>155.654</c:v>
                </c:pt>
                <c:pt idx="102">
                  <c:v>155.87799999999999</c:v>
                </c:pt>
                <c:pt idx="103">
                  <c:v>155.68100000000001</c:v>
                </c:pt>
                <c:pt idx="104">
                  <c:v>155.97300000000001</c:v>
                </c:pt>
                <c:pt idx="105">
                  <c:v>155.75700000000001</c:v>
                </c:pt>
                <c:pt idx="106">
                  <c:v>155.94900000000001</c:v>
                </c:pt>
                <c:pt idx="107">
                  <c:v>155.67500000000001</c:v>
                </c:pt>
                <c:pt idx="108">
                  <c:v>155.97999999999999</c:v>
                </c:pt>
                <c:pt idx="109">
                  <c:v>155.68700000000001</c:v>
                </c:pt>
                <c:pt idx="110">
                  <c:v>155.69900000000001</c:v>
                </c:pt>
                <c:pt idx="111">
                  <c:v>155.43199999999999</c:v>
                </c:pt>
                <c:pt idx="112">
                  <c:v>155.71</c:v>
                </c:pt>
                <c:pt idx="113">
                  <c:v>155.46799999999999</c:v>
                </c:pt>
                <c:pt idx="114">
                  <c:v>155.71199999999999</c:v>
                </c:pt>
                <c:pt idx="115">
                  <c:v>155.524</c:v>
                </c:pt>
                <c:pt idx="116">
                  <c:v>155.744</c:v>
                </c:pt>
                <c:pt idx="117">
                  <c:v>155.614</c:v>
                </c:pt>
                <c:pt idx="118">
                  <c:v>155.79900000000001</c:v>
                </c:pt>
                <c:pt idx="119">
                  <c:v>155.495</c:v>
                </c:pt>
                <c:pt idx="120">
                  <c:v>155.78399999999999</c:v>
                </c:pt>
                <c:pt idx="121">
                  <c:v>155.54400000000001</c:v>
                </c:pt>
                <c:pt idx="122">
                  <c:v>155.80600000000001</c:v>
                </c:pt>
                <c:pt idx="123">
                  <c:v>155.58799999999999</c:v>
                </c:pt>
                <c:pt idx="124">
                  <c:v>155.78899999999999</c:v>
                </c:pt>
                <c:pt idx="125">
                  <c:v>155.52699999999999</c:v>
                </c:pt>
                <c:pt idx="126">
                  <c:v>155.77699999999999</c:v>
                </c:pt>
                <c:pt idx="127">
                  <c:v>155.53100000000001</c:v>
                </c:pt>
                <c:pt idx="128">
                  <c:v>155.821</c:v>
                </c:pt>
                <c:pt idx="129">
                  <c:v>155.619</c:v>
                </c:pt>
                <c:pt idx="130">
                  <c:v>155.84700000000001</c:v>
                </c:pt>
                <c:pt idx="131">
                  <c:v>155.648</c:v>
                </c:pt>
                <c:pt idx="132">
                  <c:v>155.85</c:v>
                </c:pt>
                <c:pt idx="133">
                  <c:v>155.65</c:v>
                </c:pt>
                <c:pt idx="134">
                  <c:v>155.821</c:v>
                </c:pt>
                <c:pt idx="135">
                  <c:v>155.72</c:v>
                </c:pt>
                <c:pt idx="136">
                  <c:v>155.79400000000001</c:v>
                </c:pt>
                <c:pt idx="137">
                  <c:v>155.54900000000001</c:v>
                </c:pt>
                <c:pt idx="138">
                  <c:v>155.80699999999999</c:v>
                </c:pt>
                <c:pt idx="139">
                  <c:v>155.52600000000001</c:v>
                </c:pt>
                <c:pt idx="140">
                  <c:v>155.72399999999999</c:v>
                </c:pt>
                <c:pt idx="141">
                  <c:v>155.67500000000001</c:v>
                </c:pt>
                <c:pt idx="142">
                  <c:v>155.959</c:v>
                </c:pt>
                <c:pt idx="143">
                  <c:v>155.72800000000001</c:v>
                </c:pt>
                <c:pt idx="144">
                  <c:v>155.953</c:v>
                </c:pt>
                <c:pt idx="145">
                  <c:v>155.679</c:v>
                </c:pt>
                <c:pt idx="146">
                  <c:v>155.86600000000001</c:v>
                </c:pt>
                <c:pt idx="147">
                  <c:v>155.643</c:v>
                </c:pt>
                <c:pt idx="148">
                  <c:v>155.99700000000001</c:v>
                </c:pt>
                <c:pt idx="149">
                  <c:v>155.75</c:v>
                </c:pt>
                <c:pt idx="150">
                  <c:v>155.845</c:v>
                </c:pt>
                <c:pt idx="151">
                  <c:v>155.54300000000001</c:v>
                </c:pt>
                <c:pt idx="152">
                  <c:v>155.726</c:v>
                </c:pt>
                <c:pt idx="153">
                  <c:v>155.52799999999999</c:v>
                </c:pt>
                <c:pt idx="154">
                  <c:v>155.74100000000001</c:v>
                </c:pt>
                <c:pt idx="155">
                  <c:v>155.64699999999999</c:v>
                </c:pt>
                <c:pt idx="156">
                  <c:v>155.761</c:v>
                </c:pt>
                <c:pt idx="157">
                  <c:v>155.54499999999999</c:v>
                </c:pt>
                <c:pt idx="158">
                  <c:v>155.83199999999999</c:v>
                </c:pt>
                <c:pt idx="159">
                  <c:v>155.642</c:v>
                </c:pt>
                <c:pt idx="160">
                  <c:v>155.81</c:v>
                </c:pt>
                <c:pt idx="161">
                  <c:v>155.60900000000001</c:v>
                </c:pt>
                <c:pt idx="162">
                  <c:v>155.83500000000001</c:v>
                </c:pt>
                <c:pt idx="163">
                  <c:v>155.66200000000001</c:v>
                </c:pt>
                <c:pt idx="164">
                  <c:v>155.786</c:v>
                </c:pt>
                <c:pt idx="165">
                  <c:v>155.65199999999999</c:v>
                </c:pt>
                <c:pt idx="166">
                  <c:v>155.83600000000001</c:v>
                </c:pt>
                <c:pt idx="167">
                  <c:v>155.62700000000001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11-42D5-9BB3-1FE42D9187D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('AMP4-4'!$H$4,'AMP4-4'!$H$4)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11-42D5-9BB3-1FE42D9187D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('AMP4-4'!$H$5,'AMP4-4'!$H$5)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1-42D5-9BB3-1FE42D918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3048"/>
        <c:axId val="475863440"/>
      </c:scatterChart>
      <c:valAx>
        <c:axId val="47586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3440"/>
        <c:crosses val="autoZero"/>
        <c:crossBetween val="midCat"/>
      </c:valAx>
      <c:valAx>
        <c:axId val="4758634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'AMP4-4'!$I$8</c:f>
              <c:strCache>
                <c:ptCount val="1"/>
                <c:pt idx="0">
                  <c:v>Dim 2_2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'AMP4-4'!$I$9:$I$176</c:f>
              <c:numCache>
                <c:formatCode>General</c:formatCode>
                <c:ptCount val="168"/>
                <c:pt idx="0">
                  <c:v>155.71899999999999</c:v>
                </c:pt>
                <c:pt idx="1">
                  <c:v>155.803</c:v>
                </c:pt>
                <c:pt idx="2">
                  <c:v>155.52199999999999</c:v>
                </c:pt>
                <c:pt idx="3">
                  <c:v>155.57900000000001</c:v>
                </c:pt>
                <c:pt idx="4">
                  <c:v>155.56899999999999</c:v>
                </c:pt>
                <c:pt idx="5">
                  <c:v>155.602</c:v>
                </c:pt>
                <c:pt idx="6">
                  <c:v>155.596</c:v>
                </c:pt>
                <c:pt idx="7">
                  <c:v>155.648</c:v>
                </c:pt>
                <c:pt idx="8">
                  <c:v>155.655</c:v>
                </c:pt>
                <c:pt idx="9">
                  <c:v>155.67599999999999</c:v>
                </c:pt>
                <c:pt idx="10">
                  <c:v>155.61500000000001</c:v>
                </c:pt>
                <c:pt idx="11">
                  <c:v>155.64599999999999</c:v>
                </c:pt>
                <c:pt idx="12">
                  <c:v>155.73099999999999</c:v>
                </c:pt>
                <c:pt idx="13">
                  <c:v>155.69900000000001</c:v>
                </c:pt>
                <c:pt idx="14">
                  <c:v>155.69800000000001</c:v>
                </c:pt>
                <c:pt idx="15">
                  <c:v>155.709</c:v>
                </c:pt>
                <c:pt idx="16">
                  <c:v>155.66499999999999</c:v>
                </c:pt>
                <c:pt idx="17">
                  <c:v>155.69399999999999</c:v>
                </c:pt>
                <c:pt idx="18">
                  <c:v>155.708</c:v>
                </c:pt>
                <c:pt idx="19">
                  <c:v>155.732</c:v>
                </c:pt>
                <c:pt idx="20">
                  <c:v>155.81299999999999</c:v>
                </c:pt>
                <c:pt idx="21">
                  <c:v>155.75899999999999</c:v>
                </c:pt>
                <c:pt idx="22">
                  <c:v>155.745</c:v>
                </c:pt>
                <c:pt idx="23">
                  <c:v>155.77799999999999</c:v>
                </c:pt>
                <c:pt idx="24">
                  <c:v>155.79</c:v>
                </c:pt>
                <c:pt idx="25">
                  <c:v>155.82900000000001</c:v>
                </c:pt>
                <c:pt idx="26">
                  <c:v>155.64500000000001</c:v>
                </c:pt>
                <c:pt idx="27">
                  <c:v>155.495</c:v>
                </c:pt>
                <c:pt idx="28">
                  <c:v>155.56399999999999</c:v>
                </c:pt>
                <c:pt idx="29">
                  <c:v>155.56200000000001</c:v>
                </c:pt>
                <c:pt idx="30">
                  <c:v>155.637</c:v>
                </c:pt>
                <c:pt idx="31">
                  <c:v>155.55500000000001</c:v>
                </c:pt>
                <c:pt idx="32">
                  <c:v>155.66399999999999</c:v>
                </c:pt>
                <c:pt idx="33">
                  <c:v>155.542</c:v>
                </c:pt>
                <c:pt idx="34">
                  <c:v>155.73500000000001</c:v>
                </c:pt>
                <c:pt idx="35">
                  <c:v>155.53200000000001</c:v>
                </c:pt>
                <c:pt idx="36">
                  <c:v>155.697</c:v>
                </c:pt>
                <c:pt idx="37">
                  <c:v>155.52500000000001</c:v>
                </c:pt>
                <c:pt idx="38">
                  <c:v>155.77099999999999</c:v>
                </c:pt>
                <c:pt idx="39">
                  <c:v>155.60300000000001</c:v>
                </c:pt>
                <c:pt idx="40">
                  <c:v>155.75200000000001</c:v>
                </c:pt>
                <c:pt idx="41">
                  <c:v>155.56800000000001</c:v>
                </c:pt>
                <c:pt idx="42">
                  <c:v>155.72399999999999</c:v>
                </c:pt>
                <c:pt idx="43">
                  <c:v>155.50399999999999</c:v>
                </c:pt>
                <c:pt idx="44">
                  <c:v>155.738</c:v>
                </c:pt>
                <c:pt idx="45">
                  <c:v>155.518</c:v>
                </c:pt>
                <c:pt idx="46">
                  <c:v>155.745</c:v>
                </c:pt>
                <c:pt idx="47">
                  <c:v>155.54900000000001</c:v>
                </c:pt>
                <c:pt idx="48">
                  <c:v>155.79599999999999</c:v>
                </c:pt>
                <c:pt idx="49">
                  <c:v>155.52099999999999</c:v>
                </c:pt>
                <c:pt idx="50">
                  <c:v>155.83600000000001</c:v>
                </c:pt>
                <c:pt idx="51">
                  <c:v>155.57599999999999</c:v>
                </c:pt>
                <c:pt idx="52">
                  <c:v>155.755</c:v>
                </c:pt>
                <c:pt idx="53">
                  <c:v>155.50299999999999</c:v>
                </c:pt>
                <c:pt idx="54">
                  <c:v>155.81299999999999</c:v>
                </c:pt>
                <c:pt idx="55">
                  <c:v>155.524</c:v>
                </c:pt>
                <c:pt idx="56">
                  <c:v>155.82400000000001</c:v>
                </c:pt>
                <c:pt idx="57">
                  <c:v>155.54300000000001</c:v>
                </c:pt>
                <c:pt idx="58">
                  <c:v>155.821</c:v>
                </c:pt>
                <c:pt idx="59">
                  <c:v>155.559</c:v>
                </c:pt>
                <c:pt idx="60">
                  <c:v>155.851</c:v>
                </c:pt>
                <c:pt idx="61">
                  <c:v>155.654</c:v>
                </c:pt>
                <c:pt idx="62">
                  <c:v>155.863</c:v>
                </c:pt>
                <c:pt idx="63">
                  <c:v>155.566</c:v>
                </c:pt>
                <c:pt idx="64">
                  <c:v>155.91200000000001</c:v>
                </c:pt>
                <c:pt idx="65">
                  <c:v>155.625</c:v>
                </c:pt>
                <c:pt idx="66">
                  <c:v>155.85300000000001</c:v>
                </c:pt>
                <c:pt idx="67">
                  <c:v>155.53899999999999</c:v>
                </c:pt>
                <c:pt idx="68">
                  <c:v>155.84700000000001</c:v>
                </c:pt>
                <c:pt idx="69">
                  <c:v>155.61000000000001</c:v>
                </c:pt>
                <c:pt idx="70">
                  <c:v>155.631</c:v>
                </c:pt>
                <c:pt idx="71">
                  <c:v>155.76499999999999</c:v>
                </c:pt>
                <c:pt idx="72">
                  <c:v>155.619</c:v>
                </c:pt>
                <c:pt idx="73">
                  <c:v>155.81800000000001</c:v>
                </c:pt>
                <c:pt idx="74">
                  <c:v>155.61199999999999</c:v>
                </c:pt>
                <c:pt idx="75">
                  <c:v>155.74100000000001</c:v>
                </c:pt>
                <c:pt idx="76">
                  <c:v>155.59899999999999</c:v>
                </c:pt>
                <c:pt idx="77">
                  <c:v>155.72300000000001</c:v>
                </c:pt>
                <c:pt idx="78">
                  <c:v>155.63800000000001</c:v>
                </c:pt>
                <c:pt idx="79">
                  <c:v>155.798</c:v>
                </c:pt>
                <c:pt idx="80">
                  <c:v>155.68199999999999</c:v>
                </c:pt>
                <c:pt idx="81">
                  <c:v>155.761</c:v>
                </c:pt>
                <c:pt idx="82">
                  <c:v>155.678</c:v>
                </c:pt>
                <c:pt idx="83">
                  <c:v>155.755</c:v>
                </c:pt>
                <c:pt idx="84">
                  <c:v>155.75</c:v>
                </c:pt>
                <c:pt idx="85">
                  <c:v>155.78399999999999</c:v>
                </c:pt>
                <c:pt idx="86">
                  <c:v>155.732</c:v>
                </c:pt>
                <c:pt idx="87">
                  <c:v>155.84</c:v>
                </c:pt>
                <c:pt idx="88">
                  <c:v>155.71799999999999</c:v>
                </c:pt>
                <c:pt idx="89">
                  <c:v>155.84299999999999</c:v>
                </c:pt>
                <c:pt idx="90">
                  <c:v>155.74</c:v>
                </c:pt>
                <c:pt idx="91">
                  <c:v>155.803</c:v>
                </c:pt>
                <c:pt idx="92">
                  <c:v>155.72800000000001</c:v>
                </c:pt>
                <c:pt idx="93">
                  <c:v>155.74799999999999</c:v>
                </c:pt>
                <c:pt idx="94">
                  <c:v>155.76499999999999</c:v>
                </c:pt>
                <c:pt idx="95">
                  <c:v>155.798</c:v>
                </c:pt>
                <c:pt idx="96">
                  <c:v>155.80699999999999</c:v>
                </c:pt>
                <c:pt idx="97">
                  <c:v>155.922</c:v>
                </c:pt>
                <c:pt idx="98">
                  <c:v>155.797</c:v>
                </c:pt>
                <c:pt idx="99">
                  <c:v>155.79900000000001</c:v>
                </c:pt>
                <c:pt idx="100">
                  <c:v>155.786</c:v>
                </c:pt>
                <c:pt idx="101">
                  <c:v>155.79300000000001</c:v>
                </c:pt>
                <c:pt idx="102">
                  <c:v>155.92500000000001</c:v>
                </c:pt>
                <c:pt idx="103">
                  <c:v>155.73400000000001</c:v>
                </c:pt>
                <c:pt idx="104">
                  <c:v>155.89599999999999</c:v>
                </c:pt>
                <c:pt idx="105">
                  <c:v>155.87200000000001</c:v>
                </c:pt>
                <c:pt idx="106">
                  <c:v>155.90100000000001</c:v>
                </c:pt>
                <c:pt idx="107">
                  <c:v>155.77600000000001</c:v>
                </c:pt>
                <c:pt idx="108">
                  <c:v>155.80199999999999</c:v>
                </c:pt>
                <c:pt idx="109">
                  <c:v>155.869</c:v>
                </c:pt>
                <c:pt idx="110">
                  <c:v>155.53299999999999</c:v>
                </c:pt>
                <c:pt idx="111">
                  <c:v>155.57400000000001</c:v>
                </c:pt>
                <c:pt idx="112">
                  <c:v>155.572</c:v>
                </c:pt>
                <c:pt idx="113">
                  <c:v>155.63</c:v>
                </c:pt>
                <c:pt idx="114">
                  <c:v>155.602</c:v>
                </c:pt>
                <c:pt idx="115">
                  <c:v>155.673</c:v>
                </c:pt>
                <c:pt idx="116">
                  <c:v>155.625</c:v>
                </c:pt>
                <c:pt idx="117">
                  <c:v>155.74100000000001</c:v>
                </c:pt>
                <c:pt idx="118">
                  <c:v>155.63300000000001</c:v>
                </c:pt>
                <c:pt idx="119">
                  <c:v>155.67400000000001</c:v>
                </c:pt>
                <c:pt idx="120">
                  <c:v>155.661</c:v>
                </c:pt>
                <c:pt idx="121">
                  <c:v>155.71799999999999</c:v>
                </c:pt>
                <c:pt idx="122">
                  <c:v>155.696</c:v>
                </c:pt>
                <c:pt idx="123">
                  <c:v>155.761</c:v>
                </c:pt>
                <c:pt idx="124">
                  <c:v>155.68199999999999</c:v>
                </c:pt>
                <c:pt idx="125">
                  <c:v>155.685</c:v>
                </c:pt>
                <c:pt idx="126">
                  <c:v>155.65700000000001</c:v>
                </c:pt>
                <c:pt idx="127">
                  <c:v>155.72999999999999</c:v>
                </c:pt>
                <c:pt idx="128">
                  <c:v>155.708</c:v>
                </c:pt>
                <c:pt idx="129">
                  <c:v>155.75800000000001</c:v>
                </c:pt>
                <c:pt idx="130">
                  <c:v>155.696</c:v>
                </c:pt>
                <c:pt idx="131">
                  <c:v>155.78100000000001</c:v>
                </c:pt>
                <c:pt idx="132">
                  <c:v>155.75399999999999</c:v>
                </c:pt>
                <c:pt idx="133">
                  <c:v>155.80500000000001</c:v>
                </c:pt>
                <c:pt idx="134">
                  <c:v>155.82400000000001</c:v>
                </c:pt>
                <c:pt idx="135">
                  <c:v>155.59700000000001</c:v>
                </c:pt>
                <c:pt idx="136">
                  <c:v>155.66800000000001</c:v>
                </c:pt>
                <c:pt idx="137">
                  <c:v>155.69800000000001</c:v>
                </c:pt>
                <c:pt idx="138">
                  <c:v>155.738</c:v>
                </c:pt>
                <c:pt idx="139">
                  <c:v>155.67400000000001</c:v>
                </c:pt>
                <c:pt idx="140">
                  <c:v>155.66300000000001</c:v>
                </c:pt>
                <c:pt idx="141">
                  <c:v>155.74799999999999</c:v>
                </c:pt>
                <c:pt idx="142">
                  <c:v>155.84</c:v>
                </c:pt>
                <c:pt idx="143">
                  <c:v>155.834</c:v>
                </c:pt>
                <c:pt idx="144">
                  <c:v>155.828</c:v>
                </c:pt>
                <c:pt idx="145">
                  <c:v>155.79599999999999</c:v>
                </c:pt>
                <c:pt idx="146">
                  <c:v>155.785</c:v>
                </c:pt>
                <c:pt idx="147">
                  <c:v>155.69300000000001</c:v>
                </c:pt>
                <c:pt idx="148">
                  <c:v>155.90100000000001</c:v>
                </c:pt>
                <c:pt idx="149">
                  <c:v>155.773</c:v>
                </c:pt>
                <c:pt idx="150">
                  <c:v>155.774</c:v>
                </c:pt>
                <c:pt idx="151">
                  <c:v>155.614</c:v>
                </c:pt>
                <c:pt idx="152">
                  <c:v>155.57</c:v>
                </c:pt>
                <c:pt idx="153">
                  <c:v>155.72</c:v>
                </c:pt>
                <c:pt idx="154">
                  <c:v>155.62200000000001</c:v>
                </c:pt>
                <c:pt idx="155">
                  <c:v>155.79900000000001</c:v>
                </c:pt>
                <c:pt idx="156">
                  <c:v>155.667</c:v>
                </c:pt>
                <c:pt idx="157">
                  <c:v>155.73599999999999</c:v>
                </c:pt>
                <c:pt idx="158">
                  <c:v>155.68299999999999</c:v>
                </c:pt>
                <c:pt idx="159">
                  <c:v>155.77099999999999</c:v>
                </c:pt>
                <c:pt idx="160">
                  <c:v>155.66900000000001</c:v>
                </c:pt>
                <c:pt idx="161">
                  <c:v>155.73699999999999</c:v>
                </c:pt>
                <c:pt idx="162">
                  <c:v>155.69800000000001</c:v>
                </c:pt>
                <c:pt idx="163">
                  <c:v>155.82400000000001</c:v>
                </c:pt>
                <c:pt idx="164">
                  <c:v>155.685</c:v>
                </c:pt>
                <c:pt idx="165">
                  <c:v>155.82300000000001</c:v>
                </c:pt>
                <c:pt idx="166">
                  <c:v>155.59200000000001</c:v>
                </c:pt>
                <c:pt idx="167">
                  <c:v>155.898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C-4B7D-A77C-8B38DE2CBBD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('AMP4-4'!$I$4,'AMP4-4'!$I$4)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1C-4B7D-A77C-8B38DE2CBBD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('AMP4-4'!$I$5,'AMP4-4'!$I$5)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1C-4B7D-A77C-8B38DE2CB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4224"/>
        <c:axId val="475864616"/>
      </c:scatterChart>
      <c:valAx>
        <c:axId val="47586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4616"/>
        <c:crosses val="autoZero"/>
        <c:crossBetween val="midCat"/>
      </c:valAx>
      <c:valAx>
        <c:axId val="4758646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4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'AMP4-4'!$J$8</c:f>
              <c:strCache>
                <c:ptCount val="1"/>
                <c:pt idx="0">
                  <c:v>Dim 3_1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'AMP4-4'!$J$9:$J$176</c:f>
              <c:numCache>
                <c:formatCode>General</c:formatCode>
                <c:ptCount val="168"/>
                <c:pt idx="1">
                  <c:v>168.68600000000001</c:v>
                </c:pt>
                <c:pt idx="3">
                  <c:v>168.45699999999999</c:v>
                </c:pt>
                <c:pt idx="5">
                  <c:v>168.619</c:v>
                </c:pt>
                <c:pt idx="7">
                  <c:v>168.547</c:v>
                </c:pt>
                <c:pt idx="9">
                  <c:v>168.483</c:v>
                </c:pt>
                <c:pt idx="11">
                  <c:v>168.51499999999999</c:v>
                </c:pt>
                <c:pt idx="13">
                  <c:v>168.54</c:v>
                </c:pt>
                <c:pt idx="15">
                  <c:v>168.37</c:v>
                </c:pt>
                <c:pt idx="17">
                  <c:v>168.62200000000001</c:v>
                </c:pt>
                <c:pt idx="19">
                  <c:v>168.68700000000001</c:v>
                </c:pt>
                <c:pt idx="21">
                  <c:v>168.48</c:v>
                </c:pt>
                <c:pt idx="23">
                  <c:v>168.64099999999999</c:v>
                </c:pt>
                <c:pt idx="25">
                  <c:v>168.571</c:v>
                </c:pt>
                <c:pt idx="27">
                  <c:v>168.233</c:v>
                </c:pt>
                <c:pt idx="29">
                  <c:v>168.50299999999999</c:v>
                </c:pt>
                <c:pt idx="31">
                  <c:v>168.47</c:v>
                </c:pt>
                <c:pt idx="33">
                  <c:v>168.56200000000001</c:v>
                </c:pt>
                <c:pt idx="35">
                  <c:v>168.34700000000001</c:v>
                </c:pt>
                <c:pt idx="37">
                  <c:v>168.42099999999999</c:v>
                </c:pt>
                <c:pt idx="39">
                  <c:v>168.441</c:v>
                </c:pt>
                <c:pt idx="41">
                  <c:v>168.483</c:v>
                </c:pt>
                <c:pt idx="43">
                  <c:v>168.48099999999999</c:v>
                </c:pt>
                <c:pt idx="45">
                  <c:v>168.56899999999999</c:v>
                </c:pt>
                <c:pt idx="47">
                  <c:v>168.47</c:v>
                </c:pt>
                <c:pt idx="49">
                  <c:v>168.49299999999999</c:v>
                </c:pt>
                <c:pt idx="51">
                  <c:v>168.53399999999999</c:v>
                </c:pt>
                <c:pt idx="53">
                  <c:v>168.56100000000001</c:v>
                </c:pt>
                <c:pt idx="55">
                  <c:v>168.572</c:v>
                </c:pt>
                <c:pt idx="57">
                  <c:v>168.55199999999999</c:v>
                </c:pt>
                <c:pt idx="59">
                  <c:v>168.39099999999999</c:v>
                </c:pt>
                <c:pt idx="61">
                  <c:v>168.649</c:v>
                </c:pt>
                <c:pt idx="63">
                  <c:v>168.61500000000001</c:v>
                </c:pt>
                <c:pt idx="65">
                  <c:v>168.44200000000001</c:v>
                </c:pt>
                <c:pt idx="67">
                  <c:v>168.506</c:v>
                </c:pt>
                <c:pt idx="69">
                  <c:v>168.57599999999999</c:v>
                </c:pt>
                <c:pt idx="71">
                  <c:v>168.55500000000001</c:v>
                </c:pt>
                <c:pt idx="73">
                  <c:v>168.48099999999999</c:v>
                </c:pt>
                <c:pt idx="75">
                  <c:v>168.37299999999999</c:v>
                </c:pt>
                <c:pt idx="77">
                  <c:v>168.52799999999999</c:v>
                </c:pt>
                <c:pt idx="79">
                  <c:v>168.40600000000001</c:v>
                </c:pt>
                <c:pt idx="81">
                  <c:v>168.55500000000001</c:v>
                </c:pt>
                <c:pt idx="83">
                  <c:v>168.572</c:v>
                </c:pt>
                <c:pt idx="85">
                  <c:v>168.47200000000001</c:v>
                </c:pt>
                <c:pt idx="87">
                  <c:v>168.56100000000001</c:v>
                </c:pt>
                <c:pt idx="89">
                  <c:v>168.53200000000001</c:v>
                </c:pt>
                <c:pt idx="91">
                  <c:v>168.46899999999999</c:v>
                </c:pt>
                <c:pt idx="93">
                  <c:v>168.46199999999999</c:v>
                </c:pt>
                <c:pt idx="95">
                  <c:v>168.46100000000001</c:v>
                </c:pt>
                <c:pt idx="97">
                  <c:v>168.52</c:v>
                </c:pt>
                <c:pt idx="99">
                  <c:v>168.58799999999999</c:v>
                </c:pt>
                <c:pt idx="101">
                  <c:v>168.55099999999999</c:v>
                </c:pt>
                <c:pt idx="103">
                  <c:v>168.49299999999999</c:v>
                </c:pt>
                <c:pt idx="105">
                  <c:v>168.44800000000001</c:v>
                </c:pt>
                <c:pt idx="107">
                  <c:v>168.49700000000001</c:v>
                </c:pt>
                <c:pt idx="109">
                  <c:v>168.51499999999999</c:v>
                </c:pt>
                <c:pt idx="111">
                  <c:v>168.345</c:v>
                </c:pt>
                <c:pt idx="113">
                  <c:v>168.56700000000001</c:v>
                </c:pt>
                <c:pt idx="115">
                  <c:v>168.37100000000001</c:v>
                </c:pt>
                <c:pt idx="117">
                  <c:v>168.453</c:v>
                </c:pt>
                <c:pt idx="119">
                  <c:v>168.52</c:v>
                </c:pt>
                <c:pt idx="121">
                  <c:v>168.55600000000001</c:v>
                </c:pt>
                <c:pt idx="123">
                  <c:v>168.52099999999999</c:v>
                </c:pt>
                <c:pt idx="125">
                  <c:v>168.47300000000001</c:v>
                </c:pt>
                <c:pt idx="127">
                  <c:v>168.73</c:v>
                </c:pt>
                <c:pt idx="129">
                  <c:v>168.51300000000001</c:v>
                </c:pt>
                <c:pt idx="131">
                  <c:v>168.46700000000001</c:v>
                </c:pt>
                <c:pt idx="133">
                  <c:v>168.45</c:v>
                </c:pt>
                <c:pt idx="135">
                  <c:v>168.761</c:v>
                </c:pt>
                <c:pt idx="137">
                  <c:v>168.43299999999999</c:v>
                </c:pt>
                <c:pt idx="139">
                  <c:v>168.56200000000001</c:v>
                </c:pt>
                <c:pt idx="141">
                  <c:v>168.31</c:v>
                </c:pt>
                <c:pt idx="143">
                  <c:v>168.53100000000001</c:v>
                </c:pt>
                <c:pt idx="145">
                  <c:v>168.52199999999999</c:v>
                </c:pt>
                <c:pt idx="147">
                  <c:v>168.541</c:v>
                </c:pt>
                <c:pt idx="149">
                  <c:v>168.51</c:v>
                </c:pt>
                <c:pt idx="151">
                  <c:v>168.42500000000001</c:v>
                </c:pt>
                <c:pt idx="153">
                  <c:v>168.43199999999999</c:v>
                </c:pt>
                <c:pt idx="155">
                  <c:v>168.517</c:v>
                </c:pt>
                <c:pt idx="157">
                  <c:v>168.459</c:v>
                </c:pt>
                <c:pt idx="159">
                  <c:v>168.37</c:v>
                </c:pt>
                <c:pt idx="161">
                  <c:v>168.37700000000001</c:v>
                </c:pt>
                <c:pt idx="163">
                  <c:v>168.42099999999999</c:v>
                </c:pt>
                <c:pt idx="165">
                  <c:v>168.42500000000001</c:v>
                </c:pt>
                <c:pt idx="167">
                  <c:v>168.44300000000001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D-420B-A7DF-D28108A05B8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('AMP4-4'!$J$4,'AMP4-4'!$J$4)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ED-420B-A7DF-D28108A05B8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('AMP4-4'!$J$5,'AMP4-4'!$J$5)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ED-420B-A7DF-D28108A0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5400"/>
        <c:axId val="475865792"/>
      </c:scatterChart>
      <c:valAx>
        <c:axId val="47586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5792"/>
        <c:crosses val="autoZero"/>
        <c:crossBetween val="midCat"/>
      </c:valAx>
      <c:valAx>
        <c:axId val="4758657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'AMP4-4'!$K$8</c:f>
              <c:strCache>
                <c:ptCount val="1"/>
                <c:pt idx="0">
                  <c:v>Dim 3_2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'AMP4-4'!$K$9:$K$176</c:f>
              <c:numCache>
                <c:formatCode>General</c:formatCode>
                <c:ptCount val="168"/>
                <c:pt idx="1">
                  <c:v>168.572</c:v>
                </c:pt>
                <c:pt idx="3">
                  <c:v>168.339</c:v>
                </c:pt>
                <c:pt idx="5">
                  <c:v>168.13900000000001</c:v>
                </c:pt>
                <c:pt idx="7">
                  <c:v>168.27</c:v>
                </c:pt>
                <c:pt idx="9">
                  <c:v>168.32300000000001</c:v>
                </c:pt>
                <c:pt idx="11">
                  <c:v>168.251</c:v>
                </c:pt>
                <c:pt idx="13">
                  <c:v>168.37</c:v>
                </c:pt>
                <c:pt idx="15">
                  <c:v>168.21799999999999</c:v>
                </c:pt>
                <c:pt idx="17">
                  <c:v>168.398</c:v>
                </c:pt>
                <c:pt idx="19">
                  <c:v>168.41800000000001</c:v>
                </c:pt>
                <c:pt idx="21">
                  <c:v>168.37</c:v>
                </c:pt>
                <c:pt idx="23">
                  <c:v>168.42599999999999</c:v>
                </c:pt>
                <c:pt idx="25">
                  <c:v>168.47200000000001</c:v>
                </c:pt>
                <c:pt idx="27">
                  <c:v>168.05699999999999</c:v>
                </c:pt>
                <c:pt idx="29">
                  <c:v>168.09899999999999</c:v>
                </c:pt>
                <c:pt idx="31">
                  <c:v>168.21799999999999</c:v>
                </c:pt>
                <c:pt idx="33">
                  <c:v>168.38</c:v>
                </c:pt>
                <c:pt idx="35">
                  <c:v>168.17500000000001</c:v>
                </c:pt>
                <c:pt idx="37">
                  <c:v>168.25700000000001</c:v>
                </c:pt>
                <c:pt idx="39">
                  <c:v>168.239</c:v>
                </c:pt>
                <c:pt idx="41">
                  <c:v>168.32</c:v>
                </c:pt>
                <c:pt idx="43">
                  <c:v>168.33600000000001</c:v>
                </c:pt>
                <c:pt idx="45">
                  <c:v>168.45599999999999</c:v>
                </c:pt>
                <c:pt idx="47">
                  <c:v>168.41200000000001</c:v>
                </c:pt>
                <c:pt idx="49">
                  <c:v>168.37200000000001</c:v>
                </c:pt>
                <c:pt idx="51">
                  <c:v>168.44300000000001</c:v>
                </c:pt>
                <c:pt idx="53">
                  <c:v>168.41800000000001</c:v>
                </c:pt>
                <c:pt idx="55">
                  <c:v>168.51499999999999</c:v>
                </c:pt>
                <c:pt idx="57">
                  <c:v>168.47399999999999</c:v>
                </c:pt>
                <c:pt idx="59">
                  <c:v>168.381</c:v>
                </c:pt>
                <c:pt idx="61">
                  <c:v>168.62299999999999</c:v>
                </c:pt>
                <c:pt idx="63">
                  <c:v>168.536</c:v>
                </c:pt>
                <c:pt idx="65">
                  <c:v>168.435</c:v>
                </c:pt>
                <c:pt idx="67">
                  <c:v>168.46700000000001</c:v>
                </c:pt>
                <c:pt idx="69">
                  <c:v>168.53800000000001</c:v>
                </c:pt>
                <c:pt idx="71">
                  <c:v>168.505</c:v>
                </c:pt>
                <c:pt idx="73">
                  <c:v>168.26499999999999</c:v>
                </c:pt>
                <c:pt idx="75">
                  <c:v>168.136</c:v>
                </c:pt>
                <c:pt idx="77">
                  <c:v>168.334</c:v>
                </c:pt>
                <c:pt idx="79">
                  <c:v>168.18299999999999</c:v>
                </c:pt>
                <c:pt idx="81">
                  <c:v>168.33099999999999</c:v>
                </c:pt>
                <c:pt idx="83">
                  <c:v>168.40299999999999</c:v>
                </c:pt>
                <c:pt idx="85">
                  <c:v>168.22399999999999</c:v>
                </c:pt>
                <c:pt idx="87">
                  <c:v>168.27500000000001</c:v>
                </c:pt>
                <c:pt idx="89">
                  <c:v>168.35400000000001</c:v>
                </c:pt>
                <c:pt idx="91">
                  <c:v>168.321</c:v>
                </c:pt>
                <c:pt idx="93">
                  <c:v>168.13499999999999</c:v>
                </c:pt>
                <c:pt idx="95">
                  <c:v>168.226</c:v>
                </c:pt>
                <c:pt idx="97">
                  <c:v>168.37799999999999</c:v>
                </c:pt>
                <c:pt idx="99">
                  <c:v>168.44399999999999</c:v>
                </c:pt>
                <c:pt idx="101">
                  <c:v>168.44</c:v>
                </c:pt>
                <c:pt idx="103">
                  <c:v>168.34899999999999</c:v>
                </c:pt>
                <c:pt idx="105">
                  <c:v>168.43899999999999</c:v>
                </c:pt>
                <c:pt idx="107">
                  <c:v>168.435</c:v>
                </c:pt>
                <c:pt idx="109">
                  <c:v>168.54599999999999</c:v>
                </c:pt>
                <c:pt idx="111">
                  <c:v>168.33500000000001</c:v>
                </c:pt>
                <c:pt idx="113">
                  <c:v>168.34899999999999</c:v>
                </c:pt>
                <c:pt idx="115">
                  <c:v>168.12299999999999</c:v>
                </c:pt>
                <c:pt idx="117">
                  <c:v>168.27099999999999</c:v>
                </c:pt>
                <c:pt idx="119">
                  <c:v>168.29</c:v>
                </c:pt>
                <c:pt idx="121">
                  <c:v>168.27500000000001</c:v>
                </c:pt>
                <c:pt idx="123">
                  <c:v>168.417</c:v>
                </c:pt>
                <c:pt idx="125">
                  <c:v>168.28700000000001</c:v>
                </c:pt>
                <c:pt idx="127">
                  <c:v>168.56</c:v>
                </c:pt>
                <c:pt idx="129">
                  <c:v>168.36099999999999</c:v>
                </c:pt>
                <c:pt idx="131">
                  <c:v>168.327</c:v>
                </c:pt>
                <c:pt idx="133">
                  <c:v>168.38900000000001</c:v>
                </c:pt>
                <c:pt idx="135">
                  <c:v>168.66</c:v>
                </c:pt>
                <c:pt idx="137">
                  <c:v>168.33199999999999</c:v>
                </c:pt>
                <c:pt idx="139">
                  <c:v>168.471</c:v>
                </c:pt>
                <c:pt idx="141">
                  <c:v>168.233</c:v>
                </c:pt>
                <c:pt idx="143">
                  <c:v>168.50200000000001</c:v>
                </c:pt>
                <c:pt idx="145">
                  <c:v>168.57499999999999</c:v>
                </c:pt>
                <c:pt idx="147">
                  <c:v>168.46199999999999</c:v>
                </c:pt>
                <c:pt idx="149">
                  <c:v>168.48699999999999</c:v>
                </c:pt>
                <c:pt idx="151">
                  <c:v>168.36099999999999</c:v>
                </c:pt>
                <c:pt idx="153">
                  <c:v>168.44499999999999</c:v>
                </c:pt>
                <c:pt idx="155">
                  <c:v>168.363</c:v>
                </c:pt>
                <c:pt idx="157">
                  <c:v>168.232</c:v>
                </c:pt>
                <c:pt idx="159">
                  <c:v>168.21</c:v>
                </c:pt>
                <c:pt idx="161">
                  <c:v>168.17099999999999</c:v>
                </c:pt>
                <c:pt idx="163">
                  <c:v>168.26900000000001</c:v>
                </c:pt>
                <c:pt idx="165">
                  <c:v>168.33500000000001</c:v>
                </c:pt>
                <c:pt idx="167">
                  <c:v>168.36600000000001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B-404F-8914-65BC3F37413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('AMP4-4'!$K$4,'AMP4-4'!$K$4)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AB-404F-8914-65BC3F37413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('AMP4-4'!$K$5,'AMP4-4'!$K$5)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AB-404F-8914-65BC3F374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6576"/>
        <c:axId val="475866968"/>
      </c:scatterChart>
      <c:valAx>
        <c:axId val="47586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6968"/>
        <c:crosses val="autoZero"/>
        <c:crossBetween val="midCat"/>
      </c:valAx>
      <c:valAx>
        <c:axId val="4758669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'AMP4-4'!$L$8</c:f>
              <c:strCache>
                <c:ptCount val="1"/>
                <c:pt idx="0">
                  <c:v>Dim 4_1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'AMP4-4'!$L$9:$L$176</c:f>
              <c:numCache>
                <c:formatCode>General</c:formatCode>
                <c:ptCount val="168"/>
                <c:pt idx="0">
                  <c:v>156.00200000000001</c:v>
                </c:pt>
                <c:pt idx="1">
                  <c:v>155.80699999999999</c:v>
                </c:pt>
                <c:pt idx="2">
                  <c:v>155.74799999999999</c:v>
                </c:pt>
                <c:pt idx="3">
                  <c:v>155.595</c:v>
                </c:pt>
                <c:pt idx="4">
                  <c:v>155.83099999999999</c:v>
                </c:pt>
                <c:pt idx="5">
                  <c:v>155.66200000000001</c:v>
                </c:pt>
                <c:pt idx="6">
                  <c:v>155.82900000000001</c:v>
                </c:pt>
                <c:pt idx="7">
                  <c:v>155.643</c:v>
                </c:pt>
                <c:pt idx="8">
                  <c:v>155.875</c:v>
                </c:pt>
                <c:pt idx="9">
                  <c:v>155.69499999999999</c:v>
                </c:pt>
                <c:pt idx="10">
                  <c:v>155.87299999999999</c:v>
                </c:pt>
                <c:pt idx="11">
                  <c:v>155.631</c:v>
                </c:pt>
                <c:pt idx="12">
                  <c:v>155.952</c:v>
                </c:pt>
                <c:pt idx="13">
                  <c:v>155.761</c:v>
                </c:pt>
                <c:pt idx="14">
                  <c:v>155.88499999999999</c:v>
                </c:pt>
                <c:pt idx="15">
                  <c:v>155.76</c:v>
                </c:pt>
                <c:pt idx="16">
                  <c:v>155.90799999999999</c:v>
                </c:pt>
                <c:pt idx="17">
                  <c:v>155.749</c:v>
                </c:pt>
                <c:pt idx="18">
                  <c:v>155.964</c:v>
                </c:pt>
                <c:pt idx="19">
                  <c:v>155.79499999999999</c:v>
                </c:pt>
                <c:pt idx="20">
                  <c:v>155.99299999999999</c:v>
                </c:pt>
                <c:pt idx="21">
                  <c:v>155.81899999999999</c:v>
                </c:pt>
                <c:pt idx="22">
                  <c:v>155.977</c:v>
                </c:pt>
                <c:pt idx="23">
                  <c:v>155.80500000000001</c:v>
                </c:pt>
                <c:pt idx="24">
                  <c:v>156.011</c:v>
                </c:pt>
                <c:pt idx="25">
                  <c:v>155.84700000000001</c:v>
                </c:pt>
                <c:pt idx="26">
                  <c:v>155.85300000000001</c:v>
                </c:pt>
                <c:pt idx="27">
                  <c:v>155.529</c:v>
                </c:pt>
                <c:pt idx="28">
                  <c:v>155.81</c:v>
                </c:pt>
                <c:pt idx="29">
                  <c:v>155.49199999999999</c:v>
                </c:pt>
                <c:pt idx="30">
                  <c:v>155.863</c:v>
                </c:pt>
                <c:pt idx="31">
                  <c:v>155.535</c:v>
                </c:pt>
                <c:pt idx="32">
                  <c:v>155.863</c:v>
                </c:pt>
                <c:pt idx="33">
                  <c:v>155.55799999999999</c:v>
                </c:pt>
                <c:pt idx="34">
                  <c:v>155.95400000000001</c:v>
                </c:pt>
                <c:pt idx="35">
                  <c:v>155.673</c:v>
                </c:pt>
                <c:pt idx="36">
                  <c:v>155.923</c:v>
                </c:pt>
                <c:pt idx="37">
                  <c:v>155.59399999999999</c:v>
                </c:pt>
                <c:pt idx="38">
                  <c:v>155.995</c:v>
                </c:pt>
                <c:pt idx="39">
                  <c:v>155.625</c:v>
                </c:pt>
                <c:pt idx="40">
                  <c:v>155.96299999999999</c:v>
                </c:pt>
                <c:pt idx="41">
                  <c:v>155.60599999999999</c:v>
                </c:pt>
                <c:pt idx="42">
                  <c:v>155.953</c:v>
                </c:pt>
                <c:pt idx="43">
                  <c:v>155.589</c:v>
                </c:pt>
                <c:pt idx="44">
                  <c:v>155.952</c:v>
                </c:pt>
                <c:pt idx="45">
                  <c:v>155.58099999999999</c:v>
                </c:pt>
                <c:pt idx="46">
                  <c:v>156.02099999999999</c:v>
                </c:pt>
                <c:pt idx="47">
                  <c:v>155.667</c:v>
                </c:pt>
                <c:pt idx="48">
                  <c:v>156.006</c:v>
                </c:pt>
                <c:pt idx="49">
                  <c:v>155.65700000000001</c:v>
                </c:pt>
                <c:pt idx="50">
                  <c:v>156.06299999999999</c:v>
                </c:pt>
                <c:pt idx="51">
                  <c:v>155.65899999999999</c:v>
                </c:pt>
                <c:pt idx="52">
                  <c:v>156</c:v>
                </c:pt>
                <c:pt idx="53">
                  <c:v>155.577</c:v>
                </c:pt>
                <c:pt idx="54">
                  <c:v>156.03299999999999</c:v>
                </c:pt>
                <c:pt idx="55">
                  <c:v>155.63900000000001</c:v>
                </c:pt>
                <c:pt idx="56">
                  <c:v>156.02799999999999</c:v>
                </c:pt>
                <c:pt idx="57">
                  <c:v>155.63499999999999</c:v>
                </c:pt>
                <c:pt idx="58">
                  <c:v>156.00299999999999</c:v>
                </c:pt>
                <c:pt idx="59">
                  <c:v>155.63900000000001</c:v>
                </c:pt>
                <c:pt idx="60">
                  <c:v>156.07900000000001</c:v>
                </c:pt>
                <c:pt idx="61">
                  <c:v>155.732</c:v>
                </c:pt>
                <c:pt idx="62">
                  <c:v>156.01300000000001</c:v>
                </c:pt>
                <c:pt idx="63">
                  <c:v>155.65</c:v>
                </c:pt>
                <c:pt idx="64">
                  <c:v>156.09700000000001</c:v>
                </c:pt>
                <c:pt idx="65">
                  <c:v>155.744</c:v>
                </c:pt>
                <c:pt idx="66">
                  <c:v>156.04900000000001</c:v>
                </c:pt>
                <c:pt idx="67">
                  <c:v>155.68299999999999</c:v>
                </c:pt>
                <c:pt idx="68">
                  <c:v>156.072</c:v>
                </c:pt>
                <c:pt idx="69">
                  <c:v>155.708</c:v>
                </c:pt>
                <c:pt idx="70">
                  <c:v>155.881</c:v>
                </c:pt>
                <c:pt idx="71">
                  <c:v>155.749</c:v>
                </c:pt>
                <c:pt idx="72">
                  <c:v>155.86699999999999</c:v>
                </c:pt>
                <c:pt idx="73">
                  <c:v>155.75800000000001</c:v>
                </c:pt>
                <c:pt idx="74">
                  <c:v>155.88399999999999</c:v>
                </c:pt>
                <c:pt idx="75">
                  <c:v>155.78100000000001</c:v>
                </c:pt>
                <c:pt idx="76">
                  <c:v>155.86199999999999</c:v>
                </c:pt>
                <c:pt idx="77">
                  <c:v>155.751</c:v>
                </c:pt>
                <c:pt idx="78">
                  <c:v>155.887</c:v>
                </c:pt>
                <c:pt idx="79">
                  <c:v>155.773</c:v>
                </c:pt>
                <c:pt idx="80">
                  <c:v>155.911</c:v>
                </c:pt>
                <c:pt idx="81">
                  <c:v>155.804</c:v>
                </c:pt>
                <c:pt idx="82">
                  <c:v>155.92599999999999</c:v>
                </c:pt>
                <c:pt idx="83">
                  <c:v>155.75899999999999</c:v>
                </c:pt>
                <c:pt idx="84">
                  <c:v>155.97200000000001</c:v>
                </c:pt>
                <c:pt idx="85">
                  <c:v>155.786</c:v>
                </c:pt>
                <c:pt idx="86">
                  <c:v>155.94999999999999</c:v>
                </c:pt>
                <c:pt idx="87">
                  <c:v>155.86600000000001</c:v>
                </c:pt>
                <c:pt idx="88">
                  <c:v>155.96600000000001</c:v>
                </c:pt>
                <c:pt idx="89">
                  <c:v>155.83600000000001</c:v>
                </c:pt>
                <c:pt idx="90">
                  <c:v>155.97300000000001</c:v>
                </c:pt>
                <c:pt idx="91">
                  <c:v>155.816</c:v>
                </c:pt>
                <c:pt idx="92">
                  <c:v>155.95500000000001</c:v>
                </c:pt>
                <c:pt idx="93">
                  <c:v>155.78700000000001</c:v>
                </c:pt>
                <c:pt idx="94">
                  <c:v>155.97399999999999</c:v>
                </c:pt>
                <c:pt idx="95">
                  <c:v>155.821</c:v>
                </c:pt>
                <c:pt idx="96">
                  <c:v>156.04599999999999</c:v>
                </c:pt>
                <c:pt idx="97">
                  <c:v>155.929</c:v>
                </c:pt>
                <c:pt idx="98">
                  <c:v>156.01</c:v>
                </c:pt>
                <c:pt idx="99">
                  <c:v>155.857</c:v>
                </c:pt>
                <c:pt idx="100">
                  <c:v>155.988</c:v>
                </c:pt>
                <c:pt idx="101">
                  <c:v>155.89099999999999</c:v>
                </c:pt>
                <c:pt idx="102">
                  <c:v>156.024</c:v>
                </c:pt>
                <c:pt idx="103">
                  <c:v>155.90899999999999</c:v>
                </c:pt>
                <c:pt idx="104">
                  <c:v>156.07599999999999</c:v>
                </c:pt>
                <c:pt idx="105">
                  <c:v>155.99199999999999</c:v>
                </c:pt>
                <c:pt idx="106">
                  <c:v>156.083</c:v>
                </c:pt>
                <c:pt idx="107">
                  <c:v>155.93</c:v>
                </c:pt>
                <c:pt idx="108">
                  <c:v>156.05000000000001</c:v>
                </c:pt>
                <c:pt idx="109">
                  <c:v>155.916</c:v>
                </c:pt>
                <c:pt idx="110">
                  <c:v>155.828</c:v>
                </c:pt>
                <c:pt idx="111">
                  <c:v>155.636</c:v>
                </c:pt>
                <c:pt idx="112">
                  <c:v>155.85900000000001</c:v>
                </c:pt>
                <c:pt idx="113">
                  <c:v>155.661</c:v>
                </c:pt>
                <c:pt idx="114">
                  <c:v>155.80600000000001</c:v>
                </c:pt>
                <c:pt idx="115">
                  <c:v>155.66</c:v>
                </c:pt>
                <c:pt idx="116">
                  <c:v>155.86699999999999</c:v>
                </c:pt>
                <c:pt idx="117">
                  <c:v>155.732</c:v>
                </c:pt>
                <c:pt idx="118">
                  <c:v>155.91</c:v>
                </c:pt>
                <c:pt idx="119">
                  <c:v>155.673</c:v>
                </c:pt>
                <c:pt idx="120">
                  <c:v>155.91800000000001</c:v>
                </c:pt>
                <c:pt idx="121">
                  <c:v>155.75</c:v>
                </c:pt>
                <c:pt idx="122">
                  <c:v>155.965</c:v>
                </c:pt>
                <c:pt idx="123">
                  <c:v>155.71</c:v>
                </c:pt>
                <c:pt idx="124">
                  <c:v>155.92099999999999</c:v>
                </c:pt>
                <c:pt idx="125">
                  <c:v>155.71</c:v>
                </c:pt>
                <c:pt idx="126">
                  <c:v>155.971</c:v>
                </c:pt>
                <c:pt idx="127">
                  <c:v>155.5</c:v>
                </c:pt>
                <c:pt idx="128">
                  <c:v>155.96700000000001</c:v>
                </c:pt>
                <c:pt idx="129">
                  <c:v>155.77799999999999</c:v>
                </c:pt>
                <c:pt idx="130">
                  <c:v>155.99600000000001</c:v>
                </c:pt>
                <c:pt idx="131">
                  <c:v>155.76400000000001</c:v>
                </c:pt>
                <c:pt idx="132">
                  <c:v>156.01499999999999</c:v>
                </c:pt>
                <c:pt idx="133">
                  <c:v>155.85599999999999</c:v>
                </c:pt>
                <c:pt idx="134">
                  <c:v>155.922</c:v>
                </c:pt>
                <c:pt idx="135">
                  <c:v>155.80000000000001</c:v>
                </c:pt>
                <c:pt idx="136">
                  <c:v>155.94</c:v>
                </c:pt>
                <c:pt idx="137">
                  <c:v>155.76499999999999</c:v>
                </c:pt>
                <c:pt idx="138">
                  <c:v>155.94399999999999</c:v>
                </c:pt>
                <c:pt idx="139">
                  <c:v>155.744</c:v>
                </c:pt>
                <c:pt idx="140">
                  <c:v>155.95500000000001</c:v>
                </c:pt>
                <c:pt idx="141">
                  <c:v>155.87899999999999</c:v>
                </c:pt>
                <c:pt idx="142">
                  <c:v>156.13300000000001</c:v>
                </c:pt>
                <c:pt idx="143">
                  <c:v>155.923</c:v>
                </c:pt>
                <c:pt idx="144">
                  <c:v>156.054</c:v>
                </c:pt>
                <c:pt idx="145">
                  <c:v>155.916</c:v>
                </c:pt>
                <c:pt idx="146">
                  <c:v>156.041</c:v>
                </c:pt>
                <c:pt idx="147">
                  <c:v>155.83500000000001</c:v>
                </c:pt>
                <c:pt idx="148">
                  <c:v>156.16300000000001</c:v>
                </c:pt>
                <c:pt idx="149">
                  <c:v>155.934</c:v>
                </c:pt>
                <c:pt idx="150">
                  <c:v>156.17500000000001</c:v>
                </c:pt>
                <c:pt idx="151">
                  <c:v>156.22200000000001</c:v>
                </c:pt>
                <c:pt idx="152">
                  <c:v>155.83799999999999</c:v>
                </c:pt>
                <c:pt idx="153">
                  <c:v>155.726</c:v>
                </c:pt>
                <c:pt idx="154">
                  <c:v>155.86699999999999</c:v>
                </c:pt>
                <c:pt idx="155">
                  <c:v>155.78399999999999</c:v>
                </c:pt>
                <c:pt idx="156">
                  <c:v>155.89599999999999</c:v>
                </c:pt>
                <c:pt idx="157">
                  <c:v>155.755</c:v>
                </c:pt>
                <c:pt idx="158">
                  <c:v>155.93299999999999</c:v>
                </c:pt>
                <c:pt idx="159">
                  <c:v>155.828</c:v>
                </c:pt>
                <c:pt idx="160">
                  <c:v>155.929</c:v>
                </c:pt>
                <c:pt idx="161">
                  <c:v>155.792</c:v>
                </c:pt>
                <c:pt idx="162">
                  <c:v>155.94499999999999</c:v>
                </c:pt>
                <c:pt idx="163">
                  <c:v>155.845</c:v>
                </c:pt>
                <c:pt idx="164">
                  <c:v>155.935</c:v>
                </c:pt>
                <c:pt idx="165">
                  <c:v>155.81399999999999</c:v>
                </c:pt>
                <c:pt idx="166">
                  <c:v>155.92099999999999</c:v>
                </c:pt>
                <c:pt idx="167">
                  <c:v>155.83000000000001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3A-4204-9EB0-B22FD272704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('AMP4-4'!$L$4,'AMP4-4'!$L$4)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3A-4204-9EB0-B22FD272704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('AMP4-4'!$L$5,'AMP4-4'!$L$5)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3A-4204-9EB0-B22FD2727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7752"/>
        <c:axId val="475868144"/>
      </c:scatterChart>
      <c:valAx>
        <c:axId val="47586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8144"/>
        <c:crosses val="autoZero"/>
        <c:crossBetween val="midCat"/>
      </c:valAx>
      <c:valAx>
        <c:axId val="4758681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'AMP4-4'!$M$8</c:f>
              <c:strCache>
                <c:ptCount val="1"/>
                <c:pt idx="0">
                  <c:v>Dim 4_2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'AMP4-4'!$M$9:$M$176</c:f>
              <c:numCache>
                <c:formatCode>General</c:formatCode>
                <c:ptCount val="168"/>
                <c:pt idx="0">
                  <c:v>155.643</c:v>
                </c:pt>
                <c:pt idx="1">
                  <c:v>155.76499999999999</c:v>
                </c:pt>
                <c:pt idx="2">
                  <c:v>155.42599999999999</c:v>
                </c:pt>
                <c:pt idx="3">
                  <c:v>155.50299999999999</c:v>
                </c:pt>
                <c:pt idx="4">
                  <c:v>155.49199999999999</c:v>
                </c:pt>
                <c:pt idx="5">
                  <c:v>155.55500000000001</c:v>
                </c:pt>
                <c:pt idx="6">
                  <c:v>155.52600000000001</c:v>
                </c:pt>
                <c:pt idx="7">
                  <c:v>155.577</c:v>
                </c:pt>
                <c:pt idx="8">
                  <c:v>155.607</c:v>
                </c:pt>
                <c:pt idx="9">
                  <c:v>155.64099999999999</c:v>
                </c:pt>
                <c:pt idx="10">
                  <c:v>155.54400000000001</c:v>
                </c:pt>
                <c:pt idx="11">
                  <c:v>155.589</c:v>
                </c:pt>
                <c:pt idx="12">
                  <c:v>155.67500000000001</c:v>
                </c:pt>
                <c:pt idx="13">
                  <c:v>155.68600000000001</c:v>
                </c:pt>
                <c:pt idx="14">
                  <c:v>155.625</c:v>
                </c:pt>
                <c:pt idx="15">
                  <c:v>155.649</c:v>
                </c:pt>
                <c:pt idx="16">
                  <c:v>155.584</c:v>
                </c:pt>
                <c:pt idx="17">
                  <c:v>155.65700000000001</c:v>
                </c:pt>
                <c:pt idx="18">
                  <c:v>155.66800000000001</c:v>
                </c:pt>
                <c:pt idx="19">
                  <c:v>155.71</c:v>
                </c:pt>
                <c:pt idx="20">
                  <c:v>155.726</c:v>
                </c:pt>
                <c:pt idx="21">
                  <c:v>155.77600000000001</c:v>
                </c:pt>
                <c:pt idx="22">
                  <c:v>155.63900000000001</c:v>
                </c:pt>
                <c:pt idx="23">
                  <c:v>155.774</c:v>
                </c:pt>
                <c:pt idx="24">
                  <c:v>155.732</c:v>
                </c:pt>
                <c:pt idx="25">
                  <c:v>155.81399999999999</c:v>
                </c:pt>
                <c:pt idx="26">
                  <c:v>155.61099999999999</c:v>
                </c:pt>
                <c:pt idx="27">
                  <c:v>155.435</c:v>
                </c:pt>
                <c:pt idx="28">
                  <c:v>155.51599999999999</c:v>
                </c:pt>
                <c:pt idx="29">
                  <c:v>155.46100000000001</c:v>
                </c:pt>
                <c:pt idx="30">
                  <c:v>155.59800000000001</c:v>
                </c:pt>
                <c:pt idx="31">
                  <c:v>155.453</c:v>
                </c:pt>
                <c:pt idx="32">
                  <c:v>155.63499999999999</c:v>
                </c:pt>
                <c:pt idx="33">
                  <c:v>155.43899999999999</c:v>
                </c:pt>
                <c:pt idx="34">
                  <c:v>155.721</c:v>
                </c:pt>
                <c:pt idx="35">
                  <c:v>155.56100000000001</c:v>
                </c:pt>
                <c:pt idx="36">
                  <c:v>155.69</c:v>
                </c:pt>
                <c:pt idx="37">
                  <c:v>155.49799999999999</c:v>
                </c:pt>
                <c:pt idx="38">
                  <c:v>155.739</c:v>
                </c:pt>
                <c:pt idx="39">
                  <c:v>155.529</c:v>
                </c:pt>
                <c:pt idx="40">
                  <c:v>155.721</c:v>
                </c:pt>
                <c:pt idx="41">
                  <c:v>155.51900000000001</c:v>
                </c:pt>
                <c:pt idx="42">
                  <c:v>155.67400000000001</c:v>
                </c:pt>
                <c:pt idx="43">
                  <c:v>155.495</c:v>
                </c:pt>
                <c:pt idx="44">
                  <c:v>155.71799999999999</c:v>
                </c:pt>
                <c:pt idx="45">
                  <c:v>155.47499999999999</c:v>
                </c:pt>
                <c:pt idx="46">
                  <c:v>155.762</c:v>
                </c:pt>
                <c:pt idx="47">
                  <c:v>155.55099999999999</c:v>
                </c:pt>
                <c:pt idx="48">
                  <c:v>155.774</c:v>
                </c:pt>
                <c:pt idx="49">
                  <c:v>155.52099999999999</c:v>
                </c:pt>
                <c:pt idx="50">
                  <c:v>155.803</c:v>
                </c:pt>
                <c:pt idx="51">
                  <c:v>155.54900000000001</c:v>
                </c:pt>
                <c:pt idx="52">
                  <c:v>155.75200000000001</c:v>
                </c:pt>
                <c:pt idx="53">
                  <c:v>155.48500000000001</c:v>
                </c:pt>
                <c:pt idx="54">
                  <c:v>155.78100000000001</c:v>
                </c:pt>
                <c:pt idx="55">
                  <c:v>155.52500000000001</c:v>
                </c:pt>
                <c:pt idx="56">
                  <c:v>155.78299999999999</c:v>
                </c:pt>
                <c:pt idx="57">
                  <c:v>155.517</c:v>
                </c:pt>
                <c:pt idx="58">
                  <c:v>155.80099999999999</c:v>
                </c:pt>
                <c:pt idx="59">
                  <c:v>155.52000000000001</c:v>
                </c:pt>
                <c:pt idx="60">
                  <c:v>155.816</c:v>
                </c:pt>
                <c:pt idx="61">
                  <c:v>155.624</c:v>
                </c:pt>
                <c:pt idx="62">
                  <c:v>155.833</c:v>
                </c:pt>
                <c:pt idx="63">
                  <c:v>155.518</c:v>
                </c:pt>
                <c:pt idx="64">
                  <c:v>155.88999999999999</c:v>
                </c:pt>
                <c:pt idx="65">
                  <c:v>155.59700000000001</c:v>
                </c:pt>
                <c:pt idx="66">
                  <c:v>155.86600000000001</c:v>
                </c:pt>
                <c:pt idx="67">
                  <c:v>155.52600000000001</c:v>
                </c:pt>
                <c:pt idx="68">
                  <c:v>155.833</c:v>
                </c:pt>
                <c:pt idx="69">
                  <c:v>155.58699999999999</c:v>
                </c:pt>
                <c:pt idx="70">
                  <c:v>155.56800000000001</c:v>
                </c:pt>
                <c:pt idx="71">
                  <c:v>155.72300000000001</c:v>
                </c:pt>
                <c:pt idx="72">
                  <c:v>155.54900000000001</c:v>
                </c:pt>
                <c:pt idx="73">
                  <c:v>155.815</c:v>
                </c:pt>
                <c:pt idx="74">
                  <c:v>155.55500000000001</c:v>
                </c:pt>
                <c:pt idx="75">
                  <c:v>155.73599999999999</c:v>
                </c:pt>
                <c:pt idx="76">
                  <c:v>155.56100000000001</c:v>
                </c:pt>
                <c:pt idx="77">
                  <c:v>155.68899999999999</c:v>
                </c:pt>
                <c:pt idx="78">
                  <c:v>155.55600000000001</c:v>
                </c:pt>
                <c:pt idx="79">
                  <c:v>155.77500000000001</c:v>
                </c:pt>
                <c:pt idx="80">
                  <c:v>155.61600000000001</c:v>
                </c:pt>
                <c:pt idx="81">
                  <c:v>155.75299999999999</c:v>
                </c:pt>
                <c:pt idx="82">
                  <c:v>155.60499999999999</c:v>
                </c:pt>
                <c:pt idx="83">
                  <c:v>155.74199999999999</c:v>
                </c:pt>
                <c:pt idx="84">
                  <c:v>155.679</c:v>
                </c:pt>
                <c:pt idx="85">
                  <c:v>155.74299999999999</c:v>
                </c:pt>
                <c:pt idx="86">
                  <c:v>155.667</c:v>
                </c:pt>
                <c:pt idx="87">
                  <c:v>155.846</c:v>
                </c:pt>
                <c:pt idx="88">
                  <c:v>155.64599999999999</c:v>
                </c:pt>
                <c:pt idx="89">
                  <c:v>155.83699999999999</c:v>
                </c:pt>
                <c:pt idx="90">
                  <c:v>155.69399999999999</c:v>
                </c:pt>
                <c:pt idx="91">
                  <c:v>155.792</c:v>
                </c:pt>
                <c:pt idx="92">
                  <c:v>155.69999999999999</c:v>
                </c:pt>
                <c:pt idx="93">
                  <c:v>155.72</c:v>
                </c:pt>
                <c:pt idx="94">
                  <c:v>155.68799999999999</c:v>
                </c:pt>
                <c:pt idx="95">
                  <c:v>155.797</c:v>
                </c:pt>
                <c:pt idx="96">
                  <c:v>155.74</c:v>
                </c:pt>
                <c:pt idx="97">
                  <c:v>155.886</c:v>
                </c:pt>
                <c:pt idx="98">
                  <c:v>155.74</c:v>
                </c:pt>
                <c:pt idx="99">
                  <c:v>155.80500000000001</c:v>
                </c:pt>
                <c:pt idx="100">
                  <c:v>155.727</c:v>
                </c:pt>
                <c:pt idx="101">
                  <c:v>155.81700000000001</c:v>
                </c:pt>
                <c:pt idx="102">
                  <c:v>155.786</c:v>
                </c:pt>
                <c:pt idx="103">
                  <c:v>155.785</c:v>
                </c:pt>
                <c:pt idx="104">
                  <c:v>155.84299999999999</c:v>
                </c:pt>
                <c:pt idx="105">
                  <c:v>155.92099999999999</c:v>
                </c:pt>
                <c:pt idx="106">
                  <c:v>155.863</c:v>
                </c:pt>
                <c:pt idx="107">
                  <c:v>155.81299999999999</c:v>
                </c:pt>
                <c:pt idx="108">
                  <c:v>155.74199999999999</c:v>
                </c:pt>
                <c:pt idx="109">
                  <c:v>155.92400000000001</c:v>
                </c:pt>
                <c:pt idx="110">
                  <c:v>155.52600000000001</c:v>
                </c:pt>
                <c:pt idx="111">
                  <c:v>155.536</c:v>
                </c:pt>
                <c:pt idx="112">
                  <c:v>155.52500000000001</c:v>
                </c:pt>
                <c:pt idx="113">
                  <c:v>155.58500000000001</c:v>
                </c:pt>
                <c:pt idx="114">
                  <c:v>155.52699999999999</c:v>
                </c:pt>
                <c:pt idx="115">
                  <c:v>155.59700000000001</c:v>
                </c:pt>
                <c:pt idx="116">
                  <c:v>155.56200000000001</c:v>
                </c:pt>
                <c:pt idx="117">
                  <c:v>155.678</c:v>
                </c:pt>
                <c:pt idx="118">
                  <c:v>155.57599999999999</c:v>
                </c:pt>
                <c:pt idx="119">
                  <c:v>155.61500000000001</c:v>
                </c:pt>
                <c:pt idx="120">
                  <c:v>155.596</c:v>
                </c:pt>
                <c:pt idx="121">
                  <c:v>155.672</c:v>
                </c:pt>
                <c:pt idx="122">
                  <c:v>155.654</c:v>
                </c:pt>
                <c:pt idx="123">
                  <c:v>155.66499999999999</c:v>
                </c:pt>
                <c:pt idx="124">
                  <c:v>155.62700000000001</c:v>
                </c:pt>
                <c:pt idx="125">
                  <c:v>155.63800000000001</c:v>
                </c:pt>
                <c:pt idx="126">
                  <c:v>155.66800000000001</c:v>
                </c:pt>
                <c:pt idx="127">
                  <c:v>155.50899999999999</c:v>
                </c:pt>
                <c:pt idx="128">
                  <c:v>155.66399999999999</c:v>
                </c:pt>
                <c:pt idx="129">
                  <c:v>155.70699999999999</c:v>
                </c:pt>
                <c:pt idx="130">
                  <c:v>155.708</c:v>
                </c:pt>
                <c:pt idx="131">
                  <c:v>155.66</c:v>
                </c:pt>
                <c:pt idx="132">
                  <c:v>155.714</c:v>
                </c:pt>
                <c:pt idx="133">
                  <c:v>155.82300000000001</c:v>
                </c:pt>
                <c:pt idx="134">
                  <c:v>155.59899999999999</c:v>
                </c:pt>
                <c:pt idx="135">
                  <c:v>155.62899999999999</c:v>
                </c:pt>
                <c:pt idx="136">
                  <c:v>155.636</c:v>
                </c:pt>
                <c:pt idx="137">
                  <c:v>155.71799999999999</c:v>
                </c:pt>
                <c:pt idx="138">
                  <c:v>155.68600000000001</c:v>
                </c:pt>
                <c:pt idx="139">
                  <c:v>155.63900000000001</c:v>
                </c:pt>
                <c:pt idx="140">
                  <c:v>155.667</c:v>
                </c:pt>
                <c:pt idx="141">
                  <c:v>155.78700000000001</c:v>
                </c:pt>
                <c:pt idx="142">
                  <c:v>155.858</c:v>
                </c:pt>
                <c:pt idx="143">
                  <c:v>155.83099999999999</c:v>
                </c:pt>
                <c:pt idx="144">
                  <c:v>155.77699999999999</c:v>
                </c:pt>
                <c:pt idx="145">
                  <c:v>155.83000000000001</c:v>
                </c:pt>
                <c:pt idx="146">
                  <c:v>155.768</c:v>
                </c:pt>
                <c:pt idx="147">
                  <c:v>155.678</c:v>
                </c:pt>
                <c:pt idx="148">
                  <c:v>155.90600000000001</c:v>
                </c:pt>
                <c:pt idx="149">
                  <c:v>155.80600000000001</c:v>
                </c:pt>
                <c:pt idx="150">
                  <c:v>155.929</c:v>
                </c:pt>
                <c:pt idx="151">
                  <c:v>156.11199999999999</c:v>
                </c:pt>
                <c:pt idx="152">
                  <c:v>155.49299999999999</c:v>
                </c:pt>
                <c:pt idx="153">
                  <c:v>155.673</c:v>
                </c:pt>
                <c:pt idx="154">
                  <c:v>155.54499999999999</c:v>
                </c:pt>
                <c:pt idx="155">
                  <c:v>155.73400000000001</c:v>
                </c:pt>
                <c:pt idx="156">
                  <c:v>155.673</c:v>
                </c:pt>
                <c:pt idx="157">
                  <c:v>155.684</c:v>
                </c:pt>
                <c:pt idx="158">
                  <c:v>155.63200000000001</c:v>
                </c:pt>
                <c:pt idx="159">
                  <c:v>155.74100000000001</c:v>
                </c:pt>
                <c:pt idx="160">
                  <c:v>155.61600000000001</c:v>
                </c:pt>
                <c:pt idx="161">
                  <c:v>155.68899999999999</c:v>
                </c:pt>
                <c:pt idx="162">
                  <c:v>155.63999999999999</c:v>
                </c:pt>
                <c:pt idx="163">
                  <c:v>155.78399999999999</c:v>
                </c:pt>
                <c:pt idx="164">
                  <c:v>155.625</c:v>
                </c:pt>
                <c:pt idx="165">
                  <c:v>155.78700000000001</c:v>
                </c:pt>
                <c:pt idx="166">
                  <c:v>155.47900000000001</c:v>
                </c:pt>
                <c:pt idx="167">
                  <c:v>155.928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C-430C-AA62-14FF06FD3B6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('AMP4-4'!$M$4,'AMP4-4'!$M$4)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DC-430C-AA62-14FF06FD3B6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('AMP4-4'!$M$5,'AMP4-4'!$M$5)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DC-430C-AA62-14FF06FD3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8928"/>
        <c:axId val="475869320"/>
      </c:scatterChart>
      <c:valAx>
        <c:axId val="47586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9320"/>
        <c:crosses val="autoZero"/>
        <c:crossBetween val="midCat"/>
      </c:valAx>
      <c:valAx>
        <c:axId val="4758693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'AMP4-4'!$N$8</c:f>
              <c:strCache>
                <c:ptCount val="1"/>
                <c:pt idx="0">
                  <c:v>Dim 5_1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'AMP4-4'!$N$9:$N$176</c:f>
              <c:numCache>
                <c:formatCode>General</c:formatCode>
                <c:ptCount val="168"/>
                <c:pt idx="0">
                  <c:v>27.123999999999999</c:v>
                </c:pt>
                <c:pt idx="1">
                  <c:v>27.434999999999999</c:v>
                </c:pt>
                <c:pt idx="2">
                  <c:v>27.431999999999999</c:v>
                </c:pt>
                <c:pt idx="3">
                  <c:v>27.602</c:v>
                </c:pt>
                <c:pt idx="4">
                  <c:v>27.356999999999999</c:v>
                </c:pt>
                <c:pt idx="5">
                  <c:v>27.533999999999999</c:v>
                </c:pt>
                <c:pt idx="6">
                  <c:v>27.326000000000001</c:v>
                </c:pt>
                <c:pt idx="7">
                  <c:v>27.568000000000001</c:v>
                </c:pt>
                <c:pt idx="8">
                  <c:v>27.294</c:v>
                </c:pt>
                <c:pt idx="9">
                  <c:v>27.521999999999998</c:v>
                </c:pt>
                <c:pt idx="10">
                  <c:v>27.291</c:v>
                </c:pt>
                <c:pt idx="11">
                  <c:v>27.579000000000001</c:v>
                </c:pt>
                <c:pt idx="12">
                  <c:v>27.19</c:v>
                </c:pt>
                <c:pt idx="13">
                  <c:v>27.472999999999999</c:v>
                </c:pt>
                <c:pt idx="14">
                  <c:v>27.259</c:v>
                </c:pt>
                <c:pt idx="15">
                  <c:v>27.474</c:v>
                </c:pt>
                <c:pt idx="16">
                  <c:v>27.24</c:v>
                </c:pt>
                <c:pt idx="17">
                  <c:v>27.463000000000001</c:v>
                </c:pt>
                <c:pt idx="18">
                  <c:v>27.21</c:v>
                </c:pt>
                <c:pt idx="19">
                  <c:v>27.388999999999999</c:v>
                </c:pt>
                <c:pt idx="20">
                  <c:v>27.163</c:v>
                </c:pt>
                <c:pt idx="21">
                  <c:v>27.387</c:v>
                </c:pt>
                <c:pt idx="22">
                  <c:v>27.202000000000002</c:v>
                </c:pt>
                <c:pt idx="23">
                  <c:v>27.395</c:v>
                </c:pt>
                <c:pt idx="24">
                  <c:v>27.149000000000001</c:v>
                </c:pt>
                <c:pt idx="25">
                  <c:v>27.382000000000001</c:v>
                </c:pt>
                <c:pt idx="26">
                  <c:v>27.285</c:v>
                </c:pt>
                <c:pt idx="27">
                  <c:v>27.67</c:v>
                </c:pt>
                <c:pt idx="28">
                  <c:v>27.355</c:v>
                </c:pt>
                <c:pt idx="29">
                  <c:v>27.681000000000001</c:v>
                </c:pt>
                <c:pt idx="30">
                  <c:v>27.329000000000001</c:v>
                </c:pt>
                <c:pt idx="31">
                  <c:v>27.646999999999998</c:v>
                </c:pt>
                <c:pt idx="32">
                  <c:v>27.332000000000001</c:v>
                </c:pt>
                <c:pt idx="33">
                  <c:v>27.631</c:v>
                </c:pt>
                <c:pt idx="34">
                  <c:v>27.207999999999998</c:v>
                </c:pt>
                <c:pt idx="35">
                  <c:v>27.603999999999999</c:v>
                </c:pt>
                <c:pt idx="36">
                  <c:v>27.24</c:v>
                </c:pt>
                <c:pt idx="37">
                  <c:v>27.625</c:v>
                </c:pt>
                <c:pt idx="38">
                  <c:v>27.161999999999999</c:v>
                </c:pt>
                <c:pt idx="39">
                  <c:v>27.576000000000001</c:v>
                </c:pt>
                <c:pt idx="40">
                  <c:v>27.216999999999999</c:v>
                </c:pt>
                <c:pt idx="41">
                  <c:v>27.603999999999999</c:v>
                </c:pt>
                <c:pt idx="42">
                  <c:v>27.231000000000002</c:v>
                </c:pt>
                <c:pt idx="43">
                  <c:v>27.620999999999999</c:v>
                </c:pt>
                <c:pt idx="44">
                  <c:v>27.216000000000001</c:v>
                </c:pt>
                <c:pt idx="45">
                  <c:v>27.608000000000001</c:v>
                </c:pt>
                <c:pt idx="46">
                  <c:v>27.135999999999999</c:v>
                </c:pt>
                <c:pt idx="47">
                  <c:v>27.562000000000001</c:v>
                </c:pt>
                <c:pt idx="48">
                  <c:v>27.189</c:v>
                </c:pt>
                <c:pt idx="49">
                  <c:v>27.555</c:v>
                </c:pt>
                <c:pt idx="50">
                  <c:v>27.106999999999999</c:v>
                </c:pt>
                <c:pt idx="51">
                  <c:v>27.533999999999999</c:v>
                </c:pt>
                <c:pt idx="52">
                  <c:v>27.169</c:v>
                </c:pt>
                <c:pt idx="53">
                  <c:v>27.617999999999999</c:v>
                </c:pt>
                <c:pt idx="54">
                  <c:v>27.151</c:v>
                </c:pt>
                <c:pt idx="55">
                  <c:v>27.576000000000001</c:v>
                </c:pt>
                <c:pt idx="56">
                  <c:v>27.16</c:v>
                </c:pt>
                <c:pt idx="57">
                  <c:v>27.553999999999998</c:v>
                </c:pt>
                <c:pt idx="58">
                  <c:v>27.155999999999999</c:v>
                </c:pt>
                <c:pt idx="59">
                  <c:v>27.577000000000002</c:v>
                </c:pt>
                <c:pt idx="60">
                  <c:v>27.114999999999998</c:v>
                </c:pt>
                <c:pt idx="61">
                  <c:v>27.457000000000001</c:v>
                </c:pt>
                <c:pt idx="62">
                  <c:v>27.123000000000001</c:v>
                </c:pt>
                <c:pt idx="63">
                  <c:v>27.587</c:v>
                </c:pt>
                <c:pt idx="64">
                  <c:v>27.027999999999999</c:v>
                </c:pt>
                <c:pt idx="65">
                  <c:v>27.489000000000001</c:v>
                </c:pt>
                <c:pt idx="66">
                  <c:v>27.114999999999998</c:v>
                </c:pt>
                <c:pt idx="67">
                  <c:v>27.533000000000001</c:v>
                </c:pt>
                <c:pt idx="68">
                  <c:v>27.097000000000001</c:v>
                </c:pt>
                <c:pt idx="69">
                  <c:v>27.507999999999999</c:v>
                </c:pt>
                <c:pt idx="70">
                  <c:v>27.303000000000001</c:v>
                </c:pt>
                <c:pt idx="71">
                  <c:v>27.417000000000002</c:v>
                </c:pt>
                <c:pt idx="72">
                  <c:v>27.303999999999998</c:v>
                </c:pt>
                <c:pt idx="73">
                  <c:v>27.440999999999999</c:v>
                </c:pt>
                <c:pt idx="74">
                  <c:v>27.283000000000001</c:v>
                </c:pt>
                <c:pt idx="75">
                  <c:v>27.416</c:v>
                </c:pt>
                <c:pt idx="76">
                  <c:v>27.292999999999999</c:v>
                </c:pt>
                <c:pt idx="77">
                  <c:v>27.456</c:v>
                </c:pt>
                <c:pt idx="78">
                  <c:v>27.271999999999998</c:v>
                </c:pt>
                <c:pt idx="79">
                  <c:v>27.413</c:v>
                </c:pt>
                <c:pt idx="80">
                  <c:v>27.245999999999999</c:v>
                </c:pt>
                <c:pt idx="81">
                  <c:v>27.405999999999999</c:v>
                </c:pt>
                <c:pt idx="82">
                  <c:v>27.248999999999999</c:v>
                </c:pt>
                <c:pt idx="83">
                  <c:v>27.44</c:v>
                </c:pt>
                <c:pt idx="84">
                  <c:v>27.23</c:v>
                </c:pt>
                <c:pt idx="85">
                  <c:v>27.38</c:v>
                </c:pt>
                <c:pt idx="86">
                  <c:v>27.231000000000002</c:v>
                </c:pt>
                <c:pt idx="87">
                  <c:v>27.309000000000001</c:v>
                </c:pt>
                <c:pt idx="88">
                  <c:v>27.172999999999998</c:v>
                </c:pt>
                <c:pt idx="89">
                  <c:v>27.346</c:v>
                </c:pt>
                <c:pt idx="90">
                  <c:v>27.184999999999999</c:v>
                </c:pt>
                <c:pt idx="91">
                  <c:v>27.396999999999998</c:v>
                </c:pt>
                <c:pt idx="92">
                  <c:v>27.227</c:v>
                </c:pt>
                <c:pt idx="93">
                  <c:v>27.4</c:v>
                </c:pt>
                <c:pt idx="94">
                  <c:v>27.204999999999998</c:v>
                </c:pt>
                <c:pt idx="95">
                  <c:v>27.36</c:v>
                </c:pt>
                <c:pt idx="96">
                  <c:v>27.123999999999999</c:v>
                </c:pt>
                <c:pt idx="97">
                  <c:v>27.268000000000001</c:v>
                </c:pt>
                <c:pt idx="98">
                  <c:v>27.17</c:v>
                </c:pt>
                <c:pt idx="99">
                  <c:v>27.337</c:v>
                </c:pt>
                <c:pt idx="100">
                  <c:v>27.193000000000001</c:v>
                </c:pt>
                <c:pt idx="101">
                  <c:v>27.318999999999999</c:v>
                </c:pt>
                <c:pt idx="102">
                  <c:v>27.122</c:v>
                </c:pt>
                <c:pt idx="103">
                  <c:v>27.34</c:v>
                </c:pt>
                <c:pt idx="104">
                  <c:v>27.091999999999999</c:v>
                </c:pt>
                <c:pt idx="105">
                  <c:v>27.225000000000001</c:v>
                </c:pt>
                <c:pt idx="106">
                  <c:v>27.041</c:v>
                </c:pt>
                <c:pt idx="107">
                  <c:v>27.324999999999999</c:v>
                </c:pt>
                <c:pt idx="108">
                  <c:v>27.103000000000002</c:v>
                </c:pt>
                <c:pt idx="109">
                  <c:v>27.324000000000002</c:v>
                </c:pt>
                <c:pt idx="110">
                  <c:v>27.356999999999999</c:v>
                </c:pt>
                <c:pt idx="111">
                  <c:v>27.577000000000002</c:v>
                </c:pt>
                <c:pt idx="112">
                  <c:v>27.268000000000001</c:v>
                </c:pt>
                <c:pt idx="113">
                  <c:v>27.584</c:v>
                </c:pt>
                <c:pt idx="114">
                  <c:v>27.318999999999999</c:v>
                </c:pt>
                <c:pt idx="115">
                  <c:v>27.573</c:v>
                </c:pt>
                <c:pt idx="116">
                  <c:v>27.303999999999998</c:v>
                </c:pt>
                <c:pt idx="117">
                  <c:v>27.474</c:v>
                </c:pt>
                <c:pt idx="118">
                  <c:v>27.274000000000001</c:v>
                </c:pt>
                <c:pt idx="119">
                  <c:v>27.504999999999999</c:v>
                </c:pt>
                <c:pt idx="120">
                  <c:v>27.259</c:v>
                </c:pt>
                <c:pt idx="121">
                  <c:v>27.465</c:v>
                </c:pt>
                <c:pt idx="122">
                  <c:v>27.187999999999999</c:v>
                </c:pt>
                <c:pt idx="123">
                  <c:v>27.481000000000002</c:v>
                </c:pt>
                <c:pt idx="124">
                  <c:v>27.242000000000001</c:v>
                </c:pt>
                <c:pt idx="125">
                  <c:v>27.492999999999999</c:v>
                </c:pt>
                <c:pt idx="126">
                  <c:v>27.222000000000001</c:v>
                </c:pt>
                <c:pt idx="127">
                  <c:v>27.626999999999999</c:v>
                </c:pt>
                <c:pt idx="128">
                  <c:v>27.193000000000001</c:v>
                </c:pt>
                <c:pt idx="129">
                  <c:v>27.431999999999999</c:v>
                </c:pt>
                <c:pt idx="130">
                  <c:v>27.123000000000001</c:v>
                </c:pt>
                <c:pt idx="131">
                  <c:v>27.474</c:v>
                </c:pt>
                <c:pt idx="132">
                  <c:v>27.152000000000001</c:v>
                </c:pt>
                <c:pt idx="133">
                  <c:v>27.375</c:v>
                </c:pt>
                <c:pt idx="134">
                  <c:v>27.202999999999999</c:v>
                </c:pt>
                <c:pt idx="135">
                  <c:v>27.387</c:v>
                </c:pt>
                <c:pt idx="136">
                  <c:v>27.241</c:v>
                </c:pt>
                <c:pt idx="137">
                  <c:v>27.433</c:v>
                </c:pt>
                <c:pt idx="138">
                  <c:v>27.268000000000001</c:v>
                </c:pt>
                <c:pt idx="139">
                  <c:v>27.439</c:v>
                </c:pt>
                <c:pt idx="140">
                  <c:v>27.231999999999999</c:v>
                </c:pt>
                <c:pt idx="141">
                  <c:v>27.347000000000001</c:v>
                </c:pt>
                <c:pt idx="142">
                  <c:v>27.030999999999999</c:v>
                </c:pt>
                <c:pt idx="143">
                  <c:v>27.297999999999998</c:v>
                </c:pt>
                <c:pt idx="144">
                  <c:v>27.100999999999999</c:v>
                </c:pt>
                <c:pt idx="145">
                  <c:v>27.323</c:v>
                </c:pt>
                <c:pt idx="146">
                  <c:v>27.12</c:v>
                </c:pt>
                <c:pt idx="147">
                  <c:v>27.382000000000001</c:v>
                </c:pt>
                <c:pt idx="148">
                  <c:v>27.021999999999998</c:v>
                </c:pt>
                <c:pt idx="149">
                  <c:v>27.262</c:v>
                </c:pt>
                <c:pt idx="150">
                  <c:v>26.998999999999999</c:v>
                </c:pt>
                <c:pt idx="151">
                  <c:v>26.99</c:v>
                </c:pt>
                <c:pt idx="152">
                  <c:v>27.347999999999999</c:v>
                </c:pt>
                <c:pt idx="153">
                  <c:v>27.472000000000001</c:v>
                </c:pt>
                <c:pt idx="154">
                  <c:v>27.309000000000001</c:v>
                </c:pt>
                <c:pt idx="155">
                  <c:v>27.404</c:v>
                </c:pt>
                <c:pt idx="156">
                  <c:v>27.274999999999999</c:v>
                </c:pt>
                <c:pt idx="157">
                  <c:v>27.47</c:v>
                </c:pt>
                <c:pt idx="158">
                  <c:v>27.212</c:v>
                </c:pt>
                <c:pt idx="159">
                  <c:v>27.41</c:v>
                </c:pt>
                <c:pt idx="160">
                  <c:v>27.254000000000001</c:v>
                </c:pt>
                <c:pt idx="161">
                  <c:v>27.402000000000001</c:v>
                </c:pt>
                <c:pt idx="162">
                  <c:v>27.222999999999999</c:v>
                </c:pt>
                <c:pt idx="163">
                  <c:v>27.361999999999998</c:v>
                </c:pt>
                <c:pt idx="164">
                  <c:v>27.238</c:v>
                </c:pt>
                <c:pt idx="165">
                  <c:v>27.373999999999999</c:v>
                </c:pt>
                <c:pt idx="166">
                  <c:v>27.23</c:v>
                </c:pt>
                <c:pt idx="167">
                  <c:v>27.395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EB-4BA0-AB43-A43AE45C0CB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('AMP4-4'!$N$4,'AMP4-4'!$N$4)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EB-4BA0-AB43-A43AE45C0CB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('AMP4-4'!$N$5,'AMP4-4'!$N$5)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EB-4BA0-AB43-A43AE45C0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70104"/>
        <c:axId val="475870496"/>
      </c:scatterChart>
      <c:valAx>
        <c:axId val="47587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0496"/>
        <c:crosses val="autoZero"/>
        <c:crossBetween val="midCat"/>
      </c:valAx>
      <c:valAx>
        <c:axId val="4758704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0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'AMP4-4'!$O$8</c:f>
              <c:strCache>
                <c:ptCount val="1"/>
                <c:pt idx="0">
                  <c:v>Dim 5_2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'AMP4-4'!$O$9:$O$176</c:f>
              <c:numCache>
                <c:formatCode>General</c:formatCode>
                <c:ptCount val="168"/>
                <c:pt idx="0">
                  <c:v>27.38</c:v>
                </c:pt>
                <c:pt idx="1">
                  <c:v>27.547999999999998</c:v>
                </c:pt>
                <c:pt idx="2">
                  <c:v>27.661000000000001</c:v>
                </c:pt>
                <c:pt idx="3">
                  <c:v>27.696999999999999</c:v>
                </c:pt>
                <c:pt idx="4">
                  <c:v>27.588000000000001</c:v>
                </c:pt>
                <c:pt idx="5">
                  <c:v>27.68</c:v>
                </c:pt>
                <c:pt idx="6">
                  <c:v>27.542999999999999</c:v>
                </c:pt>
                <c:pt idx="7">
                  <c:v>27.657</c:v>
                </c:pt>
                <c:pt idx="8">
                  <c:v>27.481999999999999</c:v>
                </c:pt>
                <c:pt idx="9">
                  <c:v>27.594000000000001</c:v>
                </c:pt>
                <c:pt idx="10">
                  <c:v>27.542999999999999</c:v>
                </c:pt>
                <c:pt idx="11">
                  <c:v>27.65</c:v>
                </c:pt>
                <c:pt idx="12">
                  <c:v>27.39</c:v>
                </c:pt>
                <c:pt idx="13">
                  <c:v>27.579000000000001</c:v>
                </c:pt>
                <c:pt idx="14">
                  <c:v>27.463999999999999</c:v>
                </c:pt>
                <c:pt idx="15">
                  <c:v>27.620999999999999</c:v>
                </c:pt>
                <c:pt idx="16">
                  <c:v>27.489000000000001</c:v>
                </c:pt>
                <c:pt idx="17">
                  <c:v>27.613</c:v>
                </c:pt>
                <c:pt idx="18">
                  <c:v>27.425999999999998</c:v>
                </c:pt>
                <c:pt idx="19">
                  <c:v>27.536000000000001</c:v>
                </c:pt>
                <c:pt idx="20">
                  <c:v>27.344000000000001</c:v>
                </c:pt>
                <c:pt idx="21">
                  <c:v>27.507999999999999</c:v>
                </c:pt>
                <c:pt idx="22">
                  <c:v>27.422999999999998</c:v>
                </c:pt>
                <c:pt idx="23">
                  <c:v>27.488</c:v>
                </c:pt>
                <c:pt idx="24">
                  <c:v>27.332000000000001</c:v>
                </c:pt>
                <c:pt idx="25">
                  <c:v>27.466000000000001</c:v>
                </c:pt>
                <c:pt idx="26">
                  <c:v>27.437999999999999</c:v>
                </c:pt>
                <c:pt idx="27">
                  <c:v>27.785</c:v>
                </c:pt>
                <c:pt idx="28">
                  <c:v>27.556000000000001</c:v>
                </c:pt>
                <c:pt idx="29">
                  <c:v>27.751000000000001</c:v>
                </c:pt>
                <c:pt idx="30">
                  <c:v>27.466000000000001</c:v>
                </c:pt>
                <c:pt idx="31">
                  <c:v>27.785</c:v>
                </c:pt>
                <c:pt idx="32">
                  <c:v>27.456</c:v>
                </c:pt>
                <c:pt idx="33">
                  <c:v>27.785</c:v>
                </c:pt>
                <c:pt idx="34">
                  <c:v>27.384</c:v>
                </c:pt>
                <c:pt idx="35">
                  <c:v>27.745999999999999</c:v>
                </c:pt>
                <c:pt idx="36">
                  <c:v>27.39</c:v>
                </c:pt>
                <c:pt idx="37">
                  <c:v>27.75</c:v>
                </c:pt>
                <c:pt idx="38">
                  <c:v>27.33</c:v>
                </c:pt>
                <c:pt idx="39">
                  <c:v>27.710999999999999</c:v>
                </c:pt>
                <c:pt idx="40">
                  <c:v>27.376999999999999</c:v>
                </c:pt>
                <c:pt idx="41">
                  <c:v>27.754999999999999</c:v>
                </c:pt>
                <c:pt idx="42">
                  <c:v>27.4</c:v>
                </c:pt>
                <c:pt idx="43">
                  <c:v>27.780999999999999</c:v>
                </c:pt>
                <c:pt idx="44">
                  <c:v>27.364000000000001</c:v>
                </c:pt>
                <c:pt idx="45">
                  <c:v>27.792999999999999</c:v>
                </c:pt>
                <c:pt idx="46">
                  <c:v>27.315000000000001</c:v>
                </c:pt>
                <c:pt idx="47">
                  <c:v>27.754000000000001</c:v>
                </c:pt>
                <c:pt idx="48">
                  <c:v>27.314</c:v>
                </c:pt>
                <c:pt idx="49">
                  <c:v>27.777999999999999</c:v>
                </c:pt>
                <c:pt idx="50">
                  <c:v>27.260999999999999</c:v>
                </c:pt>
                <c:pt idx="51">
                  <c:v>27.731000000000002</c:v>
                </c:pt>
                <c:pt idx="52">
                  <c:v>27.329000000000001</c:v>
                </c:pt>
                <c:pt idx="53">
                  <c:v>27.806999999999999</c:v>
                </c:pt>
                <c:pt idx="54">
                  <c:v>27.298999999999999</c:v>
                </c:pt>
                <c:pt idx="55">
                  <c:v>27.774000000000001</c:v>
                </c:pt>
                <c:pt idx="56">
                  <c:v>27.302</c:v>
                </c:pt>
                <c:pt idx="57">
                  <c:v>27.777000000000001</c:v>
                </c:pt>
                <c:pt idx="58">
                  <c:v>27.266999999999999</c:v>
                </c:pt>
                <c:pt idx="59">
                  <c:v>27.786999999999999</c:v>
                </c:pt>
                <c:pt idx="60">
                  <c:v>27.254000000000001</c:v>
                </c:pt>
                <c:pt idx="61">
                  <c:v>27.686</c:v>
                </c:pt>
                <c:pt idx="62">
                  <c:v>27.228000000000002</c:v>
                </c:pt>
                <c:pt idx="63">
                  <c:v>27.809000000000001</c:v>
                </c:pt>
                <c:pt idx="64">
                  <c:v>27.167000000000002</c:v>
                </c:pt>
                <c:pt idx="65">
                  <c:v>27.724</c:v>
                </c:pt>
                <c:pt idx="66">
                  <c:v>27.222000000000001</c:v>
                </c:pt>
                <c:pt idx="67">
                  <c:v>27.797000000000001</c:v>
                </c:pt>
                <c:pt idx="68">
                  <c:v>27.254000000000001</c:v>
                </c:pt>
                <c:pt idx="69">
                  <c:v>27.725999999999999</c:v>
                </c:pt>
                <c:pt idx="70">
                  <c:v>27.516999999999999</c:v>
                </c:pt>
                <c:pt idx="71">
                  <c:v>27.477</c:v>
                </c:pt>
                <c:pt idx="72">
                  <c:v>27.538</c:v>
                </c:pt>
                <c:pt idx="73">
                  <c:v>27.437999999999999</c:v>
                </c:pt>
                <c:pt idx="74">
                  <c:v>27.515999999999998</c:v>
                </c:pt>
                <c:pt idx="75">
                  <c:v>27.507999999999999</c:v>
                </c:pt>
                <c:pt idx="76">
                  <c:v>27.524000000000001</c:v>
                </c:pt>
                <c:pt idx="77">
                  <c:v>27.556000000000001</c:v>
                </c:pt>
                <c:pt idx="78">
                  <c:v>27.504999999999999</c:v>
                </c:pt>
                <c:pt idx="79">
                  <c:v>27.472999999999999</c:v>
                </c:pt>
                <c:pt idx="80">
                  <c:v>27.451000000000001</c:v>
                </c:pt>
                <c:pt idx="81">
                  <c:v>27.501999999999999</c:v>
                </c:pt>
                <c:pt idx="82">
                  <c:v>27.463000000000001</c:v>
                </c:pt>
                <c:pt idx="83">
                  <c:v>27.515999999999998</c:v>
                </c:pt>
                <c:pt idx="84">
                  <c:v>27.398</c:v>
                </c:pt>
                <c:pt idx="85">
                  <c:v>27.488</c:v>
                </c:pt>
                <c:pt idx="86">
                  <c:v>27.396999999999998</c:v>
                </c:pt>
                <c:pt idx="87">
                  <c:v>27.405999999999999</c:v>
                </c:pt>
                <c:pt idx="88">
                  <c:v>27.396000000000001</c:v>
                </c:pt>
                <c:pt idx="89">
                  <c:v>27.428000000000001</c:v>
                </c:pt>
                <c:pt idx="90">
                  <c:v>27.361999999999998</c:v>
                </c:pt>
                <c:pt idx="91">
                  <c:v>27.492000000000001</c:v>
                </c:pt>
                <c:pt idx="92">
                  <c:v>27.388000000000002</c:v>
                </c:pt>
                <c:pt idx="93">
                  <c:v>27.53</c:v>
                </c:pt>
                <c:pt idx="94">
                  <c:v>27.355</c:v>
                </c:pt>
                <c:pt idx="95">
                  <c:v>27.465</c:v>
                </c:pt>
                <c:pt idx="96">
                  <c:v>27.35</c:v>
                </c:pt>
                <c:pt idx="97">
                  <c:v>27.385999999999999</c:v>
                </c:pt>
                <c:pt idx="98">
                  <c:v>27.32</c:v>
                </c:pt>
                <c:pt idx="99">
                  <c:v>27.491</c:v>
                </c:pt>
                <c:pt idx="100">
                  <c:v>27.332000000000001</c:v>
                </c:pt>
                <c:pt idx="101">
                  <c:v>27.503</c:v>
                </c:pt>
                <c:pt idx="102">
                  <c:v>27.305</c:v>
                </c:pt>
                <c:pt idx="103">
                  <c:v>27.55</c:v>
                </c:pt>
                <c:pt idx="104">
                  <c:v>27.233000000000001</c:v>
                </c:pt>
                <c:pt idx="105">
                  <c:v>27.405000000000001</c:v>
                </c:pt>
                <c:pt idx="106">
                  <c:v>27.201000000000001</c:v>
                </c:pt>
                <c:pt idx="107">
                  <c:v>27.56</c:v>
                </c:pt>
                <c:pt idx="108">
                  <c:v>27.338000000000001</c:v>
                </c:pt>
                <c:pt idx="109">
                  <c:v>27.452999999999999</c:v>
                </c:pt>
                <c:pt idx="110">
                  <c:v>27.646000000000001</c:v>
                </c:pt>
                <c:pt idx="111">
                  <c:v>27.716000000000001</c:v>
                </c:pt>
                <c:pt idx="112">
                  <c:v>27.518000000000001</c:v>
                </c:pt>
                <c:pt idx="113">
                  <c:v>27.667000000000002</c:v>
                </c:pt>
                <c:pt idx="114">
                  <c:v>27.532</c:v>
                </c:pt>
                <c:pt idx="115">
                  <c:v>27.651</c:v>
                </c:pt>
                <c:pt idx="116">
                  <c:v>27.52</c:v>
                </c:pt>
                <c:pt idx="117">
                  <c:v>27.562999999999999</c:v>
                </c:pt>
                <c:pt idx="118">
                  <c:v>27.51</c:v>
                </c:pt>
                <c:pt idx="119">
                  <c:v>27.614000000000001</c:v>
                </c:pt>
                <c:pt idx="120">
                  <c:v>27.491</c:v>
                </c:pt>
                <c:pt idx="121">
                  <c:v>27.582000000000001</c:v>
                </c:pt>
                <c:pt idx="122">
                  <c:v>27.396000000000001</c:v>
                </c:pt>
                <c:pt idx="123">
                  <c:v>27.56</c:v>
                </c:pt>
                <c:pt idx="124">
                  <c:v>27.46</c:v>
                </c:pt>
                <c:pt idx="125">
                  <c:v>27.611000000000001</c:v>
                </c:pt>
                <c:pt idx="126">
                  <c:v>27.425999999999998</c:v>
                </c:pt>
                <c:pt idx="127">
                  <c:v>27.745999999999999</c:v>
                </c:pt>
                <c:pt idx="128">
                  <c:v>27.411000000000001</c:v>
                </c:pt>
                <c:pt idx="129">
                  <c:v>27.558</c:v>
                </c:pt>
                <c:pt idx="130">
                  <c:v>27.315000000000001</c:v>
                </c:pt>
                <c:pt idx="131">
                  <c:v>27.597999999999999</c:v>
                </c:pt>
                <c:pt idx="132">
                  <c:v>27.367999999999999</c:v>
                </c:pt>
                <c:pt idx="133">
                  <c:v>27.471</c:v>
                </c:pt>
                <c:pt idx="134">
                  <c:v>27.414000000000001</c:v>
                </c:pt>
                <c:pt idx="135">
                  <c:v>27.614000000000001</c:v>
                </c:pt>
                <c:pt idx="136">
                  <c:v>27.449000000000002</c:v>
                </c:pt>
                <c:pt idx="137">
                  <c:v>27.559000000000001</c:v>
                </c:pt>
                <c:pt idx="138">
                  <c:v>27.398</c:v>
                </c:pt>
                <c:pt idx="139">
                  <c:v>27.603000000000002</c:v>
                </c:pt>
                <c:pt idx="140">
                  <c:v>27.408999999999999</c:v>
                </c:pt>
                <c:pt idx="141">
                  <c:v>27.513000000000002</c:v>
                </c:pt>
                <c:pt idx="142">
                  <c:v>27.207000000000001</c:v>
                </c:pt>
                <c:pt idx="143">
                  <c:v>27.516999999999999</c:v>
                </c:pt>
                <c:pt idx="144">
                  <c:v>27.286000000000001</c:v>
                </c:pt>
                <c:pt idx="145">
                  <c:v>27.523</c:v>
                </c:pt>
                <c:pt idx="146">
                  <c:v>27.294</c:v>
                </c:pt>
                <c:pt idx="147">
                  <c:v>27.638000000000002</c:v>
                </c:pt>
                <c:pt idx="148">
                  <c:v>27.184999999999999</c:v>
                </c:pt>
                <c:pt idx="149">
                  <c:v>27.495000000000001</c:v>
                </c:pt>
                <c:pt idx="150">
                  <c:v>27.138999999999999</c:v>
                </c:pt>
                <c:pt idx="151">
                  <c:v>27.21</c:v>
                </c:pt>
                <c:pt idx="152">
                  <c:v>27.606000000000002</c:v>
                </c:pt>
                <c:pt idx="153">
                  <c:v>27.574999999999999</c:v>
                </c:pt>
                <c:pt idx="154">
                  <c:v>27.529</c:v>
                </c:pt>
                <c:pt idx="155">
                  <c:v>27.510999999999999</c:v>
                </c:pt>
                <c:pt idx="156">
                  <c:v>27.445</c:v>
                </c:pt>
                <c:pt idx="157">
                  <c:v>27.626000000000001</c:v>
                </c:pt>
                <c:pt idx="158">
                  <c:v>27.445</c:v>
                </c:pt>
                <c:pt idx="159">
                  <c:v>27.544</c:v>
                </c:pt>
                <c:pt idx="160">
                  <c:v>27.466999999999999</c:v>
                </c:pt>
                <c:pt idx="161">
                  <c:v>27.573</c:v>
                </c:pt>
                <c:pt idx="162">
                  <c:v>27.439</c:v>
                </c:pt>
                <c:pt idx="163">
                  <c:v>27.460999999999999</c:v>
                </c:pt>
                <c:pt idx="164">
                  <c:v>27.457000000000001</c:v>
                </c:pt>
                <c:pt idx="165">
                  <c:v>27.489000000000001</c:v>
                </c:pt>
                <c:pt idx="166">
                  <c:v>27.606000000000002</c:v>
                </c:pt>
                <c:pt idx="167">
                  <c:v>27.375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3D-431F-A315-AFF039E751D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('AMP4-4'!$O$4,'AMP4-4'!$O$4)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3D-431F-A315-AFF039E751D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('AMP4-4'!$O$5,'AMP4-4'!$O$5)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3D-431F-A315-AFF039E75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71280"/>
        <c:axId val="475871672"/>
      </c:scatterChart>
      <c:valAx>
        <c:axId val="47587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1672"/>
        <c:crosses val="autoZero"/>
        <c:crossBetween val="midCat"/>
      </c:valAx>
      <c:valAx>
        <c:axId val="4758716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'AMP4-4'!$R$8</c:f>
              <c:strCache>
                <c:ptCount val="1"/>
                <c:pt idx="0">
                  <c:v>Dim 9_1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'AMP4-4'!$R$9:$R$176</c:f>
              <c:numCache>
                <c:formatCode>General</c:formatCode>
                <c:ptCount val="168"/>
                <c:pt idx="0">
                  <c:v>17.234999999999999</c:v>
                </c:pt>
                <c:pt idx="1">
                  <c:v>17.247</c:v>
                </c:pt>
                <c:pt idx="2">
                  <c:v>17.248999999999999</c:v>
                </c:pt>
                <c:pt idx="3">
                  <c:v>17.245999999999999</c:v>
                </c:pt>
                <c:pt idx="4">
                  <c:v>17.277000000000001</c:v>
                </c:pt>
                <c:pt idx="5">
                  <c:v>17.266999999999999</c:v>
                </c:pt>
                <c:pt idx="6">
                  <c:v>17.239000000000001</c:v>
                </c:pt>
                <c:pt idx="7">
                  <c:v>17.231000000000002</c:v>
                </c:pt>
                <c:pt idx="8">
                  <c:v>17.236999999999998</c:v>
                </c:pt>
                <c:pt idx="9">
                  <c:v>17.248999999999999</c:v>
                </c:pt>
                <c:pt idx="10">
                  <c:v>17.225000000000001</c:v>
                </c:pt>
                <c:pt idx="11">
                  <c:v>17.242999999999999</c:v>
                </c:pt>
                <c:pt idx="12">
                  <c:v>17.236000000000001</c:v>
                </c:pt>
                <c:pt idx="13">
                  <c:v>17.236999999999998</c:v>
                </c:pt>
                <c:pt idx="14">
                  <c:v>17.254999999999999</c:v>
                </c:pt>
                <c:pt idx="15">
                  <c:v>17.207999999999998</c:v>
                </c:pt>
                <c:pt idx="16">
                  <c:v>17.266999999999999</c:v>
                </c:pt>
                <c:pt idx="17">
                  <c:v>17.260999999999999</c:v>
                </c:pt>
                <c:pt idx="18">
                  <c:v>17.239000000000001</c:v>
                </c:pt>
                <c:pt idx="19">
                  <c:v>17.251000000000001</c:v>
                </c:pt>
                <c:pt idx="20">
                  <c:v>17.224</c:v>
                </c:pt>
                <c:pt idx="21">
                  <c:v>17.242000000000001</c:v>
                </c:pt>
                <c:pt idx="22">
                  <c:v>17.225999999999999</c:v>
                </c:pt>
                <c:pt idx="23">
                  <c:v>17.251999999999999</c:v>
                </c:pt>
                <c:pt idx="24">
                  <c:v>17.245999999999999</c:v>
                </c:pt>
                <c:pt idx="25">
                  <c:v>17.263999999999999</c:v>
                </c:pt>
                <c:pt idx="26">
                  <c:v>17.254999999999999</c:v>
                </c:pt>
                <c:pt idx="27">
                  <c:v>17.256</c:v>
                </c:pt>
                <c:pt idx="28">
                  <c:v>17.236000000000001</c:v>
                </c:pt>
                <c:pt idx="29">
                  <c:v>17.289000000000001</c:v>
                </c:pt>
                <c:pt idx="30">
                  <c:v>17.233000000000001</c:v>
                </c:pt>
                <c:pt idx="31">
                  <c:v>17.277000000000001</c:v>
                </c:pt>
                <c:pt idx="32">
                  <c:v>17.248000000000001</c:v>
                </c:pt>
                <c:pt idx="33">
                  <c:v>17.257000000000001</c:v>
                </c:pt>
                <c:pt idx="34">
                  <c:v>17.253</c:v>
                </c:pt>
                <c:pt idx="35">
                  <c:v>17.238</c:v>
                </c:pt>
                <c:pt idx="36">
                  <c:v>17.239000000000001</c:v>
                </c:pt>
                <c:pt idx="37">
                  <c:v>17.241</c:v>
                </c:pt>
                <c:pt idx="38">
                  <c:v>17.247</c:v>
                </c:pt>
                <c:pt idx="39">
                  <c:v>17.254000000000001</c:v>
                </c:pt>
                <c:pt idx="40">
                  <c:v>17.248999999999999</c:v>
                </c:pt>
                <c:pt idx="41">
                  <c:v>17.271999999999998</c:v>
                </c:pt>
                <c:pt idx="42">
                  <c:v>17.234000000000002</c:v>
                </c:pt>
                <c:pt idx="43">
                  <c:v>17.268000000000001</c:v>
                </c:pt>
                <c:pt idx="44">
                  <c:v>17.227</c:v>
                </c:pt>
                <c:pt idx="45">
                  <c:v>17.242999999999999</c:v>
                </c:pt>
                <c:pt idx="46">
                  <c:v>17.227</c:v>
                </c:pt>
                <c:pt idx="47">
                  <c:v>17.27</c:v>
                </c:pt>
                <c:pt idx="48">
                  <c:v>17.236000000000001</c:v>
                </c:pt>
                <c:pt idx="49">
                  <c:v>17.228000000000002</c:v>
                </c:pt>
                <c:pt idx="50">
                  <c:v>17.244</c:v>
                </c:pt>
                <c:pt idx="51">
                  <c:v>17.259</c:v>
                </c:pt>
                <c:pt idx="52">
                  <c:v>17.248999999999999</c:v>
                </c:pt>
                <c:pt idx="53">
                  <c:v>17.285</c:v>
                </c:pt>
                <c:pt idx="54">
                  <c:v>17.228000000000002</c:v>
                </c:pt>
                <c:pt idx="55">
                  <c:v>17.257000000000001</c:v>
                </c:pt>
                <c:pt idx="56">
                  <c:v>17.204999999999998</c:v>
                </c:pt>
                <c:pt idx="57">
                  <c:v>17.271000000000001</c:v>
                </c:pt>
                <c:pt idx="58">
                  <c:v>17.216999999999999</c:v>
                </c:pt>
                <c:pt idx="59">
                  <c:v>17.260999999999999</c:v>
                </c:pt>
                <c:pt idx="60">
                  <c:v>17.227</c:v>
                </c:pt>
                <c:pt idx="61">
                  <c:v>17.263999999999999</c:v>
                </c:pt>
                <c:pt idx="62">
                  <c:v>17.195</c:v>
                </c:pt>
                <c:pt idx="63">
                  <c:v>17.263000000000002</c:v>
                </c:pt>
                <c:pt idx="64">
                  <c:v>17.228999999999999</c:v>
                </c:pt>
                <c:pt idx="65">
                  <c:v>17.263999999999999</c:v>
                </c:pt>
                <c:pt idx="66">
                  <c:v>17.222000000000001</c:v>
                </c:pt>
                <c:pt idx="67">
                  <c:v>17.271999999999998</c:v>
                </c:pt>
                <c:pt idx="68">
                  <c:v>17.216999999999999</c:v>
                </c:pt>
                <c:pt idx="69">
                  <c:v>17.259</c:v>
                </c:pt>
                <c:pt idx="70">
                  <c:v>17.245999999999999</c:v>
                </c:pt>
                <c:pt idx="71">
                  <c:v>17.206</c:v>
                </c:pt>
                <c:pt idx="72">
                  <c:v>17.259</c:v>
                </c:pt>
                <c:pt idx="73">
                  <c:v>17.228000000000002</c:v>
                </c:pt>
                <c:pt idx="74">
                  <c:v>17.234999999999999</c:v>
                </c:pt>
                <c:pt idx="75">
                  <c:v>17.209</c:v>
                </c:pt>
                <c:pt idx="76">
                  <c:v>17.23</c:v>
                </c:pt>
                <c:pt idx="77">
                  <c:v>17.256</c:v>
                </c:pt>
                <c:pt idx="78">
                  <c:v>17.231999999999999</c:v>
                </c:pt>
                <c:pt idx="79">
                  <c:v>17.271000000000001</c:v>
                </c:pt>
                <c:pt idx="80">
                  <c:v>17.260000000000002</c:v>
                </c:pt>
                <c:pt idx="81">
                  <c:v>17.234000000000002</c:v>
                </c:pt>
                <c:pt idx="82">
                  <c:v>17.236000000000001</c:v>
                </c:pt>
                <c:pt idx="83">
                  <c:v>17.236000000000001</c:v>
                </c:pt>
                <c:pt idx="84">
                  <c:v>17.234999999999999</c:v>
                </c:pt>
                <c:pt idx="85">
                  <c:v>17.253</c:v>
                </c:pt>
                <c:pt idx="86">
                  <c:v>17.231000000000002</c:v>
                </c:pt>
                <c:pt idx="87">
                  <c:v>17.234000000000002</c:v>
                </c:pt>
                <c:pt idx="88">
                  <c:v>17.253</c:v>
                </c:pt>
                <c:pt idx="89">
                  <c:v>17.241</c:v>
                </c:pt>
                <c:pt idx="90">
                  <c:v>17.257999999999999</c:v>
                </c:pt>
                <c:pt idx="91">
                  <c:v>17.224</c:v>
                </c:pt>
                <c:pt idx="92">
                  <c:v>17.22</c:v>
                </c:pt>
                <c:pt idx="93">
                  <c:v>17.266999999999999</c:v>
                </c:pt>
                <c:pt idx="94">
                  <c:v>17.23</c:v>
                </c:pt>
                <c:pt idx="95">
                  <c:v>17.244</c:v>
                </c:pt>
                <c:pt idx="96">
                  <c:v>17.234999999999999</c:v>
                </c:pt>
                <c:pt idx="97">
                  <c:v>17.268999999999998</c:v>
                </c:pt>
                <c:pt idx="98">
                  <c:v>17.239999999999998</c:v>
                </c:pt>
                <c:pt idx="99">
                  <c:v>17.268999999999998</c:v>
                </c:pt>
                <c:pt idx="100">
                  <c:v>17.248000000000001</c:v>
                </c:pt>
                <c:pt idx="101">
                  <c:v>17.257000000000001</c:v>
                </c:pt>
                <c:pt idx="102">
                  <c:v>17.224</c:v>
                </c:pt>
                <c:pt idx="103">
                  <c:v>17.23</c:v>
                </c:pt>
                <c:pt idx="104">
                  <c:v>17.263999999999999</c:v>
                </c:pt>
                <c:pt idx="105">
                  <c:v>17.271999999999998</c:v>
                </c:pt>
                <c:pt idx="106">
                  <c:v>17.224</c:v>
                </c:pt>
                <c:pt idx="107">
                  <c:v>17.222000000000001</c:v>
                </c:pt>
                <c:pt idx="108">
                  <c:v>17.196999999999999</c:v>
                </c:pt>
                <c:pt idx="109">
                  <c:v>17.222999999999999</c:v>
                </c:pt>
                <c:pt idx="110">
                  <c:v>17.225999999999999</c:v>
                </c:pt>
                <c:pt idx="111">
                  <c:v>17.225000000000001</c:v>
                </c:pt>
                <c:pt idx="112">
                  <c:v>17.225000000000001</c:v>
                </c:pt>
                <c:pt idx="113">
                  <c:v>17.218</c:v>
                </c:pt>
                <c:pt idx="114">
                  <c:v>17.283999999999999</c:v>
                </c:pt>
                <c:pt idx="115">
                  <c:v>17.248000000000001</c:v>
                </c:pt>
                <c:pt idx="116">
                  <c:v>17.242000000000001</c:v>
                </c:pt>
                <c:pt idx="117">
                  <c:v>17.242000000000001</c:v>
                </c:pt>
                <c:pt idx="118">
                  <c:v>17.238</c:v>
                </c:pt>
                <c:pt idx="119">
                  <c:v>17.251000000000001</c:v>
                </c:pt>
                <c:pt idx="120">
                  <c:v>17.245999999999999</c:v>
                </c:pt>
                <c:pt idx="121">
                  <c:v>17.238</c:v>
                </c:pt>
                <c:pt idx="122">
                  <c:v>17.245000000000001</c:v>
                </c:pt>
                <c:pt idx="123">
                  <c:v>17.346</c:v>
                </c:pt>
                <c:pt idx="124">
                  <c:v>17.242000000000001</c:v>
                </c:pt>
                <c:pt idx="125">
                  <c:v>17.274000000000001</c:v>
                </c:pt>
                <c:pt idx="126">
                  <c:v>17.202999999999999</c:v>
                </c:pt>
                <c:pt idx="127">
                  <c:v>17.192</c:v>
                </c:pt>
                <c:pt idx="128">
                  <c:v>17.227</c:v>
                </c:pt>
                <c:pt idx="129">
                  <c:v>17.253</c:v>
                </c:pt>
                <c:pt idx="130">
                  <c:v>17.204000000000001</c:v>
                </c:pt>
                <c:pt idx="131">
                  <c:v>17.242999999999999</c:v>
                </c:pt>
                <c:pt idx="132">
                  <c:v>17.234000000000002</c:v>
                </c:pt>
                <c:pt idx="133">
                  <c:v>17.263000000000002</c:v>
                </c:pt>
                <c:pt idx="134">
                  <c:v>17.233000000000001</c:v>
                </c:pt>
                <c:pt idx="135">
                  <c:v>17.254999999999999</c:v>
                </c:pt>
                <c:pt idx="136">
                  <c:v>17.236000000000001</c:v>
                </c:pt>
                <c:pt idx="137">
                  <c:v>17.274999999999999</c:v>
                </c:pt>
                <c:pt idx="138">
                  <c:v>17.236999999999998</c:v>
                </c:pt>
                <c:pt idx="139">
                  <c:v>17.245000000000001</c:v>
                </c:pt>
                <c:pt idx="140">
                  <c:v>17.25</c:v>
                </c:pt>
                <c:pt idx="141">
                  <c:v>17.248000000000001</c:v>
                </c:pt>
                <c:pt idx="142">
                  <c:v>17.23</c:v>
                </c:pt>
                <c:pt idx="143">
                  <c:v>17.263000000000002</c:v>
                </c:pt>
                <c:pt idx="144">
                  <c:v>17.256</c:v>
                </c:pt>
                <c:pt idx="145">
                  <c:v>17.251000000000001</c:v>
                </c:pt>
                <c:pt idx="146">
                  <c:v>17.234000000000002</c:v>
                </c:pt>
                <c:pt idx="147">
                  <c:v>17.251999999999999</c:v>
                </c:pt>
                <c:pt idx="148">
                  <c:v>17.233000000000001</c:v>
                </c:pt>
                <c:pt idx="149">
                  <c:v>17.298999999999999</c:v>
                </c:pt>
                <c:pt idx="150">
                  <c:v>17.263000000000002</c:v>
                </c:pt>
                <c:pt idx="151">
                  <c:v>17.263999999999999</c:v>
                </c:pt>
                <c:pt idx="152">
                  <c:v>17.239000000000001</c:v>
                </c:pt>
                <c:pt idx="153">
                  <c:v>17.224</c:v>
                </c:pt>
                <c:pt idx="154">
                  <c:v>17.233000000000001</c:v>
                </c:pt>
                <c:pt idx="155">
                  <c:v>17.241</c:v>
                </c:pt>
                <c:pt idx="156">
                  <c:v>17.239999999999998</c:v>
                </c:pt>
                <c:pt idx="157">
                  <c:v>17.241</c:v>
                </c:pt>
                <c:pt idx="158">
                  <c:v>17.256</c:v>
                </c:pt>
                <c:pt idx="159">
                  <c:v>17.251000000000001</c:v>
                </c:pt>
                <c:pt idx="160">
                  <c:v>17.239999999999998</c:v>
                </c:pt>
                <c:pt idx="161">
                  <c:v>17.236000000000001</c:v>
                </c:pt>
                <c:pt idx="162">
                  <c:v>17.190000000000001</c:v>
                </c:pt>
                <c:pt idx="163">
                  <c:v>17.234999999999999</c:v>
                </c:pt>
                <c:pt idx="164">
                  <c:v>17.23</c:v>
                </c:pt>
                <c:pt idx="165">
                  <c:v>17.215</c:v>
                </c:pt>
                <c:pt idx="166">
                  <c:v>17.239999999999998</c:v>
                </c:pt>
                <c:pt idx="167">
                  <c:v>17.234999999999999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C-45AF-B02B-02C3E420CBA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('AMP4-4'!$R$4,'AMP4-4'!$R$4)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9C-45AF-B02B-02C3E420CBA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('AMP4-4'!$R$5,'AMP4-4'!$R$5)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9C-45AF-B02B-02C3E420C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72456"/>
        <c:axId val="475872848"/>
      </c:scatterChart>
      <c:valAx>
        <c:axId val="47587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2848"/>
        <c:crosses val="autoZero"/>
        <c:crossBetween val="midCat"/>
      </c:valAx>
      <c:valAx>
        <c:axId val="4758728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'AMP4-4'!$S$8</c:f>
              <c:strCache>
                <c:ptCount val="1"/>
                <c:pt idx="0">
                  <c:v>Dim 9_2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'AMP4-4'!$S$9:$S$176</c:f>
              <c:numCache>
                <c:formatCode>General</c:formatCode>
                <c:ptCount val="168"/>
                <c:pt idx="0">
                  <c:v>17.277999999999999</c:v>
                </c:pt>
                <c:pt idx="1">
                  <c:v>17.155000000000001</c:v>
                </c:pt>
                <c:pt idx="2">
                  <c:v>17.318000000000001</c:v>
                </c:pt>
                <c:pt idx="3">
                  <c:v>17.234000000000002</c:v>
                </c:pt>
                <c:pt idx="4">
                  <c:v>17.314</c:v>
                </c:pt>
                <c:pt idx="5">
                  <c:v>17.202000000000002</c:v>
                </c:pt>
                <c:pt idx="6">
                  <c:v>17.303999999999998</c:v>
                </c:pt>
                <c:pt idx="7">
                  <c:v>17.231999999999999</c:v>
                </c:pt>
                <c:pt idx="8">
                  <c:v>17.213000000000001</c:v>
                </c:pt>
                <c:pt idx="9">
                  <c:v>17.318999999999999</c:v>
                </c:pt>
                <c:pt idx="10">
                  <c:v>17.227</c:v>
                </c:pt>
                <c:pt idx="11">
                  <c:v>17.210999999999999</c:v>
                </c:pt>
                <c:pt idx="12">
                  <c:v>17.206</c:v>
                </c:pt>
                <c:pt idx="13">
                  <c:v>17.231999999999999</c:v>
                </c:pt>
                <c:pt idx="14">
                  <c:v>17.256</c:v>
                </c:pt>
                <c:pt idx="15">
                  <c:v>17.248999999999999</c:v>
                </c:pt>
                <c:pt idx="16">
                  <c:v>17.154</c:v>
                </c:pt>
                <c:pt idx="17">
                  <c:v>17.213999999999999</c:v>
                </c:pt>
                <c:pt idx="18">
                  <c:v>17.128</c:v>
                </c:pt>
                <c:pt idx="19">
                  <c:v>17.282</c:v>
                </c:pt>
                <c:pt idx="20">
                  <c:v>17.251000000000001</c:v>
                </c:pt>
                <c:pt idx="21">
                  <c:v>17.2</c:v>
                </c:pt>
                <c:pt idx="22">
                  <c:v>17.239000000000001</c:v>
                </c:pt>
                <c:pt idx="23">
                  <c:v>17.248000000000001</c:v>
                </c:pt>
                <c:pt idx="24">
                  <c:v>17.167999999999999</c:v>
                </c:pt>
                <c:pt idx="25">
                  <c:v>17.273</c:v>
                </c:pt>
                <c:pt idx="26">
                  <c:v>17.331</c:v>
                </c:pt>
                <c:pt idx="27">
                  <c:v>17.178999999999998</c:v>
                </c:pt>
                <c:pt idx="28">
                  <c:v>17.311</c:v>
                </c:pt>
                <c:pt idx="29">
                  <c:v>17.295999999999999</c:v>
                </c:pt>
                <c:pt idx="30">
                  <c:v>17.303999999999998</c:v>
                </c:pt>
                <c:pt idx="31">
                  <c:v>17.224</c:v>
                </c:pt>
                <c:pt idx="32">
                  <c:v>17.359000000000002</c:v>
                </c:pt>
                <c:pt idx="33">
                  <c:v>17.244</c:v>
                </c:pt>
                <c:pt idx="34">
                  <c:v>17.222999999999999</c:v>
                </c:pt>
                <c:pt idx="35">
                  <c:v>17.248000000000001</c:v>
                </c:pt>
                <c:pt idx="36">
                  <c:v>17.256</c:v>
                </c:pt>
                <c:pt idx="37">
                  <c:v>17.193999999999999</c:v>
                </c:pt>
                <c:pt idx="38">
                  <c:v>17.260000000000002</c:v>
                </c:pt>
                <c:pt idx="39">
                  <c:v>17.234000000000002</c:v>
                </c:pt>
                <c:pt idx="40">
                  <c:v>17.169</c:v>
                </c:pt>
                <c:pt idx="41">
                  <c:v>17.190999999999999</c:v>
                </c:pt>
                <c:pt idx="42">
                  <c:v>17.213999999999999</c:v>
                </c:pt>
                <c:pt idx="43">
                  <c:v>17.199000000000002</c:v>
                </c:pt>
                <c:pt idx="44">
                  <c:v>17.201000000000001</c:v>
                </c:pt>
                <c:pt idx="45">
                  <c:v>17.283000000000001</c:v>
                </c:pt>
                <c:pt idx="46">
                  <c:v>17.201000000000001</c:v>
                </c:pt>
                <c:pt idx="47">
                  <c:v>17.231000000000002</c:v>
                </c:pt>
                <c:pt idx="48">
                  <c:v>17.167000000000002</c:v>
                </c:pt>
                <c:pt idx="49">
                  <c:v>17.091999999999999</c:v>
                </c:pt>
                <c:pt idx="50">
                  <c:v>17.204000000000001</c:v>
                </c:pt>
                <c:pt idx="51">
                  <c:v>17.227</c:v>
                </c:pt>
                <c:pt idx="52">
                  <c:v>17.202999999999999</c:v>
                </c:pt>
                <c:pt idx="53">
                  <c:v>17.169</c:v>
                </c:pt>
                <c:pt idx="54">
                  <c:v>17.161000000000001</c:v>
                </c:pt>
                <c:pt idx="55">
                  <c:v>17.236000000000001</c:v>
                </c:pt>
                <c:pt idx="56">
                  <c:v>17.161000000000001</c:v>
                </c:pt>
                <c:pt idx="57">
                  <c:v>17.231999999999999</c:v>
                </c:pt>
                <c:pt idx="58">
                  <c:v>17.166</c:v>
                </c:pt>
                <c:pt idx="59">
                  <c:v>17.233000000000001</c:v>
                </c:pt>
                <c:pt idx="60">
                  <c:v>17.146000000000001</c:v>
                </c:pt>
                <c:pt idx="61">
                  <c:v>17.129000000000001</c:v>
                </c:pt>
                <c:pt idx="62">
                  <c:v>17.195</c:v>
                </c:pt>
                <c:pt idx="63">
                  <c:v>17.364000000000001</c:v>
                </c:pt>
                <c:pt idx="64">
                  <c:v>17.138000000000002</c:v>
                </c:pt>
                <c:pt idx="65">
                  <c:v>17.271000000000001</c:v>
                </c:pt>
                <c:pt idx="66">
                  <c:v>17.199000000000002</c:v>
                </c:pt>
                <c:pt idx="67">
                  <c:v>17.225000000000001</c:v>
                </c:pt>
                <c:pt idx="68">
                  <c:v>17.138000000000002</c:v>
                </c:pt>
                <c:pt idx="69">
                  <c:v>17.172000000000001</c:v>
                </c:pt>
                <c:pt idx="70">
                  <c:v>17.315000000000001</c:v>
                </c:pt>
                <c:pt idx="71">
                  <c:v>17.193999999999999</c:v>
                </c:pt>
                <c:pt idx="72">
                  <c:v>17.321999999999999</c:v>
                </c:pt>
                <c:pt idx="73">
                  <c:v>17.175000000000001</c:v>
                </c:pt>
                <c:pt idx="74">
                  <c:v>17.231999999999999</c:v>
                </c:pt>
                <c:pt idx="75">
                  <c:v>17.186</c:v>
                </c:pt>
                <c:pt idx="76">
                  <c:v>17.228000000000002</c:v>
                </c:pt>
                <c:pt idx="77">
                  <c:v>17.260000000000002</c:v>
                </c:pt>
                <c:pt idx="78">
                  <c:v>17.213000000000001</c:v>
                </c:pt>
                <c:pt idx="79">
                  <c:v>17.149000000000001</c:v>
                </c:pt>
                <c:pt idx="80">
                  <c:v>17.236000000000001</c:v>
                </c:pt>
                <c:pt idx="81">
                  <c:v>17.216000000000001</c:v>
                </c:pt>
                <c:pt idx="82">
                  <c:v>17.282</c:v>
                </c:pt>
                <c:pt idx="83">
                  <c:v>17.241</c:v>
                </c:pt>
                <c:pt idx="84">
                  <c:v>17.224</c:v>
                </c:pt>
                <c:pt idx="85">
                  <c:v>17.266999999999999</c:v>
                </c:pt>
                <c:pt idx="86">
                  <c:v>17.184000000000001</c:v>
                </c:pt>
                <c:pt idx="87">
                  <c:v>17.170999999999999</c:v>
                </c:pt>
                <c:pt idx="88">
                  <c:v>17.215</c:v>
                </c:pt>
                <c:pt idx="89">
                  <c:v>17.263000000000002</c:v>
                </c:pt>
                <c:pt idx="90">
                  <c:v>17.181999999999999</c:v>
                </c:pt>
                <c:pt idx="91">
                  <c:v>17.295999999999999</c:v>
                </c:pt>
                <c:pt idx="92">
                  <c:v>17.201000000000001</c:v>
                </c:pt>
                <c:pt idx="93">
                  <c:v>17.257999999999999</c:v>
                </c:pt>
                <c:pt idx="94">
                  <c:v>17.245999999999999</c:v>
                </c:pt>
                <c:pt idx="95">
                  <c:v>17.155999999999999</c:v>
                </c:pt>
                <c:pt idx="96">
                  <c:v>17.149999999999999</c:v>
                </c:pt>
                <c:pt idx="97">
                  <c:v>17.288</c:v>
                </c:pt>
                <c:pt idx="98">
                  <c:v>17.215</c:v>
                </c:pt>
                <c:pt idx="99">
                  <c:v>17.263999999999999</c:v>
                </c:pt>
                <c:pt idx="100">
                  <c:v>17.195</c:v>
                </c:pt>
                <c:pt idx="101">
                  <c:v>17.248999999999999</c:v>
                </c:pt>
                <c:pt idx="102">
                  <c:v>17.204000000000001</c:v>
                </c:pt>
                <c:pt idx="103">
                  <c:v>17.465</c:v>
                </c:pt>
                <c:pt idx="104">
                  <c:v>17.123999999999999</c:v>
                </c:pt>
                <c:pt idx="105">
                  <c:v>17.210999999999999</c:v>
                </c:pt>
                <c:pt idx="106">
                  <c:v>17.186</c:v>
                </c:pt>
                <c:pt idx="107">
                  <c:v>17.21</c:v>
                </c:pt>
                <c:pt idx="108">
                  <c:v>17.184999999999999</c:v>
                </c:pt>
                <c:pt idx="109">
                  <c:v>17.280999999999999</c:v>
                </c:pt>
                <c:pt idx="110">
                  <c:v>17.292000000000002</c:v>
                </c:pt>
                <c:pt idx="111">
                  <c:v>17.234000000000002</c:v>
                </c:pt>
                <c:pt idx="112">
                  <c:v>17.318000000000001</c:v>
                </c:pt>
                <c:pt idx="113">
                  <c:v>17.099</c:v>
                </c:pt>
                <c:pt idx="114">
                  <c:v>17.382000000000001</c:v>
                </c:pt>
                <c:pt idx="115">
                  <c:v>17.074000000000002</c:v>
                </c:pt>
                <c:pt idx="116">
                  <c:v>17.312000000000001</c:v>
                </c:pt>
                <c:pt idx="117">
                  <c:v>17.276</c:v>
                </c:pt>
                <c:pt idx="118">
                  <c:v>17.260000000000002</c:v>
                </c:pt>
                <c:pt idx="119">
                  <c:v>17.247</c:v>
                </c:pt>
                <c:pt idx="120">
                  <c:v>17.242999999999999</c:v>
                </c:pt>
                <c:pt idx="121">
                  <c:v>17.256</c:v>
                </c:pt>
                <c:pt idx="122">
                  <c:v>17.106999999999999</c:v>
                </c:pt>
                <c:pt idx="123">
                  <c:v>17.152000000000001</c:v>
                </c:pt>
                <c:pt idx="124">
                  <c:v>17.263000000000002</c:v>
                </c:pt>
                <c:pt idx="125">
                  <c:v>17.234999999999999</c:v>
                </c:pt>
                <c:pt idx="126">
                  <c:v>17.303000000000001</c:v>
                </c:pt>
                <c:pt idx="127">
                  <c:v>17.157</c:v>
                </c:pt>
                <c:pt idx="128">
                  <c:v>17.251999999999999</c:v>
                </c:pt>
                <c:pt idx="129">
                  <c:v>17.189</c:v>
                </c:pt>
                <c:pt idx="130">
                  <c:v>17.227</c:v>
                </c:pt>
                <c:pt idx="131">
                  <c:v>17.378</c:v>
                </c:pt>
                <c:pt idx="132">
                  <c:v>17.242999999999999</c:v>
                </c:pt>
                <c:pt idx="133">
                  <c:v>17.2</c:v>
                </c:pt>
                <c:pt idx="134">
                  <c:v>17.178999999999998</c:v>
                </c:pt>
                <c:pt idx="135">
                  <c:v>17.3</c:v>
                </c:pt>
                <c:pt idx="136">
                  <c:v>17.274999999999999</c:v>
                </c:pt>
                <c:pt idx="137">
                  <c:v>17.187000000000001</c:v>
                </c:pt>
                <c:pt idx="138">
                  <c:v>17.201000000000001</c:v>
                </c:pt>
                <c:pt idx="139">
                  <c:v>17.428000000000001</c:v>
                </c:pt>
                <c:pt idx="140">
                  <c:v>17.238</c:v>
                </c:pt>
                <c:pt idx="141">
                  <c:v>17.137</c:v>
                </c:pt>
                <c:pt idx="142">
                  <c:v>17.199000000000002</c:v>
                </c:pt>
                <c:pt idx="143">
                  <c:v>17.248000000000001</c:v>
                </c:pt>
                <c:pt idx="144">
                  <c:v>17.187999999999999</c:v>
                </c:pt>
                <c:pt idx="145">
                  <c:v>17.135999999999999</c:v>
                </c:pt>
                <c:pt idx="146">
                  <c:v>17.251999999999999</c:v>
                </c:pt>
                <c:pt idx="147">
                  <c:v>17.238</c:v>
                </c:pt>
                <c:pt idx="148">
                  <c:v>17.091999999999999</c:v>
                </c:pt>
                <c:pt idx="149">
                  <c:v>17.335999999999999</c:v>
                </c:pt>
                <c:pt idx="150">
                  <c:v>17.280999999999999</c:v>
                </c:pt>
                <c:pt idx="151">
                  <c:v>17.161999999999999</c:v>
                </c:pt>
                <c:pt idx="152">
                  <c:v>17.3</c:v>
                </c:pt>
                <c:pt idx="153">
                  <c:v>17.184000000000001</c:v>
                </c:pt>
                <c:pt idx="154">
                  <c:v>17.327000000000002</c:v>
                </c:pt>
                <c:pt idx="155">
                  <c:v>17.163</c:v>
                </c:pt>
                <c:pt idx="156">
                  <c:v>17.227</c:v>
                </c:pt>
                <c:pt idx="157">
                  <c:v>17.262</c:v>
                </c:pt>
                <c:pt idx="158">
                  <c:v>17.25</c:v>
                </c:pt>
                <c:pt idx="159">
                  <c:v>17.213000000000001</c:v>
                </c:pt>
                <c:pt idx="160">
                  <c:v>17.231000000000002</c:v>
                </c:pt>
                <c:pt idx="161">
                  <c:v>17.215</c:v>
                </c:pt>
                <c:pt idx="162">
                  <c:v>17.198</c:v>
                </c:pt>
                <c:pt idx="163">
                  <c:v>17.196000000000002</c:v>
                </c:pt>
                <c:pt idx="164">
                  <c:v>17.276</c:v>
                </c:pt>
                <c:pt idx="165">
                  <c:v>17.201000000000001</c:v>
                </c:pt>
                <c:pt idx="166">
                  <c:v>17.253</c:v>
                </c:pt>
                <c:pt idx="167">
                  <c:v>17.181999999999999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AD-4DA9-A152-9CD31F6BAF5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('AMP4-4'!$S$4,'AMP4-4'!$S$4)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AD-4DA9-A152-9CD31F6BAF5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('AMP4-4'!$S$5,'AMP4-4'!$S$5)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AD-4DA9-A152-9CD31F6BA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59808"/>
        <c:axId val="488760200"/>
      </c:scatterChart>
      <c:valAx>
        <c:axId val="4887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0200"/>
        <c:crosses val="autoZero"/>
        <c:crossBetween val="midCat"/>
      </c:valAx>
      <c:valAx>
        <c:axId val="4887602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5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'AMP4-4'!$T$9:$T$176</c:f>
              <c:numCache>
                <c:formatCode>General</c:formatCode>
                <c:ptCount val="168"/>
                <c:pt idx="0">
                  <c:v>34.186</c:v>
                </c:pt>
                <c:pt idx="1">
                  <c:v>36.726999999999997</c:v>
                </c:pt>
                <c:pt idx="2">
                  <c:v>33.954000000000001</c:v>
                </c:pt>
                <c:pt idx="3">
                  <c:v>37.335999999999999</c:v>
                </c:pt>
                <c:pt idx="4">
                  <c:v>33.527000000000001</c:v>
                </c:pt>
                <c:pt idx="5">
                  <c:v>39.662999999999997</c:v>
                </c:pt>
                <c:pt idx="6">
                  <c:v>33.896000000000001</c:v>
                </c:pt>
                <c:pt idx="7">
                  <c:v>37.707000000000001</c:v>
                </c:pt>
                <c:pt idx="8">
                  <c:v>33.51</c:v>
                </c:pt>
                <c:pt idx="9">
                  <c:v>36.627000000000002</c:v>
                </c:pt>
                <c:pt idx="10">
                  <c:v>33.834000000000003</c:v>
                </c:pt>
                <c:pt idx="11">
                  <c:v>39.314999999999998</c:v>
                </c:pt>
                <c:pt idx="12">
                  <c:v>33.725000000000001</c:v>
                </c:pt>
                <c:pt idx="13">
                  <c:v>36.613999999999997</c:v>
                </c:pt>
                <c:pt idx="14">
                  <c:v>33.948</c:v>
                </c:pt>
                <c:pt idx="15">
                  <c:v>36.384</c:v>
                </c:pt>
                <c:pt idx="16">
                  <c:v>33.768999999999998</c:v>
                </c:pt>
                <c:pt idx="17">
                  <c:v>37.295000000000002</c:v>
                </c:pt>
                <c:pt idx="18">
                  <c:v>33.573999999999998</c:v>
                </c:pt>
                <c:pt idx="19">
                  <c:v>38.713999999999999</c:v>
                </c:pt>
                <c:pt idx="20">
                  <c:v>33.670999999999999</c:v>
                </c:pt>
                <c:pt idx="21">
                  <c:v>35.048000000000002</c:v>
                </c:pt>
                <c:pt idx="22">
                  <c:v>33.271000000000001</c:v>
                </c:pt>
                <c:pt idx="23">
                  <c:v>40.284999999999997</c:v>
                </c:pt>
                <c:pt idx="24">
                  <c:v>33.613999999999997</c:v>
                </c:pt>
                <c:pt idx="25">
                  <c:v>39.011000000000003</c:v>
                </c:pt>
                <c:pt idx="26">
                  <c:v>33.996000000000002</c:v>
                </c:pt>
                <c:pt idx="27">
                  <c:v>36.246000000000002</c:v>
                </c:pt>
                <c:pt idx="28">
                  <c:v>33.869999999999997</c:v>
                </c:pt>
                <c:pt idx="29">
                  <c:v>34.213000000000001</c:v>
                </c:pt>
                <c:pt idx="30">
                  <c:v>32.996000000000002</c:v>
                </c:pt>
                <c:pt idx="31">
                  <c:v>37.683</c:v>
                </c:pt>
                <c:pt idx="32">
                  <c:v>32.851999999999997</c:v>
                </c:pt>
                <c:pt idx="33">
                  <c:v>37.814999999999998</c:v>
                </c:pt>
                <c:pt idx="34">
                  <c:v>33.744999999999997</c:v>
                </c:pt>
                <c:pt idx="35">
                  <c:v>38.82</c:v>
                </c:pt>
                <c:pt idx="36">
                  <c:v>33.692</c:v>
                </c:pt>
                <c:pt idx="37">
                  <c:v>37.563000000000002</c:v>
                </c:pt>
                <c:pt idx="38">
                  <c:v>33.944000000000003</c:v>
                </c:pt>
                <c:pt idx="39">
                  <c:v>34.908999999999999</c:v>
                </c:pt>
                <c:pt idx="40">
                  <c:v>33.780999999999999</c:v>
                </c:pt>
                <c:pt idx="41">
                  <c:v>35.715000000000003</c:v>
                </c:pt>
                <c:pt idx="42">
                  <c:v>33.86</c:v>
                </c:pt>
                <c:pt idx="43">
                  <c:v>36.722999999999999</c:v>
                </c:pt>
                <c:pt idx="44">
                  <c:v>33.743000000000002</c:v>
                </c:pt>
                <c:pt idx="45">
                  <c:v>39.817</c:v>
                </c:pt>
                <c:pt idx="46">
                  <c:v>33.777999999999999</c:v>
                </c:pt>
                <c:pt idx="47">
                  <c:v>37.252000000000002</c:v>
                </c:pt>
                <c:pt idx="48">
                  <c:v>33.991</c:v>
                </c:pt>
                <c:pt idx="49">
                  <c:v>36.091000000000001</c:v>
                </c:pt>
                <c:pt idx="50">
                  <c:v>33.880000000000003</c:v>
                </c:pt>
                <c:pt idx="51">
                  <c:v>38.554000000000002</c:v>
                </c:pt>
                <c:pt idx="52">
                  <c:v>33.863999999999997</c:v>
                </c:pt>
                <c:pt idx="53">
                  <c:v>37.642000000000003</c:v>
                </c:pt>
                <c:pt idx="54">
                  <c:v>33.752000000000002</c:v>
                </c:pt>
                <c:pt idx="55">
                  <c:v>36.857999999999997</c:v>
                </c:pt>
                <c:pt idx="56">
                  <c:v>33.729999999999997</c:v>
                </c:pt>
                <c:pt idx="57">
                  <c:v>37.207999999999998</c:v>
                </c:pt>
                <c:pt idx="58">
                  <c:v>33.966000000000001</c:v>
                </c:pt>
                <c:pt idx="59">
                  <c:v>35.439</c:v>
                </c:pt>
                <c:pt idx="60">
                  <c:v>33.761000000000003</c:v>
                </c:pt>
                <c:pt idx="61">
                  <c:v>36.542999999999999</c:v>
                </c:pt>
                <c:pt idx="62">
                  <c:v>33.807000000000002</c:v>
                </c:pt>
                <c:pt idx="63">
                  <c:v>38.409999999999997</c:v>
                </c:pt>
                <c:pt idx="64">
                  <c:v>33.786000000000001</c:v>
                </c:pt>
                <c:pt idx="65">
                  <c:v>36.860999999999997</c:v>
                </c:pt>
                <c:pt idx="66">
                  <c:v>33.816000000000003</c:v>
                </c:pt>
                <c:pt idx="67">
                  <c:v>37.746000000000002</c:v>
                </c:pt>
                <c:pt idx="68">
                  <c:v>33.72</c:v>
                </c:pt>
                <c:pt idx="69">
                  <c:v>36.247999999999998</c:v>
                </c:pt>
                <c:pt idx="70">
                  <c:v>33.685000000000002</c:v>
                </c:pt>
                <c:pt idx="71">
                  <c:v>38.265999999999998</c:v>
                </c:pt>
                <c:pt idx="72">
                  <c:v>34.024999999999999</c:v>
                </c:pt>
                <c:pt idx="73">
                  <c:v>34.677</c:v>
                </c:pt>
                <c:pt idx="74">
                  <c:v>33.619</c:v>
                </c:pt>
                <c:pt idx="75">
                  <c:v>36.567</c:v>
                </c:pt>
                <c:pt idx="76">
                  <c:v>33.655999999999999</c:v>
                </c:pt>
                <c:pt idx="77">
                  <c:v>37.630000000000003</c:v>
                </c:pt>
                <c:pt idx="78">
                  <c:v>33.92</c:v>
                </c:pt>
                <c:pt idx="79">
                  <c:v>38.014000000000003</c:v>
                </c:pt>
                <c:pt idx="80">
                  <c:v>33.787999999999997</c:v>
                </c:pt>
                <c:pt idx="81">
                  <c:v>36.371000000000002</c:v>
                </c:pt>
                <c:pt idx="82">
                  <c:v>33.625999999999998</c:v>
                </c:pt>
                <c:pt idx="83">
                  <c:v>37.424999999999997</c:v>
                </c:pt>
                <c:pt idx="84">
                  <c:v>33.518999999999998</c:v>
                </c:pt>
                <c:pt idx="85">
                  <c:v>39.493000000000002</c:v>
                </c:pt>
                <c:pt idx="86">
                  <c:v>33.561</c:v>
                </c:pt>
                <c:pt idx="87">
                  <c:v>38.067</c:v>
                </c:pt>
                <c:pt idx="88">
                  <c:v>33.627000000000002</c:v>
                </c:pt>
                <c:pt idx="89">
                  <c:v>38.423000000000002</c:v>
                </c:pt>
                <c:pt idx="90">
                  <c:v>33.56</c:v>
                </c:pt>
                <c:pt idx="91">
                  <c:v>37.805</c:v>
                </c:pt>
                <c:pt idx="92">
                  <c:v>33.555999999999997</c:v>
                </c:pt>
                <c:pt idx="93">
                  <c:v>38.066000000000003</c:v>
                </c:pt>
                <c:pt idx="94">
                  <c:v>33.457999999999998</c:v>
                </c:pt>
                <c:pt idx="95">
                  <c:v>37.085000000000001</c:v>
                </c:pt>
                <c:pt idx="96">
                  <c:v>33.685000000000002</c:v>
                </c:pt>
                <c:pt idx="97">
                  <c:v>37.22</c:v>
                </c:pt>
                <c:pt idx="98">
                  <c:v>33.625</c:v>
                </c:pt>
                <c:pt idx="99">
                  <c:v>37.305</c:v>
                </c:pt>
                <c:pt idx="100">
                  <c:v>33.552999999999997</c:v>
                </c:pt>
                <c:pt idx="101">
                  <c:v>37.9</c:v>
                </c:pt>
                <c:pt idx="102">
                  <c:v>33.671999999999997</c:v>
                </c:pt>
                <c:pt idx="103">
                  <c:v>38.319000000000003</c:v>
                </c:pt>
                <c:pt idx="104">
                  <c:v>33.636000000000003</c:v>
                </c:pt>
                <c:pt idx="105">
                  <c:v>36.863999999999997</c:v>
                </c:pt>
                <c:pt idx="106">
                  <c:v>33.484999999999999</c:v>
                </c:pt>
                <c:pt idx="107">
                  <c:v>36.482999999999997</c:v>
                </c:pt>
                <c:pt idx="108">
                  <c:v>33.856000000000002</c:v>
                </c:pt>
                <c:pt idx="109">
                  <c:v>35.284999999999997</c:v>
                </c:pt>
                <c:pt idx="110">
                  <c:v>33.619</c:v>
                </c:pt>
                <c:pt idx="111">
                  <c:v>36.494999999999997</c:v>
                </c:pt>
                <c:pt idx="112">
                  <c:v>33.709000000000003</c:v>
                </c:pt>
                <c:pt idx="113">
                  <c:v>38.258000000000003</c:v>
                </c:pt>
                <c:pt idx="114">
                  <c:v>34</c:v>
                </c:pt>
                <c:pt idx="115">
                  <c:v>33.875999999999998</c:v>
                </c:pt>
                <c:pt idx="116">
                  <c:v>33.847000000000001</c:v>
                </c:pt>
                <c:pt idx="117">
                  <c:v>35.04</c:v>
                </c:pt>
                <c:pt idx="118">
                  <c:v>33.844000000000001</c:v>
                </c:pt>
                <c:pt idx="119">
                  <c:v>37.743000000000002</c:v>
                </c:pt>
                <c:pt idx="120">
                  <c:v>33.725999999999999</c:v>
                </c:pt>
                <c:pt idx="121">
                  <c:v>40.347000000000001</c:v>
                </c:pt>
                <c:pt idx="122">
                  <c:v>33.889000000000003</c:v>
                </c:pt>
                <c:pt idx="123">
                  <c:v>35.613999999999997</c:v>
                </c:pt>
                <c:pt idx="124">
                  <c:v>33.744999999999997</c:v>
                </c:pt>
                <c:pt idx="125">
                  <c:v>38.844999999999999</c:v>
                </c:pt>
                <c:pt idx="126">
                  <c:v>33.866</c:v>
                </c:pt>
                <c:pt idx="127">
                  <c:v>35.838000000000001</c:v>
                </c:pt>
                <c:pt idx="128">
                  <c:v>33.421999999999997</c:v>
                </c:pt>
                <c:pt idx="129">
                  <c:v>39.030999999999999</c:v>
                </c:pt>
                <c:pt idx="130">
                  <c:v>33.813000000000002</c:v>
                </c:pt>
                <c:pt idx="131">
                  <c:v>39.369999999999997</c:v>
                </c:pt>
                <c:pt idx="132">
                  <c:v>33.966999999999999</c:v>
                </c:pt>
                <c:pt idx="133">
                  <c:v>35.119999999999997</c:v>
                </c:pt>
                <c:pt idx="134">
                  <c:v>33.064999999999998</c:v>
                </c:pt>
                <c:pt idx="135">
                  <c:v>40.587000000000003</c:v>
                </c:pt>
                <c:pt idx="136">
                  <c:v>33.640999999999998</c:v>
                </c:pt>
                <c:pt idx="137">
                  <c:v>34.433999999999997</c:v>
                </c:pt>
                <c:pt idx="138">
                  <c:v>33.731000000000002</c:v>
                </c:pt>
                <c:pt idx="139">
                  <c:v>39.284999999999997</c:v>
                </c:pt>
                <c:pt idx="140">
                  <c:v>33.948999999999998</c:v>
                </c:pt>
                <c:pt idx="141">
                  <c:v>35.548999999999999</c:v>
                </c:pt>
                <c:pt idx="142">
                  <c:v>34.066000000000003</c:v>
                </c:pt>
                <c:pt idx="143">
                  <c:v>35.011000000000003</c:v>
                </c:pt>
                <c:pt idx="144">
                  <c:v>33.704000000000001</c:v>
                </c:pt>
                <c:pt idx="145">
                  <c:v>36.156999999999996</c:v>
                </c:pt>
                <c:pt idx="146">
                  <c:v>33.703000000000003</c:v>
                </c:pt>
                <c:pt idx="147">
                  <c:v>37.872</c:v>
                </c:pt>
                <c:pt idx="148">
                  <c:v>33.667999999999999</c:v>
                </c:pt>
                <c:pt idx="149">
                  <c:v>35.19</c:v>
                </c:pt>
                <c:pt idx="150">
                  <c:v>33.871000000000002</c:v>
                </c:pt>
                <c:pt idx="151">
                  <c:v>40.296999999999997</c:v>
                </c:pt>
                <c:pt idx="152">
                  <c:v>33.921999999999997</c:v>
                </c:pt>
                <c:pt idx="153">
                  <c:v>38.634999999999998</c:v>
                </c:pt>
                <c:pt idx="154">
                  <c:v>33.753999999999998</c:v>
                </c:pt>
                <c:pt idx="155">
                  <c:v>34.534999999999997</c:v>
                </c:pt>
                <c:pt idx="156">
                  <c:v>33.938000000000002</c:v>
                </c:pt>
                <c:pt idx="157">
                  <c:v>37.281999999999996</c:v>
                </c:pt>
                <c:pt idx="158">
                  <c:v>33.555999999999997</c:v>
                </c:pt>
                <c:pt idx="159">
                  <c:v>34.795000000000002</c:v>
                </c:pt>
                <c:pt idx="160">
                  <c:v>33.625</c:v>
                </c:pt>
                <c:pt idx="161">
                  <c:v>37.515000000000001</c:v>
                </c:pt>
                <c:pt idx="162">
                  <c:v>33.459000000000003</c:v>
                </c:pt>
                <c:pt idx="163">
                  <c:v>36.786000000000001</c:v>
                </c:pt>
                <c:pt idx="164">
                  <c:v>33.969000000000001</c:v>
                </c:pt>
                <c:pt idx="165">
                  <c:v>35.768999999999998</c:v>
                </c:pt>
                <c:pt idx="166">
                  <c:v>34.534999999999997</c:v>
                </c:pt>
                <c:pt idx="167">
                  <c:v>35.359000000000002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2-484A-902F-B4A7C632477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('AMP4-4'!$T$4,'AMP4-4'!$T$4)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02-484A-902F-B4A7C632477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('AMP4-4'!$T$5,'AMP4-4'!$T$5)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02-484A-902F-B4A7C6324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0984"/>
        <c:axId val="488761376"/>
      </c:scatterChart>
      <c:valAx>
        <c:axId val="488760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1376"/>
        <c:crosses val="autoZero"/>
        <c:crossBetween val="midCat"/>
      </c:valAx>
      <c:valAx>
        <c:axId val="4887613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'AMP4-4'!$U$9:$U$176</c:f>
              <c:numCache>
                <c:formatCode>General</c:formatCode>
                <c:ptCount val="168"/>
                <c:pt idx="0">
                  <c:v>34.241</c:v>
                </c:pt>
                <c:pt idx="1">
                  <c:v>37.61</c:v>
                </c:pt>
                <c:pt idx="2">
                  <c:v>34.469000000000001</c:v>
                </c:pt>
                <c:pt idx="3">
                  <c:v>37.661999999999999</c:v>
                </c:pt>
                <c:pt idx="4">
                  <c:v>34.524999999999999</c:v>
                </c:pt>
                <c:pt idx="5">
                  <c:v>38.744</c:v>
                </c:pt>
                <c:pt idx="6">
                  <c:v>34.432000000000002</c:v>
                </c:pt>
                <c:pt idx="7">
                  <c:v>37.786999999999999</c:v>
                </c:pt>
                <c:pt idx="8">
                  <c:v>34.667000000000002</c:v>
                </c:pt>
                <c:pt idx="9">
                  <c:v>35.741</c:v>
                </c:pt>
                <c:pt idx="10">
                  <c:v>34.6</c:v>
                </c:pt>
                <c:pt idx="11">
                  <c:v>38.734000000000002</c:v>
                </c:pt>
                <c:pt idx="12">
                  <c:v>34.468000000000004</c:v>
                </c:pt>
                <c:pt idx="13">
                  <c:v>36.725000000000001</c:v>
                </c:pt>
                <c:pt idx="14">
                  <c:v>34.573999999999998</c:v>
                </c:pt>
                <c:pt idx="15">
                  <c:v>37.277000000000001</c:v>
                </c:pt>
                <c:pt idx="16">
                  <c:v>34.732999999999997</c:v>
                </c:pt>
                <c:pt idx="17">
                  <c:v>38.796999999999997</c:v>
                </c:pt>
                <c:pt idx="18">
                  <c:v>34.704000000000001</c:v>
                </c:pt>
                <c:pt idx="19">
                  <c:v>37.747</c:v>
                </c:pt>
                <c:pt idx="20">
                  <c:v>34.317999999999998</c:v>
                </c:pt>
                <c:pt idx="21">
                  <c:v>36.012</c:v>
                </c:pt>
                <c:pt idx="22">
                  <c:v>34.558999999999997</c:v>
                </c:pt>
                <c:pt idx="23">
                  <c:v>40.008000000000003</c:v>
                </c:pt>
                <c:pt idx="24">
                  <c:v>34.526000000000003</c:v>
                </c:pt>
                <c:pt idx="25">
                  <c:v>38.301000000000002</c:v>
                </c:pt>
                <c:pt idx="26">
                  <c:v>34.454000000000001</c:v>
                </c:pt>
                <c:pt idx="27">
                  <c:v>37.808999999999997</c:v>
                </c:pt>
                <c:pt idx="28">
                  <c:v>34.643000000000001</c:v>
                </c:pt>
                <c:pt idx="29">
                  <c:v>37.956000000000003</c:v>
                </c:pt>
                <c:pt idx="30">
                  <c:v>33.542999999999999</c:v>
                </c:pt>
                <c:pt idx="31">
                  <c:v>37.173000000000002</c:v>
                </c:pt>
                <c:pt idx="32">
                  <c:v>33.552</c:v>
                </c:pt>
                <c:pt idx="33">
                  <c:v>36.840000000000003</c:v>
                </c:pt>
                <c:pt idx="34">
                  <c:v>34.649000000000001</c:v>
                </c:pt>
                <c:pt idx="35">
                  <c:v>38.917999999999999</c:v>
                </c:pt>
                <c:pt idx="36">
                  <c:v>34.54</c:v>
                </c:pt>
                <c:pt idx="37">
                  <c:v>36.793999999999997</c:v>
                </c:pt>
                <c:pt idx="38">
                  <c:v>34.853000000000002</c:v>
                </c:pt>
                <c:pt idx="39">
                  <c:v>36.427999999999997</c:v>
                </c:pt>
                <c:pt idx="40">
                  <c:v>34.844999999999999</c:v>
                </c:pt>
                <c:pt idx="41">
                  <c:v>36.058</c:v>
                </c:pt>
                <c:pt idx="42">
                  <c:v>34.777000000000001</c:v>
                </c:pt>
                <c:pt idx="43">
                  <c:v>36.069000000000003</c:v>
                </c:pt>
                <c:pt idx="44">
                  <c:v>34.665999999999997</c:v>
                </c:pt>
                <c:pt idx="45">
                  <c:v>39.872</c:v>
                </c:pt>
                <c:pt idx="46">
                  <c:v>34.658999999999999</c:v>
                </c:pt>
                <c:pt idx="47">
                  <c:v>37.44</c:v>
                </c:pt>
                <c:pt idx="48">
                  <c:v>34.896999999999998</c:v>
                </c:pt>
                <c:pt idx="49">
                  <c:v>35.078000000000003</c:v>
                </c:pt>
                <c:pt idx="50">
                  <c:v>34.783999999999999</c:v>
                </c:pt>
                <c:pt idx="51">
                  <c:v>39.213999999999999</c:v>
                </c:pt>
                <c:pt idx="52">
                  <c:v>34.701999999999998</c:v>
                </c:pt>
                <c:pt idx="53">
                  <c:v>37.412999999999997</c:v>
                </c:pt>
                <c:pt idx="54">
                  <c:v>34.65</c:v>
                </c:pt>
                <c:pt idx="55">
                  <c:v>37.85</c:v>
                </c:pt>
                <c:pt idx="56">
                  <c:v>34.673000000000002</c:v>
                </c:pt>
                <c:pt idx="57">
                  <c:v>38.447000000000003</c:v>
                </c:pt>
                <c:pt idx="58">
                  <c:v>34.972000000000001</c:v>
                </c:pt>
                <c:pt idx="59">
                  <c:v>36.006999999999998</c:v>
                </c:pt>
                <c:pt idx="60">
                  <c:v>34.756999999999998</c:v>
                </c:pt>
                <c:pt idx="61">
                  <c:v>37.316000000000003</c:v>
                </c:pt>
                <c:pt idx="62">
                  <c:v>34.692</c:v>
                </c:pt>
                <c:pt idx="63">
                  <c:v>38.520000000000003</c:v>
                </c:pt>
                <c:pt idx="64">
                  <c:v>34.704999999999998</c:v>
                </c:pt>
                <c:pt idx="65">
                  <c:v>36.219000000000001</c:v>
                </c:pt>
                <c:pt idx="66">
                  <c:v>34.591000000000001</c:v>
                </c:pt>
                <c:pt idx="67">
                  <c:v>36.317</c:v>
                </c:pt>
                <c:pt idx="68">
                  <c:v>34.616999999999997</c:v>
                </c:pt>
                <c:pt idx="69">
                  <c:v>36.859000000000002</c:v>
                </c:pt>
                <c:pt idx="70">
                  <c:v>34.390999999999998</c:v>
                </c:pt>
                <c:pt idx="71">
                  <c:v>38.948</c:v>
                </c:pt>
                <c:pt idx="72">
                  <c:v>34.101999999999997</c:v>
                </c:pt>
                <c:pt idx="73">
                  <c:v>36.372</c:v>
                </c:pt>
                <c:pt idx="74">
                  <c:v>34.575000000000003</c:v>
                </c:pt>
                <c:pt idx="75">
                  <c:v>35.134</c:v>
                </c:pt>
                <c:pt idx="76">
                  <c:v>34.521000000000001</c:v>
                </c:pt>
                <c:pt idx="77">
                  <c:v>37.68</c:v>
                </c:pt>
                <c:pt idx="78">
                  <c:v>34.673999999999999</c:v>
                </c:pt>
                <c:pt idx="79">
                  <c:v>38.229999999999997</c:v>
                </c:pt>
                <c:pt idx="80">
                  <c:v>34.526000000000003</c:v>
                </c:pt>
                <c:pt idx="81">
                  <c:v>36.886000000000003</c:v>
                </c:pt>
                <c:pt idx="82">
                  <c:v>34.572000000000003</c:v>
                </c:pt>
                <c:pt idx="83">
                  <c:v>37.865000000000002</c:v>
                </c:pt>
                <c:pt idx="84">
                  <c:v>34.496000000000002</c:v>
                </c:pt>
                <c:pt idx="85">
                  <c:v>39.176000000000002</c:v>
                </c:pt>
                <c:pt idx="86">
                  <c:v>34.42</c:v>
                </c:pt>
                <c:pt idx="87">
                  <c:v>38.411999999999999</c:v>
                </c:pt>
                <c:pt idx="88">
                  <c:v>34.356000000000002</c:v>
                </c:pt>
                <c:pt idx="89">
                  <c:v>39.170999999999999</c:v>
                </c:pt>
                <c:pt idx="90">
                  <c:v>34.457999999999998</c:v>
                </c:pt>
                <c:pt idx="91">
                  <c:v>38.298999999999999</c:v>
                </c:pt>
                <c:pt idx="92">
                  <c:v>34.389000000000003</c:v>
                </c:pt>
                <c:pt idx="93">
                  <c:v>37.048999999999999</c:v>
                </c:pt>
                <c:pt idx="94">
                  <c:v>34.392000000000003</c:v>
                </c:pt>
                <c:pt idx="95">
                  <c:v>37.25</c:v>
                </c:pt>
                <c:pt idx="96">
                  <c:v>34.564</c:v>
                </c:pt>
                <c:pt idx="97">
                  <c:v>37.503999999999998</c:v>
                </c:pt>
                <c:pt idx="98">
                  <c:v>34.527000000000001</c:v>
                </c:pt>
                <c:pt idx="99">
                  <c:v>38.317999999999998</c:v>
                </c:pt>
                <c:pt idx="100">
                  <c:v>34.670999999999999</c:v>
                </c:pt>
                <c:pt idx="101">
                  <c:v>38.411000000000001</c:v>
                </c:pt>
                <c:pt idx="102">
                  <c:v>34.465000000000003</c:v>
                </c:pt>
                <c:pt idx="103">
                  <c:v>38.225999999999999</c:v>
                </c:pt>
                <c:pt idx="104">
                  <c:v>34.322000000000003</c:v>
                </c:pt>
                <c:pt idx="105">
                  <c:v>37.155000000000001</c:v>
                </c:pt>
                <c:pt idx="106">
                  <c:v>34.42</c:v>
                </c:pt>
                <c:pt idx="107">
                  <c:v>37.268999999999998</c:v>
                </c:pt>
                <c:pt idx="108">
                  <c:v>33.978000000000002</c:v>
                </c:pt>
                <c:pt idx="109">
                  <c:v>36.151000000000003</c:v>
                </c:pt>
                <c:pt idx="110">
                  <c:v>34.523000000000003</c:v>
                </c:pt>
                <c:pt idx="111">
                  <c:v>37.612000000000002</c:v>
                </c:pt>
                <c:pt idx="112">
                  <c:v>34.445999999999998</c:v>
                </c:pt>
                <c:pt idx="113">
                  <c:v>38.667000000000002</c:v>
                </c:pt>
                <c:pt idx="114">
                  <c:v>34.67</c:v>
                </c:pt>
                <c:pt idx="115">
                  <c:v>37.877000000000002</c:v>
                </c:pt>
                <c:pt idx="116">
                  <c:v>34.552</c:v>
                </c:pt>
                <c:pt idx="117">
                  <c:v>38.427999999999997</c:v>
                </c:pt>
                <c:pt idx="118">
                  <c:v>34.659999999999997</c:v>
                </c:pt>
                <c:pt idx="119">
                  <c:v>37.606000000000002</c:v>
                </c:pt>
                <c:pt idx="120">
                  <c:v>34.713000000000001</c:v>
                </c:pt>
                <c:pt idx="121">
                  <c:v>38.83</c:v>
                </c:pt>
                <c:pt idx="122">
                  <c:v>34.459000000000003</c:v>
                </c:pt>
                <c:pt idx="123">
                  <c:v>36.401000000000003</c:v>
                </c:pt>
                <c:pt idx="124">
                  <c:v>34.615000000000002</c:v>
                </c:pt>
                <c:pt idx="125">
                  <c:v>40.372</c:v>
                </c:pt>
                <c:pt idx="126">
                  <c:v>34.478000000000002</c:v>
                </c:pt>
                <c:pt idx="127">
                  <c:v>36.405999999999999</c:v>
                </c:pt>
                <c:pt idx="128">
                  <c:v>34.83</c:v>
                </c:pt>
                <c:pt idx="129">
                  <c:v>39.243000000000002</c:v>
                </c:pt>
                <c:pt idx="130">
                  <c:v>34.957000000000001</c:v>
                </c:pt>
                <c:pt idx="131">
                  <c:v>39.521000000000001</c:v>
                </c:pt>
                <c:pt idx="132">
                  <c:v>34.573</c:v>
                </c:pt>
                <c:pt idx="133">
                  <c:v>35.326999999999998</c:v>
                </c:pt>
                <c:pt idx="134">
                  <c:v>34.435000000000002</c:v>
                </c:pt>
                <c:pt idx="135">
                  <c:v>40.350999999999999</c:v>
                </c:pt>
                <c:pt idx="136">
                  <c:v>34.622999999999998</c:v>
                </c:pt>
                <c:pt idx="137">
                  <c:v>36.011000000000003</c:v>
                </c:pt>
                <c:pt idx="138">
                  <c:v>34.473999999999997</c:v>
                </c:pt>
                <c:pt idx="139">
                  <c:v>39.420999999999999</c:v>
                </c:pt>
                <c:pt idx="140">
                  <c:v>34.866999999999997</c:v>
                </c:pt>
                <c:pt idx="141">
                  <c:v>38.393000000000001</c:v>
                </c:pt>
                <c:pt idx="142">
                  <c:v>34.526000000000003</c:v>
                </c:pt>
                <c:pt idx="143">
                  <c:v>37.619</c:v>
                </c:pt>
                <c:pt idx="144">
                  <c:v>34.704000000000001</c:v>
                </c:pt>
                <c:pt idx="145">
                  <c:v>38.51</c:v>
                </c:pt>
                <c:pt idx="146">
                  <c:v>34.567</c:v>
                </c:pt>
                <c:pt idx="147">
                  <c:v>37.585999999999999</c:v>
                </c:pt>
                <c:pt idx="148">
                  <c:v>34.603000000000002</c:v>
                </c:pt>
                <c:pt idx="149">
                  <c:v>36.195</c:v>
                </c:pt>
                <c:pt idx="150">
                  <c:v>34.747999999999998</c:v>
                </c:pt>
                <c:pt idx="151">
                  <c:v>42.52</c:v>
                </c:pt>
                <c:pt idx="152">
                  <c:v>34.664999999999999</c:v>
                </c:pt>
                <c:pt idx="153">
                  <c:v>39.204000000000001</c:v>
                </c:pt>
                <c:pt idx="154">
                  <c:v>34.712000000000003</c:v>
                </c:pt>
                <c:pt idx="155">
                  <c:v>37.904000000000003</c:v>
                </c:pt>
                <c:pt idx="156">
                  <c:v>34.32</c:v>
                </c:pt>
                <c:pt idx="157">
                  <c:v>38.109000000000002</c:v>
                </c:pt>
                <c:pt idx="158">
                  <c:v>34.466999999999999</c:v>
                </c:pt>
                <c:pt idx="159">
                  <c:v>34.366999999999997</c:v>
                </c:pt>
                <c:pt idx="160">
                  <c:v>34.634</c:v>
                </c:pt>
                <c:pt idx="161">
                  <c:v>38.323</c:v>
                </c:pt>
                <c:pt idx="162">
                  <c:v>34.601999999999997</c:v>
                </c:pt>
                <c:pt idx="163">
                  <c:v>37.841999999999999</c:v>
                </c:pt>
                <c:pt idx="164">
                  <c:v>34.115000000000002</c:v>
                </c:pt>
                <c:pt idx="165">
                  <c:v>38.021999999999998</c:v>
                </c:pt>
                <c:pt idx="166">
                  <c:v>33.826999999999998</c:v>
                </c:pt>
                <c:pt idx="167">
                  <c:v>36.804000000000002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A7-4D7E-A095-41DB907C75E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('AMP4-4'!$U$4,'AMP4-4'!$U$4)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7-4D7E-A095-41DB907C75E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('AMP4-4'!$U$5,'AMP4-4'!$U$5)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A7-4D7E-A095-41DB907C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2160"/>
        <c:axId val="488762552"/>
      </c:scatterChart>
      <c:valAx>
        <c:axId val="48876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2552"/>
        <c:crosses val="autoZero"/>
        <c:crossBetween val="midCat"/>
      </c:valAx>
      <c:valAx>
        <c:axId val="4887625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'AMP4-4'!$AB$8</c:f>
              <c:strCache>
                <c:ptCount val="1"/>
                <c:pt idx="0">
                  <c:v>T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'AMP4-4'!$AB$9:$AB$176</c:f>
              <c:numCache>
                <c:formatCode>General</c:formatCode>
                <c:ptCount val="168"/>
                <c:pt idx="0">
                  <c:v>-3.4000000000000002E-2</c:v>
                </c:pt>
                <c:pt idx="1">
                  <c:v>-3.5000000000000003E-2</c:v>
                </c:pt>
                <c:pt idx="2">
                  <c:v>0.17699999999999999</c:v>
                </c:pt>
                <c:pt idx="3">
                  <c:v>0.16900000000000001</c:v>
                </c:pt>
                <c:pt idx="4">
                  <c:v>8.2000000000000003E-2</c:v>
                </c:pt>
                <c:pt idx="5">
                  <c:v>8.6999999999999994E-2</c:v>
                </c:pt>
                <c:pt idx="6">
                  <c:v>8.6999999999999994E-2</c:v>
                </c:pt>
                <c:pt idx="7">
                  <c:v>0.11899999999999999</c:v>
                </c:pt>
                <c:pt idx="8">
                  <c:v>-2.4E-2</c:v>
                </c:pt>
                <c:pt idx="9">
                  <c:v>0.1</c:v>
                </c:pt>
                <c:pt idx="10">
                  <c:v>0.10100000000000001</c:v>
                </c:pt>
                <c:pt idx="11">
                  <c:v>9.6000000000000002E-2</c:v>
                </c:pt>
                <c:pt idx="12">
                  <c:v>-0.10199999999999999</c:v>
                </c:pt>
                <c:pt idx="13">
                  <c:v>0.03</c:v>
                </c:pt>
                <c:pt idx="14">
                  <c:v>1.7999999999999999E-2</c:v>
                </c:pt>
                <c:pt idx="15">
                  <c:v>3.6999999999999998E-2</c:v>
                </c:pt>
                <c:pt idx="16">
                  <c:v>8.0000000000000002E-3</c:v>
                </c:pt>
                <c:pt idx="17">
                  <c:v>0.1</c:v>
                </c:pt>
                <c:pt idx="18">
                  <c:v>-0.124</c:v>
                </c:pt>
                <c:pt idx="19">
                  <c:v>7.3999999999999996E-2</c:v>
                </c:pt>
                <c:pt idx="20">
                  <c:v>-9.6000000000000002E-2</c:v>
                </c:pt>
                <c:pt idx="21">
                  <c:v>-0.114</c:v>
                </c:pt>
                <c:pt idx="22">
                  <c:v>-0.10100000000000001</c:v>
                </c:pt>
                <c:pt idx="23">
                  <c:v>-2E-3</c:v>
                </c:pt>
                <c:pt idx="24">
                  <c:v>-0.10299999999999999</c:v>
                </c:pt>
                <c:pt idx="25">
                  <c:v>-3.4000000000000002E-2</c:v>
                </c:pt>
                <c:pt idx="26">
                  <c:v>4.3999999999999997E-2</c:v>
                </c:pt>
                <c:pt idx="27">
                  <c:v>0.20899999999999999</c:v>
                </c:pt>
                <c:pt idx="28">
                  <c:v>0.16500000000000001</c:v>
                </c:pt>
                <c:pt idx="29">
                  <c:v>0.152</c:v>
                </c:pt>
                <c:pt idx="30">
                  <c:v>-4.8000000000000001E-2</c:v>
                </c:pt>
                <c:pt idx="31">
                  <c:v>0.11899999999999999</c:v>
                </c:pt>
                <c:pt idx="32">
                  <c:v>-3.5000000000000003E-2</c:v>
                </c:pt>
                <c:pt idx="33">
                  <c:v>5.8000000000000003E-2</c:v>
                </c:pt>
                <c:pt idx="34">
                  <c:v>-0.17199999999999999</c:v>
                </c:pt>
                <c:pt idx="35">
                  <c:v>6.2E-2</c:v>
                </c:pt>
                <c:pt idx="36">
                  <c:v>-8.4000000000000005E-2</c:v>
                </c:pt>
                <c:pt idx="37">
                  <c:v>0.126</c:v>
                </c:pt>
                <c:pt idx="38">
                  <c:v>-7.8E-2</c:v>
                </c:pt>
                <c:pt idx="39">
                  <c:v>0.16</c:v>
                </c:pt>
                <c:pt idx="40">
                  <c:v>-6.5000000000000002E-2</c:v>
                </c:pt>
                <c:pt idx="41">
                  <c:v>0.123</c:v>
                </c:pt>
                <c:pt idx="42">
                  <c:v>-1.4999999999999999E-2</c:v>
                </c:pt>
                <c:pt idx="43">
                  <c:v>0.17</c:v>
                </c:pt>
                <c:pt idx="44">
                  <c:v>-5.2999999999999999E-2</c:v>
                </c:pt>
                <c:pt idx="45">
                  <c:v>0.08</c:v>
                </c:pt>
                <c:pt idx="46">
                  <c:v>-0.11</c:v>
                </c:pt>
                <c:pt idx="47">
                  <c:v>6.5000000000000002E-2</c:v>
                </c:pt>
                <c:pt idx="48">
                  <c:v>-0.1</c:v>
                </c:pt>
                <c:pt idx="49">
                  <c:v>0.14699999999999999</c:v>
                </c:pt>
                <c:pt idx="50">
                  <c:v>-0.09</c:v>
                </c:pt>
                <c:pt idx="51">
                  <c:v>1.9E-2</c:v>
                </c:pt>
                <c:pt idx="52">
                  <c:v>-5.7000000000000002E-2</c:v>
                </c:pt>
                <c:pt idx="53">
                  <c:v>0.109</c:v>
                </c:pt>
                <c:pt idx="54">
                  <c:v>-0.104</c:v>
                </c:pt>
                <c:pt idx="55">
                  <c:v>8.4000000000000005E-2</c:v>
                </c:pt>
                <c:pt idx="56">
                  <c:v>-7.4999999999999997E-2</c:v>
                </c:pt>
                <c:pt idx="57">
                  <c:v>3.7999999999999999E-2</c:v>
                </c:pt>
                <c:pt idx="58">
                  <c:v>-5.1999999999999998E-2</c:v>
                </c:pt>
                <c:pt idx="59">
                  <c:v>0.19500000000000001</c:v>
                </c:pt>
                <c:pt idx="60">
                  <c:v>-0.14000000000000001</c:v>
                </c:pt>
                <c:pt idx="61">
                  <c:v>5.5E-2</c:v>
                </c:pt>
                <c:pt idx="62">
                  <c:v>-0.10199999999999999</c:v>
                </c:pt>
                <c:pt idx="63">
                  <c:v>6.0999999999999999E-2</c:v>
                </c:pt>
                <c:pt idx="64">
                  <c:v>-0.192</c:v>
                </c:pt>
                <c:pt idx="65">
                  <c:v>-1.2999999999999999E-2</c:v>
                </c:pt>
                <c:pt idx="66">
                  <c:v>-0.127</c:v>
                </c:pt>
                <c:pt idx="67">
                  <c:v>2.5999999999999999E-2</c:v>
                </c:pt>
                <c:pt idx="68">
                  <c:v>-0.113</c:v>
                </c:pt>
                <c:pt idx="69">
                  <c:v>2.8000000000000001E-2</c:v>
                </c:pt>
                <c:pt idx="70">
                  <c:v>6.4000000000000001E-2</c:v>
                </c:pt>
                <c:pt idx="71">
                  <c:v>7.1999999999999995E-2</c:v>
                </c:pt>
                <c:pt idx="72">
                  <c:v>0.105</c:v>
                </c:pt>
                <c:pt idx="73">
                  <c:v>-6.0000000000000001E-3</c:v>
                </c:pt>
                <c:pt idx="74">
                  <c:v>2.3E-2</c:v>
                </c:pt>
                <c:pt idx="75">
                  <c:v>4.8000000000000001E-2</c:v>
                </c:pt>
                <c:pt idx="76">
                  <c:v>3.9E-2</c:v>
                </c:pt>
                <c:pt idx="77">
                  <c:v>0.159</c:v>
                </c:pt>
                <c:pt idx="78">
                  <c:v>1.2E-2</c:v>
                </c:pt>
                <c:pt idx="79">
                  <c:v>0.104</c:v>
                </c:pt>
                <c:pt idx="80">
                  <c:v>-2.5999999999999999E-2</c:v>
                </c:pt>
                <c:pt idx="81">
                  <c:v>8.5999999999999993E-2</c:v>
                </c:pt>
                <c:pt idx="82">
                  <c:v>-2.5999999999999999E-2</c:v>
                </c:pt>
                <c:pt idx="83">
                  <c:v>0.113</c:v>
                </c:pt>
                <c:pt idx="84">
                  <c:v>7.0000000000000001E-3</c:v>
                </c:pt>
                <c:pt idx="85">
                  <c:v>3.2000000000000001E-2</c:v>
                </c:pt>
                <c:pt idx="86">
                  <c:v>-0.114</c:v>
                </c:pt>
                <c:pt idx="87">
                  <c:v>-1.4999999999999999E-2</c:v>
                </c:pt>
                <c:pt idx="88">
                  <c:v>-8.1000000000000003E-2</c:v>
                </c:pt>
                <c:pt idx="89">
                  <c:v>5.8999999999999997E-2</c:v>
                </c:pt>
                <c:pt idx="90">
                  <c:v>-5.1999999999999998E-2</c:v>
                </c:pt>
                <c:pt idx="91">
                  <c:v>7.0000000000000001E-3</c:v>
                </c:pt>
                <c:pt idx="92">
                  <c:v>-0.05</c:v>
                </c:pt>
                <c:pt idx="93">
                  <c:v>5.3999999999999999E-2</c:v>
                </c:pt>
                <c:pt idx="94">
                  <c:v>-3.3000000000000002E-2</c:v>
                </c:pt>
                <c:pt idx="95">
                  <c:v>-1.2999999999999999E-2</c:v>
                </c:pt>
                <c:pt idx="96">
                  <c:v>-0.111</c:v>
                </c:pt>
                <c:pt idx="97">
                  <c:v>-6.9000000000000006E-2</c:v>
                </c:pt>
                <c:pt idx="98">
                  <c:v>-6.5000000000000002E-2</c:v>
                </c:pt>
                <c:pt idx="99">
                  <c:v>8.9999999999999993E-3</c:v>
                </c:pt>
                <c:pt idx="100">
                  <c:v>-6.3E-2</c:v>
                </c:pt>
                <c:pt idx="101">
                  <c:v>2.1999999999999999E-2</c:v>
                </c:pt>
                <c:pt idx="102">
                  <c:v>-0.14000000000000001</c:v>
                </c:pt>
                <c:pt idx="103">
                  <c:v>4.9000000000000002E-2</c:v>
                </c:pt>
                <c:pt idx="104">
                  <c:v>-0.224</c:v>
                </c:pt>
                <c:pt idx="105">
                  <c:v>-8.5000000000000006E-2</c:v>
                </c:pt>
                <c:pt idx="106">
                  <c:v>-0.11</c:v>
                </c:pt>
                <c:pt idx="107">
                  <c:v>2.5999999999999999E-2</c:v>
                </c:pt>
                <c:pt idx="108">
                  <c:v>-7.3999999999999996E-2</c:v>
                </c:pt>
                <c:pt idx="109">
                  <c:v>-8.7999999999999995E-2</c:v>
                </c:pt>
                <c:pt idx="110">
                  <c:v>0.108</c:v>
                </c:pt>
                <c:pt idx="111">
                  <c:v>0.153</c:v>
                </c:pt>
                <c:pt idx="112">
                  <c:v>4.7E-2</c:v>
                </c:pt>
                <c:pt idx="113">
                  <c:v>0.11700000000000001</c:v>
                </c:pt>
                <c:pt idx="114">
                  <c:v>0.11799999999999999</c:v>
                </c:pt>
                <c:pt idx="115">
                  <c:v>0.13100000000000001</c:v>
                </c:pt>
                <c:pt idx="116">
                  <c:v>1.7000000000000001E-2</c:v>
                </c:pt>
                <c:pt idx="117">
                  <c:v>8.1000000000000003E-2</c:v>
                </c:pt>
                <c:pt idx="118">
                  <c:v>2.9000000000000001E-2</c:v>
                </c:pt>
                <c:pt idx="119">
                  <c:v>7.1999999999999995E-2</c:v>
                </c:pt>
                <c:pt idx="120">
                  <c:v>2.1999999999999999E-2</c:v>
                </c:pt>
                <c:pt idx="121">
                  <c:v>5.3999999999999999E-2</c:v>
                </c:pt>
                <c:pt idx="122">
                  <c:v>-0.218</c:v>
                </c:pt>
                <c:pt idx="123">
                  <c:v>-2.5000000000000001E-2</c:v>
                </c:pt>
                <c:pt idx="124">
                  <c:v>-0.01</c:v>
                </c:pt>
                <c:pt idx="125">
                  <c:v>0.1</c:v>
                </c:pt>
                <c:pt idx="126">
                  <c:v>0.25600000000000001</c:v>
                </c:pt>
                <c:pt idx="127">
                  <c:v>1.9E-2</c:v>
                </c:pt>
                <c:pt idx="128">
                  <c:v>-6.8000000000000005E-2</c:v>
                </c:pt>
                <c:pt idx="129">
                  <c:v>-3.7999999999999999E-2</c:v>
                </c:pt>
                <c:pt idx="130">
                  <c:v>0.03</c:v>
                </c:pt>
                <c:pt idx="131">
                  <c:v>4.2000000000000003E-2</c:v>
                </c:pt>
                <c:pt idx="132">
                  <c:v>-0.14899999999999999</c:v>
                </c:pt>
                <c:pt idx="133">
                  <c:v>-6.8000000000000005E-2</c:v>
                </c:pt>
                <c:pt idx="134">
                  <c:v>-1.7000000000000001E-2</c:v>
                </c:pt>
                <c:pt idx="135">
                  <c:v>0.158</c:v>
                </c:pt>
                <c:pt idx="136">
                  <c:v>-0.05</c:v>
                </c:pt>
                <c:pt idx="137">
                  <c:v>-1.9E-2</c:v>
                </c:pt>
                <c:pt idx="138">
                  <c:v>0.01</c:v>
                </c:pt>
                <c:pt idx="139">
                  <c:v>7.0000000000000001E-3</c:v>
                </c:pt>
                <c:pt idx="140">
                  <c:v>4.0000000000000001E-3</c:v>
                </c:pt>
                <c:pt idx="141">
                  <c:v>0.104</c:v>
                </c:pt>
                <c:pt idx="142">
                  <c:v>-0.22900000000000001</c:v>
                </c:pt>
                <c:pt idx="143">
                  <c:v>-6.7000000000000004E-2</c:v>
                </c:pt>
                <c:pt idx="144">
                  <c:v>-9.9000000000000005E-2</c:v>
                </c:pt>
                <c:pt idx="145">
                  <c:v>-0.114</c:v>
                </c:pt>
                <c:pt idx="146">
                  <c:v>-0.10199999999999999</c:v>
                </c:pt>
                <c:pt idx="147">
                  <c:v>2E-3</c:v>
                </c:pt>
                <c:pt idx="148">
                  <c:v>-0.23899999999999999</c:v>
                </c:pt>
                <c:pt idx="149">
                  <c:v>-0.127</c:v>
                </c:pt>
                <c:pt idx="150">
                  <c:v>-1.96</c:v>
                </c:pt>
                <c:pt idx="151">
                  <c:v>0.52</c:v>
                </c:pt>
                <c:pt idx="152">
                  <c:v>7.2999999999999995E-2</c:v>
                </c:pt>
                <c:pt idx="153">
                  <c:v>0.126</c:v>
                </c:pt>
                <c:pt idx="154">
                  <c:v>0.13500000000000001</c:v>
                </c:pt>
                <c:pt idx="155">
                  <c:v>3.6999999999999998E-2</c:v>
                </c:pt>
                <c:pt idx="156">
                  <c:v>-4.9000000000000002E-2</c:v>
                </c:pt>
                <c:pt idx="157">
                  <c:v>6.9000000000000006E-2</c:v>
                </c:pt>
                <c:pt idx="158">
                  <c:v>-7.0000000000000007E-2</c:v>
                </c:pt>
                <c:pt idx="159">
                  <c:v>6.0999999999999999E-2</c:v>
                </c:pt>
                <c:pt idx="160">
                  <c:v>1.7999999999999999E-2</c:v>
                </c:pt>
                <c:pt idx="161">
                  <c:v>5.8000000000000003E-2</c:v>
                </c:pt>
                <c:pt idx="162">
                  <c:v>-3.4000000000000002E-2</c:v>
                </c:pt>
                <c:pt idx="163">
                  <c:v>-2.3E-2</c:v>
                </c:pt>
                <c:pt idx="164">
                  <c:v>-0.02</c:v>
                </c:pt>
                <c:pt idx="165">
                  <c:v>-4.1000000000000002E-2</c:v>
                </c:pt>
                <c:pt idx="166">
                  <c:v>6.9000000000000006E-2</c:v>
                </c:pt>
                <c:pt idx="167">
                  <c:v>4.1000000000000002E-2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A-413E-B120-276BA8B67F6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('AMP4-4'!$AB$4,'AMP4-4'!$AB$4)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A-413E-B120-276BA8B67F6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('AMP4-4'!$AB$5,'AMP4-4'!$AB$5)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A-413E-B120-276BA8B67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3336"/>
        <c:axId val="488763728"/>
      </c:scatterChart>
      <c:valAx>
        <c:axId val="488763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3728"/>
        <c:crosses val="autoZero"/>
        <c:crossBetween val="midCat"/>
      </c:valAx>
      <c:valAx>
        <c:axId val="4887637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'AMP4-4'!$AC$8</c:f>
              <c:strCache>
                <c:ptCount val="1"/>
                <c:pt idx="0">
                  <c:v>T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'AMP4-4'!$AC$9:$AC$176</c:f>
              <c:numCache>
                <c:formatCode>General</c:formatCode>
                <c:ptCount val="168"/>
                <c:pt idx="0">
                  <c:v>-2.5000000000000001E-2</c:v>
                </c:pt>
                <c:pt idx="1">
                  <c:v>0</c:v>
                </c:pt>
                <c:pt idx="2">
                  <c:v>0.16600000000000001</c:v>
                </c:pt>
                <c:pt idx="3">
                  <c:v>0.19700000000000001</c:v>
                </c:pt>
                <c:pt idx="4">
                  <c:v>9.4E-2</c:v>
                </c:pt>
                <c:pt idx="5">
                  <c:v>0.129</c:v>
                </c:pt>
                <c:pt idx="6">
                  <c:v>8.5000000000000006E-2</c:v>
                </c:pt>
                <c:pt idx="7">
                  <c:v>0.13900000000000001</c:v>
                </c:pt>
                <c:pt idx="8">
                  <c:v>-1.9E-2</c:v>
                </c:pt>
                <c:pt idx="9">
                  <c:v>0.11700000000000001</c:v>
                </c:pt>
                <c:pt idx="10">
                  <c:v>0.10199999999999999</c:v>
                </c:pt>
                <c:pt idx="11">
                  <c:v>0.11</c:v>
                </c:pt>
                <c:pt idx="12">
                  <c:v>-0.13900000000000001</c:v>
                </c:pt>
                <c:pt idx="13">
                  <c:v>4.7E-2</c:v>
                </c:pt>
                <c:pt idx="14">
                  <c:v>1.7999999999999999E-2</c:v>
                </c:pt>
                <c:pt idx="15">
                  <c:v>6.2E-2</c:v>
                </c:pt>
                <c:pt idx="16">
                  <c:v>-4.5999999999999999E-2</c:v>
                </c:pt>
                <c:pt idx="17">
                  <c:v>0.121</c:v>
                </c:pt>
                <c:pt idx="18">
                  <c:v>-0.121</c:v>
                </c:pt>
                <c:pt idx="19">
                  <c:v>9.6000000000000002E-2</c:v>
                </c:pt>
                <c:pt idx="20">
                  <c:v>-9.1999999999999998E-2</c:v>
                </c:pt>
                <c:pt idx="21">
                  <c:v>-8.5999999999999993E-2</c:v>
                </c:pt>
                <c:pt idx="22">
                  <c:v>-0.1</c:v>
                </c:pt>
                <c:pt idx="23">
                  <c:v>2.5999999999999999E-2</c:v>
                </c:pt>
                <c:pt idx="24">
                  <c:v>-9.5000000000000001E-2</c:v>
                </c:pt>
                <c:pt idx="25">
                  <c:v>-1.0999999999999999E-2</c:v>
                </c:pt>
                <c:pt idx="26">
                  <c:v>3.4000000000000002E-2</c:v>
                </c:pt>
                <c:pt idx="27">
                  <c:v>0.218</c:v>
                </c:pt>
                <c:pt idx="28">
                  <c:v>0.156</c:v>
                </c:pt>
                <c:pt idx="29">
                  <c:v>0.17799999999999999</c:v>
                </c:pt>
                <c:pt idx="30">
                  <c:v>-3.4000000000000002E-2</c:v>
                </c:pt>
                <c:pt idx="31">
                  <c:v>0.124</c:v>
                </c:pt>
                <c:pt idx="32">
                  <c:v>-3.3000000000000002E-2</c:v>
                </c:pt>
                <c:pt idx="33">
                  <c:v>4.5999999999999999E-2</c:v>
                </c:pt>
                <c:pt idx="34">
                  <c:v>-0.158</c:v>
                </c:pt>
                <c:pt idx="35">
                  <c:v>0.104</c:v>
                </c:pt>
                <c:pt idx="36">
                  <c:v>-0.03</c:v>
                </c:pt>
                <c:pt idx="37">
                  <c:v>0.14099999999999999</c:v>
                </c:pt>
                <c:pt idx="38">
                  <c:v>-7.3999999999999996E-2</c:v>
                </c:pt>
                <c:pt idx="39">
                  <c:v>0.16300000000000001</c:v>
                </c:pt>
                <c:pt idx="40">
                  <c:v>-3.5999999999999997E-2</c:v>
                </c:pt>
                <c:pt idx="41">
                  <c:v>0.13200000000000001</c:v>
                </c:pt>
                <c:pt idx="42">
                  <c:v>-4.0000000000000001E-3</c:v>
                </c:pt>
                <c:pt idx="43">
                  <c:v>0.16800000000000001</c:v>
                </c:pt>
                <c:pt idx="44">
                  <c:v>-0.04</c:v>
                </c:pt>
                <c:pt idx="45">
                  <c:v>9.4E-2</c:v>
                </c:pt>
                <c:pt idx="46">
                  <c:v>-0.10199999999999999</c:v>
                </c:pt>
                <c:pt idx="47">
                  <c:v>8.7999999999999995E-2</c:v>
                </c:pt>
                <c:pt idx="48">
                  <c:v>-0.106</c:v>
                </c:pt>
                <c:pt idx="49">
                  <c:v>0.17599999999999999</c:v>
                </c:pt>
                <c:pt idx="50">
                  <c:v>-9.5000000000000001E-2</c:v>
                </c:pt>
                <c:pt idx="51">
                  <c:v>2.1999999999999999E-2</c:v>
                </c:pt>
                <c:pt idx="52">
                  <c:v>-6.9000000000000006E-2</c:v>
                </c:pt>
                <c:pt idx="53">
                  <c:v>0.13300000000000001</c:v>
                </c:pt>
                <c:pt idx="54">
                  <c:v>-0.1</c:v>
                </c:pt>
                <c:pt idx="55">
                  <c:v>0.11799999999999999</c:v>
                </c:pt>
                <c:pt idx="56">
                  <c:v>-6.7000000000000004E-2</c:v>
                </c:pt>
                <c:pt idx="57">
                  <c:v>6.8000000000000005E-2</c:v>
                </c:pt>
                <c:pt idx="58">
                  <c:v>-3.9E-2</c:v>
                </c:pt>
                <c:pt idx="59">
                  <c:v>0.193</c:v>
                </c:pt>
                <c:pt idx="60">
                  <c:v>-0.12</c:v>
                </c:pt>
                <c:pt idx="61">
                  <c:v>7.0000000000000007E-2</c:v>
                </c:pt>
                <c:pt idx="62">
                  <c:v>-0.09</c:v>
                </c:pt>
                <c:pt idx="63">
                  <c:v>0.128</c:v>
                </c:pt>
                <c:pt idx="64">
                  <c:v>-0.17799999999999999</c:v>
                </c:pt>
                <c:pt idx="65">
                  <c:v>7.0000000000000001E-3</c:v>
                </c:pt>
                <c:pt idx="66">
                  <c:v>-0.127</c:v>
                </c:pt>
                <c:pt idx="67">
                  <c:v>5.3999999999999999E-2</c:v>
                </c:pt>
                <c:pt idx="68">
                  <c:v>-9.6000000000000002E-2</c:v>
                </c:pt>
                <c:pt idx="69">
                  <c:v>3.5999999999999997E-2</c:v>
                </c:pt>
                <c:pt idx="70">
                  <c:v>5.5E-2</c:v>
                </c:pt>
                <c:pt idx="71">
                  <c:v>9.0999999999999998E-2</c:v>
                </c:pt>
                <c:pt idx="72">
                  <c:v>7.5999999999999998E-2</c:v>
                </c:pt>
                <c:pt idx="73">
                  <c:v>2.3E-2</c:v>
                </c:pt>
                <c:pt idx="74">
                  <c:v>2.5999999999999999E-2</c:v>
                </c:pt>
                <c:pt idx="75">
                  <c:v>7.8E-2</c:v>
                </c:pt>
                <c:pt idx="76">
                  <c:v>0.04</c:v>
                </c:pt>
                <c:pt idx="77">
                  <c:v>0.17100000000000001</c:v>
                </c:pt>
                <c:pt idx="78">
                  <c:v>2.5999999999999999E-2</c:v>
                </c:pt>
                <c:pt idx="79">
                  <c:v>0.13200000000000001</c:v>
                </c:pt>
                <c:pt idx="80">
                  <c:v>-3.3000000000000002E-2</c:v>
                </c:pt>
                <c:pt idx="81">
                  <c:v>0.115</c:v>
                </c:pt>
                <c:pt idx="82">
                  <c:v>-1.7000000000000001E-2</c:v>
                </c:pt>
                <c:pt idx="83">
                  <c:v>0.13600000000000001</c:v>
                </c:pt>
                <c:pt idx="84">
                  <c:v>2.1999999999999999E-2</c:v>
                </c:pt>
                <c:pt idx="85">
                  <c:v>0.06</c:v>
                </c:pt>
                <c:pt idx="86">
                  <c:v>-0.113</c:v>
                </c:pt>
                <c:pt idx="87">
                  <c:v>1.2E-2</c:v>
                </c:pt>
                <c:pt idx="88">
                  <c:v>-6.5000000000000002E-2</c:v>
                </c:pt>
                <c:pt idx="89">
                  <c:v>9.5000000000000001E-2</c:v>
                </c:pt>
                <c:pt idx="90">
                  <c:v>-0.05</c:v>
                </c:pt>
                <c:pt idx="91">
                  <c:v>2.5999999999999999E-2</c:v>
                </c:pt>
                <c:pt idx="92">
                  <c:v>-4.3999999999999997E-2</c:v>
                </c:pt>
                <c:pt idx="93">
                  <c:v>9.4E-2</c:v>
                </c:pt>
                <c:pt idx="94">
                  <c:v>-2.5999999999999999E-2</c:v>
                </c:pt>
                <c:pt idx="95">
                  <c:v>1.7999999999999999E-2</c:v>
                </c:pt>
                <c:pt idx="96">
                  <c:v>-0.121</c:v>
                </c:pt>
                <c:pt idx="97">
                  <c:v>-2.9000000000000001E-2</c:v>
                </c:pt>
                <c:pt idx="98">
                  <c:v>-5.6000000000000001E-2</c:v>
                </c:pt>
                <c:pt idx="99">
                  <c:v>4.2999999999999997E-2</c:v>
                </c:pt>
                <c:pt idx="100">
                  <c:v>-6.0999999999999999E-2</c:v>
                </c:pt>
                <c:pt idx="101">
                  <c:v>7.1999999999999995E-2</c:v>
                </c:pt>
                <c:pt idx="102">
                  <c:v>-0.112</c:v>
                </c:pt>
                <c:pt idx="103">
                  <c:v>9.1999999999999998E-2</c:v>
                </c:pt>
                <c:pt idx="104">
                  <c:v>-0.214</c:v>
                </c:pt>
                <c:pt idx="105">
                  <c:v>-3.4000000000000002E-2</c:v>
                </c:pt>
                <c:pt idx="106">
                  <c:v>-0.10100000000000001</c:v>
                </c:pt>
                <c:pt idx="107">
                  <c:v>6.3E-2</c:v>
                </c:pt>
                <c:pt idx="108">
                  <c:v>-6.4000000000000001E-2</c:v>
                </c:pt>
                <c:pt idx="109">
                  <c:v>-0.04</c:v>
                </c:pt>
                <c:pt idx="110">
                  <c:v>0.122</c:v>
                </c:pt>
                <c:pt idx="111">
                  <c:v>0.153</c:v>
                </c:pt>
                <c:pt idx="112">
                  <c:v>4.4999999999999998E-2</c:v>
                </c:pt>
                <c:pt idx="113">
                  <c:v>0.107</c:v>
                </c:pt>
                <c:pt idx="114">
                  <c:v>0.13</c:v>
                </c:pt>
                <c:pt idx="115">
                  <c:v>0.121</c:v>
                </c:pt>
                <c:pt idx="116">
                  <c:v>1.2999999999999999E-2</c:v>
                </c:pt>
                <c:pt idx="117">
                  <c:v>7.0000000000000007E-2</c:v>
                </c:pt>
                <c:pt idx="118">
                  <c:v>2.5000000000000001E-2</c:v>
                </c:pt>
                <c:pt idx="119">
                  <c:v>7.6999999999999999E-2</c:v>
                </c:pt>
                <c:pt idx="120">
                  <c:v>0.02</c:v>
                </c:pt>
                <c:pt idx="121">
                  <c:v>5.2999999999999999E-2</c:v>
                </c:pt>
                <c:pt idx="122">
                  <c:v>-0.20100000000000001</c:v>
                </c:pt>
                <c:pt idx="123">
                  <c:v>-2.7E-2</c:v>
                </c:pt>
                <c:pt idx="124">
                  <c:v>0</c:v>
                </c:pt>
                <c:pt idx="125">
                  <c:v>0.1</c:v>
                </c:pt>
                <c:pt idx="126">
                  <c:v>0.247</c:v>
                </c:pt>
                <c:pt idx="127">
                  <c:v>8.0000000000000002E-3</c:v>
                </c:pt>
                <c:pt idx="128">
                  <c:v>-0.04</c:v>
                </c:pt>
                <c:pt idx="129">
                  <c:v>-2.5000000000000001E-2</c:v>
                </c:pt>
                <c:pt idx="130">
                  <c:v>4.3999999999999997E-2</c:v>
                </c:pt>
                <c:pt idx="131">
                  <c:v>8.1000000000000003E-2</c:v>
                </c:pt>
                <c:pt idx="132">
                  <c:v>-0.129</c:v>
                </c:pt>
                <c:pt idx="133">
                  <c:v>-4.1000000000000002E-2</c:v>
                </c:pt>
                <c:pt idx="134">
                  <c:v>3.5000000000000003E-2</c:v>
                </c:pt>
                <c:pt idx="135">
                  <c:v>0.13800000000000001</c:v>
                </c:pt>
                <c:pt idx="136">
                  <c:v>-0.04</c:v>
                </c:pt>
                <c:pt idx="137">
                  <c:v>3.0000000000000001E-3</c:v>
                </c:pt>
                <c:pt idx="138">
                  <c:v>2.1000000000000001E-2</c:v>
                </c:pt>
                <c:pt idx="139">
                  <c:v>1.7999999999999999E-2</c:v>
                </c:pt>
                <c:pt idx="140">
                  <c:v>-8.9999999999999993E-3</c:v>
                </c:pt>
                <c:pt idx="141">
                  <c:v>0.124</c:v>
                </c:pt>
                <c:pt idx="142">
                  <c:v>-0.21199999999999999</c:v>
                </c:pt>
                <c:pt idx="143">
                  <c:v>-0.05</c:v>
                </c:pt>
                <c:pt idx="144">
                  <c:v>-8.4000000000000005E-2</c:v>
                </c:pt>
                <c:pt idx="145">
                  <c:v>-9.9000000000000005E-2</c:v>
                </c:pt>
                <c:pt idx="146">
                  <c:v>-8.2000000000000003E-2</c:v>
                </c:pt>
                <c:pt idx="147">
                  <c:v>3.1E-2</c:v>
                </c:pt>
                <c:pt idx="148">
                  <c:v>-0.22500000000000001</c:v>
                </c:pt>
                <c:pt idx="149">
                  <c:v>-0.104</c:v>
                </c:pt>
                <c:pt idx="150">
                  <c:v>-1.8640000000000001</c:v>
                </c:pt>
                <c:pt idx="151">
                  <c:v>0.61699999999999999</c:v>
                </c:pt>
                <c:pt idx="152">
                  <c:v>7.3999999999999996E-2</c:v>
                </c:pt>
                <c:pt idx="153">
                  <c:v>0.13300000000000001</c:v>
                </c:pt>
                <c:pt idx="154">
                  <c:v>0.14000000000000001</c:v>
                </c:pt>
                <c:pt idx="155">
                  <c:v>3.6999999999999998E-2</c:v>
                </c:pt>
                <c:pt idx="156">
                  <c:v>-1.7999999999999999E-2</c:v>
                </c:pt>
                <c:pt idx="157">
                  <c:v>8.5999999999999993E-2</c:v>
                </c:pt>
                <c:pt idx="158">
                  <c:v>-5.7000000000000002E-2</c:v>
                </c:pt>
                <c:pt idx="159">
                  <c:v>8.7999999999999995E-2</c:v>
                </c:pt>
                <c:pt idx="160">
                  <c:v>1.7000000000000001E-2</c:v>
                </c:pt>
                <c:pt idx="161">
                  <c:v>7.6999999999999999E-2</c:v>
                </c:pt>
                <c:pt idx="162">
                  <c:v>-2.5999999999999999E-2</c:v>
                </c:pt>
                <c:pt idx="163">
                  <c:v>8.0000000000000002E-3</c:v>
                </c:pt>
                <c:pt idx="164">
                  <c:v>-7.0000000000000001E-3</c:v>
                </c:pt>
                <c:pt idx="165">
                  <c:v>-2.4E-2</c:v>
                </c:pt>
                <c:pt idx="166">
                  <c:v>0.08</c:v>
                </c:pt>
                <c:pt idx="167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6D-4F6F-99F4-481E3C9F23D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('AMP4-4'!$AC$4,'AMP4-4'!$AC$4)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6D-4F6F-99F4-481E3C9F23D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('AMP4-4'!$AC$5,'AMP4-4'!$AC$5)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6D-4F6F-99F4-481E3C9F2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4512"/>
        <c:axId val="488764904"/>
      </c:scatterChart>
      <c:valAx>
        <c:axId val="4887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4904"/>
        <c:crosses val="autoZero"/>
        <c:crossBetween val="midCat"/>
      </c:valAx>
      <c:valAx>
        <c:axId val="4887649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'AMP4-4'!$AD$8</c:f>
              <c:strCache>
                <c:ptCount val="1"/>
                <c:pt idx="0">
                  <c:v>T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'AMP4-4'!$AD$9:$AD$176</c:f>
              <c:numCache>
                <c:formatCode>General</c:formatCode>
                <c:ptCount val="168"/>
                <c:pt idx="0">
                  <c:v>0.14000000000000001</c:v>
                </c:pt>
                <c:pt idx="1">
                  <c:v>-5.1999999999999998E-2</c:v>
                </c:pt>
                <c:pt idx="2">
                  <c:v>0.218</c:v>
                </c:pt>
                <c:pt idx="3">
                  <c:v>-1.4E-2</c:v>
                </c:pt>
                <c:pt idx="4">
                  <c:v>0.19</c:v>
                </c:pt>
                <c:pt idx="5">
                  <c:v>6.0000000000000001E-3</c:v>
                </c:pt>
                <c:pt idx="6">
                  <c:v>0.14299999999999999</c:v>
                </c:pt>
                <c:pt idx="7">
                  <c:v>-1.4E-2</c:v>
                </c:pt>
                <c:pt idx="8">
                  <c:v>0.11799999999999999</c:v>
                </c:pt>
                <c:pt idx="9">
                  <c:v>-0.108</c:v>
                </c:pt>
                <c:pt idx="10">
                  <c:v>0.21</c:v>
                </c:pt>
                <c:pt idx="11">
                  <c:v>-3.6999999999999998E-2</c:v>
                </c:pt>
                <c:pt idx="12">
                  <c:v>0.14399999999999999</c:v>
                </c:pt>
                <c:pt idx="13">
                  <c:v>-1.2999999999999999E-2</c:v>
                </c:pt>
                <c:pt idx="14">
                  <c:v>0.121</c:v>
                </c:pt>
                <c:pt idx="15">
                  <c:v>-5.8999999999999997E-2</c:v>
                </c:pt>
                <c:pt idx="16">
                  <c:v>0.28199999999999997</c:v>
                </c:pt>
                <c:pt idx="17">
                  <c:v>8.4000000000000005E-2</c:v>
                </c:pt>
                <c:pt idx="18">
                  <c:v>0.155</c:v>
                </c:pt>
                <c:pt idx="19">
                  <c:v>-0.04</c:v>
                </c:pt>
                <c:pt idx="20">
                  <c:v>2.1999999999999999E-2</c:v>
                </c:pt>
                <c:pt idx="21">
                  <c:v>-0.115</c:v>
                </c:pt>
                <c:pt idx="22">
                  <c:v>-2.8000000000000001E-2</c:v>
                </c:pt>
                <c:pt idx="23">
                  <c:v>-0.13</c:v>
                </c:pt>
                <c:pt idx="24">
                  <c:v>6.0999999999999999E-2</c:v>
                </c:pt>
                <c:pt idx="25">
                  <c:v>-0.14299999999999999</c:v>
                </c:pt>
                <c:pt idx="26">
                  <c:v>0.01</c:v>
                </c:pt>
                <c:pt idx="27">
                  <c:v>3.4000000000000002E-2</c:v>
                </c:pt>
                <c:pt idx="28">
                  <c:v>0.221</c:v>
                </c:pt>
                <c:pt idx="29">
                  <c:v>-7.9000000000000001E-2</c:v>
                </c:pt>
                <c:pt idx="30">
                  <c:v>-9.0999999999999998E-2</c:v>
                </c:pt>
                <c:pt idx="31">
                  <c:v>-2.5999999999999999E-2</c:v>
                </c:pt>
                <c:pt idx="32">
                  <c:v>-8.7999999999999995E-2</c:v>
                </c:pt>
                <c:pt idx="33">
                  <c:v>-9.6000000000000002E-2</c:v>
                </c:pt>
                <c:pt idx="34">
                  <c:v>-6.2E-2</c:v>
                </c:pt>
                <c:pt idx="35">
                  <c:v>-4.2999999999999997E-2</c:v>
                </c:pt>
                <c:pt idx="36">
                  <c:v>1.0999999999999999E-2</c:v>
                </c:pt>
                <c:pt idx="37">
                  <c:v>5.6000000000000001E-2</c:v>
                </c:pt>
                <c:pt idx="38">
                  <c:v>1.9E-2</c:v>
                </c:pt>
                <c:pt idx="39">
                  <c:v>9.7000000000000003E-2</c:v>
                </c:pt>
                <c:pt idx="40">
                  <c:v>0.125</c:v>
                </c:pt>
                <c:pt idx="41">
                  <c:v>0.112</c:v>
                </c:pt>
                <c:pt idx="42">
                  <c:v>0.126</c:v>
                </c:pt>
                <c:pt idx="43">
                  <c:v>0.159</c:v>
                </c:pt>
                <c:pt idx="44">
                  <c:v>0.10100000000000001</c:v>
                </c:pt>
                <c:pt idx="45">
                  <c:v>0.08</c:v>
                </c:pt>
                <c:pt idx="46">
                  <c:v>3.9E-2</c:v>
                </c:pt>
                <c:pt idx="47">
                  <c:v>0.10299999999999999</c:v>
                </c:pt>
                <c:pt idx="48">
                  <c:v>0.125</c:v>
                </c:pt>
                <c:pt idx="49">
                  <c:v>0.218</c:v>
                </c:pt>
                <c:pt idx="50">
                  <c:v>0.08</c:v>
                </c:pt>
                <c:pt idx="51">
                  <c:v>8.6999999999999994E-2</c:v>
                </c:pt>
                <c:pt idx="52">
                  <c:v>0.104</c:v>
                </c:pt>
                <c:pt idx="53">
                  <c:v>0.23899999999999999</c:v>
                </c:pt>
                <c:pt idx="54">
                  <c:v>8.6999999999999994E-2</c:v>
                </c:pt>
                <c:pt idx="55">
                  <c:v>0.107</c:v>
                </c:pt>
                <c:pt idx="56">
                  <c:v>9.2999999999999999E-2</c:v>
                </c:pt>
                <c:pt idx="57">
                  <c:v>0.10199999999999999</c:v>
                </c:pt>
                <c:pt idx="58">
                  <c:v>0.11700000000000001</c:v>
                </c:pt>
                <c:pt idx="59">
                  <c:v>0.26300000000000001</c:v>
                </c:pt>
                <c:pt idx="60">
                  <c:v>0.153</c:v>
                </c:pt>
                <c:pt idx="61">
                  <c:v>0.22800000000000001</c:v>
                </c:pt>
                <c:pt idx="62">
                  <c:v>6.4000000000000001E-2</c:v>
                </c:pt>
                <c:pt idx="63">
                  <c:v>5.5E-2</c:v>
                </c:pt>
                <c:pt idx="64">
                  <c:v>2.5000000000000001E-2</c:v>
                </c:pt>
                <c:pt idx="65">
                  <c:v>9.6000000000000002E-2</c:v>
                </c:pt>
                <c:pt idx="66">
                  <c:v>0.02</c:v>
                </c:pt>
                <c:pt idx="67">
                  <c:v>0.14000000000000001</c:v>
                </c:pt>
                <c:pt idx="68">
                  <c:v>0.06</c:v>
                </c:pt>
                <c:pt idx="69">
                  <c:v>7.5999999999999998E-2</c:v>
                </c:pt>
                <c:pt idx="70">
                  <c:v>8.5000000000000006E-2</c:v>
                </c:pt>
                <c:pt idx="71">
                  <c:v>-0.13400000000000001</c:v>
                </c:pt>
                <c:pt idx="72">
                  <c:v>0.154</c:v>
                </c:pt>
                <c:pt idx="73">
                  <c:v>-0.14599999999999999</c:v>
                </c:pt>
                <c:pt idx="74">
                  <c:v>0.153</c:v>
                </c:pt>
                <c:pt idx="75">
                  <c:v>-4.0000000000000001E-3</c:v>
                </c:pt>
                <c:pt idx="76">
                  <c:v>0.16</c:v>
                </c:pt>
                <c:pt idx="77">
                  <c:v>-2E-3</c:v>
                </c:pt>
                <c:pt idx="78">
                  <c:v>0.14599999999999999</c:v>
                </c:pt>
                <c:pt idx="79">
                  <c:v>-7.0000000000000001E-3</c:v>
                </c:pt>
                <c:pt idx="80">
                  <c:v>5.1999999999999998E-2</c:v>
                </c:pt>
                <c:pt idx="81">
                  <c:v>-0.02</c:v>
                </c:pt>
                <c:pt idx="82">
                  <c:v>-4.0000000000000001E-3</c:v>
                </c:pt>
                <c:pt idx="83">
                  <c:v>-2.8000000000000001E-2</c:v>
                </c:pt>
                <c:pt idx="84">
                  <c:v>7.4999999999999997E-2</c:v>
                </c:pt>
                <c:pt idx="85">
                  <c:v>-0.14399999999999999</c:v>
                </c:pt>
                <c:pt idx="86">
                  <c:v>1.6E-2</c:v>
                </c:pt>
                <c:pt idx="87">
                  <c:v>-8.1000000000000003E-2</c:v>
                </c:pt>
                <c:pt idx="88">
                  <c:v>8.8999999999999996E-2</c:v>
                </c:pt>
                <c:pt idx="89">
                  <c:v>-0.125</c:v>
                </c:pt>
                <c:pt idx="90">
                  <c:v>8.6999999999999994E-2</c:v>
                </c:pt>
                <c:pt idx="91">
                  <c:v>-0.13200000000000001</c:v>
                </c:pt>
                <c:pt idx="92">
                  <c:v>4.4999999999999998E-2</c:v>
                </c:pt>
                <c:pt idx="93">
                  <c:v>-4.1000000000000002E-2</c:v>
                </c:pt>
                <c:pt idx="94">
                  <c:v>2.7E-2</c:v>
                </c:pt>
                <c:pt idx="95">
                  <c:v>-2.4E-2</c:v>
                </c:pt>
                <c:pt idx="96">
                  <c:v>6.8000000000000005E-2</c:v>
                </c:pt>
                <c:pt idx="97">
                  <c:v>-8.8999999999999996E-2</c:v>
                </c:pt>
                <c:pt idx="98">
                  <c:v>8.2000000000000003E-2</c:v>
                </c:pt>
                <c:pt idx="99">
                  <c:v>7.4999999999999997E-2</c:v>
                </c:pt>
                <c:pt idx="100">
                  <c:v>8.8999999999999996E-2</c:v>
                </c:pt>
                <c:pt idx="101">
                  <c:v>3.5999999999999997E-2</c:v>
                </c:pt>
                <c:pt idx="102">
                  <c:v>-3.0000000000000001E-3</c:v>
                </c:pt>
                <c:pt idx="103">
                  <c:v>0.08</c:v>
                </c:pt>
                <c:pt idx="104">
                  <c:v>1.9E-2</c:v>
                </c:pt>
                <c:pt idx="105">
                  <c:v>0.10100000000000001</c:v>
                </c:pt>
                <c:pt idx="106">
                  <c:v>6.2E-2</c:v>
                </c:pt>
                <c:pt idx="107">
                  <c:v>0.159</c:v>
                </c:pt>
                <c:pt idx="108">
                  <c:v>6.6000000000000003E-2</c:v>
                </c:pt>
                <c:pt idx="109">
                  <c:v>-1.4E-2</c:v>
                </c:pt>
                <c:pt idx="110">
                  <c:v>0.191</c:v>
                </c:pt>
                <c:pt idx="111">
                  <c:v>8.9999999999999993E-3</c:v>
                </c:pt>
                <c:pt idx="112">
                  <c:v>6.9000000000000006E-2</c:v>
                </c:pt>
                <c:pt idx="113">
                  <c:v>-1.4999999999999999E-2</c:v>
                </c:pt>
                <c:pt idx="114">
                  <c:v>0.13900000000000001</c:v>
                </c:pt>
                <c:pt idx="115">
                  <c:v>0.21299999999999999</c:v>
                </c:pt>
                <c:pt idx="116">
                  <c:v>4.1000000000000002E-2</c:v>
                </c:pt>
                <c:pt idx="117">
                  <c:v>2.1999999999999999E-2</c:v>
                </c:pt>
                <c:pt idx="118">
                  <c:v>0.13900000000000001</c:v>
                </c:pt>
                <c:pt idx="119">
                  <c:v>-5.6000000000000001E-2</c:v>
                </c:pt>
                <c:pt idx="120">
                  <c:v>0.155</c:v>
                </c:pt>
                <c:pt idx="121">
                  <c:v>-6.0999999999999999E-2</c:v>
                </c:pt>
                <c:pt idx="122">
                  <c:v>8.7999999999999995E-2</c:v>
                </c:pt>
                <c:pt idx="123">
                  <c:v>5.0999999999999997E-2</c:v>
                </c:pt>
                <c:pt idx="124">
                  <c:v>9.4E-2</c:v>
                </c:pt>
                <c:pt idx="125">
                  <c:v>4.7E-2</c:v>
                </c:pt>
                <c:pt idx="126">
                  <c:v>0.307</c:v>
                </c:pt>
                <c:pt idx="127">
                  <c:v>-0.151</c:v>
                </c:pt>
                <c:pt idx="128">
                  <c:v>6.9000000000000006E-2</c:v>
                </c:pt>
                <c:pt idx="129">
                  <c:v>-1.4E-2</c:v>
                </c:pt>
                <c:pt idx="130">
                  <c:v>0.13600000000000001</c:v>
                </c:pt>
                <c:pt idx="131">
                  <c:v>-0.106</c:v>
                </c:pt>
                <c:pt idx="132">
                  <c:v>-4.7E-2</c:v>
                </c:pt>
                <c:pt idx="133">
                  <c:v>0</c:v>
                </c:pt>
                <c:pt idx="134">
                  <c:v>0.04</c:v>
                </c:pt>
                <c:pt idx="135">
                  <c:v>0.17100000000000001</c:v>
                </c:pt>
                <c:pt idx="136">
                  <c:v>1.4E-2</c:v>
                </c:pt>
                <c:pt idx="137">
                  <c:v>3.3000000000000002E-2</c:v>
                </c:pt>
                <c:pt idx="138">
                  <c:v>0.154</c:v>
                </c:pt>
                <c:pt idx="139">
                  <c:v>-0.16800000000000001</c:v>
                </c:pt>
                <c:pt idx="140">
                  <c:v>3.5999999999999997E-2</c:v>
                </c:pt>
                <c:pt idx="141">
                  <c:v>0.255</c:v>
                </c:pt>
                <c:pt idx="142">
                  <c:v>-3.4000000000000002E-2</c:v>
                </c:pt>
                <c:pt idx="143">
                  <c:v>6.3E-2</c:v>
                </c:pt>
                <c:pt idx="144">
                  <c:v>9.5000000000000001E-2</c:v>
                </c:pt>
                <c:pt idx="145">
                  <c:v>0.11899999999999999</c:v>
                </c:pt>
                <c:pt idx="146">
                  <c:v>6.0000000000000001E-3</c:v>
                </c:pt>
                <c:pt idx="147">
                  <c:v>0.19700000000000001</c:v>
                </c:pt>
                <c:pt idx="148">
                  <c:v>0.05</c:v>
                </c:pt>
                <c:pt idx="149">
                  <c:v>2.5000000000000001E-2</c:v>
                </c:pt>
                <c:pt idx="150">
                  <c:v>-1.8540000000000001</c:v>
                </c:pt>
                <c:pt idx="151">
                  <c:v>0.78900000000000003</c:v>
                </c:pt>
                <c:pt idx="152">
                  <c:v>0.16200000000000001</c:v>
                </c:pt>
                <c:pt idx="153">
                  <c:v>6.4000000000000001E-2</c:v>
                </c:pt>
                <c:pt idx="154">
                  <c:v>0.20899999999999999</c:v>
                </c:pt>
                <c:pt idx="155">
                  <c:v>2.5999999999999999E-2</c:v>
                </c:pt>
                <c:pt idx="156">
                  <c:v>0.111</c:v>
                </c:pt>
                <c:pt idx="157">
                  <c:v>-3.5000000000000003E-2</c:v>
                </c:pt>
                <c:pt idx="158">
                  <c:v>7.6999999999999999E-2</c:v>
                </c:pt>
                <c:pt idx="159">
                  <c:v>7.0000000000000001E-3</c:v>
                </c:pt>
                <c:pt idx="160">
                  <c:v>0.17599999999999999</c:v>
                </c:pt>
                <c:pt idx="161">
                  <c:v>-2.5999999999999999E-2</c:v>
                </c:pt>
                <c:pt idx="162">
                  <c:v>0.154</c:v>
                </c:pt>
                <c:pt idx="163">
                  <c:v>-7.1999999999999995E-2</c:v>
                </c:pt>
                <c:pt idx="164">
                  <c:v>4.5999999999999999E-2</c:v>
                </c:pt>
                <c:pt idx="165">
                  <c:v>-9.4E-2</c:v>
                </c:pt>
                <c:pt idx="166">
                  <c:v>0.18</c:v>
                </c:pt>
                <c:pt idx="167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7-46A1-A98A-6D9C3972FD5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('AMP4-4'!$AD$4,'AMP4-4'!$AD$4)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87-46A1-A98A-6D9C3972FD5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('AMP4-4'!$AD$5,'AMP4-4'!$AD$5)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87-46A1-A98A-6D9C3972F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5688"/>
        <c:axId val="488766080"/>
      </c:scatterChart>
      <c:valAx>
        <c:axId val="488765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6080"/>
        <c:crosses val="autoZero"/>
        <c:crossBetween val="midCat"/>
      </c:valAx>
      <c:valAx>
        <c:axId val="4887660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'AMP4-4'!$AE$8</c:f>
              <c:strCache>
                <c:ptCount val="1"/>
                <c:pt idx="0">
                  <c:v>T 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'AMP4-4'!$AE$9:$AE$176</c:f>
              <c:numCache>
                <c:formatCode>General</c:formatCode>
                <c:ptCount val="168"/>
                <c:pt idx="0">
                  <c:v>7.5999999999999998E-2</c:v>
                </c:pt>
                <c:pt idx="1">
                  <c:v>-3.2000000000000001E-2</c:v>
                </c:pt>
                <c:pt idx="2">
                  <c:v>0.20200000000000001</c:v>
                </c:pt>
                <c:pt idx="3">
                  <c:v>-7.1999999999999995E-2</c:v>
                </c:pt>
                <c:pt idx="4">
                  <c:v>0.12</c:v>
                </c:pt>
                <c:pt idx="5">
                  <c:v>-1.4999999999999999E-2</c:v>
                </c:pt>
                <c:pt idx="6">
                  <c:v>2.5000000000000001E-2</c:v>
                </c:pt>
                <c:pt idx="7">
                  <c:v>-6.0999999999999999E-2</c:v>
                </c:pt>
                <c:pt idx="8">
                  <c:v>-4.4999999999999998E-2</c:v>
                </c:pt>
                <c:pt idx="9">
                  <c:v>-9.6000000000000002E-2</c:v>
                </c:pt>
                <c:pt idx="10">
                  <c:v>0.112</c:v>
                </c:pt>
                <c:pt idx="11">
                  <c:v>-6.3E-2</c:v>
                </c:pt>
                <c:pt idx="12">
                  <c:v>-0.11799999999999999</c:v>
                </c:pt>
                <c:pt idx="13">
                  <c:v>-2.5000000000000001E-2</c:v>
                </c:pt>
                <c:pt idx="14">
                  <c:v>-0.01</c:v>
                </c:pt>
                <c:pt idx="15">
                  <c:v>-8.5999999999999993E-2</c:v>
                </c:pt>
                <c:pt idx="16">
                  <c:v>5.5E-2</c:v>
                </c:pt>
                <c:pt idx="17">
                  <c:v>6.0000000000000001E-3</c:v>
                </c:pt>
                <c:pt idx="18">
                  <c:v>0</c:v>
                </c:pt>
                <c:pt idx="19">
                  <c:v>-0.03</c:v>
                </c:pt>
                <c:pt idx="20">
                  <c:v>-0.112</c:v>
                </c:pt>
                <c:pt idx="21">
                  <c:v>-0.113</c:v>
                </c:pt>
                <c:pt idx="22">
                  <c:v>-0.20499999999999999</c:v>
                </c:pt>
                <c:pt idx="23">
                  <c:v>-0.14699999999999999</c:v>
                </c:pt>
                <c:pt idx="24">
                  <c:v>-9.9000000000000005E-2</c:v>
                </c:pt>
                <c:pt idx="25">
                  <c:v>-0.159</c:v>
                </c:pt>
                <c:pt idx="26">
                  <c:v>-0.1</c:v>
                </c:pt>
                <c:pt idx="27">
                  <c:v>0.02</c:v>
                </c:pt>
                <c:pt idx="28">
                  <c:v>0.1</c:v>
                </c:pt>
                <c:pt idx="29">
                  <c:v>-0.107</c:v>
                </c:pt>
                <c:pt idx="30">
                  <c:v>-0.19500000000000001</c:v>
                </c:pt>
                <c:pt idx="31">
                  <c:v>-6.9000000000000006E-2</c:v>
                </c:pt>
                <c:pt idx="32">
                  <c:v>-0.251</c:v>
                </c:pt>
                <c:pt idx="33">
                  <c:v>-0.155</c:v>
                </c:pt>
                <c:pt idx="34">
                  <c:v>-0.191</c:v>
                </c:pt>
                <c:pt idx="35">
                  <c:v>-7.5999999999999998E-2</c:v>
                </c:pt>
                <c:pt idx="36">
                  <c:v>-0.113</c:v>
                </c:pt>
                <c:pt idx="37">
                  <c:v>3.5999999999999997E-2</c:v>
                </c:pt>
                <c:pt idx="38">
                  <c:v>-0.11899999999999999</c:v>
                </c:pt>
                <c:pt idx="39">
                  <c:v>4.2000000000000003E-2</c:v>
                </c:pt>
                <c:pt idx="40">
                  <c:v>1.9E-2</c:v>
                </c:pt>
                <c:pt idx="41">
                  <c:v>9.0999999999999998E-2</c:v>
                </c:pt>
                <c:pt idx="42">
                  <c:v>-0.03</c:v>
                </c:pt>
                <c:pt idx="43">
                  <c:v>0.14599999999999999</c:v>
                </c:pt>
                <c:pt idx="44">
                  <c:v>-4.7E-2</c:v>
                </c:pt>
                <c:pt idx="45">
                  <c:v>6.2E-2</c:v>
                </c:pt>
                <c:pt idx="46">
                  <c:v>-9.7000000000000003E-2</c:v>
                </c:pt>
                <c:pt idx="47">
                  <c:v>6.4000000000000001E-2</c:v>
                </c:pt>
                <c:pt idx="48">
                  <c:v>-0.01</c:v>
                </c:pt>
                <c:pt idx="49">
                  <c:v>0.20100000000000001</c:v>
                </c:pt>
                <c:pt idx="50">
                  <c:v>-0.05</c:v>
                </c:pt>
                <c:pt idx="51">
                  <c:v>0.08</c:v>
                </c:pt>
                <c:pt idx="52">
                  <c:v>-3.5999999999999997E-2</c:v>
                </c:pt>
                <c:pt idx="53">
                  <c:v>0.219</c:v>
                </c:pt>
                <c:pt idx="54">
                  <c:v>-4.5999999999999999E-2</c:v>
                </c:pt>
                <c:pt idx="55">
                  <c:v>9.8000000000000004E-2</c:v>
                </c:pt>
                <c:pt idx="56">
                  <c:v>-4.1000000000000002E-2</c:v>
                </c:pt>
                <c:pt idx="57">
                  <c:v>8.1000000000000003E-2</c:v>
                </c:pt>
                <c:pt idx="58">
                  <c:v>-3.5999999999999997E-2</c:v>
                </c:pt>
                <c:pt idx="59">
                  <c:v>0.23899999999999999</c:v>
                </c:pt>
                <c:pt idx="60">
                  <c:v>2.7E-2</c:v>
                </c:pt>
                <c:pt idx="61">
                  <c:v>0.20499999999999999</c:v>
                </c:pt>
                <c:pt idx="62">
                  <c:v>-0.10299999999999999</c:v>
                </c:pt>
                <c:pt idx="63">
                  <c:v>0.14799999999999999</c:v>
                </c:pt>
                <c:pt idx="64">
                  <c:v>-0.08</c:v>
                </c:pt>
                <c:pt idx="65">
                  <c:v>0.08</c:v>
                </c:pt>
                <c:pt idx="66">
                  <c:v>-0.128</c:v>
                </c:pt>
                <c:pt idx="67">
                  <c:v>0.127</c:v>
                </c:pt>
                <c:pt idx="68">
                  <c:v>-7.6999999999999999E-2</c:v>
                </c:pt>
                <c:pt idx="69">
                  <c:v>7.6999999999999999E-2</c:v>
                </c:pt>
                <c:pt idx="70">
                  <c:v>-0.127</c:v>
                </c:pt>
                <c:pt idx="71">
                  <c:v>-0.159</c:v>
                </c:pt>
                <c:pt idx="72">
                  <c:v>-9.0999999999999998E-2</c:v>
                </c:pt>
                <c:pt idx="73">
                  <c:v>-0.191</c:v>
                </c:pt>
                <c:pt idx="74">
                  <c:v>-6.0000000000000001E-3</c:v>
                </c:pt>
                <c:pt idx="75">
                  <c:v>1.0999999999999999E-2</c:v>
                </c:pt>
                <c:pt idx="76">
                  <c:v>-3.2000000000000001E-2</c:v>
                </c:pt>
                <c:pt idx="77">
                  <c:v>-1.2E-2</c:v>
                </c:pt>
                <c:pt idx="78">
                  <c:v>-8.0000000000000002E-3</c:v>
                </c:pt>
                <c:pt idx="79">
                  <c:v>-4.5999999999999999E-2</c:v>
                </c:pt>
                <c:pt idx="80">
                  <c:v>-6.6000000000000003E-2</c:v>
                </c:pt>
                <c:pt idx="81">
                  <c:v>-3.2000000000000001E-2</c:v>
                </c:pt>
                <c:pt idx="82">
                  <c:v>-0.123</c:v>
                </c:pt>
                <c:pt idx="83">
                  <c:v>2.1000000000000001E-2</c:v>
                </c:pt>
                <c:pt idx="84">
                  <c:v>-7.0999999999999994E-2</c:v>
                </c:pt>
                <c:pt idx="85">
                  <c:v>-0.14499999999999999</c:v>
                </c:pt>
                <c:pt idx="86">
                  <c:v>-0.128</c:v>
                </c:pt>
                <c:pt idx="87">
                  <c:v>-9.8000000000000004E-2</c:v>
                </c:pt>
                <c:pt idx="88">
                  <c:v>-8.4000000000000005E-2</c:v>
                </c:pt>
                <c:pt idx="89">
                  <c:v>-0.13800000000000001</c:v>
                </c:pt>
                <c:pt idx="90">
                  <c:v>-7.9000000000000001E-2</c:v>
                </c:pt>
                <c:pt idx="91">
                  <c:v>-0.14299999999999999</c:v>
                </c:pt>
                <c:pt idx="92">
                  <c:v>-0.108</c:v>
                </c:pt>
                <c:pt idx="93">
                  <c:v>-6.3E-2</c:v>
                </c:pt>
                <c:pt idx="94">
                  <c:v>-0.13100000000000001</c:v>
                </c:pt>
                <c:pt idx="95">
                  <c:v>2.1000000000000001E-2</c:v>
                </c:pt>
                <c:pt idx="96">
                  <c:v>-8.1000000000000003E-2</c:v>
                </c:pt>
                <c:pt idx="97">
                  <c:v>-9.4E-2</c:v>
                </c:pt>
                <c:pt idx="98">
                  <c:v>-0.111</c:v>
                </c:pt>
                <c:pt idx="99">
                  <c:v>0.107</c:v>
                </c:pt>
                <c:pt idx="100">
                  <c:v>-3.7999999999999999E-2</c:v>
                </c:pt>
                <c:pt idx="101">
                  <c:v>4.2999999999999997E-2</c:v>
                </c:pt>
                <c:pt idx="102">
                  <c:v>-0.11600000000000001</c:v>
                </c:pt>
                <c:pt idx="103">
                  <c:v>0.1</c:v>
                </c:pt>
                <c:pt idx="104">
                  <c:v>-0.13900000000000001</c:v>
                </c:pt>
                <c:pt idx="105">
                  <c:v>0.123</c:v>
                </c:pt>
                <c:pt idx="106">
                  <c:v>-7.2999999999999995E-2</c:v>
                </c:pt>
                <c:pt idx="107">
                  <c:v>0.16</c:v>
                </c:pt>
                <c:pt idx="108">
                  <c:v>-8.3000000000000004E-2</c:v>
                </c:pt>
                <c:pt idx="109">
                  <c:v>8.5000000000000006E-2</c:v>
                </c:pt>
                <c:pt idx="110">
                  <c:v>-1E-3</c:v>
                </c:pt>
                <c:pt idx="111">
                  <c:v>2.5999999999999999E-2</c:v>
                </c:pt>
                <c:pt idx="112">
                  <c:v>-7.0000000000000007E-2</c:v>
                </c:pt>
                <c:pt idx="113">
                  <c:v>-0.1</c:v>
                </c:pt>
                <c:pt idx="114">
                  <c:v>-1.2E-2</c:v>
                </c:pt>
                <c:pt idx="115">
                  <c:v>0.154</c:v>
                </c:pt>
                <c:pt idx="116">
                  <c:v>-0.107</c:v>
                </c:pt>
                <c:pt idx="117">
                  <c:v>-7.4999999999999997E-2</c:v>
                </c:pt>
                <c:pt idx="118">
                  <c:v>-3.0000000000000001E-3</c:v>
                </c:pt>
                <c:pt idx="119">
                  <c:v>-0.114</c:v>
                </c:pt>
                <c:pt idx="120">
                  <c:v>2E-3</c:v>
                </c:pt>
                <c:pt idx="121">
                  <c:v>-9.7000000000000003E-2</c:v>
                </c:pt>
                <c:pt idx="122">
                  <c:v>-7.6999999999999999E-2</c:v>
                </c:pt>
                <c:pt idx="123">
                  <c:v>-8.9999999999999993E-3</c:v>
                </c:pt>
                <c:pt idx="124">
                  <c:v>-0.1</c:v>
                </c:pt>
                <c:pt idx="125">
                  <c:v>1.2E-2</c:v>
                </c:pt>
                <c:pt idx="126">
                  <c:v>0.16400000000000001</c:v>
                </c:pt>
                <c:pt idx="127">
                  <c:v>-0.16500000000000001</c:v>
                </c:pt>
                <c:pt idx="128">
                  <c:v>-5.2999999999999999E-2</c:v>
                </c:pt>
                <c:pt idx="129">
                  <c:v>-2.4E-2</c:v>
                </c:pt>
                <c:pt idx="130">
                  <c:v>-8.0000000000000002E-3</c:v>
                </c:pt>
                <c:pt idx="131">
                  <c:v>-0.129</c:v>
                </c:pt>
                <c:pt idx="132">
                  <c:v>-0.19500000000000001</c:v>
                </c:pt>
                <c:pt idx="133">
                  <c:v>-2.3E-2</c:v>
                </c:pt>
                <c:pt idx="134">
                  <c:v>-0.03</c:v>
                </c:pt>
                <c:pt idx="135">
                  <c:v>0.01</c:v>
                </c:pt>
                <c:pt idx="136">
                  <c:v>-0.105</c:v>
                </c:pt>
                <c:pt idx="137">
                  <c:v>1.0999999999999999E-2</c:v>
                </c:pt>
                <c:pt idx="138">
                  <c:v>8.9999999999999993E-3</c:v>
                </c:pt>
                <c:pt idx="139">
                  <c:v>-0.16800000000000001</c:v>
                </c:pt>
                <c:pt idx="140">
                  <c:v>-7.9000000000000001E-2</c:v>
                </c:pt>
                <c:pt idx="141">
                  <c:v>0.26700000000000002</c:v>
                </c:pt>
                <c:pt idx="142">
                  <c:v>-0.127</c:v>
                </c:pt>
                <c:pt idx="143">
                  <c:v>3.6999999999999998E-2</c:v>
                </c:pt>
                <c:pt idx="144">
                  <c:v>-3.7999999999999999E-2</c:v>
                </c:pt>
                <c:pt idx="145">
                  <c:v>8.3000000000000004E-2</c:v>
                </c:pt>
                <c:pt idx="146">
                  <c:v>-0.124</c:v>
                </c:pt>
                <c:pt idx="147">
                  <c:v>0.20799999999999999</c:v>
                </c:pt>
                <c:pt idx="148">
                  <c:v>-3.5000000000000003E-2</c:v>
                </c:pt>
                <c:pt idx="149">
                  <c:v>2.4E-2</c:v>
                </c:pt>
                <c:pt idx="150">
                  <c:v>-1.9139999999999999</c:v>
                </c:pt>
                <c:pt idx="151">
                  <c:v>0.90300000000000002</c:v>
                </c:pt>
                <c:pt idx="152">
                  <c:v>4.4999999999999998E-2</c:v>
                </c:pt>
                <c:pt idx="153">
                  <c:v>2.9000000000000001E-2</c:v>
                </c:pt>
                <c:pt idx="154">
                  <c:v>7.9000000000000001E-2</c:v>
                </c:pt>
                <c:pt idx="155">
                  <c:v>-3.5000000000000003E-2</c:v>
                </c:pt>
                <c:pt idx="156">
                  <c:v>2.5999999999999999E-2</c:v>
                </c:pt>
                <c:pt idx="157">
                  <c:v>-0.05</c:v>
                </c:pt>
                <c:pt idx="158">
                  <c:v>-1.7999999999999999E-2</c:v>
                </c:pt>
                <c:pt idx="159">
                  <c:v>-1.0999999999999999E-2</c:v>
                </c:pt>
                <c:pt idx="160">
                  <c:v>3.1E-2</c:v>
                </c:pt>
                <c:pt idx="161">
                  <c:v>-3.5999999999999997E-2</c:v>
                </c:pt>
                <c:pt idx="162">
                  <c:v>8.9999999999999993E-3</c:v>
                </c:pt>
                <c:pt idx="163">
                  <c:v>-6.2E-2</c:v>
                </c:pt>
                <c:pt idx="164">
                  <c:v>-6.4000000000000001E-2</c:v>
                </c:pt>
                <c:pt idx="165">
                  <c:v>-0.104</c:v>
                </c:pt>
                <c:pt idx="166">
                  <c:v>7.2999999999999995E-2</c:v>
                </c:pt>
                <c:pt idx="167">
                  <c:v>-4.0000000000000001E-3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47-4D9C-8ADC-167F269661F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('AMP4-4'!$AE$4,'AMP4-4'!$AE$4)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47-4D9C-8ADC-167F269661F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('AMP4-4'!$AE$5,'AMP4-4'!$AE$5)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47-4D9C-8ADC-167F26966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7256"/>
        <c:axId val="488767648"/>
      </c:scatterChart>
      <c:valAx>
        <c:axId val="48876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7648"/>
        <c:crosses val="autoZero"/>
        <c:crossBetween val="midCat"/>
      </c:valAx>
      <c:valAx>
        <c:axId val="488767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'AMP4-4'!$AF$8</c:f>
              <c:strCache>
                <c:ptCount val="1"/>
                <c:pt idx="0">
                  <c:v>T 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'AMP4-4'!$AF$9:$AF$176</c:f>
              <c:numCache>
                <c:formatCode>General</c:formatCode>
                <c:ptCount val="168"/>
                <c:pt idx="0">
                  <c:v>-7.9000000000000001E-2</c:v>
                </c:pt>
                <c:pt idx="1">
                  <c:v>-1.0999999999999999E-2</c:v>
                </c:pt>
                <c:pt idx="2">
                  <c:v>0.14399999999999999</c:v>
                </c:pt>
                <c:pt idx="3">
                  <c:v>0.20799999999999999</c:v>
                </c:pt>
                <c:pt idx="4">
                  <c:v>7.3999999999999996E-2</c:v>
                </c:pt>
                <c:pt idx="5">
                  <c:v>0.161</c:v>
                </c:pt>
                <c:pt idx="6">
                  <c:v>0.09</c:v>
                </c:pt>
                <c:pt idx="7">
                  <c:v>0.129</c:v>
                </c:pt>
                <c:pt idx="8">
                  <c:v>6.8000000000000005E-2</c:v>
                </c:pt>
                <c:pt idx="9">
                  <c:v>0.123</c:v>
                </c:pt>
                <c:pt idx="10">
                  <c:v>8.6999999999999994E-2</c:v>
                </c:pt>
                <c:pt idx="11">
                  <c:v>7.8E-2</c:v>
                </c:pt>
                <c:pt idx="12">
                  <c:v>-4.9000000000000002E-2</c:v>
                </c:pt>
                <c:pt idx="13">
                  <c:v>0.02</c:v>
                </c:pt>
                <c:pt idx="14">
                  <c:v>7.2999999999999995E-2</c:v>
                </c:pt>
                <c:pt idx="15">
                  <c:v>6.4000000000000001E-2</c:v>
                </c:pt>
                <c:pt idx="16">
                  <c:v>4.4999999999999998E-2</c:v>
                </c:pt>
                <c:pt idx="17">
                  <c:v>0.10299999999999999</c:v>
                </c:pt>
                <c:pt idx="18">
                  <c:v>-6.4000000000000001E-2</c:v>
                </c:pt>
                <c:pt idx="19">
                  <c:v>0.183</c:v>
                </c:pt>
                <c:pt idx="20">
                  <c:v>-8.7999999999999995E-2</c:v>
                </c:pt>
                <c:pt idx="21">
                  <c:v>-2.7E-2</c:v>
                </c:pt>
                <c:pt idx="22">
                  <c:v>-0.12</c:v>
                </c:pt>
                <c:pt idx="23">
                  <c:v>3.0000000000000001E-3</c:v>
                </c:pt>
                <c:pt idx="24">
                  <c:v>-6.5000000000000002E-2</c:v>
                </c:pt>
                <c:pt idx="25">
                  <c:v>1.6E-2</c:v>
                </c:pt>
                <c:pt idx="26">
                  <c:v>9.2999999999999999E-2</c:v>
                </c:pt>
                <c:pt idx="27">
                  <c:v>0.22900000000000001</c:v>
                </c:pt>
                <c:pt idx="28">
                  <c:v>6.0999999999999999E-2</c:v>
                </c:pt>
                <c:pt idx="29">
                  <c:v>0.11</c:v>
                </c:pt>
                <c:pt idx="30">
                  <c:v>-0.113</c:v>
                </c:pt>
                <c:pt idx="31">
                  <c:v>3.9E-2</c:v>
                </c:pt>
                <c:pt idx="32">
                  <c:v>-0.14399999999999999</c:v>
                </c:pt>
                <c:pt idx="33">
                  <c:v>8.9999999999999993E-3</c:v>
                </c:pt>
                <c:pt idx="34">
                  <c:v>-5.0000000000000001E-3</c:v>
                </c:pt>
                <c:pt idx="35">
                  <c:v>0.17899999999999999</c:v>
                </c:pt>
                <c:pt idx="36">
                  <c:v>1.4E-2</c:v>
                </c:pt>
                <c:pt idx="37">
                  <c:v>0.17199999999999999</c:v>
                </c:pt>
                <c:pt idx="38">
                  <c:v>1.0999999999999999E-2</c:v>
                </c:pt>
                <c:pt idx="39">
                  <c:v>0.20200000000000001</c:v>
                </c:pt>
                <c:pt idx="40">
                  <c:v>-5.0000000000000001E-3</c:v>
                </c:pt>
                <c:pt idx="41">
                  <c:v>0.124</c:v>
                </c:pt>
                <c:pt idx="42">
                  <c:v>1.4E-2</c:v>
                </c:pt>
                <c:pt idx="43">
                  <c:v>0.17399999999999999</c:v>
                </c:pt>
                <c:pt idx="44">
                  <c:v>-2.8000000000000001E-2</c:v>
                </c:pt>
                <c:pt idx="45">
                  <c:v>6.6000000000000003E-2</c:v>
                </c:pt>
                <c:pt idx="46">
                  <c:v>-4.3999999999999997E-2</c:v>
                </c:pt>
                <c:pt idx="47">
                  <c:v>9.4E-2</c:v>
                </c:pt>
                <c:pt idx="48">
                  <c:v>-3.1E-2</c:v>
                </c:pt>
                <c:pt idx="49">
                  <c:v>0.18</c:v>
                </c:pt>
                <c:pt idx="50">
                  <c:v>-0.1</c:v>
                </c:pt>
                <c:pt idx="51">
                  <c:v>3.3000000000000002E-2</c:v>
                </c:pt>
                <c:pt idx="52">
                  <c:v>-4.3999999999999997E-2</c:v>
                </c:pt>
                <c:pt idx="53">
                  <c:v>0.10299999999999999</c:v>
                </c:pt>
                <c:pt idx="54">
                  <c:v>-0.04</c:v>
                </c:pt>
                <c:pt idx="55">
                  <c:v>9.5000000000000001E-2</c:v>
                </c:pt>
                <c:pt idx="56">
                  <c:v>-7.6999999999999999E-2</c:v>
                </c:pt>
                <c:pt idx="57">
                  <c:v>0</c:v>
                </c:pt>
                <c:pt idx="58">
                  <c:v>3.4000000000000002E-2</c:v>
                </c:pt>
                <c:pt idx="59">
                  <c:v>0.18099999999999999</c:v>
                </c:pt>
                <c:pt idx="60">
                  <c:v>-0.14000000000000001</c:v>
                </c:pt>
                <c:pt idx="61">
                  <c:v>1.2999999999999999E-2</c:v>
                </c:pt>
                <c:pt idx="62">
                  <c:v>-5.1999999999999998E-2</c:v>
                </c:pt>
                <c:pt idx="63">
                  <c:v>1.9E-2</c:v>
                </c:pt>
                <c:pt idx="64">
                  <c:v>-0.127</c:v>
                </c:pt>
                <c:pt idx="65">
                  <c:v>-6.9000000000000006E-2</c:v>
                </c:pt>
                <c:pt idx="66">
                  <c:v>-6.7000000000000004E-2</c:v>
                </c:pt>
                <c:pt idx="67">
                  <c:v>7.3999999999999996E-2</c:v>
                </c:pt>
                <c:pt idx="68">
                  <c:v>-0.113</c:v>
                </c:pt>
                <c:pt idx="69">
                  <c:v>-3.5999999999999997E-2</c:v>
                </c:pt>
                <c:pt idx="70">
                  <c:v>6.3E-2</c:v>
                </c:pt>
                <c:pt idx="71">
                  <c:v>0.16400000000000001</c:v>
                </c:pt>
                <c:pt idx="72">
                  <c:v>6.8000000000000005E-2</c:v>
                </c:pt>
                <c:pt idx="73">
                  <c:v>0.105</c:v>
                </c:pt>
                <c:pt idx="74">
                  <c:v>0.02</c:v>
                </c:pt>
                <c:pt idx="75">
                  <c:v>0.10299999999999999</c:v>
                </c:pt>
                <c:pt idx="76">
                  <c:v>9.4E-2</c:v>
                </c:pt>
                <c:pt idx="77">
                  <c:v>0.189</c:v>
                </c:pt>
                <c:pt idx="78">
                  <c:v>7.0000000000000007E-2</c:v>
                </c:pt>
                <c:pt idx="79">
                  <c:v>0.123</c:v>
                </c:pt>
                <c:pt idx="80">
                  <c:v>-3.9E-2</c:v>
                </c:pt>
                <c:pt idx="81">
                  <c:v>6.4000000000000001E-2</c:v>
                </c:pt>
                <c:pt idx="82">
                  <c:v>0.04</c:v>
                </c:pt>
                <c:pt idx="83">
                  <c:v>0.182</c:v>
                </c:pt>
                <c:pt idx="84">
                  <c:v>-2.1999999999999999E-2</c:v>
                </c:pt>
                <c:pt idx="85">
                  <c:v>0.14799999999999999</c:v>
                </c:pt>
                <c:pt idx="86">
                  <c:v>-6.2E-2</c:v>
                </c:pt>
                <c:pt idx="87">
                  <c:v>7.2999999999999995E-2</c:v>
                </c:pt>
                <c:pt idx="88">
                  <c:v>-4.5999999999999999E-2</c:v>
                </c:pt>
                <c:pt idx="89">
                  <c:v>0.13500000000000001</c:v>
                </c:pt>
                <c:pt idx="90">
                  <c:v>-5.3999999999999999E-2</c:v>
                </c:pt>
                <c:pt idx="91">
                  <c:v>3.3000000000000002E-2</c:v>
                </c:pt>
                <c:pt idx="92">
                  <c:v>1.4E-2</c:v>
                </c:pt>
                <c:pt idx="93">
                  <c:v>8.8999999999999996E-2</c:v>
                </c:pt>
                <c:pt idx="94">
                  <c:v>-2.1000000000000001E-2</c:v>
                </c:pt>
                <c:pt idx="95">
                  <c:v>3.2000000000000001E-2</c:v>
                </c:pt>
                <c:pt idx="96">
                  <c:v>-9.9000000000000005E-2</c:v>
                </c:pt>
                <c:pt idx="97">
                  <c:v>0.01</c:v>
                </c:pt>
                <c:pt idx="98">
                  <c:v>-2.4E-2</c:v>
                </c:pt>
                <c:pt idx="99">
                  <c:v>5.3999999999999999E-2</c:v>
                </c:pt>
                <c:pt idx="100">
                  <c:v>-4.2000000000000003E-2</c:v>
                </c:pt>
                <c:pt idx="101">
                  <c:v>5.6000000000000001E-2</c:v>
                </c:pt>
                <c:pt idx="102">
                  <c:v>-2.1999999999999999E-2</c:v>
                </c:pt>
                <c:pt idx="103">
                  <c:v>0.10199999999999999</c:v>
                </c:pt>
                <c:pt idx="104">
                  <c:v>-0.21</c:v>
                </c:pt>
                <c:pt idx="105">
                  <c:v>-4.8000000000000001E-2</c:v>
                </c:pt>
                <c:pt idx="106">
                  <c:v>1.9E-2</c:v>
                </c:pt>
                <c:pt idx="107">
                  <c:v>-5.0000000000000001E-3</c:v>
                </c:pt>
                <c:pt idx="108">
                  <c:v>-6.2E-2</c:v>
                </c:pt>
                <c:pt idx="109">
                  <c:v>-7.4999999999999997E-2</c:v>
                </c:pt>
                <c:pt idx="110">
                  <c:v>0.17299999999999999</c:v>
                </c:pt>
                <c:pt idx="111">
                  <c:v>0.20399999999999999</c:v>
                </c:pt>
                <c:pt idx="112">
                  <c:v>0.13</c:v>
                </c:pt>
                <c:pt idx="113">
                  <c:v>0.186</c:v>
                </c:pt>
                <c:pt idx="114">
                  <c:v>8.5000000000000006E-2</c:v>
                </c:pt>
                <c:pt idx="115">
                  <c:v>5.0999999999999997E-2</c:v>
                </c:pt>
                <c:pt idx="116">
                  <c:v>5.2999999999999999E-2</c:v>
                </c:pt>
                <c:pt idx="117">
                  <c:v>9.4E-2</c:v>
                </c:pt>
                <c:pt idx="118">
                  <c:v>5.5E-2</c:v>
                </c:pt>
                <c:pt idx="119">
                  <c:v>0.16</c:v>
                </c:pt>
                <c:pt idx="120">
                  <c:v>3.5999999999999997E-2</c:v>
                </c:pt>
                <c:pt idx="121">
                  <c:v>7.1999999999999995E-2</c:v>
                </c:pt>
                <c:pt idx="122">
                  <c:v>-0.14899999999999999</c:v>
                </c:pt>
                <c:pt idx="123">
                  <c:v>-0.13200000000000001</c:v>
                </c:pt>
                <c:pt idx="124">
                  <c:v>7.1999999999999995E-2</c:v>
                </c:pt>
                <c:pt idx="125">
                  <c:v>0.14099999999999999</c:v>
                </c:pt>
                <c:pt idx="126">
                  <c:v>7.1999999999999995E-2</c:v>
                </c:pt>
                <c:pt idx="127">
                  <c:v>-8.8999999999999996E-2</c:v>
                </c:pt>
                <c:pt idx="128">
                  <c:v>2E-3</c:v>
                </c:pt>
                <c:pt idx="129">
                  <c:v>-1.4999999999999999E-2</c:v>
                </c:pt>
                <c:pt idx="130">
                  <c:v>0.111</c:v>
                </c:pt>
                <c:pt idx="131">
                  <c:v>9.7000000000000003E-2</c:v>
                </c:pt>
                <c:pt idx="132">
                  <c:v>-2.8000000000000001E-2</c:v>
                </c:pt>
                <c:pt idx="133">
                  <c:v>2.3E-2</c:v>
                </c:pt>
                <c:pt idx="134">
                  <c:v>8.7999999999999995E-2</c:v>
                </c:pt>
                <c:pt idx="135">
                  <c:v>7.1999999999999995E-2</c:v>
                </c:pt>
                <c:pt idx="136">
                  <c:v>-4.7E-2</c:v>
                </c:pt>
                <c:pt idx="137">
                  <c:v>3.5999999999999997E-2</c:v>
                </c:pt>
                <c:pt idx="138">
                  <c:v>-2.5999999999999999E-2</c:v>
                </c:pt>
                <c:pt idx="139">
                  <c:v>8.1000000000000003E-2</c:v>
                </c:pt>
                <c:pt idx="140">
                  <c:v>0.10199999999999999</c:v>
                </c:pt>
                <c:pt idx="141">
                  <c:v>0.29599999999999999</c:v>
                </c:pt>
                <c:pt idx="142">
                  <c:v>-0.104</c:v>
                </c:pt>
                <c:pt idx="143">
                  <c:v>6.0000000000000001E-3</c:v>
                </c:pt>
                <c:pt idx="144">
                  <c:v>-8.5999999999999993E-2</c:v>
                </c:pt>
                <c:pt idx="145">
                  <c:v>-2.7E-2</c:v>
                </c:pt>
                <c:pt idx="146">
                  <c:v>-3.5000000000000003E-2</c:v>
                </c:pt>
                <c:pt idx="147">
                  <c:v>7.5999999999999998E-2</c:v>
                </c:pt>
                <c:pt idx="148">
                  <c:v>-0.13500000000000001</c:v>
                </c:pt>
                <c:pt idx="149">
                  <c:v>-0.129</c:v>
                </c:pt>
                <c:pt idx="150">
                  <c:v>-0.30199999999999999</c:v>
                </c:pt>
                <c:pt idx="151">
                  <c:v>2.0510000000000002</c:v>
                </c:pt>
                <c:pt idx="152">
                  <c:v>0.11</c:v>
                </c:pt>
                <c:pt idx="153">
                  <c:v>0.23200000000000001</c:v>
                </c:pt>
                <c:pt idx="154">
                  <c:v>8.5999999999999993E-2</c:v>
                </c:pt>
                <c:pt idx="155">
                  <c:v>0.06</c:v>
                </c:pt>
                <c:pt idx="156">
                  <c:v>5.5E-2</c:v>
                </c:pt>
                <c:pt idx="157">
                  <c:v>4.2000000000000003E-2</c:v>
                </c:pt>
                <c:pt idx="158">
                  <c:v>5.3999999999999999E-2</c:v>
                </c:pt>
                <c:pt idx="159">
                  <c:v>0.13400000000000001</c:v>
                </c:pt>
                <c:pt idx="160">
                  <c:v>7.9000000000000001E-2</c:v>
                </c:pt>
                <c:pt idx="161">
                  <c:v>0.14499999999999999</c:v>
                </c:pt>
                <c:pt idx="162">
                  <c:v>-1.4999999999999999E-2</c:v>
                </c:pt>
                <c:pt idx="163">
                  <c:v>0.09</c:v>
                </c:pt>
                <c:pt idx="164">
                  <c:v>-2.1999999999999999E-2</c:v>
                </c:pt>
                <c:pt idx="165">
                  <c:v>5.8000000000000003E-2</c:v>
                </c:pt>
                <c:pt idx="166">
                  <c:v>5.1999999999999998E-2</c:v>
                </c:pt>
                <c:pt idx="167">
                  <c:v>0.161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1-4F1C-9AA7-1E2630B1A9C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('AMP4-4'!$AF$4,'AMP4-4'!$AF$4)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1-4F1C-9AA7-1E2630B1A9C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('AMP4-4'!$AF$5,'AMP4-4'!$AF$5)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1-4F1C-9AA7-1E2630B1A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8040"/>
        <c:axId val="488768432"/>
      </c:scatterChart>
      <c:valAx>
        <c:axId val="488768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8432"/>
        <c:crosses val="autoZero"/>
        <c:crossBetween val="midCat"/>
      </c:valAx>
      <c:valAx>
        <c:axId val="4887684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'AMP4-4'!$AG$8</c:f>
              <c:strCache>
                <c:ptCount val="1"/>
                <c:pt idx="0">
                  <c:v>T 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'AMP4-4'!$AG$9:$AG$176</c:f>
              <c:numCache>
                <c:formatCode>General</c:formatCode>
                <c:ptCount val="168"/>
                <c:pt idx="0">
                  <c:v>-0.128</c:v>
                </c:pt>
                <c:pt idx="1">
                  <c:v>-0.13800000000000001</c:v>
                </c:pt>
                <c:pt idx="2">
                  <c:v>0.11</c:v>
                </c:pt>
                <c:pt idx="3">
                  <c:v>0.14699999999999999</c:v>
                </c:pt>
                <c:pt idx="4">
                  <c:v>3.3000000000000002E-2</c:v>
                </c:pt>
                <c:pt idx="5">
                  <c:v>8.5000000000000006E-2</c:v>
                </c:pt>
                <c:pt idx="6">
                  <c:v>4.2000000000000003E-2</c:v>
                </c:pt>
                <c:pt idx="7">
                  <c:v>5.8999999999999997E-2</c:v>
                </c:pt>
                <c:pt idx="8">
                  <c:v>2.1999999999999999E-2</c:v>
                </c:pt>
                <c:pt idx="9">
                  <c:v>6.0999999999999999E-2</c:v>
                </c:pt>
                <c:pt idx="10">
                  <c:v>1.7000000000000001E-2</c:v>
                </c:pt>
                <c:pt idx="11">
                  <c:v>2.5999999999999999E-2</c:v>
                </c:pt>
                <c:pt idx="12">
                  <c:v>-9.8000000000000004E-2</c:v>
                </c:pt>
                <c:pt idx="13">
                  <c:v>-5.1999999999999998E-2</c:v>
                </c:pt>
                <c:pt idx="14">
                  <c:v>3.3000000000000002E-2</c:v>
                </c:pt>
                <c:pt idx="15">
                  <c:v>-5.0000000000000001E-3</c:v>
                </c:pt>
                <c:pt idx="16">
                  <c:v>3.0000000000000001E-3</c:v>
                </c:pt>
                <c:pt idx="17">
                  <c:v>2.8000000000000001E-2</c:v>
                </c:pt>
                <c:pt idx="18">
                  <c:v>-0.12</c:v>
                </c:pt>
                <c:pt idx="19">
                  <c:v>0.12</c:v>
                </c:pt>
                <c:pt idx="20">
                  <c:v>-0.112</c:v>
                </c:pt>
                <c:pt idx="21">
                  <c:v>-0.105</c:v>
                </c:pt>
                <c:pt idx="22">
                  <c:v>-0.18099999999999999</c:v>
                </c:pt>
                <c:pt idx="23">
                  <c:v>-6.3E-2</c:v>
                </c:pt>
                <c:pt idx="24">
                  <c:v>-0.123</c:v>
                </c:pt>
                <c:pt idx="25">
                  <c:v>-7.8E-2</c:v>
                </c:pt>
                <c:pt idx="26">
                  <c:v>6.2E-2</c:v>
                </c:pt>
                <c:pt idx="27">
                  <c:v>0.14699999999999999</c:v>
                </c:pt>
                <c:pt idx="28">
                  <c:v>3.1E-2</c:v>
                </c:pt>
                <c:pt idx="29">
                  <c:v>3.6999999999999998E-2</c:v>
                </c:pt>
                <c:pt idx="30">
                  <c:v>-0.16700000000000001</c:v>
                </c:pt>
                <c:pt idx="31">
                  <c:v>-4.1000000000000002E-2</c:v>
                </c:pt>
                <c:pt idx="32">
                  <c:v>-0.186</c:v>
                </c:pt>
                <c:pt idx="33">
                  <c:v>-7.1999999999999995E-2</c:v>
                </c:pt>
                <c:pt idx="34">
                  <c:v>-0.03</c:v>
                </c:pt>
                <c:pt idx="35">
                  <c:v>0.11700000000000001</c:v>
                </c:pt>
                <c:pt idx="36">
                  <c:v>-2.1999999999999999E-2</c:v>
                </c:pt>
                <c:pt idx="37">
                  <c:v>9.5000000000000001E-2</c:v>
                </c:pt>
                <c:pt idx="38">
                  <c:v>-2.8000000000000001E-2</c:v>
                </c:pt>
                <c:pt idx="39">
                  <c:v>0.13200000000000001</c:v>
                </c:pt>
                <c:pt idx="40">
                  <c:v>-4.9000000000000002E-2</c:v>
                </c:pt>
                <c:pt idx="41">
                  <c:v>5.5E-2</c:v>
                </c:pt>
                <c:pt idx="42">
                  <c:v>-4.5999999999999999E-2</c:v>
                </c:pt>
                <c:pt idx="43">
                  <c:v>8.3000000000000004E-2</c:v>
                </c:pt>
                <c:pt idx="44">
                  <c:v>-7.5999999999999998E-2</c:v>
                </c:pt>
                <c:pt idx="45">
                  <c:v>-2E-3</c:v>
                </c:pt>
                <c:pt idx="46">
                  <c:v>-0.115</c:v>
                </c:pt>
                <c:pt idx="47">
                  <c:v>1E-3</c:v>
                </c:pt>
                <c:pt idx="48">
                  <c:v>-6.9000000000000006E-2</c:v>
                </c:pt>
                <c:pt idx="49">
                  <c:v>0.11899999999999999</c:v>
                </c:pt>
                <c:pt idx="50">
                  <c:v>-0.153</c:v>
                </c:pt>
                <c:pt idx="51">
                  <c:v>-5.8999999999999997E-2</c:v>
                </c:pt>
                <c:pt idx="52">
                  <c:v>-0.10299999999999999</c:v>
                </c:pt>
                <c:pt idx="53">
                  <c:v>2.3E-2</c:v>
                </c:pt>
                <c:pt idx="54">
                  <c:v>-9.4E-2</c:v>
                </c:pt>
                <c:pt idx="55">
                  <c:v>2.7E-2</c:v>
                </c:pt>
                <c:pt idx="56">
                  <c:v>-0.13800000000000001</c:v>
                </c:pt>
                <c:pt idx="57">
                  <c:v>-0.10100000000000001</c:v>
                </c:pt>
                <c:pt idx="58">
                  <c:v>-1.7000000000000001E-2</c:v>
                </c:pt>
                <c:pt idx="59">
                  <c:v>8.7999999999999995E-2</c:v>
                </c:pt>
                <c:pt idx="60">
                  <c:v>-0.20100000000000001</c:v>
                </c:pt>
                <c:pt idx="61">
                  <c:v>-8.6999999999999994E-2</c:v>
                </c:pt>
                <c:pt idx="62">
                  <c:v>-9.1999999999999998E-2</c:v>
                </c:pt>
                <c:pt idx="63">
                  <c:v>-8.6999999999999994E-2</c:v>
                </c:pt>
                <c:pt idx="64">
                  <c:v>-0.18099999999999999</c:v>
                </c:pt>
                <c:pt idx="65">
                  <c:v>-0.17399999999999999</c:v>
                </c:pt>
                <c:pt idx="66">
                  <c:v>-0.114</c:v>
                </c:pt>
                <c:pt idx="67">
                  <c:v>-1.7999999999999999E-2</c:v>
                </c:pt>
                <c:pt idx="68">
                  <c:v>-0.17399999999999999</c:v>
                </c:pt>
                <c:pt idx="69">
                  <c:v>-0.121</c:v>
                </c:pt>
                <c:pt idx="70">
                  <c:v>3.2000000000000001E-2</c:v>
                </c:pt>
                <c:pt idx="71">
                  <c:v>0.10199999999999999</c:v>
                </c:pt>
                <c:pt idx="72">
                  <c:v>2.4E-2</c:v>
                </c:pt>
                <c:pt idx="73">
                  <c:v>5.0999999999999997E-2</c:v>
                </c:pt>
                <c:pt idx="74">
                  <c:v>-2.9000000000000001E-2</c:v>
                </c:pt>
                <c:pt idx="75">
                  <c:v>4.2999999999999997E-2</c:v>
                </c:pt>
                <c:pt idx="76">
                  <c:v>0.05</c:v>
                </c:pt>
                <c:pt idx="77">
                  <c:v>0.112</c:v>
                </c:pt>
                <c:pt idx="78">
                  <c:v>2.5999999999999999E-2</c:v>
                </c:pt>
                <c:pt idx="79">
                  <c:v>6.5000000000000002E-2</c:v>
                </c:pt>
                <c:pt idx="80">
                  <c:v>-4.3999999999999997E-2</c:v>
                </c:pt>
                <c:pt idx="81">
                  <c:v>-2E-3</c:v>
                </c:pt>
                <c:pt idx="82">
                  <c:v>-2.7E-2</c:v>
                </c:pt>
                <c:pt idx="83">
                  <c:v>0.10100000000000001</c:v>
                </c:pt>
                <c:pt idx="84">
                  <c:v>-6.0999999999999999E-2</c:v>
                </c:pt>
                <c:pt idx="85">
                  <c:v>0.08</c:v>
                </c:pt>
                <c:pt idx="86">
                  <c:v>-0.106</c:v>
                </c:pt>
                <c:pt idx="87">
                  <c:v>-8.9999999999999993E-3</c:v>
                </c:pt>
                <c:pt idx="88">
                  <c:v>-9.8000000000000004E-2</c:v>
                </c:pt>
                <c:pt idx="89">
                  <c:v>7.0999999999999994E-2</c:v>
                </c:pt>
                <c:pt idx="90">
                  <c:v>-8.5000000000000006E-2</c:v>
                </c:pt>
                <c:pt idx="91">
                  <c:v>-4.8000000000000001E-2</c:v>
                </c:pt>
                <c:pt idx="92">
                  <c:v>-6.2E-2</c:v>
                </c:pt>
                <c:pt idx="93">
                  <c:v>-4.0000000000000001E-3</c:v>
                </c:pt>
                <c:pt idx="94">
                  <c:v>-9.6000000000000002E-2</c:v>
                </c:pt>
                <c:pt idx="95">
                  <c:v>-0.04</c:v>
                </c:pt>
                <c:pt idx="96">
                  <c:v>-0.156</c:v>
                </c:pt>
                <c:pt idx="97">
                  <c:v>-7.0000000000000007E-2</c:v>
                </c:pt>
                <c:pt idx="98">
                  <c:v>-7.5999999999999998E-2</c:v>
                </c:pt>
                <c:pt idx="99">
                  <c:v>-3.5000000000000003E-2</c:v>
                </c:pt>
                <c:pt idx="100">
                  <c:v>-9.8000000000000004E-2</c:v>
                </c:pt>
                <c:pt idx="101">
                  <c:v>-2.9000000000000001E-2</c:v>
                </c:pt>
                <c:pt idx="102">
                  <c:v>-6.9000000000000006E-2</c:v>
                </c:pt>
                <c:pt idx="103">
                  <c:v>5.0000000000000001E-3</c:v>
                </c:pt>
                <c:pt idx="104">
                  <c:v>-0.247</c:v>
                </c:pt>
                <c:pt idx="105">
                  <c:v>-0.126</c:v>
                </c:pt>
                <c:pt idx="106">
                  <c:v>-5.8000000000000003E-2</c:v>
                </c:pt>
                <c:pt idx="107">
                  <c:v>-0.09</c:v>
                </c:pt>
                <c:pt idx="108">
                  <c:v>-0.123</c:v>
                </c:pt>
                <c:pt idx="109">
                  <c:v>-0.16800000000000001</c:v>
                </c:pt>
                <c:pt idx="110">
                  <c:v>0.13200000000000001</c:v>
                </c:pt>
                <c:pt idx="111">
                  <c:v>0.13400000000000001</c:v>
                </c:pt>
                <c:pt idx="112">
                  <c:v>9.2999999999999999E-2</c:v>
                </c:pt>
                <c:pt idx="113">
                  <c:v>0.114</c:v>
                </c:pt>
                <c:pt idx="114">
                  <c:v>0.05</c:v>
                </c:pt>
                <c:pt idx="115">
                  <c:v>-3.1E-2</c:v>
                </c:pt>
                <c:pt idx="116">
                  <c:v>2.1999999999999999E-2</c:v>
                </c:pt>
                <c:pt idx="117">
                  <c:v>3.1E-2</c:v>
                </c:pt>
                <c:pt idx="118">
                  <c:v>-8.0000000000000002E-3</c:v>
                </c:pt>
                <c:pt idx="119">
                  <c:v>0.10299999999999999</c:v>
                </c:pt>
                <c:pt idx="120">
                  <c:v>-1.2E-2</c:v>
                </c:pt>
                <c:pt idx="121">
                  <c:v>2E-3</c:v>
                </c:pt>
                <c:pt idx="122">
                  <c:v>-0.16400000000000001</c:v>
                </c:pt>
                <c:pt idx="123">
                  <c:v>-9.7000000000000003E-2</c:v>
                </c:pt>
                <c:pt idx="124">
                  <c:v>3.3000000000000002E-2</c:v>
                </c:pt>
                <c:pt idx="125">
                  <c:v>6.7000000000000004E-2</c:v>
                </c:pt>
                <c:pt idx="126">
                  <c:v>2.4E-2</c:v>
                </c:pt>
                <c:pt idx="127">
                  <c:v>-0.18</c:v>
                </c:pt>
                <c:pt idx="128">
                  <c:v>-4.2000000000000003E-2</c:v>
                </c:pt>
                <c:pt idx="129">
                  <c:v>-6.9000000000000006E-2</c:v>
                </c:pt>
                <c:pt idx="130">
                  <c:v>3.7999999999999999E-2</c:v>
                </c:pt>
                <c:pt idx="131">
                  <c:v>2.3E-2</c:v>
                </c:pt>
                <c:pt idx="132">
                  <c:v>-7.5999999999999998E-2</c:v>
                </c:pt>
                <c:pt idx="133">
                  <c:v>-3.2000000000000001E-2</c:v>
                </c:pt>
                <c:pt idx="134">
                  <c:v>1.9E-2</c:v>
                </c:pt>
                <c:pt idx="135">
                  <c:v>2.1000000000000001E-2</c:v>
                </c:pt>
                <c:pt idx="136">
                  <c:v>-0.115</c:v>
                </c:pt>
                <c:pt idx="137">
                  <c:v>-3.5000000000000003E-2</c:v>
                </c:pt>
                <c:pt idx="138">
                  <c:v>-6.7000000000000004E-2</c:v>
                </c:pt>
                <c:pt idx="139">
                  <c:v>3.0000000000000001E-3</c:v>
                </c:pt>
                <c:pt idx="140">
                  <c:v>8.3000000000000004E-2</c:v>
                </c:pt>
                <c:pt idx="141">
                  <c:v>0.19600000000000001</c:v>
                </c:pt>
                <c:pt idx="142">
                  <c:v>-0.151</c:v>
                </c:pt>
                <c:pt idx="143">
                  <c:v>-7.5999999999999998E-2</c:v>
                </c:pt>
                <c:pt idx="144">
                  <c:v>-0.158</c:v>
                </c:pt>
                <c:pt idx="145">
                  <c:v>-0.113</c:v>
                </c:pt>
                <c:pt idx="146">
                  <c:v>-9.7000000000000003E-2</c:v>
                </c:pt>
                <c:pt idx="147">
                  <c:v>-7.0000000000000001E-3</c:v>
                </c:pt>
                <c:pt idx="148">
                  <c:v>-0.192</c:v>
                </c:pt>
                <c:pt idx="149">
                  <c:v>-0.17</c:v>
                </c:pt>
                <c:pt idx="150">
                  <c:v>-0.26400000000000001</c:v>
                </c:pt>
                <c:pt idx="151">
                  <c:v>2.0880000000000001</c:v>
                </c:pt>
                <c:pt idx="152">
                  <c:v>6.0999999999999999E-2</c:v>
                </c:pt>
                <c:pt idx="153">
                  <c:v>0.17199999999999999</c:v>
                </c:pt>
                <c:pt idx="154">
                  <c:v>3.7999999999999999E-2</c:v>
                </c:pt>
                <c:pt idx="155">
                  <c:v>-1.2999999999999999E-2</c:v>
                </c:pt>
                <c:pt idx="156">
                  <c:v>1.7999999999999999E-2</c:v>
                </c:pt>
                <c:pt idx="157">
                  <c:v>-0.02</c:v>
                </c:pt>
                <c:pt idx="158">
                  <c:v>8.0000000000000002E-3</c:v>
                </c:pt>
                <c:pt idx="159">
                  <c:v>7.9000000000000001E-2</c:v>
                </c:pt>
                <c:pt idx="160">
                  <c:v>0.02</c:v>
                </c:pt>
                <c:pt idx="161">
                  <c:v>6.8000000000000005E-2</c:v>
                </c:pt>
                <c:pt idx="162">
                  <c:v>-6.0999999999999999E-2</c:v>
                </c:pt>
                <c:pt idx="163">
                  <c:v>2.4E-2</c:v>
                </c:pt>
                <c:pt idx="164">
                  <c:v>-8.5999999999999993E-2</c:v>
                </c:pt>
                <c:pt idx="165">
                  <c:v>-1.0999999999999999E-2</c:v>
                </c:pt>
                <c:pt idx="166">
                  <c:v>3.0000000000000001E-3</c:v>
                </c:pt>
                <c:pt idx="167">
                  <c:v>0.107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24-4DC9-B20E-0E69A7EDFEF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('AMP4-4'!$AG$4,'AMP4-4'!$AG$4)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24-4DC9-B20E-0E69A7EDFEF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('AMP4-4'!$AG$5,'AMP4-4'!$AG$5)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24-4DC9-B20E-0E69A7EDF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69216"/>
        <c:axId val="488769608"/>
      </c:scatterChart>
      <c:valAx>
        <c:axId val="48876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9608"/>
        <c:crosses val="autoZero"/>
        <c:crossBetween val="midCat"/>
      </c:valAx>
      <c:valAx>
        <c:axId val="4887696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6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'AMP4-4'!$AH$8</c:f>
              <c:strCache>
                <c:ptCount val="1"/>
                <c:pt idx="0">
                  <c:v>T 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'AMP4-4'!$AH$9:$AH$176</c:f>
              <c:numCache>
                <c:formatCode>General</c:formatCode>
                <c:ptCount val="168"/>
                <c:pt idx="0">
                  <c:v>-6.5000000000000002E-2</c:v>
                </c:pt>
                <c:pt idx="1">
                  <c:v>-3.2000000000000001E-2</c:v>
                </c:pt>
                <c:pt idx="2">
                  <c:v>9.9000000000000005E-2</c:v>
                </c:pt>
                <c:pt idx="3">
                  <c:v>-7.1999999999999995E-2</c:v>
                </c:pt>
                <c:pt idx="4">
                  <c:v>8.1000000000000003E-2</c:v>
                </c:pt>
                <c:pt idx="5">
                  <c:v>-1.2E-2</c:v>
                </c:pt>
                <c:pt idx="6">
                  <c:v>2.1000000000000001E-2</c:v>
                </c:pt>
                <c:pt idx="7">
                  <c:v>-6.8000000000000005E-2</c:v>
                </c:pt>
                <c:pt idx="8">
                  <c:v>0.108</c:v>
                </c:pt>
                <c:pt idx="9">
                  <c:v>-0.115</c:v>
                </c:pt>
                <c:pt idx="10">
                  <c:v>9.9000000000000005E-2</c:v>
                </c:pt>
                <c:pt idx="11">
                  <c:v>-0.107</c:v>
                </c:pt>
                <c:pt idx="12">
                  <c:v>2.8000000000000001E-2</c:v>
                </c:pt>
                <c:pt idx="13">
                  <c:v>-1.9E-2</c:v>
                </c:pt>
                <c:pt idx="14">
                  <c:v>0.108</c:v>
                </c:pt>
                <c:pt idx="15">
                  <c:v>-0.188</c:v>
                </c:pt>
                <c:pt idx="16">
                  <c:v>0.20200000000000001</c:v>
                </c:pt>
                <c:pt idx="17">
                  <c:v>8.0000000000000002E-3</c:v>
                </c:pt>
                <c:pt idx="18">
                  <c:v>0.111</c:v>
                </c:pt>
                <c:pt idx="19">
                  <c:v>4.8000000000000001E-2</c:v>
                </c:pt>
                <c:pt idx="20">
                  <c:v>-3.3000000000000002E-2</c:v>
                </c:pt>
                <c:pt idx="21">
                  <c:v>-9.2999999999999999E-2</c:v>
                </c:pt>
                <c:pt idx="22">
                  <c:v>-0.16200000000000001</c:v>
                </c:pt>
                <c:pt idx="23">
                  <c:v>-0.191</c:v>
                </c:pt>
                <c:pt idx="24">
                  <c:v>-1.4E-2</c:v>
                </c:pt>
                <c:pt idx="25">
                  <c:v>-0.14899999999999999</c:v>
                </c:pt>
                <c:pt idx="26">
                  <c:v>-3.2000000000000001E-2</c:v>
                </c:pt>
                <c:pt idx="27">
                  <c:v>-3.1E-2</c:v>
                </c:pt>
                <c:pt idx="28">
                  <c:v>-5.2999999999999999E-2</c:v>
                </c:pt>
                <c:pt idx="29">
                  <c:v>-0.222</c:v>
                </c:pt>
                <c:pt idx="30">
                  <c:v>-0.217</c:v>
                </c:pt>
                <c:pt idx="31">
                  <c:v>-0.21099999999999999</c:v>
                </c:pt>
                <c:pt idx="32">
                  <c:v>-0.32300000000000001</c:v>
                </c:pt>
                <c:pt idx="33">
                  <c:v>-0.27700000000000002</c:v>
                </c:pt>
                <c:pt idx="34">
                  <c:v>-4.0000000000000001E-3</c:v>
                </c:pt>
                <c:pt idx="35">
                  <c:v>-0.01</c:v>
                </c:pt>
                <c:pt idx="36">
                  <c:v>-2E-3</c:v>
                </c:pt>
                <c:pt idx="37">
                  <c:v>1.6E-2</c:v>
                </c:pt>
                <c:pt idx="38">
                  <c:v>4.0000000000000001E-3</c:v>
                </c:pt>
                <c:pt idx="39">
                  <c:v>4.1000000000000002E-2</c:v>
                </c:pt>
                <c:pt idx="40">
                  <c:v>8.8999999999999996E-2</c:v>
                </c:pt>
                <c:pt idx="41">
                  <c:v>3.1E-2</c:v>
                </c:pt>
                <c:pt idx="42">
                  <c:v>6.8000000000000005E-2</c:v>
                </c:pt>
                <c:pt idx="43">
                  <c:v>0.08</c:v>
                </c:pt>
                <c:pt idx="44">
                  <c:v>2.7E-2</c:v>
                </c:pt>
                <c:pt idx="45">
                  <c:v>-3.9E-2</c:v>
                </c:pt>
                <c:pt idx="46">
                  <c:v>8.0000000000000002E-3</c:v>
                </c:pt>
                <c:pt idx="47">
                  <c:v>3.5999999999999997E-2</c:v>
                </c:pt>
                <c:pt idx="48">
                  <c:v>8.6999999999999994E-2</c:v>
                </c:pt>
                <c:pt idx="49">
                  <c:v>0.16700000000000001</c:v>
                </c:pt>
                <c:pt idx="50">
                  <c:v>2.4E-2</c:v>
                </c:pt>
                <c:pt idx="51">
                  <c:v>-4.0000000000000001E-3</c:v>
                </c:pt>
                <c:pt idx="52">
                  <c:v>0.04</c:v>
                </c:pt>
                <c:pt idx="53">
                  <c:v>9.2999999999999999E-2</c:v>
                </c:pt>
                <c:pt idx="54">
                  <c:v>5.1999999999999998E-2</c:v>
                </c:pt>
                <c:pt idx="55">
                  <c:v>-1E-3</c:v>
                </c:pt>
                <c:pt idx="56">
                  <c:v>1.4999999999999999E-2</c:v>
                </c:pt>
                <c:pt idx="57">
                  <c:v>-7.0999999999999994E-2</c:v>
                </c:pt>
                <c:pt idx="58">
                  <c:v>0.1</c:v>
                </c:pt>
                <c:pt idx="59">
                  <c:v>0.113</c:v>
                </c:pt>
                <c:pt idx="60">
                  <c:v>3.5000000000000003E-2</c:v>
                </c:pt>
                <c:pt idx="61">
                  <c:v>7.9000000000000001E-2</c:v>
                </c:pt>
                <c:pt idx="62">
                  <c:v>0.02</c:v>
                </c:pt>
                <c:pt idx="63">
                  <c:v>-7.0999999999999994E-2</c:v>
                </c:pt>
                <c:pt idx="64">
                  <c:v>-2E-3</c:v>
                </c:pt>
                <c:pt idx="65">
                  <c:v>-7.1999999999999995E-2</c:v>
                </c:pt>
                <c:pt idx="66">
                  <c:v>-1.2E-2</c:v>
                </c:pt>
                <c:pt idx="67">
                  <c:v>5.5E-2</c:v>
                </c:pt>
                <c:pt idx="68">
                  <c:v>-8.0000000000000002E-3</c:v>
                </c:pt>
                <c:pt idx="69">
                  <c:v>-9.7000000000000003E-2</c:v>
                </c:pt>
                <c:pt idx="70">
                  <c:v>-1.7000000000000001E-2</c:v>
                </c:pt>
                <c:pt idx="71">
                  <c:v>-8.7999999999999995E-2</c:v>
                </c:pt>
                <c:pt idx="72">
                  <c:v>-2.8000000000000001E-2</c:v>
                </c:pt>
                <c:pt idx="73">
                  <c:v>-0.109</c:v>
                </c:pt>
                <c:pt idx="74">
                  <c:v>0.08</c:v>
                </c:pt>
                <c:pt idx="75">
                  <c:v>-1.6E-2</c:v>
                </c:pt>
                <c:pt idx="76">
                  <c:v>0.10299999999999999</c:v>
                </c:pt>
                <c:pt idx="77">
                  <c:v>-5.6000000000000001E-2</c:v>
                </c:pt>
                <c:pt idx="78">
                  <c:v>6.8000000000000005E-2</c:v>
                </c:pt>
                <c:pt idx="79">
                  <c:v>-0.05</c:v>
                </c:pt>
                <c:pt idx="80">
                  <c:v>-0.04</c:v>
                </c:pt>
                <c:pt idx="81">
                  <c:v>-0.13600000000000001</c:v>
                </c:pt>
                <c:pt idx="82">
                  <c:v>-5.1999999999999998E-2</c:v>
                </c:pt>
                <c:pt idx="83">
                  <c:v>-0.04</c:v>
                </c:pt>
                <c:pt idx="84">
                  <c:v>-4.1000000000000002E-2</c:v>
                </c:pt>
                <c:pt idx="85">
                  <c:v>-0.13500000000000001</c:v>
                </c:pt>
                <c:pt idx="86">
                  <c:v>-1.7999999999999999E-2</c:v>
                </c:pt>
                <c:pt idx="87">
                  <c:v>-9.4E-2</c:v>
                </c:pt>
                <c:pt idx="88">
                  <c:v>-2.5000000000000001E-2</c:v>
                </c:pt>
                <c:pt idx="89">
                  <c:v>-0.115</c:v>
                </c:pt>
                <c:pt idx="90">
                  <c:v>-0.01</c:v>
                </c:pt>
                <c:pt idx="91">
                  <c:v>-0.18099999999999999</c:v>
                </c:pt>
                <c:pt idx="92">
                  <c:v>-1.7000000000000001E-2</c:v>
                </c:pt>
                <c:pt idx="93">
                  <c:v>-0.11700000000000001</c:v>
                </c:pt>
                <c:pt idx="94">
                  <c:v>-0.09</c:v>
                </c:pt>
                <c:pt idx="95">
                  <c:v>-6.2E-2</c:v>
                </c:pt>
                <c:pt idx="96">
                  <c:v>1.0999999999999999E-2</c:v>
                </c:pt>
                <c:pt idx="97">
                  <c:v>-0.127</c:v>
                </c:pt>
                <c:pt idx="98">
                  <c:v>8.0000000000000002E-3</c:v>
                </c:pt>
                <c:pt idx="99">
                  <c:v>0.01</c:v>
                </c:pt>
                <c:pt idx="100">
                  <c:v>-2.3E-2</c:v>
                </c:pt>
                <c:pt idx="101">
                  <c:v>-5.8000000000000003E-2</c:v>
                </c:pt>
                <c:pt idx="102">
                  <c:v>-2.4E-2</c:v>
                </c:pt>
                <c:pt idx="103">
                  <c:v>0.24299999999999999</c:v>
                </c:pt>
                <c:pt idx="104">
                  <c:v>-1.4999999999999999E-2</c:v>
                </c:pt>
                <c:pt idx="105">
                  <c:v>4.4999999999999998E-2</c:v>
                </c:pt>
                <c:pt idx="106">
                  <c:v>3.2000000000000001E-2</c:v>
                </c:pt>
                <c:pt idx="107">
                  <c:v>1.7999999999999999E-2</c:v>
                </c:pt>
                <c:pt idx="108">
                  <c:v>-5.8000000000000003E-2</c:v>
                </c:pt>
                <c:pt idx="109">
                  <c:v>-0.126</c:v>
                </c:pt>
                <c:pt idx="110">
                  <c:v>0.13</c:v>
                </c:pt>
                <c:pt idx="111">
                  <c:v>0</c:v>
                </c:pt>
                <c:pt idx="112">
                  <c:v>5.3999999999999999E-2</c:v>
                </c:pt>
                <c:pt idx="113">
                  <c:v>-4.0000000000000001E-3</c:v>
                </c:pt>
                <c:pt idx="114">
                  <c:v>2.5999999999999999E-2</c:v>
                </c:pt>
                <c:pt idx="115">
                  <c:v>0.115</c:v>
                </c:pt>
                <c:pt idx="116">
                  <c:v>0</c:v>
                </c:pt>
                <c:pt idx="117">
                  <c:v>-5.5E-2</c:v>
                </c:pt>
                <c:pt idx="118">
                  <c:v>0.06</c:v>
                </c:pt>
                <c:pt idx="119">
                  <c:v>-1.4999999999999999E-2</c:v>
                </c:pt>
                <c:pt idx="120">
                  <c:v>6.6000000000000003E-2</c:v>
                </c:pt>
                <c:pt idx="121">
                  <c:v>-4.5999999999999999E-2</c:v>
                </c:pt>
                <c:pt idx="122">
                  <c:v>6.0999999999999999E-2</c:v>
                </c:pt>
                <c:pt idx="123">
                  <c:v>-5.6000000000000001E-2</c:v>
                </c:pt>
                <c:pt idx="124">
                  <c:v>5.3999999999999999E-2</c:v>
                </c:pt>
                <c:pt idx="125">
                  <c:v>4.9000000000000002E-2</c:v>
                </c:pt>
                <c:pt idx="126">
                  <c:v>8.0000000000000002E-3</c:v>
                </c:pt>
                <c:pt idx="127">
                  <c:v>-0.33600000000000002</c:v>
                </c:pt>
                <c:pt idx="128">
                  <c:v>-1.2E-2</c:v>
                </c:pt>
                <c:pt idx="129">
                  <c:v>-2.1999999999999999E-2</c:v>
                </c:pt>
                <c:pt idx="130">
                  <c:v>0.24099999999999999</c:v>
                </c:pt>
                <c:pt idx="131">
                  <c:v>-0.13</c:v>
                </c:pt>
                <c:pt idx="132">
                  <c:v>-2.3E-2</c:v>
                </c:pt>
                <c:pt idx="133">
                  <c:v>0.03</c:v>
                </c:pt>
                <c:pt idx="134">
                  <c:v>6.7000000000000004E-2</c:v>
                </c:pt>
                <c:pt idx="135">
                  <c:v>3.2000000000000001E-2</c:v>
                </c:pt>
                <c:pt idx="136">
                  <c:v>-8.7999999999999995E-2</c:v>
                </c:pt>
                <c:pt idx="137">
                  <c:v>-5.0000000000000001E-3</c:v>
                </c:pt>
                <c:pt idx="138">
                  <c:v>-1.2E-2</c:v>
                </c:pt>
                <c:pt idx="139">
                  <c:v>-0.23899999999999999</c:v>
                </c:pt>
                <c:pt idx="140">
                  <c:v>8.6999999999999994E-2</c:v>
                </c:pt>
                <c:pt idx="141">
                  <c:v>0.315</c:v>
                </c:pt>
                <c:pt idx="142">
                  <c:v>0.05</c:v>
                </c:pt>
                <c:pt idx="143">
                  <c:v>3.2000000000000001E-2</c:v>
                </c:pt>
                <c:pt idx="144">
                  <c:v>0.05</c:v>
                </c:pt>
                <c:pt idx="145">
                  <c:v>7.0999999999999994E-2</c:v>
                </c:pt>
                <c:pt idx="146">
                  <c:v>-2.3E-2</c:v>
                </c:pt>
                <c:pt idx="147">
                  <c:v>0.121</c:v>
                </c:pt>
                <c:pt idx="148">
                  <c:v>4.2000000000000003E-2</c:v>
                </c:pt>
                <c:pt idx="149">
                  <c:v>-0.14899999999999999</c:v>
                </c:pt>
                <c:pt idx="150">
                  <c:v>-0.35499999999999998</c:v>
                </c:pt>
                <c:pt idx="151">
                  <c:v>2.1890000000000001</c:v>
                </c:pt>
                <c:pt idx="152">
                  <c:v>0.111</c:v>
                </c:pt>
                <c:pt idx="153">
                  <c:v>9.6000000000000002E-2</c:v>
                </c:pt>
                <c:pt idx="154">
                  <c:v>7.0000000000000007E-2</c:v>
                </c:pt>
                <c:pt idx="155">
                  <c:v>-0.04</c:v>
                </c:pt>
                <c:pt idx="156">
                  <c:v>0.109</c:v>
                </c:pt>
                <c:pt idx="157">
                  <c:v>-8.4000000000000005E-2</c:v>
                </c:pt>
                <c:pt idx="158">
                  <c:v>0.108</c:v>
                </c:pt>
                <c:pt idx="159">
                  <c:v>4.3999999999999997E-2</c:v>
                </c:pt>
                <c:pt idx="160">
                  <c:v>0.16500000000000001</c:v>
                </c:pt>
                <c:pt idx="161">
                  <c:v>-1.7000000000000001E-2</c:v>
                </c:pt>
                <c:pt idx="162">
                  <c:v>5.6000000000000001E-2</c:v>
                </c:pt>
                <c:pt idx="163">
                  <c:v>-1.4E-2</c:v>
                </c:pt>
                <c:pt idx="164">
                  <c:v>-0.04</c:v>
                </c:pt>
                <c:pt idx="165">
                  <c:v>-0.105</c:v>
                </c:pt>
                <c:pt idx="166">
                  <c:v>0.10100000000000001</c:v>
                </c:pt>
                <c:pt idx="167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A-43E9-A8ED-C6A89C97375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('AMP4-4'!$AH$4,'AMP4-4'!$AH$4)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DA-43E9-A8ED-C6A89C97375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('AMP4-4'!$AH$5,'AMP4-4'!$AH$5)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DA-43E9-A8ED-C6A89C973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70392"/>
        <c:axId val="488770784"/>
      </c:scatterChart>
      <c:valAx>
        <c:axId val="488770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70784"/>
        <c:crosses val="autoZero"/>
        <c:crossBetween val="midCat"/>
      </c:valAx>
      <c:valAx>
        <c:axId val="4887707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70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'AMP4-4'!$AI$8</c:f>
              <c:strCache>
                <c:ptCount val="1"/>
                <c:pt idx="0">
                  <c:v>T 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'AMP4-4'!$C$9:$C$176</c:f>
              <c:numCache>
                <c:formatCode>m/d/yy\ h:mm;@</c:formatCode>
                <c:ptCount val="168"/>
                <c:pt idx="0">
                  <c:v>43698.511469907404</c:v>
                </c:pt>
                <c:pt idx="1">
                  <c:v>43698.513518518521</c:v>
                </c:pt>
                <c:pt idx="2">
                  <c:v>43698.616087962961</c:v>
                </c:pt>
                <c:pt idx="3">
                  <c:v>43698.61824074074</c:v>
                </c:pt>
                <c:pt idx="4">
                  <c:v>43698.797222222223</c:v>
                </c:pt>
                <c:pt idx="5">
                  <c:v>43698.799351851849</c:v>
                </c:pt>
                <c:pt idx="6">
                  <c:v>43698.818414351852</c:v>
                </c:pt>
                <c:pt idx="7">
                  <c:v>43698.820405092592</c:v>
                </c:pt>
                <c:pt idx="8">
                  <c:v>43698.868796296294</c:v>
                </c:pt>
                <c:pt idx="9">
                  <c:v>43698.870833333334</c:v>
                </c:pt>
                <c:pt idx="10">
                  <c:v>43698.956828703704</c:v>
                </c:pt>
                <c:pt idx="11">
                  <c:v>43698.959756944445</c:v>
                </c:pt>
                <c:pt idx="12">
                  <c:v>43699.041145833333</c:v>
                </c:pt>
                <c:pt idx="13">
                  <c:v>43699.043587962966</c:v>
                </c:pt>
                <c:pt idx="14">
                  <c:v>43699.360208333332</c:v>
                </c:pt>
                <c:pt idx="15">
                  <c:v>43699.362384259257</c:v>
                </c:pt>
                <c:pt idx="16">
                  <c:v>43699.450092592589</c:v>
                </c:pt>
                <c:pt idx="17">
                  <c:v>43699.452152777776</c:v>
                </c:pt>
                <c:pt idx="18">
                  <c:v>43699.49459490741</c:v>
                </c:pt>
                <c:pt idx="19">
                  <c:v>43699.496620370373</c:v>
                </c:pt>
                <c:pt idx="20">
                  <c:v>43699.61650462963</c:v>
                </c:pt>
                <c:pt idx="21">
                  <c:v>43699.618576388886</c:v>
                </c:pt>
                <c:pt idx="22">
                  <c:v>43699.672372685185</c:v>
                </c:pt>
                <c:pt idx="23">
                  <c:v>43699.674351851849</c:v>
                </c:pt>
                <c:pt idx="24">
                  <c:v>43699.754282407404</c:v>
                </c:pt>
                <c:pt idx="25">
                  <c:v>43699.756273148145</c:v>
                </c:pt>
                <c:pt idx="26">
                  <c:v>43699.936249999999</c:v>
                </c:pt>
                <c:pt idx="27">
                  <c:v>43699.938622685186</c:v>
                </c:pt>
                <c:pt idx="28">
                  <c:v>43700.025185185186</c:v>
                </c:pt>
                <c:pt idx="29">
                  <c:v>43700.027291666665</c:v>
                </c:pt>
                <c:pt idx="30">
                  <c:v>43700.31653935185</c:v>
                </c:pt>
                <c:pt idx="31">
                  <c:v>43700.318854166668</c:v>
                </c:pt>
                <c:pt idx="32">
                  <c:v>43700.429583333331</c:v>
                </c:pt>
                <c:pt idx="33">
                  <c:v>43700.431875000002</c:v>
                </c:pt>
                <c:pt idx="34">
                  <c:v>43700.525995370372</c:v>
                </c:pt>
                <c:pt idx="35">
                  <c:v>43700.527638888889</c:v>
                </c:pt>
                <c:pt idx="36">
                  <c:v>43700.663310185184</c:v>
                </c:pt>
                <c:pt idx="37">
                  <c:v>43700.664930555555</c:v>
                </c:pt>
                <c:pt idx="38">
                  <c:v>43701.310173611113</c:v>
                </c:pt>
                <c:pt idx="39">
                  <c:v>43701.311967592592</c:v>
                </c:pt>
                <c:pt idx="40">
                  <c:v>43701.393506944441</c:v>
                </c:pt>
                <c:pt idx="41">
                  <c:v>43701.411446759259</c:v>
                </c:pt>
                <c:pt idx="42">
                  <c:v>43701.51425925926</c:v>
                </c:pt>
                <c:pt idx="43">
                  <c:v>43701.515925925924</c:v>
                </c:pt>
                <c:pt idx="44">
                  <c:v>43701.593958333331</c:v>
                </c:pt>
                <c:pt idx="45">
                  <c:v>43701.595532407409</c:v>
                </c:pt>
                <c:pt idx="46">
                  <c:v>43701.712326388886</c:v>
                </c:pt>
                <c:pt idx="47">
                  <c:v>43701.71435185185</c:v>
                </c:pt>
                <c:pt idx="48">
                  <c:v>43702.314502314817</c:v>
                </c:pt>
                <c:pt idx="49">
                  <c:v>43702.316250000003</c:v>
                </c:pt>
                <c:pt idx="50">
                  <c:v>43702.405798611115</c:v>
                </c:pt>
                <c:pt idx="51">
                  <c:v>43702.407395833332</c:v>
                </c:pt>
                <c:pt idx="52">
                  <c:v>43702.485381944447</c:v>
                </c:pt>
                <c:pt idx="53">
                  <c:v>43702.487916666665</c:v>
                </c:pt>
                <c:pt idx="54">
                  <c:v>43702.581956018519</c:v>
                </c:pt>
                <c:pt idx="55">
                  <c:v>43702.583541666667</c:v>
                </c:pt>
                <c:pt idx="56">
                  <c:v>43702.668981481482</c:v>
                </c:pt>
                <c:pt idx="57">
                  <c:v>43702.670891203707</c:v>
                </c:pt>
                <c:pt idx="58">
                  <c:v>43703.272800925923</c:v>
                </c:pt>
                <c:pt idx="59">
                  <c:v>43703.27443287037</c:v>
                </c:pt>
                <c:pt idx="60">
                  <c:v>43703.377453703702</c:v>
                </c:pt>
                <c:pt idx="61">
                  <c:v>43703.379027777781</c:v>
                </c:pt>
                <c:pt idx="62">
                  <c:v>43703.463391203702</c:v>
                </c:pt>
                <c:pt idx="63">
                  <c:v>43703.46502314815</c:v>
                </c:pt>
                <c:pt idx="64">
                  <c:v>43703.54760416667</c:v>
                </c:pt>
                <c:pt idx="65">
                  <c:v>43703.549351851849</c:v>
                </c:pt>
                <c:pt idx="66">
                  <c:v>43703.64203703704</c:v>
                </c:pt>
                <c:pt idx="67">
                  <c:v>43703.643842592595</c:v>
                </c:pt>
                <c:pt idx="68">
                  <c:v>43703.729027777779</c:v>
                </c:pt>
                <c:pt idx="69">
                  <c:v>43703.730983796297</c:v>
                </c:pt>
                <c:pt idx="70">
                  <c:v>43703.795636574076</c:v>
                </c:pt>
                <c:pt idx="71">
                  <c:v>43703.797442129631</c:v>
                </c:pt>
                <c:pt idx="72">
                  <c:v>43703.895208333335</c:v>
                </c:pt>
                <c:pt idx="73">
                  <c:v>43703.896932870368</c:v>
                </c:pt>
                <c:pt idx="74">
                  <c:v>43703.991064814814</c:v>
                </c:pt>
                <c:pt idx="75">
                  <c:v>43703.992569444446</c:v>
                </c:pt>
                <c:pt idx="76">
                  <c:v>43704.063252314816</c:v>
                </c:pt>
                <c:pt idx="77">
                  <c:v>43704.064733796295</c:v>
                </c:pt>
                <c:pt idx="78">
                  <c:v>43704.322430555556</c:v>
                </c:pt>
                <c:pt idx="79">
                  <c:v>43704.324861111112</c:v>
                </c:pt>
                <c:pt idx="80">
                  <c:v>43704.402222222219</c:v>
                </c:pt>
                <c:pt idx="81">
                  <c:v>43704.404236111113</c:v>
                </c:pt>
                <c:pt idx="82">
                  <c:v>43704.505636574075</c:v>
                </c:pt>
                <c:pt idx="83">
                  <c:v>43704.508356481485</c:v>
                </c:pt>
                <c:pt idx="84">
                  <c:v>43704.592835648145</c:v>
                </c:pt>
                <c:pt idx="85">
                  <c:v>43704.595104166663</c:v>
                </c:pt>
                <c:pt idx="86">
                  <c:v>43704.698611111111</c:v>
                </c:pt>
                <c:pt idx="87">
                  <c:v>43704.700173611112</c:v>
                </c:pt>
                <c:pt idx="88">
                  <c:v>43704.781064814815</c:v>
                </c:pt>
                <c:pt idx="89">
                  <c:v>43704.782777777778</c:v>
                </c:pt>
                <c:pt idx="90">
                  <c:v>43704.847592592596</c:v>
                </c:pt>
                <c:pt idx="91">
                  <c:v>43704.849189814813</c:v>
                </c:pt>
                <c:pt idx="92">
                  <c:v>43704.928761574076</c:v>
                </c:pt>
                <c:pt idx="93">
                  <c:v>43704.930300925924</c:v>
                </c:pt>
                <c:pt idx="94">
                  <c:v>43705.041863425926</c:v>
                </c:pt>
                <c:pt idx="95">
                  <c:v>43705.04346064815</c:v>
                </c:pt>
                <c:pt idx="96">
                  <c:v>43705.333344907405</c:v>
                </c:pt>
                <c:pt idx="97">
                  <c:v>43705.335763888892</c:v>
                </c:pt>
                <c:pt idx="98">
                  <c:v>43705.416817129626</c:v>
                </c:pt>
                <c:pt idx="99">
                  <c:v>43705.419050925928</c:v>
                </c:pt>
                <c:pt idx="100">
                  <c:v>43705.517546296294</c:v>
                </c:pt>
                <c:pt idx="101">
                  <c:v>43705.51972222222</c:v>
                </c:pt>
                <c:pt idx="102">
                  <c:v>43705.676435185182</c:v>
                </c:pt>
                <c:pt idx="103">
                  <c:v>43705.677928240744</c:v>
                </c:pt>
                <c:pt idx="104">
                  <c:v>43705.736168981479</c:v>
                </c:pt>
                <c:pt idx="105">
                  <c:v>43705.737696759257</c:v>
                </c:pt>
                <c:pt idx="106">
                  <c:v>43705.799675925926</c:v>
                </c:pt>
                <c:pt idx="107">
                  <c:v>43705.803599537037</c:v>
                </c:pt>
                <c:pt idx="108">
                  <c:v>43705.9296412037</c:v>
                </c:pt>
                <c:pt idx="109">
                  <c:v>43705.931157407409</c:v>
                </c:pt>
                <c:pt idx="110">
                  <c:v>43706.0158912037</c:v>
                </c:pt>
                <c:pt idx="111">
                  <c:v>43706.017395833333</c:v>
                </c:pt>
                <c:pt idx="112">
                  <c:v>43706.045104166667</c:v>
                </c:pt>
                <c:pt idx="113">
                  <c:v>43706.046574074076</c:v>
                </c:pt>
                <c:pt idx="114">
                  <c:v>43706.353067129632</c:v>
                </c:pt>
                <c:pt idx="115">
                  <c:v>43706.355937499997</c:v>
                </c:pt>
                <c:pt idx="116">
                  <c:v>43706.457870370374</c:v>
                </c:pt>
                <c:pt idx="117">
                  <c:v>43706.459918981483</c:v>
                </c:pt>
                <c:pt idx="118">
                  <c:v>43706.574317129627</c:v>
                </c:pt>
                <c:pt idx="119">
                  <c:v>43706.578298611108</c:v>
                </c:pt>
                <c:pt idx="120">
                  <c:v>43706.718240740738</c:v>
                </c:pt>
                <c:pt idx="121">
                  <c:v>43706.720266203702</c:v>
                </c:pt>
                <c:pt idx="122">
                  <c:v>43706.76421296296</c:v>
                </c:pt>
                <c:pt idx="123">
                  <c:v>43706.766516203701</c:v>
                </c:pt>
                <c:pt idx="124">
                  <c:v>43706.843368055554</c:v>
                </c:pt>
                <c:pt idx="125">
                  <c:v>43706.847511574073</c:v>
                </c:pt>
                <c:pt idx="126">
                  <c:v>43706.957071759258</c:v>
                </c:pt>
                <c:pt idx="127">
                  <c:v>43706.95957175926</c:v>
                </c:pt>
                <c:pt idx="128">
                  <c:v>43707.012256944443</c:v>
                </c:pt>
                <c:pt idx="129">
                  <c:v>43707.01489583333</c:v>
                </c:pt>
                <c:pt idx="130">
                  <c:v>43707.322789351849</c:v>
                </c:pt>
                <c:pt idx="131">
                  <c:v>43707.324953703705</c:v>
                </c:pt>
                <c:pt idx="132">
                  <c:v>43707.395960648151</c:v>
                </c:pt>
                <c:pt idx="133">
                  <c:v>43707.398194444446</c:v>
                </c:pt>
                <c:pt idx="134">
                  <c:v>43707.589363425926</c:v>
                </c:pt>
                <c:pt idx="135">
                  <c:v>43707.595092592594</c:v>
                </c:pt>
                <c:pt idx="136">
                  <c:v>43707.650208333333</c:v>
                </c:pt>
                <c:pt idx="137">
                  <c:v>43707.652685185189</c:v>
                </c:pt>
                <c:pt idx="138">
                  <c:v>43707.671840277777</c:v>
                </c:pt>
                <c:pt idx="139">
                  <c:v>43707.674201388887</c:v>
                </c:pt>
                <c:pt idx="140">
                  <c:v>43708.335451388892</c:v>
                </c:pt>
                <c:pt idx="141">
                  <c:v>43708.337708333333</c:v>
                </c:pt>
                <c:pt idx="142">
                  <c:v>43708.420960648145</c:v>
                </c:pt>
                <c:pt idx="143">
                  <c:v>43708.423159722224</c:v>
                </c:pt>
                <c:pt idx="144">
                  <c:v>43708.510740740741</c:v>
                </c:pt>
                <c:pt idx="145">
                  <c:v>43708.519814814812</c:v>
                </c:pt>
                <c:pt idx="146">
                  <c:v>43708.592812499999</c:v>
                </c:pt>
                <c:pt idx="147">
                  <c:v>43708.595439814817</c:v>
                </c:pt>
                <c:pt idx="148">
                  <c:v>43708.676828703705</c:v>
                </c:pt>
                <c:pt idx="149">
                  <c:v>43708.680486111109</c:v>
                </c:pt>
                <c:pt idx="150">
                  <c:v>43711.355069444442</c:v>
                </c:pt>
                <c:pt idx="151">
                  <c:v>43711.357719907406</c:v>
                </c:pt>
                <c:pt idx="152">
                  <c:v>43711.461180555554</c:v>
                </c:pt>
                <c:pt idx="153">
                  <c:v>43711.463252314818</c:v>
                </c:pt>
                <c:pt idx="154">
                  <c:v>43711.658032407409</c:v>
                </c:pt>
                <c:pt idx="155">
                  <c:v>43711.660092592596</c:v>
                </c:pt>
                <c:pt idx="156">
                  <c:v>43711.77202546296</c:v>
                </c:pt>
                <c:pt idx="157">
                  <c:v>43711.774074074077</c:v>
                </c:pt>
                <c:pt idx="158">
                  <c:v>43711.812025462961</c:v>
                </c:pt>
                <c:pt idx="159">
                  <c:v>43711.814212962963</c:v>
                </c:pt>
                <c:pt idx="160">
                  <c:v>43711.89565972222</c:v>
                </c:pt>
                <c:pt idx="161">
                  <c:v>43711.89770833333</c:v>
                </c:pt>
                <c:pt idx="162">
                  <c:v>43711.988692129627</c:v>
                </c:pt>
                <c:pt idx="163">
                  <c:v>43711.99150462963</c:v>
                </c:pt>
                <c:pt idx="164">
                  <c:v>43712.058715277781</c:v>
                </c:pt>
                <c:pt idx="165">
                  <c:v>43712.060787037037</c:v>
                </c:pt>
                <c:pt idx="166">
                  <c:v>43712.338113425925</c:v>
                </c:pt>
                <c:pt idx="167">
                  <c:v>43712.340868055559</c:v>
                </c:pt>
              </c:numCache>
            </c:numRef>
          </c:xVal>
          <c:yVal>
            <c:numRef>
              <c:f>'AMP4-4'!$AI$9:$AI$176</c:f>
              <c:numCache>
                <c:formatCode>General</c:formatCode>
                <c:ptCount val="168"/>
                <c:pt idx="0">
                  <c:v>-4.5999999999999999E-2</c:v>
                </c:pt>
                <c:pt idx="1">
                  <c:v>-0.247</c:v>
                </c:pt>
                <c:pt idx="2">
                  <c:v>0.192</c:v>
                </c:pt>
                <c:pt idx="3">
                  <c:v>8.9999999999999993E-3</c:v>
                </c:pt>
                <c:pt idx="4">
                  <c:v>0.14299999999999999</c:v>
                </c:pt>
                <c:pt idx="5">
                  <c:v>-3.0000000000000001E-3</c:v>
                </c:pt>
                <c:pt idx="6">
                  <c:v>8.8999999999999996E-2</c:v>
                </c:pt>
                <c:pt idx="7">
                  <c:v>-7.3999999999999996E-2</c:v>
                </c:pt>
                <c:pt idx="8">
                  <c:v>0.154</c:v>
                </c:pt>
                <c:pt idx="9">
                  <c:v>-0.125</c:v>
                </c:pt>
                <c:pt idx="10">
                  <c:v>0.14199999999999999</c:v>
                </c:pt>
                <c:pt idx="11">
                  <c:v>-0.108</c:v>
                </c:pt>
                <c:pt idx="12">
                  <c:v>5.0999999999999997E-2</c:v>
                </c:pt>
                <c:pt idx="13">
                  <c:v>-0.108</c:v>
                </c:pt>
                <c:pt idx="14">
                  <c:v>0.16</c:v>
                </c:pt>
                <c:pt idx="15">
                  <c:v>-0.109</c:v>
                </c:pt>
                <c:pt idx="16">
                  <c:v>0.26200000000000001</c:v>
                </c:pt>
                <c:pt idx="17">
                  <c:v>-3.4000000000000002E-2</c:v>
                </c:pt>
                <c:pt idx="18">
                  <c:v>0.154</c:v>
                </c:pt>
                <c:pt idx="19">
                  <c:v>-1.7000000000000001E-2</c:v>
                </c:pt>
                <c:pt idx="20">
                  <c:v>-3.4000000000000002E-2</c:v>
                </c:pt>
                <c:pt idx="21">
                  <c:v>-0.159</c:v>
                </c:pt>
                <c:pt idx="22">
                  <c:v>-0.13800000000000001</c:v>
                </c:pt>
                <c:pt idx="23">
                  <c:v>-0.217</c:v>
                </c:pt>
                <c:pt idx="24">
                  <c:v>1.0999999999999999E-2</c:v>
                </c:pt>
                <c:pt idx="25">
                  <c:v>-0.217</c:v>
                </c:pt>
                <c:pt idx="26">
                  <c:v>3.7999999999999999E-2</c:v>
                </c:pt>
                <c:pt idx="27">
                  <c:v>-1E-3</c:v>
                </c:pt>
                <c:pt idx="28">
                  <c:v>4.1000000000000002E-2</c:v>
                </c:pt>
                <c:pt idx="29">
                  <c:v>-0.17499999999999999</c:v>
                </c:pt>
                <c:pt idx="30">
                  <c:v>-0.189</c:v>
                </c:pt>
                <c:pt idx="31">
                  <c:v>-0.19</c:v>
                </c:pt>
                <c:pt idx="32">
                  <c:v>-0.246</c:v>
                </c:pt>
                <c:pt idx="33">
                  <c:v>-0.248</c:v>
                </c:pt>
                <c:pt idx="34">
                  <c:v>4.1000000000000002E-2</c:v>
                </c:pt>
                <c:pt idx="35">
                  <c:v>-2.8000000000000001E-2</c:v>
                </c:pt>
                <c:pt idx="36">
                  <c:v>2.5999999999999999E-2</c:v>
                </c:pt>
                <c:pt idx="37">
                  <c:v>7.0000000000000001E-3</c:v>
                </c:pt>
                <c:pt idx="38">
                  <c:v>0.02</c:v>
                </c:pt>
                <c:pt idx="39">
                  <c:v>2.9000000000000001E-2</c:v>
                </c:pt>
                <c:pt idx="40">
                  <c:v>0.108</c:v>
                </c:pt>
                <c:pt idx="41">
                  <c:v>2.1999999999999999E-2</c:v>
                </c:pt>
                <c:pt idx="42">
                  <c:v>7.2999999999999995E-2</c:v>
                </c:pt>
                <c:pt idx="43">
                  <c:v>6.5000000000000002E-2</c:v>
                </c:pt>
                <c:pt idx="44">
                  <c:v>4.5999999999999999E-2</c:v>
                </c:pt>
                <c:pt idx="45">
                  <c:v>-6.2E-2</c:v>
                </c:pt>
                <c:pt idx="46">
                  <c:v>8.0000000000000002E-3</c:v>
                </c:pt>
                <c:pt idx="47">
                  <c:v>-1.9E-2</c:v>
                </c:pt>
                <c:pt idx="48">
                  <c:v>0.11600000000000001</c:v>
                </c:pt>
                <c:pt idx="49">
                  <c:v>0.14699999999999999</c:v>
                </c:pt>
                <c:pt idx="50">
                  <c:v>-2.3E-2</c:v>
                </c:pt>
                <c:pt idx="51">
                  <c:v>-6.8000000000000005E-2</c:v>
                </c:pt>
                <c:pt idx="52">
                  <c:v>4.8000000000000001E-2</c:v>
                </c:pt>
                <c:pt idx="53">
                  <c:v>7.5999999999999998E-2</c:v>
                </c:pt>
                <c:pt idx="54">
                  <c:v>7.2999999999999995E-2</c:v>
                </c:pt>
                <c:pt idx="55">
                  <c:v>-3.6999999999999998E-2</c:v>
                </c:pt>
                <c:pt idx="56">
                  <c:v>2.4E-2</c:v>
                </c:pt>
                <c:pt idx="57">
                  <c:v>-0.13600000000000001</c:v>
                </c:pt>
                <c:pt idx="58">
                  <c:v>0.124</c:v>
                </c:pt>
                <c:pt idx="59">
                  <c:v>7.9000000000000001E-2</c:v>
                </c:pt>
                <c:pt idx="60">
                  <c:v>0.01</c:v>
                </c:pt>
                <c:pt idx="61">
                  <c:v>-0.02</c:v>
                </c:pt>
                <c:pt idx="62">
                  <c:v>-1.2E-2</c:v>
                </c:pt>
                <c:pt idx="63">
                  <c:v>-0.23899999999999999</c:v>
                </c:pt>
                <c:pt idx="64">
                  <c:v>-2.1999999999999999E-2</c:v>
                </c:pt>
                <c:pt idx="65">
                  <c:v>-0.17699999999999999</c:v>
                </c:pt>
                <c:pt idx="66">
                  <c:v>-3.0000000000000001E-3</c:v>
                </c:pt>
                <c:pt idx="67">
                  <c:v>-2.3E-2</c:v>
                </c:pt>
                <c:pt idx="68">
                  <c:v>-3.5999999999999997E-2</c:v>
                </c:pt>
                <c:pt idx="69">
                  <c:v>-0.18099999999999999</c:v>
                </c:pt>
                <c:pt idx="70">
                  <c:v>4.4999999999999998E-2</c:v>
                </c:pt>
                <c:pt idx="71">
                  <c:v>-8.5999999999999993E-2</c:v>
                </c:pt>
                <c:pt idx="72">
                  <c:v>4.1000000000000002E-2</c:v>
                </c:pt>
                <c:pt idx="73">
                  <c:v>-0.12</c:v>
                </c:pt>
                <c:pt idx="74">
                  <c:v>9.9000000000000005E-2</c:v>
                </c:pt>
                <c:pt idx="75">
                  <c:v>-3.4000000000000002E-2</c:v>
                </c:pt>
                <c:pt idx="76">
                  <c:v>0.153</c:v>
                </c:pt>
                <c:pt idx="77">
                  <c:v>-6.2E-2</c:v>
                </c:pt>
                <c:pt idx="78">
                  <c:v>0.14000000000000001</c:v>
                </c:pt>
                <c:pt idx="79">
                  <c:v>-7.8E-2</c:v>
                </c:pt>
                <c:pt idx="80">
                  <c:v>3.3000000000000002E-2</c:v>
                </c:pt>
                <c:pt idx="81">
                  <c:v>-0.13500000000000001</c:v>
                </c:pt>
                <c:pt idx="82">
                  <c:v>-2E-3</c:v>
                </c:pt>
                <c:pt idx="83">
                  <c:v>-7.8E-2</c:v>
                </c:pt>
                <c:pt idx="84">
                  <c:v>-1E-3</c:v>
                </c:pt>
                <c:pt idx="85">
                  <c:v>-0.14000000000000001</c:v>
                </c:pt>
                <c:pt idx="86">
                  <c:v>1.4E-2</c:v>
                </c:pt>
                <c:pt idx="87">
                  <c:v>-0.11899999999999999</c:v>
                </c:pt>
                <c:pt idx="88">
                  <c:v>3.2000000000000001E-2</c:v>
                </c:pt>
                <c:pt idx="89">
                  <c:v>-0.161</c:v>
                </c:pt>
                <c:pt idx="90">
                  <c:v>3.3000000000000002E-2</c:v>
                </c:pt>
                <c:pt idx="91">
                  <c:v>-0.246</c:v>
                </c:pt>
                <c:pt idx="92">
                  <c:v>1.4E-2</c:v>
                </c:pt>
                <c:pt idx="93">
                  <c:v>-0.184</c:v>
                </c:pt>
                <c:pt idx="94">
                  <c:v>-6.0999999999999999E-2</c:v>
                </c:pt>
                <c:pt idx="95">
                  <c:v>-9.9000000000000005E-2</c:v>
                </c:pt>
                <c:pt idx="96">
                  <c:v>2.1000000000000001E-2</c:v>
                </c:pt>
                <c:pt idx="97">
                  <c:v>-0.19900000000000001</c:v>
                </c:pt>
                <c:pt idx="98">
                  <c:v>0.02</c:v>
                </c:pt>
                <c:pt idx="99">
                  <c:v>-6.3E-2</c:v>
                </c:pt>
                <c:pt idx="100">
                  <c:v>2.4E-2</c:v>
                </c:pt>
                <c:pt idx="101">
                  <c:v>-0.12</c:v>
                </c:pt>
                <c:pt idx="102">
                  <c:v>2.5000000000000001E-2</c:v>
                </c:pt>
                <c:pt idx="103">
                  <c:v>-7.0000000000000007E-2</c:v>
                </c:pt>
                <c:pt idx="104">
                  <c:v>-2.8000000000000001E-2</c:v>
                </c:pt>
                <c:pt idx="105">
                  <c:v>-7.3999999999999996E-2</c:v>
                </c:pt>
                <c:pt idx="106">
                  <c:v>5.8000000000000003E-2</c:v>
                </c:pt>
                <c:pt idx="107">
                  <c:v>-0.09</c:v>
                </c:pt>
                <c:pt idx="108">
                  <c:v>-3.2000000000000001E-2</c:v>
                </c:pt>
                <c:pt idx="109">
                  <c:v>-0.219</c:v>
                </c:pt>
                <c:pt idx="110">
                  <c:v>0.18</c:v>
                </c:pt>
                <c:pt idx="111">
                  <c:v>2.9000000000000001E-2</c:v>
                </c:pt>
                <c:pt idx="112">
                  <c:v>0.121</c:v>
                </c:pt>
                <c:pt idx="113">
                  <c:v>1.7000000000000001E-2</c:v>
                </c:pt>
                <c:pt idx="114">
                  <c:v>5.8000000000000003E-2</c:v>
                </c:pt>
                <c:pt idx="115">
                  <c:v>0.10100000000000001</c:v>
                </c:pt>
                <c:pt idx="116">
                  <c:v>7.8E-2</c:v>
                </c:pt>
                <c:pt idx="117">
                  <c:v>-4.3999999999999997E-2</c:v>
                </c:pt>
                <c:pt idx="118">
                  <c:v>9.7000000000000003E-2</c:v>
                </c:pt>
                <c:pt idx="119">
                  <c:v>-5.0000000000000001E-3</c:v>
                </c:pt>
                <c:pt idx="120">
                  <c:v>0.114</c:v>
                </c:pt>
                <c:pt idx="121">
                  <c:v>-9.1999999999999998E-2</c:v>
                </c:pt>
                <c:pt idx="122">
                  <c:v>0.109</c:v>
                </c:pt>
                <c:pt idx="123">
                  <c:v>-2.5000000000000001E-2</c:v>
                </c:pt>
                <c:pt idx="124">
                  <c:v>7.8E-2</c:v>
                </c:pt>
                <c:pt idx="125">
                  <c:v>2.3E-2</c:v>
                </c:pt>
                <c:pt idx="126">
                  <c:v>4.4999999999999998E-2</c:v>
                </c:pt>
                <c:pt idx="127">
                  <c:v>-0.33900000000000002</c:v>
                </c:pt>
                <c:pt idx="128">
                  <c:v>5.8999999999999997E-2</c:v>
                </c:pt>
                <c:pt idx="129">
                  <c:v>-5.5E-2</c:v>
                </c:pt>
                <c:pt idx="130">
                  <c:v>0.14299999999999999</c:v>
                </c:pt>
                <c:pt idx="131">
                  <c:v>-0.154</c:v>
                </c:pt>
                <c:pt idx="132">
                  <c:v>6.0000000000000001E-3</c:v>
                </c:pt>
                <c:pt idx="133">
                  <c:v>4.0000000000000001E-3</c:v>
                </c:pt>
                <c:pt idx="134">
                  <c:v>0.107</c:v>
                </c:pt>
                <c:pt idx="135">
                  <c:v>3.9E-2</c:v>
                </c:pt>
                <c:pt idx="136">
                  <c:v>-6.0999999999999999E-2</c:v>
                </c:pt>
                <c:pt idx="137">
                  <c:v>-3.5000000000000003E-2</c:v>
                </c:pt>
                <c:pt idx="138">
                  <c:v>5.8000000000000003E-2</c:v>
                </c:pt>
                <c:pt idx="139">
                  <c:v>-0.22600000000000001</c:v>
                </c:pt>
                <c:pt idx="140">
                  <c:v>0.154</c:v>
                </c:pt>
                <c:pt idx="141">
                  <c:v>0.30399999999999999</c:v>
                </c:pt>
                <c:pt idx="142">
                  <c:v>-1.2E-2</c:v>
                </c:pt>
                <c:pt idx="143">
                  <c:v>-3.3000000000000002E-2</c:v>
                </c:pt>
                <c:pt idx="144">
                  <c:v>2.1000000000000001E-2</c:v>
                </c:pt>
                <c:pt idx="145">
                  <c:v>1.4999999999999999E-2</c:v>
                </c:pt>
                <c:pt idx="146">
                  <c:v>-7.0000000000000001E-3</c:v>
                </c:pt>
                <c:pt idx="147">
                  <c:v>6.9000000000000006E-2</c:v>
                </c:pt>
                <c:pt idx="148">
                  <c:v>5.5E-2</c:v>
                </c:pt>
                <c:pt idx="149">
                  <c:v>-0.16300000000000001</c:v>
                </c:pt>
                <c:pt idx="150">
                  <c:v>-0.183</c:v>
                </c:pt>
                <c:pt idx="151">
                  <c:v>2.23</c:v>
                </c:pt>
                <c:pt idx="152">
                  <c:v>0.154</c:v>
                </c:pt>
                <c:pt idx="153">
                  <c:v>0.124</c:v>
                </c:pt>
                <c:pt idx="154">
                  <c:v>0.112</c:v>
                </c:pt>
                <c:pt idx="155">
                  <c:v>-6.7000000000000004E-2</c:v>
                </c:pt>
                <c:pt idx="156">
                  <c:v>0.157</c:v>
                </c:pt>
                <c:pt idx="157">
                  <c:v>-0.11</c:v>
                </c:pt>
                <c:pt idx="158">
                  <c:v>0.14099999999999999</c:v>
                </c:pt>
                <c:pt idx="159">
                  <c:v>3.9E-2</c:v>
                </c:pt>
                <c:pt idx="160">
                  <c:v>0.155</c:v>
                </c:pt>
                <c:pt idx="161">
                  <c:v>-1.7999999999999999E-2</c:v>
                </c:pt>
                <c:pt idx="162">
                  <c:v>0.112</c:v>
                </c:pt>
                <c:pt idx="163">
                  <c:v>-5.3999999999999999E-2</c:v>
                </c:pt>
                <c:pt idx="164">
                  <c:v>-2.3E-2</c:v>
                </c:pt>
                <c:pt idx="165">
                  <c:v>-7.9000000000000001E-2</c:v>
                </c:pt>
                <c:pt idx="166">
                  <c:v>0.121</c:v>
                </c:pt>
                <c:pt idx="167">
                  <c:v>5.7000000000000002E-2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E1-46D2-8E91-90219B7C894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('AMP4-4'!$AI$4,'AMP4-4'!$AI$4)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E1-46D2-8E91-90219B7C894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('AMP4-4'!$C$1,'AMP4-4'!$C$2)</c:f>
              <c:numCache>
                <c:formatCode>m/d/yy\ h:mm;@</c:formatCode>
                <c:ptCount val="2"/>
                <c:pt idx="0">
                  <c:v>43698.511469907404</c:v>
                </c:pt>
                <c:pt idx="1">
                  <c:v>43712.340868055559</c:v>
                </c:pt>
              </c:numCache>
            </c:numRef>
          </c:xVal>
          <c:yVal>
            <c:numRef>
              <c:f>('AMP4-4'!$AI$5,'AMP4-4'!$AI$5)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E1-46D2-8E91-90219B7C8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71568"/>
        <c:axId val="488771960"/>
      </c:scatterChart>
      <c:valAx>
        <c:axId val="48877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71960"/>
        <c:crosses val="autoZero"/>
        <c:crossBetween val="midCat"/>
      </c:valAx>
      <c:valAx>
        <c:axId val="4887719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7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'AMP1-6'!$F$9:$F$106</c:f>
              <c:numCache>
                <c:formatCode>General</c:formatCode>
                <c:ptCount val="49"/>
                <c:pt idx="0">
                  <c:v>41.277999999999999</c:v>
                </c:pt>
                <c:pt idx="1">
                  <c:v>41.253</c:v>
                </c:pt>
                <c:pt idx="2">
                  <c:v>41.12</c:v>
                </c:pt>
                <c:pt idx="3">
                  <c:v>41.210999999999999</c:v>
                </c:pt>
                <c:pt idx="4">
                  <c:v>41.228000000000002</c:v>
                </c:pt>
                <c:pt idx="5">
                  <c:v>41.249000000000002</c:v>
                </c:pt>
                <c:pt idx="6">
                  <c:v>41.079000000000001</c:v>
                </c:pt>
                <c:pt idx="7">
                  <c:v>41.042999999999999</c:v>
                </c:pt>
                <c:pt idx="8">
                  <c:v>41.180999999999997</c:v>
                </c:pt>
                <c:pt idx="9">
                  <c:v>41.154000000000003</c:v>
                </c:pt>
                <c:pt idx="10">
                  <c:v>41.026000000000003</c:v>
                </c:pt>
                <c:pt idx="11">
                  <c:v>41.152999999999999</c:v>
                </c:pt>
                <c:pt idx="12">
                  <c:v>41.173000000000002</c:v>
                </c:pt>
                <c:pt idx="13">
                  <c:v>41.063000000000002</c:v>
                </c:pt>
                <c:pt idx="14">
                  <c:v>41.127000000000002</c:v>
                </c:pt>
                <c:pt idx="15">
                  <c:v>41.128</c:v>
                </c:pt>
                <c:pt idx="16">
                  <c:v>41.212000000000003</c:v>
                </c:pt>
                <c:pt idx="17">
                  <c:v>41.136000000000003</c:v>
                </c:pt>
                <c:pt idx="18">
                  <c:v>41.319000000000003</c:v>
                </c:pt>
                <c:pt idx="19">
                  <c:v>41.027999999999999</c:v>
                </c:pt>
                <c:pt idx="20">
                  <c:v>41.018000000000001</c:v>
                </c:pt>
                <c:pt idx="21">
                  <c:v>40.978000000000002</c:v>
                </c:pt>
                <c:pt idx="22">
                  <c:v>41.008000000000003</c:v>
                </c:pt>
                <c:pt idx="23">
                  <c:v>41.054000000000002</c:v>
                </c:pt>
                <c:pt idx="24">
                  <c:v>41.052</c:v>
                </c:pt>
                <c:pt idx="25">
                  <c:v>40.9</c:v>
                </c:pt>
                <c:pt idx="26">
                  <c:v>39.435000000000002</c:v>
                </c:pt>
                <c:pt idx="27">
                  <c:v>41.265000000000001</c:v>
                </c:pt>
                <c:pt idx="28">
                  <c:v>41.328000000000003</c:v>
                </c:pt>
                <c:pt idx="29">
                  <c:v>41.390999999999998</c:v>
                </c:pt>
                <c:pt idx="30">
                  <c:v>41.304000000000002</c:v>
                </c:pt>
                <c:pt idx="31">
                  <c:v>41.331000000000003</c:v>
                </c:pt>
                <c:pt idx="32">
                  <c:v>41.247</c:v>
                </c:pt>
                <c:pt idx="33">
                  <c:v>41.078000000000003</c:v>
                </c:pt>
                <c:pt idx="34">
                  <c:v>41.054000000000002</c:v>
                </c:pt>
                <c:pt idx="35">
                  <c:v>41.38</c:v>
                </c:pt>
                <c:pt idx="36">
                  <c:v>41.366</c:v>
                </c:pt>
                <c:pt idx="37">
                  <c:v>41.165999999999997</c:v>
                </c:pt>
                <c:pt idx="38">
                  <c:v>41.216999999999999</c:v>
                </c:pt>
                <c:pt idx="39">
                  <c:v>41.063000000000002</c:v>
                </c:pt>
                <c:pt idx="40">
                  <c:v>41.262999999999998</c:v>
                </c:pt>
                <c:pt idx="41">
                  <c:v>41.137999999999998</c:v>
                </c:pt>
                <c:pt idx="42">
                  <c:v>41.277999999999999</c:v>
                </c:pt>
                <c:pt idx="43">
                  <c:v>41.152000000000001</c:v>
                </c:pt>
                <c:pt idx="44">
                  <c:v>41.231000000000002</c:v>
                </c:pt>
                <c:pt idx="45">
                  <c:v>41.302</c:v>
                </c:pt>
                <c:pt idx="46">
                  <c:v>41.149000000000001</c:v>
                </c:pt>
                <c:pt idx="47">
                  <c:v>41.237000000000002</c:v>
                </c:pt>
                <c:pt idx="48">
                  <c:v>41.137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84-4BBB-965F-51FA5789D7C9}"/>
              </c:ext>
            </c:extLst>
          </c:dPt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('AMP1-6'!$F$4,'AMP1-6'!$F$4)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84-4BBB-965F-51FA5789D7C9}"/>
              </c:ext>
            </c:extLst>
          </c:dPt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('AMP1-6'!$F$5,'AMP1-6'!$F$5)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774312"/>
        <c:axId val="488774704"/>
      </c:scatterChart>
      <c:valAx>
        <c:axId val="488774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74704"/>
        <c:crosses val="autoZero"/>
        <c:crossBetween val="midCat"/>
      </c:valAx>
      <c:valAx>
        <c:axId val="4887747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74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'AMP1-6'!$G$9:$G$106</c:f>
              <c:numCache>
                <c:formatCode>General</c:formatCode>
                <c:ptCount val="49"/>
                <c:pt idx="0">
                  <c:v>41.33</c:v>
                </c:pt>
                <c:pt idx="1">
                  <c:v>41.432000000000002</c:v>
                </c:pt>
                <c:pt idx="2">
                  <c:v>41.276000000000003</c:v>
                </c:pt>
                <c:pt idx="3">
                  <c:v>41.295999999999999</c:v>
                </c:pt>
                <c:pt idx="4">
                  <c:v>41.179000000000002</c:v>
                </c:pt>
                <c:pt idx="5">
                  <c:v>41.393999999999998</c:v>
                </c:pt>
                <c:pt idx="6">
                  <c:v>41.134</c:v>
                </c:pt>
                <c:pt idx="7">
                  <c:v>41.106999999999999</c:v>
                </c:pt>
                <c:pt idx="8">
                  <c:v>41.207999999999998</c:v>
                </c:pt>
                <c:pt idx="9">
                  <c:v>41.179000000000002</c:v>
                </c:pt>
                <c:pt idx="10">
                  <c:v>41.085000000000001</c:v>
                </c:pt>
                <c:pt idx="11">
                  <c:v>41.194000000000003</c:v>
                </c:pt>
                <c:pt idx="12">
                  <c:v>40.832000000000001</c:v>
                </c:pt>
                <c:pt idx="13">
                  <c:v>41.134</c:v>
                </c:pt>
                <c:pt idx="14">
                  <c:v>41.348999999999997</c:v>
                </c:pt>
                <c:pt idx="15">
                  <c:v>41.156999999999996</c:v>
                </c:pt>
                <c:pt idx="16">
                  <c:v>41.561</c:v>
                </c:pt>
                <c:pt idx="17">
                  <c:v>41.115000000000002</c:v>
                </c:pt>
                <c:pt idx="18">
                  <c:v>41.369</c:v>
                </c:pt>
                <c:pt idx="19">
                  <c:v>40.912999999999997</c:v>
                </c:pt>
                <c:pt idx="20">
                  <c:v>40.959000000000003</c:v>
                </c:pt>
                <c:pt idx="21">
                  <c:v>40.899000000000001</c:v>
                </c:pt>
                <c:pt idx="22">
                  <c:v>40.835999999999999</c:v>
                </c:pt>
                <c:pt idx="23">
                  <c:v>41.241999999999997</c:v>
                </c:pt>
                <c:pt idx="24">
                  <c:v>40.877000000000002</c:v>
                </c:pt>
                <c:pt idx="25">
                  <c:v>40.784999999999997</c:v>
                </c:pt>
                <c:pt idx="26">
                  <c:v>39.273000000000003</c:v>
                </c:pt>
                <c:pt idx="27">
                  <c:v>41.22</c:v>
                </c:pt>
                <c:pt idx="28">
                  <c:v>41.345999999999997</c:v>
                </c:pt>
                <c:pt idx="29">
                  <c:v>41.460999999999999</c:v>
                </c:pt>
                <c:pt idx="30">
                  <c:v>41.374000000000002</c:v>
                </c:pt>
                <c:pt idx="31">
                  <c:v>41.35</c:v>
                </c:pt>
                <c:pt idx="32">
                  <c:v>41.131999999999998</c:v>
                </c:pt>
                <c:pt idx="33">
                  <c:v>41.000999999999998</c:v>
                </c:pt>
                <c:pt idx="34">
                  <c:v>41.097000000000001</c:v>
                </c:pt>
                <c:pt idx="35">
                  <c:v>41.31</c:v>
                </c:pt>
                <c:pt idx="36">
                  <c:v>41.286000000000001</c:v>
                </c:pt>
                <c:pt idx="37">
                  <c:v>41.078000000000003</c:v>
                </c:pt>
                <c:pt idx="38">
                  <c:v>41.204000000000001</c:v>
                </c:pt>
                <c:pt idx="39">
                  <c:v>40.904000000000003</c:v>
                </c:pt>
                <c:pt idx="40">
                  <c:v>40.965000000000003</c:v>
                </c:pt>
                <c:pt idx="41">
                  <c:v>40.994</c:v>
                </c:pt>
                <c:pt idx="42">
                  <c:v>41.148000000000003</c:v>
                </c:pt>
                <c:pt idx="43">
                  <c:v>41.398000000000003</c:v>
                </c:pt>
                <c:pt idx="44">
                  <c:v>41.317</c:v>
                </c:pt>
                <c:pt idx="45">
                  <c:v>41.548000000000002</c:v>
                </c:pt>
                <c:pt idx="46">
                  <c:v>41.277999999999999</c:v>
                </c:pt>
                <c:pt idx="47">
                  <c:v>41.353999999999999</c:v>
                </c:pt>
                <c:pt idx="48">
                  <c:v>41.203000000000003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('AMP1-6'!$G$4,'AMP1-6'!$G$4)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('AMP1-6'!$G$5,'AMP1-6'!$G$5)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12992"/>
        <c:axId val="493313384"/>
      </c:scatterChart>
      <c:valAx>
        <c:axId val="49331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3384"/>
        <c:crosses val="autoZero"/>
        <c:crossBetween val="midCat"/>
      </c:valAx>
      <c:valAx>
        <c:axId val="4933133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'AMP1-6'!$H$9:$H$106</c:f>
              <c:numCache>
                <c:formatCode>General</c:formatCode>
                <c:ptCount val="49"/>
                <c:pt idx="0">
                  <c:v>155.631</c:v>
                </c:pt>
                <c:pt idx="1">
                  <c:v>155.67099999999999</c:v>
                </c:pt>
                <c:pt idx="2">
                  <c:v>155.679</c:v>
                </c:pt>
                <c:pt idx="3">
                  <c:v>155.749</c:v>
                </c:pt>
                <c:pt idx="4">
                  <c:v>155.69200000000001</c:v>
                </c:pt>
                <c:pt idx="5">
                  <c:v>155.67599999999999</c:v>
                </c:pt>
                <c:pt idx="6">
                  <c:v>155.709</c:v>
                </c:pt>
                <c:pt idx="7">
                  <c:v>155.857</c:v>
                </c:pt>
                <c:pt idx="8">
                  <c:v>155.744</c:v>
                </c:pt>
                <c:pt idx="9">
                  <c:v>155.75800000000001</c:v>
                </c:pt>
                <c:pt idx="10">
                  <c:v>155.81200000000001</c:v>
                </c:pt>
                <c:pt idx="11">
                  <c:v>155.80600000000001</c:v>
                </c:pt>
                <c:pt idx="12">
                  <c:v>155.73599999999999</c:v>
                </c:pt>
                <c:pt idx="13">
                  <c:v>155.779</c:v>
                </c:pt>
                <c:pt idx="14">
                  <c:v>155.84399999999999</c:v>
                </c:pt>
                <c:pt idx="15">
                  <c:v>155.80199999999999</c:v>
                </c:pt>
                <c:pt idx="16">
                  <c:v>155.81200000000001</c:v>
                </c:pt>
                <c:pt idx="17">
                  <c:v>155.78700000000001</c:v>
                </c:pt>
                <c:pt idx="18">
                  <c:v>155.78700000000001</c:v>
                </c:pt>
                <c:pt idx="19">
                  <c:v>155.80000000000001</c:v>
                </c:pt>
                <c:pt idx="20">
                  <c:v>155.86199999999999</c:v>
                </c:pt>
                <c:pt idx="21">
                  <c:v>155.892</c:v>
                </c:pt>
                <c:pt idx="22">
                  <c:v>155.851</c:v>
                </c:pt>
                <c:pt idx="23">
                  <c:v>155.916</c:v>
                </c:pt>
                <c:pt idx="24">
                  <c:v>155.89699999999999</c:v>
                </c:pt>
                <c:pt idx="25">
                  <c:v>155.874</c:v>
                </c:pt>
                <c:pt idx="26">
                  <c:v>155.90700000000001</c:v>
                </c:pt>
                <c:pt idx="27">
                  <c:v>155.559</c:v>
                </c:pt>
                <c:pt idx="28">
                  <c:v>155.505</c:v>
                </c:pt>
                <c:pt idx="29">
                  <c:v>155.54</c:v>
                </c:pt>
                <c:pt idx="30">
                  <c:v>155.63999999999999</c:v>
                </c:pt>
                <c:pt idx="31">
                  <c:v>155.63499999999999</c:v>
                </c:pt>
                <c:pt idx="32">
                  <c:v>155.572</c:v>
                </c:pt>
                <c:pt idx="33">
                  <c:v>155.65899999999999</c:v>
                </c:pt>
                <c:pt idx="34">
                  <c:v>155.71799999999999</c:v>
                </c:pt>
                <c:pt idx="35">
                  <c:v>155.696</c:v>
                </c:pt>
                <c:pt idx="36">
                  <c:v>155.684</c:v>
                </c:pt>
                <c:pt idx="37">
                  <c:v>155.74100000000001</c:v>
                </c:pt>
                <c:pt idx="38">
                  <c:v>155.69900000000001</c:v>
                </c:pt>
                <c:pt idx="39">
                  <c:v>155.73699999999999</c:v>
                </c:pt>
                <c:pt idx="40">
                  <c:v>155.66</c:v>
                </c:pt>
                <c:pt idx="41">
                  <c:v>155.767</c:v>
                </c:pt>
                <c:pt idx="42">
                  <c:v>155.68</c:v>
                </c:pt>
                <c:pt idx="43">
                  <c:v>155.65299999999999</c:v>
                </c:pt>
                <c:pt idx="44">
                  <c:v>155.595</c:v>
                </c:pt>
                <c:pt idx="45">
                  <c:v>155.649</c:v>
                </c:pt>
                <c:pt idx="46">
                  <c:v>155.631</c:v>
                </c:pt>
                <c:pt idx="47">
                  <c:v>155.63</c:v>
                </c:pt>
                <c:pt idx="48">
                  <c:v>155.63300000000001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('AMP1-6'!$H$4,'AMP1-6'!$H$4)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('AMP1-6'!$H$5,'AMP1-6'!$H$5)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14168"/>
        <c:axId val="493314560"/>
      </c:scatterChart>
      <c:valAx>
        <c:axId val="493314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4560"/>
        <c:crosses val="autoZero"/>
        <c:crossBetween val="midCat"/>
      </c:valAx>
      <c:valAx>
        <c:axId val="4933145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4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'AMP1-6'!$I$9:$I$106</c:f>
              <c:numCache>
                <c:formatCode>General</c:formatCode>
                <c:ptCount val="49"/>
                <c:pt idx="0">
                  <c:v>155.62</c:v>
                </c:pt>
                <c:pt idx="1">
                  <c:v>155.65700000000001</c:v>
                </c:pt>
                <c:pt idx="2">
                  <c:v>155.65600000000001</c:v>
                </c:pt>
                <c:pt idx="3">
                  <c:v>155.66300000000001</c:v>
                </c:pt>
                <c:pt idx="4">
                  <c:v>155.71899999999999</c:v>
                </c:pt>
                <c:pt idx="5">
                  <c:v>155.684</c:v>
                </c:pt>
                <c:pt idx="6">
                  <c:v>155.71199999999999</c:v>
                </c:pt>
                <c:pt idx="7">
                  <c:v>155.84100000000001</c:v>
                </c:pt>
                <c:pt idx="8">
                  <c:v>155.767</c:v>
                </c:pt>
                <c:pt idx="9">
                  <c:v>155.75</c:v>
                </c:pt>
                <c:pt idx="10">
                  <c:v>155.86000000000001</c:v>
                </c:pt>
                <c:pt idx="11">
                  <c:v>155.798</c:v>
                </c:pt>
                <c:pt idx="12">
                  <c:v>155.72999999999999</c:v>
                </c:pt>
                <c:pt idx="13">
                  <c:v>155.80000000000001</c:v>
                </c:pt>
                <c:pt idx="14">
                  <c:v>155.83699999999999</c:v>
                </c:pt>
                <c:pt idx="15">
                  <c:v>155.821</c:v>
                </c:pt>
                <c:pt idx="16">
                  <c:v>155.828</c:v>
                </c:pt>
                <c:pt idx="17">
                  <c:v>155.81100000000001</c:v>
                </c:pt>
                <c:pt idx="18">
                  <c:v>155.79599999999999</c:v>
                </c:pt>
                <c:pt idx="19">
                  <c:v>155.87100000000001</c:v>
                </c:pt>
                <c:pt idx="20">
                  <c:v>155.86000000000001</c:v>
                </c:pt>
                <c:pt idx="21">
                  <c:v>155.93199999999999</c:v>
                </c:pt>
                <c:pt idx="22">
                  <c:v>155.92699999999999</c:v>
                </c:pt>
                <c:pt idx="23">
                  <c:v>155.97900000000001</c:v>
                </c:pt>
                <c:pt idx="24">
                  <c:v>155.90799999999999</c:v>
                </c:pt>
                <c:pt idx="25">
                  <c:v>155.89500000000001</c:v>
                </c:pt>
                <c:pt idx="26">
                  <c:v>155.94900000000001</c:v>
                </c:pt>
                <c:pt idx="27">
                  <c:v>155.57</c:v>
                </c:pt>
                <c:pt idx="28">
                  <c:v>155.54499999999999</c:v>
                </c:pt>
                <c:pt idx="29">
                  <c:v>155.57300000000001</c:v>
                </c:pt>
                <c:pt idx="30">
                  <c:v>155.62</c:v>
                </c:pt>
                <c:pt idx="31">
                  <c:v>155.642</c:v>
                </c:pt>
                <c:pt idx="32">
                  <c:v>155.63499999999999</c:v>
                </c:pt>
                <c:pt idx="33">
                  <c:v>155.71799999999999</c:v>
                </c:pt>
                <c:pt idx="34">
                  <c:v>155.80799999999999</c:v>
                </c:pt>
                <c:pt idx="35">
                  <c:v>155.73599999999999</c:v>
                </c:pt>
                <c:pt idx="36">
                  <c:v>155.745</c:v>
                </c:pt>
                <c:pt idx="37">
                  <c:v>155.82400000000001</c:v>
                </c:pt>
                <c:pt idx="38">
                  <c:v>155.76599999999999</c:v>
                </c:pt>
                <c:pt idx="39">
                  <c:v>155.863</c:v>
                </c:pt>
                <c:pt idx="40">
                  <c:v>155.76900000000001</c:v>
                </c:pt>
                <c:pt idx="41">
                  <c:v>155.86500000000001</c:v>
                </c:pt>
                <c:pt idx="42">
                  <c:v>155.76</c:v>
                </c:pt>
                <c:pt idx="43">
                  <c:v>155.63499999999999</c:v>
                </c:pt>
                <c:pt idx="44">
                  <c:v>155.59700000000001</c:v>
                </c:pt>
                <c:pt idx="45">
                  <c:v>155.626</c:v>
                </c:pt>
                <c:pt idx="46">
                  <c:v>155.636</c:v>
                </c:pt>
                <c:pt idx="47">
                  <c:v>155.631</c:v>
                </c:pt>
                <c:pt idx="48">
                  <c:v>155.673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('AMP1-6'!$I$4,'AMP1-6'!$I$4)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('AMP1-6'!$I$5,'AMP1-6'!$I$5)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15344"/>
        <c:axId val="493315736"/>
      </c:scatterChart>
      <c:valAx>
        <c:axId val="49331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5736"/>
        <c:crosses val="autoZero"/>
        <c:crossBetween val="midCat"/>
      </c:valAx>
      <c:valAx>
        <c:axId val="4933157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'AMP1-6'!$J$9:$J$106</c:f>
              <c:numCache>
                <c:formatCode>General</c:formatCode>
                <c:ptCount val="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('AMP1-6'!$J$4,'AMP1-6'!$J$4)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('AMP1-6'!$J$5,'AMP1-6'!$J$5)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16520"/>
        <c:axId val="493316912"/>
      </c:scatterChart>
      <c:valAx>
        <c:axId val="493316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6912"/>
        <c:crosses val="autoZero"/>
        <c:crossBetween val="midCat"/>
      </c:valAx>
      <c:valAx>
        <c:axId val="4933169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6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'AMP1-6'!$K$9:$K$106</c:f>
              <c:numCache>
                <c:formatCode>General</c:formatCode>
                <c:ptCount val="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('AMP1-6'!$K$4,'AMP1-6'!$K$4)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('AMP1-6'!$K$5,'AMP1-6'!$K$5)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17696"/>
        <c:axId val="493318088"/>
      </c:scatterChart>
      <c:valAx>
        <c:axId val="49331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8088"/>
        <c:crosses val="autoZero"/>
        <c:crossBetween val="midCat"/>
      </c:valAx>
      <c:valAx>
        <c:axId val="4933180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7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'AMP1-6'!$L$9:$L$106</c:f>
              <c:numCache>
                <c:formatCode>General</c:formatCode>
                <c:ptCount val="49"/>
                <c:pt idx="0">
                  <c:v>155.846</c:v>
                </c:pt>
                <c:pt idx="1">
                  <c:v>155.87899999999999</c:v>
                </c:pt>
                <c:pt idx="2">
                  <c:v>155.89699999999999</c:v>
                </c:pt>
                <c:pt idx="3">
                  <c:v>155.94399999999999</c:v>
                </c:pt>
                <c:pt idx="4">
                  <c:v>155.93100000000001</c:v>
                </c:pt>
                <c:pt idx="5">
                  <c:v>155.93600000000001</c:v>
                </c:pt>
                <c:pt idx="6">
                  <c:v>155.93799999999999</c:v>
                </c:pt>
                <c:pt idx="7">
                  <c:v>156.041</c:v>
                </c:pt>
                <c:pt idx="8">
                  <c:v>155.99199999999999</c:v>
                </c:pt>
                <c:pt idx="9">
                  <c:v>156.017</c:v>
                </c:pt>
                <c:pt idx="10">
                  <c:v>156.02699999999999</c:v>
                </c:pt>
                <c:pt idx="11">
                  <c:v>156.047</c:v>
                </c:pt>
                <c:pt idx="12">
                  <c:v>155.95699999999999</c:v>
                </c:pt>
                <c:pt idx="13">
                  <c:v>156.011</c:v>
                </c:pt>
                <c:pt idx="14">
                  <c:v>156.05099999999999</c:v>
                </c:pt>
                <c:pt idx="15">
                  <c:v>156.06399999999999</c:v>
                </c:pt>
                <c:pt idx="16">
                  <c:v>156.02000000000001</c:v>
                </c:pt>
                <c:pt idx="17">
                  <c:v>156.03700000000001</c:v>
                </c:pt>
                <c:pt idx="18">
                  <c:v>156.024</c:v>
                </c:pt>
                <c:pt idx="19">
                  <c:v>156.07499999999999</c:v>
                </c:pt>
                <c:pt idx="20">
                  <c:v>156.08199999999999</c:v>
                </c:pt>
                <c:pt idx="21">
                  <c:v>156.08099999999999</c:v>
                </c:pt>
                <c:pt idx="22">
                  <c:v>156.119</c:v>
                </c:pt>
                <c:pt idx="23">
                  <c:v>156.17099999999999</c:v>
                </c:pt>
                <c:pt idx="24">
                  <c:v>156.16499999999999</c:v>
                </c:pt>
                <c:pt idx="25">
                  <c:v>156.14500000000001</c:v>
                </c:pt>
                <c:pt idx="26">
                  <c:v>156.18799999999999</c:v>
                </c:pt>
                <c:pt idx="27">
                  <c:v>155.78200000000001</c:v>
                </c:pt>
                <c:pt idx="28">
                  <c:v>155.72300000000001</c:v>
                </c:pt>
                <c:pt idx="29">
                  <c:v>155.79</c:v>
                </c:pt>
                <c:pt idx="30">
                  <c:v>155.85300000000001</c:v>
                </c:pt>
                <c:pt idx="31">
                  <c:v>155.89400000000001</c:v>
                </c:pt>
                <c:pt idx="32">
                  <c:v>155.82900000000001</c:v>
                </c:pt>
                <c:pt idx="33">
                  <c:v>155.922</c:v>
                </c:pt>
                <c:pt idx="34">
                  <c:v>155.94300000000001</c:v>
                </c:pt>
                <c:pt idx="35">
                  <c:v>155.93100000000001</c:v>
                </c:pt>
                <c:pt idx="36">
                  <c:v>155.934</c:v>
                </c:pt>
                <c:pt idx="37">
                  <c:v>155.98599999999999</c:v>
                </c:pt>
                <c:pt idx="38">
                  <c:v>155.904</c:v>
                </c:pt>
                <c:pt idx="39">
                  <c:v>155.95599999999999</c:v>
                </c:pt>
                <c:pt idx="40">
                  <c:v>155.87899999999999</c:v>
                </c:pt>
                <c:pt idx="41">
                  <c:v>156.00399999999999</c:v>
                </c:pt>
                <c:pt idx="42">
                  <c:v>155.88200000000001</c:v>
                </c:pt>
                <c:pt idx="43">
                  <c:v>155.80500000000001</c:v>
                </c:pt>
                <c:pt idx="44">
                  <c:v>155.82400000000001</c:v>
                </c:pt>
                <c:pt idx="45">
                  <c:v>155.857</c:v>
                </c:pt>
                <c:pt idx="46">
                  <c:v>155.88200000000001</c:v>
                </c:pt>
                <c:pt idx="47">
                  <c:v>155.85</c:v>
                </c:pt>
                <c:pt idx="48">
                  <c:v>155.86500000000001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('AMP1-6'!$L$4,'AMP1-6'!$L$4)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('AMP1-6'!$L$5,'AMP1-6'!$L$5)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18872"/>
        <c:axId val="493319264"/>
      </c:scatterChart>
      <c:valAx>
        <c:axId val="493318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9264"/>
        <c:crosses val="autoZero"/>
        <c:crossBetween val="midCat"/>
      </c:valAx>
      <c:valAx>
        <c:axId val="4933192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8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'AMP1-6'!$M$9:$M$106</c:f>
              <c:numCache>
                <c:formatCode>General</c:formatCode>
                <c:ptCount val="49"/>
                <c:pt idx="0">
                  <c:v>155.61600000000001</c:v>
                </c:pt>
                <c:pt idx="1">
                  <c:v>155.661</c:v>
                </c:pt>
                <c:pt idx="2">
                  <c:v>155.56899999999999</c:v>
                </c:pt>
                <c:pt idx="3">
                  <c:v>155.69200000000001</c:v>
                </c:pt>
                <c:pt idx="4">
                  <c:v>155.75299999999999</c:v>
                </c:pt>
                <c:pt idx="5">
                  <c:v>155.75399999999999</c:v>
                </c:pt>
                <c:pt idx="6">
                  <c:v>155.71299999999999</c:v>
                </c:pt>
                <c:pt idx="7">
                  <c:v>155.82499999999999</c:v>
                </c:pt>
                <c:pt idx="8">
                  <c:v>155.81700000000001</c:v>
                </c:pt>
                <c:pt idx="9">
                  <c:v>155.82900000000001</c:v>
                </c:pt>
                <c:pt idx="10">
                  <c:v>155.86199999999999</c:v>
                </c:pt>
                <c:pt idx="11">
                  <c:v>155.84</c:v>
                </c:pt>
                <c:pt idx="12">
                  <c:v>155.75200000000001</c:v>
                </c:pt>
                <c:pt idx="13">
                  <c:v>155.81299999999999</c:v>
                </c:pt>
                <c:pt idx="14">
                  <c:v>155.828</c:v>
                </c:pt>
                <c:pt idx="15">
                  <c:v>155.87799999999999</c:v>
                </c:pt>
                <c:pt idx="16">
                  <c:v>155.83099999999999</c:v>
                </c:pt>
                <c:pt idx="17">
                  <c:v>155.86099999999999</c:v>
                </c:pt>
                <c:pt idx="18">
                  <c:v>155.86199999999999</c:v>
                </c:pt>
                <c:pt idx="19">
                  <c:v>155.97499999999999</c:v>
                </c:pt>
                <c:pt idx="20">
                  <c:v>155.922</c:v>
                </c:pt>
                <c:pt idx="21">
                  <c:v>155.91200000000001</c:v>
                </c:pt>
                <c:pt idx="22">
                  <c:v>155.935</c:v>
                </c:pt>
                <c:pt idx="23">
                  <c:v>156.04300000000001</c:v>
                </c:pt>
                <c:pt idx="24">
                  <c:v>156</c:v>
                </c:pt>
                <c:pt idx="25">
                  <c:v>156.03200000000001</c:v>
                </c:pt>
                <c:pt idx="26">
                  <c:v>155.91200000000001</c:v>
                </c:pt>
                <c:pt idx="27">
                  <c:v>155.636</c:v>
                </c:pt>
                <c:pt idx="28">
                  <c:v>155.52699999999999</c:v>
                </c:pt>
                <c:pt idx="29">
                  <c:v>155.655</c:v>
                </c:pt>
                <c:pt idx="30">
                  <c:v>155.69900000000001</c:v>
                </c:pt>
                <c:pt idx="31">
                  <c:v>155.71100000000001</c:v>
                </c:pt>
                <c:pt idx="32">
                  <c:v>155.68600000000001</c:v>
                </c:pt>
                <c:pt idx="33">
                  <c:v>155.81299999999999</c:v>
                </c:pt>
                <c:pt idx="34">
                  <c:v>155.81100000000001</c:v>
                </c:pt>
                <c:pt idx="35">
                  <c:v>155.77799999999999</c:v>
                </c:pt>
                <c:pt idx="36">
                  <c:v>155.792</c:v>
                </c:pt>
                <c:pt idx="37">
                  <c:v>155.857</c:v>
                </c:pt>
                <c:pt idx="38">
                  <c:v>155.733</c:v>
                </c:pt>
                <c:pt idx="39">
                  <c:v>155.88800000000001</c:v>
                </c:pt>
                <c:pt idx="40">
                  <c:v>155.75700000000001</c:v>
                </c:pt>
                <c:pt idx="41">
                  <c:v>155.899</c:v>
                </c:pt>
                <c:pt idx="42">
                  <c:v>155.76499999999999</c:v>
                </c:pt>
                <c:pt idx="43">
                  <c:v>155.571</c:v>
                </c:pt>
                <c:pt idx="44">
                  <c:v>155.61500000000001</c:v>
                </c:pt>
                <c:pt idx="45">
                  <c:v>155.648</c:v>
                </c:pt>
                <c:pt idx="46">
                  <c:v>155.68700000000001</c:v>
                </c:pt>
                <c:pt idx="47">
                  <c:v>155.62299999999999</c:v>
                </c:pt>
                <c:pt idx="48">
                  <c:v>155.679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('AMP1-6'!$M$4,'AMP1-6'!$M$4)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('AMP1-6'!$M$5,'AMP1-6'!$M$5)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0048"/>
        <c:axId val="493320440"/>
      </c:scatterChart>
      <c:valAx>
        <c:axId val="49332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0440"/>
        <c:crosses val="autoZero"/>
        <c:crossBetween val="midCat"/>
      </c:valAx>
      <c:valAx>
        <c:axId val="4933204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'AMP1-6'!$N$9:$N$106</c:f>
              <c:numCache>
                <c:formatCode>General</c:formatCode>
                <c:ptCount val="49"/>
                <c:pt idx="0">
                  <c:v>27.472999999999999</c:v>
                </c:pt>
                <c:pt idx="1">
                  <c:v>27.472000000000001</c:v>
                </c:pt>
                <c:pt idx="2">
                  <c:v>27.411000000000001</c:v>
                </c:pt>
                <c:pt idx="3">
                  <c:v>27.387</c:v>
                </c:pt>
                <c:pt idx="4">
                  <c:v>27.425999999999998</c:v>
                </c:pt>
                <c:pt idx="5">
                  <c:v>27.425999999999998</c:v>
                </c:pt>
                <c:pt idx="6">
                  <c:v>27.41</c:v>
                </c:pt>
                <c:pt idx="7">
                  <c:v>27.277000000000001</c:v>
                </c:pt>
                <c:pt idx="8">
                  <c:v>27.38</c:v>
                </c:pt>
                <c:pt idx="9">
                  <c:v>27.364999999999998</c:v>
                </c:pt>
                <c:pt idx="10">
                  <c:v>27.274000000000001</c:v>
                </c:pt>
                <c:pt idx="11">
                  <c:v>27.28</c:v>
                </c:pt>
                <c:pt idx="12">
                  <c:v>27.388000000000002</c:v>
                </c:pt>
                <c:pt idx="13">
                  <c:v>27.303999999999998</c:v>
                </c:pt>
                <c:pt idx="14">
                  <c:v>27.303000000000001</c:v>
                </c:pt>
                <c:pt idx="15">
                  <c:v>27.297000000000001</c:v>
                </c:pt>
                <c:pt idx="16">
                  <c:v>27.338000000000001</c:v>
                </c:pt>
                <c:pt idx="17">
                  <c:v>27.282</c:v>
                </c:pt>
                <c:pt idx="18">
                  <c:v>27.321999999999999</c:v>
                </c:pt>
                <c:pt idx="19">
                  <c:v>27.259</c:v>
                </c:pt>
                <c:pt idx="20">
                  <c:v>27.225000000000001</c:v>
                </c:pt>
                <c:pt idx="21">
                  <c:v>27.239000000000001</c:v>
                </c:pt>
                <c:pt idx="22">
                  <c:v>27.234999999999999</c:v>
                </c:pt>
                <c:pt idx="23">
                  <c:v>27.172000000000001</c:v>
                </c:pt>
                <c:pt idx="24">
                  <c:v>27.2</c:v>
                </c:pt>
                <c:pt idx="25">
                  <c:v>27.216000000000001</c:v>
                </c:pt>
                <c:pt idx="26">
                  <c:v>27.204999999999998</c:v>
                </c:pt>
                <c:pt idx="27">
                  <c:v>27.577000000000002</c:v>
                </c:pt>
                <c:pt idx="28">
                  <c:v>27.611999999999998</c:v>
                </c:pt>
                <c:pt idx="29">
                  <c:v>27.558</c:v>
                </c:pt>
                <c:pt idx="30">
                  <c:v>27.463999999999999</c:v>
                </c:pt>
                <c:pt idx="31">
                  <c:v>27.466000000000001</c:v>
                </c:pt>
                <c:pt idx="32">
                  <c:v>27.518999999999998</c:v>
                </c:pt>
                <c:pt idx="33">
                  <c:v>27.372</c:v>
                </c:pt>
                <c:pt idx="34">
                  <c:v>27.376999999999999</c:v>
                </c:pt>
                <c:pt idx="35">
                  <c:v>27.457999999999998</c:v>
                </c:pt>
                <c:pt idx="36">
                  <c:v>27.42</c:v>
                </c:pt>
                <c:pt idx="37">
                  <c:v>27.369</c:v>
                </c:pt>
                <c:pt idx="38">
                  <c:v>27.422000000000001</c:v>
                </c:pt>
                <c:pt idx="39">
                  <c:v>27.384</c:v>
                </c:pt>
                <c:pt idx="40">
                  <c:v>27.463000000000001</c:v>
                </c:pt>
                <c:pt idx="41">
                  <c:v>27.33</c:v>
                </c:pt>
                <c:pt idx="42">
                  <c:v>27.411999999999999</c:v>
                </c:pt>
                <c:pt idx="43">
                  <c:v>27.462</c:v>
                </c:pt>
                <c:pt idx="44">
                  <c:v>27.486999999999998</c:v>
                </c:pt>
                <c:pt idx="45">
                  <c:v>27.494</c:v>
                </c:pt>
                <c:pt idx="46">
                  <c:v>27.48</c:v>
                </c:pt>
                <c:pt idx="47">
                  <c:v>27.5</c:v>
                </c:pt>
                <c:pt idx="48">
                  <c:v>27.437999999999999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('AMP1-6'!$N$4,'AMP1-6'!$N$4)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('AMP1-6'!$N$5,'AMP1-6'!$N$5)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1224"/>
        <c:axId val="493321616"/>
      </c:scatterChart>
      <c:valAx>
        <c:axId val="49332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1616"/>
        <c:crosses val="autoZero"/>
        <c:crossBetween val="midCat"/>
      </c:valAx>
      <c:valAx>
        <c:axId val="4933216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'AMP1-6'!$O$9:$O$106</c:f>
              <c:numCache>
                <c:formatCode>General</c:formatCode>
                <c:ptCount val="49"/>
                <c:pt idx="0">
                  <c:v>27.661999999999999</c:v>
                </c:pt>
                <c:pt idx="1">
                  <c:v>27.596</c:v>
                </c:pt>
                <c:pt idx="2">
                  <c:v>27.696999999999999</c:v>
                </c:pt>
                <c:pt idx="3">
                  <c:v>27.567</c:v>
                </c:pt>
                <c:pt idx="4">
                  <c:v>27.515999999999998</c:v>
                </c:pt>
                <c:pt idx="5">
                  <c:v>27.553999999999998</c:v>
                </c:pt>
                <c:pt idx="6">
                  <c:v>27.558</c:v>
                </c:pt>
                <c:pt idx="7">
                  <c:v>27.443999999999999</c:v>
                </c:pt>
                <c:pt idx="8">
                  <c:v>27.512</c:v>
                </c:pt>
                <c:pt idx="9">
                  <c:v>27.486000000000001</c:v>
                </c:pt>
                <c:pt idx="10">
                  <c:v>27.402000000000001</c:v>
                </c:pt>
                <c:pt idx="11">
                  <c:v>27.408000000000001</c:v>
                </c:pt>
                <c:pt idx="12">
                  <c:v>27.481999999999999</c:v>
                </c:pt>
                <c:pt idx="13">
                  <c:v>27.449000000000002</c:v>
                </c:pt>
                <c:pt idx="14">
                  <c:v>27.436</c:v>
                </c:pt>
                <c:pt idx="15">
                  <c:v>27.42</c:v>
                </c:pt>
                <c:pt idx="16">
                  <c:v>27.417000000000002</c:v>
                </c:pt>
                <c:pt idx="17">
                  <c:v>27.387</c:v>
                </c:pt>
                <c:pt idx="18">
                  <c:v>27.382999999999999</c:v>
                </c:pt>
                <c:pt idx="19">
                  <c:v>27.27</c:v>
                </c:pt>
                <c:pt idx="20">
                  <c:v>27.349</c:v>
                </c:pt>
                <c:pt idx="21">
                  <c:v>27.338000000000001</c:v>
                </c:pt>
                <c:pt idx="22">
                  <c:v>27.321000000000002</c:v>
                </c:pt>
                <c:pt idx="23">
                  <c:v>27.204000000000001</c:v>
                </c:pt>
                <c:pt idx="24">
                  <c:v>27.315000000000001</c:v>
                </c:pt>
                <c:pt idx="25">
                  <c:v>27.324000000000002</c:v>
                </c:pt>
                <c:pt idx="26">
                  <c:v>27.356000000000002</c:v>
                </c:pt>
                <c:pt idx="27">
                  <c:v>27.611999999999998</c:v>
                </c:pt>
                <c:pt idx="28">
                  <c:v>27.696999999999999</c:v>
                </c:pt>
                <c:pt idx="29">
                  <c:v>27.6</c:v>
                </c:pt>
                <c:pt idx="30">
                  <c:v>27.536000000000001</c:v>
                </c:pt>
                <c:pt idx="31">
                  <c:v>27.515000000000001</c:v>
                </c:pt>
                <c:pt idx="32">
                  <c:v>27.568000000000001</c:v>
                </c:pt>
                <c:pt idx="33">
                  <c:v>27.434000000000001</c:v>
                </c:pt>
                <c:pt idx="34">
                  <c:v>27.373999999999999</c:v>
                </c:pt>
                <c:pt idx="35">
                  <c:v>27.492000000000001</c:v>
                </c:pt>
                <c:pt idx="36">
                  <c:v>27.434000000000001</c:v>
                </c:pt>
                <c:pt idx="37">
                  <c:v>27.38</c:v>
                </c:pt>
                <c:pt idx="38">
                  <c:v>27.5</c:v>
                </c:pt>
                <c:pt idx="39">
                  <c:v>27.364999999999998</c:v>
                </c:pt>
                <c:pt idx="40">
                  <c:v>27.437000000000001</c:v>
                </c:pt>
                <c:pt idx="41">
                  <c:v>27.329000000000001</c:v>
                </c:pt>
                <c:pt idx="42">
                  <c:v>27.414999999999999</c:v>
                </c:pt>
                <c:pt idx="43">
                  <c:v>27.663</c:v>
                </c:pt>
                <c:pt idx="44">
                  <c:v>27.620999999999999</c:v>
                </c:pt>
                <c:pt idx="45">
                  <c:v>27.616</c:v>
                </c:pt>
                <c:pt idx="46">
                  <c:v>27.571000000000002</c:v>
                </c:pt>
                <c:pt idx="47">
                  <c:v>27.62</c:v>
                </c:pt>
                <c:pt idx="48">
                  <c:v>27.562000000000001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('AMP1-6'!$O$4,'AMP1-6'!$O$4)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('AMP1-6'!$O$5,'AMP1-6'!$O$5)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2400"/>
        <c:axId val="493322792"/>
      </c:scatterChart>
      <c:valAx>
        <c:axId val="49332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2792"/>
        <c:crosses val="autoZero"/>
        <c:crossBetween val="midCat"/>
      </c:valAx>
      <c:valAx>
        <c:axId val="4933227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'AMP1-6'!$R$9:$R$106</c:f>
              <c:numCache>
                <c:formatCode>General</c:formatCode>
                <c:ptCount val="49"/>
                <c:pt idx="0">
                  <c:v>16.983000000000001</c:v>
                </c:pt>
                <c:pt idx="1">
                  <c:v>16.984999999999999</c:v>
                </c:pt>
                <c:pt idx="2">
                  <c:v>16.966999999999999</c:v>
                </c:pt>
                <c:pt idx="3">
                  <c:v>16.956</c:v>
                </c:pt>
                <c:pt idx="4">
                  <c:v>16.942</c:v>
                </c:pt>
                <c:pt idx="5">
                  <c:v>16.96</c:v>
                </c:pt>
                <c:pt idx="6">
                  <c:v>16.989000000000001</c:v>
                </c:pt>
                <c:pt idx="7">
                  <c:v>16.922999999999998</c:v>
                </c:pt>
                <c:pt idx="8">
                  <c:v>16.931000000000001</c:v>
                </c:pt>
                <c:pt idx="9">
                  <c:v>16.977</c:v>
                </c:pt>
                <c:pt idx="10">
                  <c:v>16.911999999999999</c:v>
                </c:pt>
                <c:pt idx="11">
                  <c:v>16.949000000000002</c:v>
                </c:pt>
                <c:pt idx="12">
                  <c:v>16.978999999999999</c:v>
                </c:pt>
                <c:pt idx="13">
                  <c:v>16.995000000000001</c:v>
                </c:pt>
                <c:pt idx="14">
                  <c:v>16.905999999999999</c:v>
                </c:pt>
                <c:pt idx="15">
                  <c:v>16.986000000000001</c:v>
                </c:pt>
                <c:pt idx="16">
                  <c:v>17.006</c:v>
                </c:pt>
                <c:pt idx="17">
                  <c:v>16.968</c:v>
                </c:pt>
                <c:pt idx="18">
                  <c:v>16.937999999999999</c:v>
                </c:pt>
                <c:pt idx="19">
                  <c:v>16.954000000000001</c:v>
                </c:pt>
                <c:pt idx="20">
                  <c:v>16.934000000000001</c:v>
                </c:pt>
                <c:pt idx="21">
                  <c:v>17.013000000000002</c:v>
                </c:pt>
                <c:pt idx="22">
                  <c:v>16.992000000000001</c:v>
                </c:pt>
                <c:pt idx="23">
                  <c:v>16.968</c:v>
                </c:pt>
                <c:pt idx="24">
                  <c:v>16.963000000000001</c:v>
                </c:pt>
                <c:pt idx="25">
                  <c:v>16.954000000000001</c:v>
                </c:pt>
                <c:pt idx="26">
                  <c:v>16.995999999999999</c:v>
                </c:pt>
                <c:pt idx="27">
                  <c:v>16.978000000000002</c:v>
                </c:pt>
                <c:pt idx="28">
                  <c:v>17.007000000000001</c:v>
                </c:pt>
                <c:pt idx="29">
                  <c:v>16.978999999999999</c:v>
                </c:pt>
                <c:pt idx="30">
                  <c:v>16.97</c:v>
                </c:pt>
                <c:pt idx="31">
                  <c:v>16.948</c:v>
                </c:pt>
                <c:pt idx="32">
                  <c:v>17.004999999999999</c:v>
                </c:pt>
                <c:pt idx="33">
                  <c:v>16.946999999999999</c:v>
                </c:pt>
                <c:pt idx="34">
                  <c:v>16.963999999999999</c:v>
                </c:pt>
                <c:pt idx="35">
                  <c:v>16.988</c:v>
                </c:pt>
                <c:pt idx="36">
                  <c:v>16.997</c:v>
                </c:pt>
                <c:pt idx="37">
                  <c:v>17.012</c:v>
                </c:pt>
                <c:pt idx="38">
                  <c:v>16.962</c:v>
                </c:pt>
                <c:pt idx="39">
                  <c:v>17.003</c:v>
                </c:pt>
                <c:pt idx="40">
                  <c:v>16.983000000000001</c:v>
                </c:pt>
                <c:pt idx="41">
                  <c:v>16.988</c:v>
                </c:pt>
                <c:pt idx="42">
                  <c:v>16.98</c:v>
                </c:pt>
                <c:pt idx="43">
                  <c:v>16.981000000000002</c:v>
                </c:pt>
                <c:pt idx="44">
                  <c:v>16.989999999999998</c:v>
                </c:pt>
                <c:pt idx="45">
                  <c:v>16.922000000000001</c:v>
                </c:pt>
                <c:pt idx="46">
                  <c:v>16.978000000000002</c:v>
                </c:pt>
                <c:pt idx="47">
                  <c:v>16.972999999999999</c:v>
                </c:pt>
                <c:pt idx="48">
                  <c:v>16.957999999999998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('AMP1-6'!$R$4,'AMP1-6'!$R$4)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('AMP1-6'!$R$5,'AMP1-6'!$R$5)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3576"/>
        <c:axId val="493323968"/>
      </c:scatterChart>
      <c:valAx>
        <c:axId val="49332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3968"/>
        <c:crosses val="autoZero"/>
        <c:crossBetween val="midCat"/>
      </c:valAx>
      <c:valAx>
        <c:axId val="4933239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'AMP1-6'!$S$9:$S$106</c:f>
              <c:numCache>
                <c:formatCode>General</c:formatCode>
                <c:ptCount val="49"/>
                <c:pt idx="0">
                  <c:v>16.908000000000001</c:v>
                </c:pt>
                <c:pt idx="1">
                  <c:v>16.942</c:v>
                </c:pt>
                <c:pt idx="2">
                  <c:v>16.95</c:v>
                </c:pt>
                <c:pt idx="3">
                  <c:v>16.975000000000001</c:v>
                </c:pt>
                <c:pt idx="4">
                  <c:v>17.016999999999999</c:v>
                </c:pt>
                <c:pt idx="5">
                  <c:v>16.95</c:v>
                </c:pt>
                <c:pt idx="6">
                  <c:v>16.922000000000001</c:v>
                </c:pt>
                <c:pt idx="7">
                  <c:v>16.899999999999999</c:v>
                </c:pt>
                <c:pt idx="8">
                  <c:v>16.914999999999999</c:v>
                </c:pt>
                <c:pt idx="9">
                  <c:v>16.940000000000001</c:v>
                </c:pt>
                <c:pt idx="10">
                  <c:v>16.905999999999999</c:v>
                </c:pt>
                <c:pt idx="11">
                  <c:v>16.869</c:v>
                </c:pt>
                <c:pt idx="12">
                  <c:v>16.957000000000001</c:v>
                </c:pt>
                <c:pt idx="13">
                  <c:v>16.923999999999999</c:v>
                </c:pt>
                <c:pt idx="14">
                  <c:v>16.89</c:v>
                </c:pt>
                <c:pt idx="15">
                  <c:v>16.904</c:v>
                </c:pt>
                <c:pt idx="16">
                  <c:v>16.989000000000001</c:v>
                </c:pt>
                <c:pt idx="17">
                  <c:v>16.937000000000001</c:v>
                </c:pt>
                <c:pt idx="18">
                  <c:v>16.885999999999999</c:v>
                </c:pt>
                <c:pt idx="19">
                  <c:v>16.943000000000001</c:v>
                </c:pt>
                <c:pt idx="20">
                  <c:v>16.888999999999999</c:v>
                </c:pt>
                <c:pt idx="21">
                  <c:v>16.962</c:v>
                </c:pt>
                <c:pt idx="22">
                  <c:v>16.962</c:v>
                </c:pt>
                <c:pt idx="23">
                  <c:v>16.920999999999999</c:v>
                </c:pt>
                <c:pt idx="24">
                  <c:v>16.908000000000001</c:v>
                </c:pt>
                <c:pt idx="25">
                  <c:v>16.946000000000002</c:v>
                </c:pt>
                <c:pt idx="26">
                  <c:v>17.045000000000002</c:v>
                </c:pt>
                <c:pt idx="27">
                  <c:v>16.859000000000002</c:v>
                </c:pt>
                <c:pt idx="28">
                  <c:v>17.009</c:v>
                </c:pt>
                <c:pt idx="29">
                  <c:v>17.050999999999998</c:v>
                </c:pt>
                <c:pt idx="30">
                  <c:v>16.969000000000001</c:v>
                </c:pt>
                <c:pt idx="31">
                  <c:v>16.968</c:v>
                </c:pt>
                <c:pt idx="32">
                  <c:v>16.928999999999998</c:v>
                </c:pt>
                <c:pt idx="33">
                  <c:v>16.960999999999999</c:v>
                </c:pt>
                <c:pt idx="34">
                  <c:v>16.954999999999998</c:v>
                </c:pt>
                <c:pt idx="35">
                  <c:v>17.024999999999999</c:v>
                </c:pt>
                <c:pt idx="36">
                  <c:v>16.957000000000001</c:v>
                </c:pt>
                <c:pt idx="37">
                  <c:v>16.945</c:v>
                </c:pt>
                <c:pt idx="38">
                  <c:v>16.917000000000002</c:v>
                </c:pt>
                <c:pt idx="39">
                  <c:v>16.896000000000001</c:v>
                </c:pt>
                <c:pt idx="40">
                  <c:v>16.992000000000001</c:v>
                </c:pt>
                <c:pt idx="41">
                  <c:v>16.908999999999999</c:v>
                </c:pt>
                <c:pt idx="42">
                  <c:v>16.902999999999999</c:v>
                </c:pt>
                <c:pt idx="43">
                  <c:v>17.042999999999999</c:v>
                </c:pt>
                <c:pt idx="44">
                  <c:v>16.98</c:v>
                </c:pt>
                <c:pt idx="45">
                  <c:v>16.887</c:v>
                </c:pt>
                <c:pt idx="46">
                  <c:v>16.914999999999999</c:v>
                </c:pt>
                <c:pt idx="47">
                  <c:v>16.916</c:v>
                </c:pt>
                <c:pt idx="48">
                  <c:v>16.902999999999999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('AMP1-6'!$S$4,'AMP1-6'!$S$4)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('AMP1-6'!$S$5,'AMP1-6'!$S$5)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4752"/>
        <c:axId val="493325144"/>
      </c:scatterChart>
      <c:valAx>
        <c:axId val="49332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5144"/>
        <c:crosses val="autoZero"/>
        <c:crossBetween val="midCat"/>
      </c:valAx>
      <c:valAx>
        <c:axId val="4933251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'AMP1-6'!$T$9:$T$106</c:f>
              <c:numCache>
                <c:formatCode>General</c:formatCode>
                <c:ptCount val="49"/>
                <c:pt idx="0">
                  <c:v>34.488</c:v>
                </c:pt>
                <c:pt idx="1">
                  <c:v>34.331000000000003</c:v>
                </c:pt>
                <c:pt idx="2">
                  <c:v>34.918999999999997</c:v>
                </c:pt>
                <c:pt idx="3">
                  <c:v>34.430999999999997</c:v>
                </c:pt>
                <c:pt idx="4">
                  <c:v>34.469000000000001</c:v>
                </c:pt>
                <c:pt idx="5">
                  <c:v>34.445999999999998</c:v>
                </c:pt>
                <c:pt idx="6">
                  <c:v>34.363999999999997</c:v>
                </c:pt>
                <c:pt idx="7">
                  <c:v>34.35</c:v>
                </c:pt>
                <c:pt idx="8">
                  <c:v>34.503</c:v>
                </c:pt>
                <c:pt idx="9">
                  <c:v>34.372</c:v>
                </c:pt>
                <c:pt idx="10">
                  <c:v>34.186999999999998</c:v>
                </c:pt>
                <c:pt idx="11">
                  <c:v>34.287999999999997</c:v>
                </c:pt>
                <c:pt idx="12">
                  <c:v>34.215000000000003</c:v>
                </c:pt>
                <c:pt idx="13">
                  <c:v>34.457000000000001</c:v>
                </c:pt>
                <c:pt idx="14">
                  <c:v>34.439</c:v>
                </c:pt>
                <c:pt idx="15">
                  <c:v>34.381999999999998</c:v>
                </c:pt>
                <c:pt idx="16">
                  <c:v>34.292000000000002</c:v>
                </c:pt>
                <c:pt idx="17">
                  <c:v>34.241999999999997</c:v>
                </c:pt>
                <c:pt idx="18">
                  <c:v>34.146999999999998</c:v>
                </c:pt>
                <c:pt idx="19">
                  <c:v>34.343000000000004</c:v>
                </c:pt>
                <c:pt idx="20">
                  <c:v>34.225999999999999</c:v>
                </c:pt>
                <c:pt idx="21">
                  <c:v>34.39</c:v>
                </c:pt>
                <c:pt idx="22">
                  <c:v>34.237000000000002</c:v>
                </c:pt>
                <c:pt idx="23">
                  <c:v>34.328000000000003</c:v>
                </c:pt>
                <c:pt idx="24">
                  <c:v>34.302999999999997</c:v>
                </c:pt>
                <c:pt idx="25">
                  <c:v>34.139000000000003</c:v>
                </c:pt>
                <c:pt idx="26">
                  <c:v>34.258000000000003</c:v>
                </c:pt>
                <c:pt idx="27">
                  <c:v>34.58</c:v>
                </c:pt>
                <c:pt idx="28">
                  <c:v>34.439</c:v>
                </c:pt>
                <c:pt idx="29">
                  <c:v>34.418999999999997</c:v>
                </c:pt>
                <c:pt idx="30">
                  <c:v>34.417999999999999</c:v>
                </c:pt>
                <c:pt idx="31">
                  <c:v>34.372</c:v>
                </c:pt>
                <c:pt idx="32">
                  <c:v>34.319000000000003</c:v>
                </c:pt>
                <c:pt idx="33">
                  <c:v>34.28</c:v>
                </c:pt>
                <c:pt idx="34">
                  <c:v>34.439</c:v>
                </c:pt>
                <c:pt idx="35">
                  <c:v>34.262999999999998</c:v>
                </c:pt>
                <c:pt idx="36">
                  <c:v>34.259</c:v>
                </c:pt>
                <c:pt idx="37">
                  <c:v>34.436</c:v>
                </c:pt>
                <c:pt idx="38">
                  <c:v>34.246000000000002</c:v>
                </c:pt>
                <c:pt idx="39">
                  <c:v>34.125</c:v>
                </c:pt>
                <c:pt idx="40">
                  <c:v>34.298000000000002</c:v>
                </c:pt>
                <c:pt idx="41">
                  <c:v>34.357999999999997</c:v>
                </c:pt>
                <c:pt idx="42">
                  <c:v>34.57</c:v>
                </c:pt>
                <c:pt idx="43">
                  <c:v>34.573999999999998</c:v>
                </c:pt>
                <c:pt idx="44">
                  <c:v>34.28</c:v>
                </c:pt>
                <c:pt idx="45">
                  <c:v>34.353000000000002</c:v>
                </c:pt>
                <c:pt idx="46">
                  <c:v>34.713999999999999</c:v>
                </c:pt>
                <c:pt idx="47">
                  <c:v>34.737000000000002</c:v>
                </c:pt>
                <c:pt idx="48">
                  <c:v>34.488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('AMP1-6'!$T$4,'AMP1-6'!$T$4)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('AMP1-6'!$T$5,'AMP1-6'!$T$5)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5928"/>
        <c:axId val="493326320"/>
      </c:scatterChart>
      <c:valAx>
        <c:axId val="49332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6320"/>
        <c:crosses val="autoZero"/>
        <c:crossBetween val="midCat"/>
      </c:valAx>
      <c:valAx>
        <c:axId val="4933263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'AMP1-6'!$U$9:$U$106</c:f>
              <c:numCache>
                <c:formatCode>General</c:formatCode>
                <c:ptCount val="49"/>
                <c:pt idx="0">
                  <c:v>34.893999999999998</c:v>
                </c:pt>
                <c:pt idx="1">
                  <c:v>35.024999999999999</c:v>
                </c:pt>
                <c:pt idx="2">
                  <c:v>34.506999999999998</c:v>
                </c:pt>
                <c:pt idx="3">
                  <c:v>35.061</c:v>
                </c:pt>
                <c:pt idx="4">
                  <c:v>35.076000000000001</c:v>
                </c:pt>
                <c:pt idx="5">
                  <c:v>35.052</c:v>
                </c:pt>
                <c:pt idx="6">
                  <c:v>35.103000000000002</c:v>
                </c:pt>
                <c:pt idx="7">
                  <c:v>35.024999999999999</c:v>
                </c:pt>
                <c:pt idx="8">
                  <c:v>34.97</c:v>
                </c:pt>
                <c:pt idx="9">
                  <c:v>35.052999999999997</c:v>
                </c:pt>
                <c:pt idx="10">
                  <c:v>34.957000000000001</c:v>
                </c:pt>
                <c:pt idx="11">
                  <c:v>35.042000000000002</c:v>
                </c:pt>
                <c:pt idx="12">
                  <c:v>34.905000000000001</c:v>
                </c:pt>
                <c:pt idx="13">
                  <c:v>34.954000000000001</c:v>
                </c:pt>
                <c:pt idx="14">
                  <c:v>35.006</c:v>
                </c:pt>
                <c:pt idx="15">
                  <c:v>35.018999999999998</c:v>
                </c:pt>
                <c:pt idx="16">
                  <c:v>35.020000000000003</c:v>
                </c:pt>
                <c:pt idx="17">
                  <c:v>35.08</c:v>
                </c:pt>
                <c:pt idx="18">
                  <c:v>35.08</c:v>
                </c:pt>
                <c:pt idx="19">
                  <c:v>34.774999999999999</c:v>
                </c:pt>
                <c:pt idx="20">
                  <c:v>35.226999999999997</c:v>
                </c:pt>
                <c:pt idx="21">
                  <c:v>35.054000000000002</c:v>
                </c:pt>
                <c:pt idx="22">
                  <c:v>34.999000000000002</c:v>
                </c:pt>
                <c:pt idx="23">
                  <c:v>35.024999999999999</c:v>
                </c:pt>
                <c:pt idx="24">
                  <c:v>34.825000000000003</c:v>
                </c:pt>
                <c:pt idx="25">
                  <c:v>35.154000000000003</c:v>
                </c:pt>
                <c:pt idx="26">
                  <c:v>34.909999999999997</c:v>
                </c:pt>
                <c:pt idx="27">
                  <c:v>35.231999999999999</c:v>
                </c:pt>
                <c:pt idx="28">
                  <c:v>35.109000000000002</c:v>
                </c:pt>
                <c:pt idx="29">
                  <c:v>35.018000000000001</c:v>
                </c:pt>
                <c:pt idx="30">
                  <c:v>35.131</c:v>
                </c:pt>
                <c:pt idx="31">
                  <c:v>35.082999999999998</c:v>
                </c:pt>
                <c:pt idx="32">
                  <c:v>35.225999999999999</c:v>
                </c:pt>
                <c:pt idx="33">
                  <c:v>35.049999999999997</c:v>
                </c:pt>
                <c:pt idx="34">
                  <c:v>35.152999999999999</c:v>
                </c:pt>
                <c:pt idx="35">
                  <c:v>35.073</c:v>
                </c:pt>
                <c:pt idx="36">
                  <c:v>34.954000000000001</c:v>
                </c:pt>
                <c:pt idx="37">
                  <c:v>34.793999999999997</c:v>
                </c:pt>
                <c:pt idx="38">
                  <c:v>35.234000000000002</c:v>
                </c:pt>
                <c:pt idx="39">
                  <c:v>35.253</c:v>
                </c:pt>
                <c:pt idx="40">
                  <c:v>35.136000000000003</c:v>
                </c:pt>
                <c:pt idx="41">
                  <c:v>35.055</c:v>
                </c:pt>
                <c:pt idx="42">
                  <c:v>34.776000000000003</c:v>
                </c:pt>
                <c:pt idx="43">
                  <c:v>35.048000000000002</c:v>
                </c:pt>
                <c:pt idx="44">
                  <c:v>34.659999999999997</c:v>
                </c:pt>
                <c:pt idx="45">
                  <c:v>35.131999999999998</c:v>
                </c:pt>
                <c:pt idx="46">
                  <c:v>34.848999999999997</c:v>
                </c:pt>
                <c:pt idx="47">
                  <c:v>34.954999999999998</c:v>
                </c:pt>
                <c:pt idx="48">
                  <c:v>35.238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('AMP1-6'!$U$4,'AMP1-6'!$U$4)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('AMP1-6'!$U$5,'AMP1-6'!$U$5)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7104"/>
        <c:axId val="493327496"/>
      </c:scatterChart>
      <c:valAx>
        <c:axId val="49332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7496"/>
        <c:crosses val="autoZero"/>
        <c:crossBetween val="midCat"/>
      </c:valAx>
      <c:valAx>
        <c:axId val="4933274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'AMP1-6'!$AB$9:$AB$106</c:f>
              <c:numCache>
                <c:formatCode>General</c:formatCode>
                <c:ptCount val="49"/>
                <c:pt idx="0">
                  <c:v>-0.111</c:v>
                </c:pt>
                <c:pt idx="1">
                  <c:v>-0.21</c:v>
                </c:pt>
                <c:pt idx="2">
                  <c:v>-0.13100000000000001</c:v>
                </c:pt>
                <c:pt idx="3">
                  <c:v>-0.154</c:v>
                </c:pt>
                <c:pt idx="4">
                  <c:v>-0.251</c:v>
                </c:pt>
                <c:pt idx="5">
                  <c:v>-0.23300000000000001</c:v>
                </c:pt>
                <c:pt idx="6">
                  <c:v>-0.191</c:v>
                </c:pt>
                <c:pt idx="7">
                  <c:v>-0.30099999999999999</c:v>
                </c:pt>
                <c:pt idx="8">
                  <c:v>-0.314</c:v>
                </c:pt>
                <c:pt idx="9">
                  <c:v>-0.309</c:v>
                </c:pt>
                <c:pt idx="10">
                  <c:v>-0.33700000000000002</c:v>
                </c:pt>
                <c:pt idx="11">
                  <c:v>-0.33900000000000002</c:v>
                </c:pt>
                <c:pt idx="12">
                  <c:v>-0.25800000000000001</c:v>
                </c:pt>
                <c:pt idx="13">
                  <c:v>-0.32800000000000001</c:v>
                </c:pt>
                <c:pt idx="14">
                  <c:v>-0.29599999999999999</c:v>
                </c:pt>
                <c:pt idx="15">
                  <c:v>-0.33200000000000002</c:v>
                </c:pt>
                <c:pt idx="16">
                  <c:v>-0.36799999999999999</c:v>
                </c:pt>
                <c:pt idx="17">
                  <c:v>-0.378</c:v>
                </c:pt>
                <c:pt idx="18">
                  <c:v>-0.38900000000000001</c:v>
                </c:pt>
                <c:pt idx="19">
                  <c:v>-0.44</c:v>
                </c:pt>
                <c:pt idx="20">
                  <c:v>-0.32200000000000001</c:v>
                </c:pt>
                <c:pt idx="21">
                  <c:v>-0.38900000000000001</c:v>
                </c:pt>
                <c:pt idx="22">
                  <c:v>-0.35099999999999998</c:v>
                </c:pt>
                <c:pt idx="23">
                  <c:v>-0.60699999999999998</c:v>
                </c:pt>
                <c:pt idx="24">
                  <c:v>-0.438</c:v>
                </c:pt>
                <c:pt idx="25">
                  <c:v>-0.44700000000000001</c:v>
                </c:pt>
                <c:pt idx="26">
                  <c:v>-0.60299999999999998</c:v>
                </c:pt>
                <c:pt idx="27">
                  <c:v>-7.4999999999999997E-2</c:v>
                </c:pt>
                <c:pt idx="28">
                  <c:v>0.115</c:v>
                </c:pt>
                <c:pt idx="29">
                  <c:v>-0.10299999999999999</c:v>
                </c:pt>
                <c:pt idx="30">
                  <c:v>-0.27200000000000002</c:v>
                </c:pt>
                <c:pt idx="31">
                  <c:v>-0.20799999999999999</c:v>
                </c:pt>
                <c:pt idx="32">
                  <c:v>-0.17499999999999999</c:v>
                </c:pt>
                <c:pt idx="33">
                  <c:v>-0.30099999999999999</c:v>
                </c:pt>
                <c:pt idx="34">
                  <c:v>-0.23599999999999999</c:v>
                </c:pt>
                <c:pt idx="35">
                  <c:v>-0.20799999999999999</c:v>
                </c:pt>
                <c:pt idx="36">
                  <c:v>-0.245</c:v>
                </c:pt>
                <c:pt idx="37">
                  <c:v>-0.36199999999999999</c:v>
                </c:pt>
                <c:pt idx="38">
                  <c:v>-0.247</c:v>
                </c:pt>
                <c:pt idx="39">
                  <c:v>-0.36199999999999999</c:v>
                </c:pt>
                <c:pt idx="40">
                  <c:v>-0.17199999999999999</c:v>
                </c:pt>
                <c:pt idx="41">
                  <c:v>-0.318</c:v>
                </c:pt>
                <c:pt idx="42">
                  <c:v>-0.27400000000000002</c:v>
                </c:pt>
                <c:pt idx="43">
                  <c:v>-0.109</c:v>
                </c:pt>
                <c:pt idx="44">
                  <c:v>-0.17</c:v>
                </c:pt>
                <c:pt idx="45">
                  <c:v>-0.114</c:v>
                </c:pt>
                <c:pt idx="46">
                  <c:v>-0.20599999999999999</c:v>
                </c:pt>
                <c:pt idx="47">
                  <c:v>-0.22500000000000001</c:v>
                </c:pt>
                <c:pt idx="48">
                  <c:v>-0.14899999999999999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('AMP1-6'!$AB$4,'AMP1-6'!$AB$4)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('AMP1-6'!$AB$5,'AMP1-6'!$AB$5)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8280"/>
        <c:axId val="493328672"/>
      </c:scatterChart>
      <c:valAx>
        <c:axId val="493328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8672"/>
        <c:crosses val="autoZero"/>
        <c:crossBetween val="midCat"/>
      </c:valAx>
      <c:valAx>
        <c:axId val="4933286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8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'AMP1-6'!$AC$9:$AC$106</c:f>
              <c:numCache>
                <c:formatCode>General</c:formatCode>
                <c:ptCount val="49"/>
                <c:pt idx="0">
                  <c:v>-0.16</c:v>
                </c:pt>
                <c:pt idx="1">
                  <c:v>-0.251</c:v>
                </c:pt>
                <c:pt idx="2">
                  <c:v>-0.16700000000000001</c:v>
                </c:pt>
                <c:pt idx="3">
                  <c:v>-0.217</c:v>
                </c:pt>
                <c:pt idx="4">
                  <c:v>-0.27500000000000002</c:v>
                </c:pt>
                <c:pt idx="5">
                  <c:v>-0.248</c:v>
                </c:pt>
                <c:pt idx="6">
                  <c:v>-0.24199999999999999</c:v>
                </c:pt>
                <c:pt idx="7">
                  <c:v>-0.29899999999999999</c:v>
                </c:pt>
                <c:pt idx="8">
                  <c:v>-0.34</c:v>
                </c:pt>
                <c:pt idx="9">
                  <c:v>-0.33900000000000002</c:v>
                </c:pt>
                <c:pt idx="10">
                  <c:v>-0.36399999999999999</c:v>
                </c:pt>
                <c:pt idx="11">
                  <c:v>-0.379</c:v>
                </c:pt>
                <c:pt idx="12">
                  <c:v>-0.28199999999999997</c:v>
                </c:pt>
                <c:pt idx="13">
                  <c:v>-0.32400000000000001</c:v>
                </c:pt>
                <c:pt idx="14">
                  <c:v>-0.34499999999999997</c:v>
                </c:pt>
                <c:pt idx="15">
                  <c:v>-0.38100000000000001</c:v>
                </c:pt>
                <c:pt idx="16">
                  <c:v>-0.40600000000000003</c:v>
                </c:pt>
                <c:pt idx="17">
                  <c:v>-0.40100000000000002</c:v>
                </c:pt>
                <c:pt idx="18">
                  <c:v>-0.434</c:v>
                </c:pt>
                <c:pt idx="19">
                  <c:v>-0.45100000000000001</c:v>
                </c:pt>
                <c:pt idx="20">
                  <c:v>-0.36099999999999999</c:v>
                </c:pt>
                <c:pt idx="21">
                  <c:v>-0.432</c:v>
                </c:pt>
                <c:pt idx="22">
                  <c:v>-0.379</c:v>
                </c:pt>
                <c:pt idx="23">
                  <c:v>-0.628</c:v>
                </c:pt>
                <c:pt idx="24">
                  <c:v>-0.441</c:v>
                </c:pt>
                <c:pt idx="25">
                  <c:v>-0.49199999999999999</c:v>
                </c:pt>
                <c:pt idx="26">
                  <c:v>-0.59</c:v>
                </c:pt>
                <c:pt idx="27">
                  <c:v>-9.7000000000000003E-2</c:v>
                </c:pt>
                <c:pt idx="28">
                  <c:v>9.2999999999999999E-2</c:v>
                </c:pt>
                <c:pt idx="29">
                  <c:v>-0.111</c:v>
                </c:pt>
                <c:pt idx="30">
                  <c:v>-0.27</c:v>
                </c:pt>
                <c:pt idx="31">
                  <c:v>-0.23699999999999999</c:v>
                </c:pt>
                <c:pt idx="32">
                  <c:v>-0.20100000000000001</c:v>
                </c:pt>
                <c:pt idx="33">
                  <c:v>-0.31900000000000001</c:v>
                </c:pt>
                <c:pt idx="34">
                  <c:v>-0.20100000000000001</c:v>
                </c:pt>
                <c:pt idx="35">
                  <c:v>-0.26300000000000001</c:v>
                </c:pt>
                <c:pt idx="36">
                  <c:v>-0.26300000000000001</c:v>
                </c:pt>
                <c:pt idx="37">
                  <c:v>-0.38400000000000001</c:v>
                </c:pt>
                <c:pt idx="38">
                  <c:v>-0.28399999999999997</c:v>
                </c:pt>
                <c:pt idx="39">
                  <c:v>-0.40300000000000002</c:v>
                </c:pt>
                <c:pt idx="40">
                  <c:v>-0.187</c:v>
                </c:pt>
                <c:pt idx="41">
                  <c:v>-0.36299999999999999</c:v>
                </c:pt>
                <c:pt idx="42">
                  <c:v>-0.29499999999999998</c:v>
                </c:pt>
                <c:pt idx="43">
                  <c:v>-0.128</c:v>
                </c:pt>
                <c:pt idx="44">
                  <c:v>-0.19900000000000001</c:v>
                </c:pt>
                <c:pt idx="45">
                  <c:v>-0.16900000000000001</c:v>
                </c:pt>
                <c:pt idx="46">
                  <c:v>-0.222</c:v>
                </c:pt>
                <c:pt idx="47">
                  <c:v>-0.27400000000000002</c:v>
                </c:pt>
                <c:pt idx="48">
                  <c:v>-0.16800000000000001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('AMP1-6'!$AC$4,'AMP1-6'!$AC$4)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('AMP1-6'!$AC$5,'AMP1-6'!$AC$5)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29456"/>
        <c:axId val="493329848"/>
      </c:scatterChart>
      <c:valAx>
        <c:axId val="49332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9848"/>
        <c:crosses val="autoZero"/>
        <c:crossBetween val="midCat"/>
      </c:valAx>
      <c:valAx>
        <c:axId val="4933298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2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'AMP1-6'!$AD$9:$AD$106</c:f>
              <c:numCache>
                <c:formatCode>General</c:formatCode>
                <c:ptCount val="49"/>
                <c:pt idx="0">
                  <c:v>0.19400000000000001</c:v>
                </c:pt>
                <c:pt idx="1">
                  <c:v>0.17299999999999999</c:v>
                </c:pt>
                <c:pt idx="2">
                  <c:v>0.24199999999999999</c:v>
                </c:pt>
                <c:pt idx="3">
                  <c:v>0.26600000000000001</c:v>
                </c:pt>
                <c:pt idx="4">
                  <c:v>0.14000000000000001</c:v>
                </c:pt>
                <c:pt idx="5">
                  <c:v>0.17399999999999999</c:v>
                </c:pt>
                <c:pt idx="6">
                  <c:v>0.254</c:v>
                </c:pt>
                <c:pt idx="7">
                  <c:v>0.17399999999999999</c:v>
                </c:pt>
                <c:pt idx="8">
                  <c:v>0.17799999999999999</c:v>
                </c:pt>
                <c:pt idx="9">
                  <c:v>0.11700000000000001</c:v>
                </c:pt>
                <c:pt idx="10">
                  <c:v>0.13100000000000001</c:v>
                </c:pt>
                <c:pt idx="11">
                  <c:v>0.18099999999999999</c:v>
                </c:pt>
                <c:pt idx="12">
                  <c:v>0.10199999999999999</c:v>
                </c:pt>
                <c:pt idx="13">
                  <c:v>0.182</c:v>
                </c:pt>
                <c:pt idx="14">
                  <c:v>0.16800000000000001</c:v>
                </c:pt>
                <c:pt idx="15">
                  <c:v>0.17</c:v>
                </c:pt>
                <c:pt idx="16">
                  <c:v>6.5000000000000002E-2</c:v>
                </c:pt>
                <c:pt idx="17">
                  <c:v>0.11600000000000001</c:v>
                </c:pt>
                <c:pt idx="18">
                  <c:v>0.13</c:v>
                </c:pt>
                <c:pt idx="19">
                  <c:v>7.0000000000000001E-3</c:v>
                </c:pt>
                <c:pt idx="20">
                  <c:v>0.129</c:v>
                </c:pt>
                <c:pt idx="21">
                  <c:v>0.12</c:v>
                </c:pt>
                <c:pt idx="22">
                  <c:v>0.14399999999999999</c:v>
                </c:pt>
                <c:pt idx="23">
                  <c:v>1.2E-2</c:v>
                </c:pt>
                <c:pt idx="24">
                  <c:v>5.6000000000000001E-2</c:v>
                </c:pt>
                <c:pt idx="25">
                  <c:v>5.5E-2</c:v>
                </c:pt>
                <c:pt idx="26">
                  <c:v>-2.3E-2</c:v>
                </c:pt>
                <c:pt idx="27">
                  <c:v>0.36399999999999999</c:v>
                </c:pt>
                <c:pt idx="28">
                  <c:v>0.38200000000000001</c:v>
                </c:pt>
                <c:pt idx="29">
                  <c:v>0.20100000000000001</c:v>
                </c:pt>
                <c:pt idx="30">
                  <c:v>0.192</c:v>
                </c:pt>
                <c:pt idx="31">
                  <c:v>0.16200000000000001</c:v>
                </c:pt>
                <c:pt idx="32">
                  <c:v>0.21099999999999999</c:v>
                </c:pt>
                <c:pt idx="33">
                  <c:v>0.11</c:v>
                </c:pt>
                <c:pt idx="34">
                  <c:v>0.14499999999999999</c:v>
                </c:pt>
                <c:pt idx="35">
                  <c:v>0.13</c:v>
                </c:pt>
                <c:pt idx="36">
                  <c:v>0.113</c:v>
                </c:pt>
                <c:pt idx="37">
                  <c:v>0.14399999999999999</c:v>
                </c:pt>
                <c:pt idx="38">
                  <c:v>4.2999999999999997E-2</c:v>
                </c:pt>
                <c:pt idx="39">
                  <c:v>0.13600000000000001</c:v>
                </c:pt>
                <c:pt idx="40">
                  <c:v>0.17499999999999999</c:v>
                </c:pt>
                <c:pt idx="41">
                  <c:v>8.5000000000000006E-2</c:v>
                </c:pt>
                <c:pt idx="42">
                  <c:v>0.156</c:v>
                </c:pt>
                <c:pt idx="43">
                  <c:v>0.27200000000000002</c:v>
                </c:pt>
                <c:pt idx="44">
                  <c:v>0.25800000000000001</c:v>
                </c:pt>
                <c:pt idx="45">
                  <c:v>0.308</c:v>
                </c:pt>
                <c:pt idx="46">
                  <c:v>0.20699999999999999</c:v>
                </c:pt>
                <c:pt idx="47">
                  <c:v>0.23100000000000001</c:v>
                </c:pt>
                <c:pt idx="48">
                  <c:v>0.28199999999999997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('AMP1-6'!$AD$4,'AMP1-6'!$AD$4)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('AMP1-6'!$AD$5,'AMP1-6'!$AD$5)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0632"/>
        <c:axId val="493331024"/>
      </c:scatterChart>
      <c:valAx>
        <c:axId val="49333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1024"/>
        <c:crosses val="autoZero"/>
        <c:crossBetween val="midCat"/>
      </c:valAx>
      <c:valAx>
        <c:axId val="4933310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'AMP1-6'!$AE$9:$AE$106</c:f>
              <c:numCache>
                <c:formatCode>General</c:formatCode>
                <c:ptCount val="49"/>
                <c:pt idx="0">
                  <c:v>-0.151</c:v>
                </c:pt>
                <c:pt idx="1">
                  <c:v>-0.10100000000000001</c:v>
                </c:pt>
                <c:pt idx="2">
                  <c:v>-3.5000000000000003E-2</c:v>
                </c:pt>
                <c:pt idx="3">
                  <c:v>-0.06</c:v>
                </c:pt>
                <c:pt idx="4">
                  <c:v>-0.112</c:v>
                </c:pt>
                <c:pt idx="5">
                  <c:v>-0.122</c:v>
                </c:pt>
                <c:pt idx="6">
                  <c:v>-7.2999999999999995E-2</c:v>
                </c:pt>
                <c:pt idx="7">
                  <c:v>-0.10100000000000001</c:v>
                </c:pt>
                <c:pt idx="8">
                  <c:v>-0.23400000000000001</c:v>
                </c:pt>
                <c:pt idx="9">
                  <c:v>-0.157</c:v>
                </c:pt>
                <c:pt idx="10">
                  <c:v>-0.13100000000000001</c:v>
                </c:pt>
                <c:pt idx="11">
                  <c:v>-0.11799999999999999</c:v>
                </c:pt>
                <c:pt idx="12">
                  <c:v>-0.152</c:v>
                </c:pt>
                <c:pt idx="13">
                  <c:v>-0.13100000000000001</c:v>
                </c:pt>
                <c:pt idx="14">
                  <c:v>-0.126</c:v>
                </c:pt>
                <c:pt idx="15">
                  <c:v>-0.124</c:v>
                </c:pt>
                <c:pt idx="16">
                  <c:v>-0.22700000000000001</c:v>
                </c:pt>
                <c:pt idx="17">
                  <c:v>-0.157</c:v>
                </c:pt>
                <c:pt idx="18">
                  <c:v>-0.161</c:v>
                </c:pt>
                <c:pt idx="19">
                  <c:v>-0.32300000000000001</c:v>
                </c:pt>
                <c:pt idx="20">
                  <c:v>-0.17599999999999999</c:v>
                </c:pt>
                <c:pt idx="21">
                  <c:v>-0.21299999999999999</c:v>
                </c:pt>
                <c:pt idx="22">
                  <c:v>-0.192</c:v>
                </c:pt>
                <c:pt idx="23">
                  <c:v>-0.27300000000000002</c:v>
                </c:pt>
                <c:pt idx="24">
                  <c:v>-0.245</c:v>
                </c:pt>
                <c:pt idx="25">
                  <c:v>-0.23400000000000001</c:v>
                </c:pt>
                <c:pt idx="26">
                  <c:v>-0.23599999999999999</c:v>
                </c:pt>
                <c:pt idx="27">
                  <c:v>1.2E-2</c:v>
                </c:pt>
                <c:pt idx="28">
                  <c:v>0.12</c:v>
                </c:pt>
                <c:pt idx="29">
                  <c:v>-0.10299999999999999</c:v>
                </c:pt>
                <c:pt idx="30">
                  <c:v>-1.7999999999999999E-2</c:v>
                </c:pt>
                <c:pt idx="31">
                  <c:v>-7.0999999999999994E-2</c:v>
                </c:pt>
                <c:pt idx="32">
                  <c:v>-9.5000000000000001E-2</c:v>
                </c:pt>
                <c:pt idx="33">
                  <c:v>-0.10299999999999999</c:v>
                </c:pt>
                <c:pt idx="34">
                  <c:v>-0.124</c:v>
                </c:pt>
                <c:pt idx="35">
                  <c:v>-0.104</c:v>
                </c:pt>
                <c:pt idx="36">
                  <c:v>-0.13800000000000001</c:v>
                </c:pt>
                <c:pt idx="37">
                  <c:v>-5.3999999999999999E-2</c:v>
                </c:pt>
                <c:pt idx="38">
                  <c:v>-0.18099999999999999</c:v>
                </c:pt>
                <c:pt idx="39">
                  <c:v>-0.155</c:v>
                </c:pt>
                <c:pt idx="40">
                  <c:v>-0.13800000000000001</c:v>
                </c:pt>
                <c:pt idx="41">
                  <c:v>-0.186</c:v>
                </c:pt>
                <c:pt idx="42">
                  <c:v>-0.122</c:v>
                </c:pt>
                <c:pt idx="43">
                  <c:v>-4.4999999999999998E-2</c:v>
                </c:pt>
                <c:pt idx="44">
                  <c:v>-5.8000000000000003E-2</c:v>
                </c:pt>
                <c:pt idx="45">
                  <c:v>-4.5999999999999999E-2</c:v>
                </c:pt>
                <c:pt idx="46">
                  <c:v>-0.13900000000000001</c:v>
                </c:pt>
                <c:pt idx="47">
                  <c:v>-0.15</c:v>
                </c:pt>
                <c:pt idx="48">
                  <c:v>-7.5999999999999998E-2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('AMP1-6'!$AE$4,'AMP1-6'!$AE$4)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('AMP1-6'!$AE$5,'AMP1-6'!$AE$5)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2200"/>
        <c:axId val="493332592"/>
      </c:scatterChart>
      <c:valAx>
        <c:axId val="49333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2592"/>
        <c:crosses val="autoZero"/>
        <c:crossBetween val="midCat"/>
      </c:valAx>
      <c:valAx>
        <c:axId val="493332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'AMP1-6'!$AF$9:$AF$106</c:f>
              <c:numCache>
                <c:formatCode>General</c:formatCode>
                <c:ptCount val="49"/>
                <c:pt idx="0">
                  <c:v>5.0000000000000001E-3</c:v>
                </c:pt>
                <c:pt idx="1">
                  <c:v>-0.14799999999999999</c:v>
                </c:pt>
                <c:pt idx="2">
                  <c:v>-0.11899999999999999</c:v>
                </c:pt>
                <c:pt idx="3">
                  <c:v>-0.106</c:v>
                </c:pt>
                <c:pt idx="4">
                  <c:v>-0.222</c:v>
                </c:pt>
                <c:pt idx="5">
                  <c:v>-0.187</c:v>
                </c:pt>
                <c:pt idx="6">
                  <c:v>-0.107</c:v>
                </c:pt>
                <c:pt idx="7">
                  <c:v>-0.16800000000000001</c:v>
                </c:pt>
                <c:pt idx="8">
                  <c:v>-0.26200000000000001</c:v>
                </c:pt>
                <c:pt idx="9">
                  <c:v>-0.27200000000000002</c:v>
                </c:pt>
                <c:pt idx="10">
                  <c:v>-0.189</c:v>
                </c:pt>
                <c:pt idx="11">
                  <c:v>-0.22700000000000001</c:v>
                </c:pt>
                <c:pt idx="12">
                  <c:v>-0.245</c:v>
                </c:pt>
                <c:pt idx="13">
                  <c:v>-0.24099999999999999</c:v>
                </c:pt>
                <c:pt idx="14">
                  <c:v>-0.21199999999999999</c:v>
                </c:pt>
                <c:pt idx="15">
                  <c:v>-0.316</c:v>
                </c:pt>
                <c:pt idx="16">
                  <c:v>-0.32900000000000001</c:v>
                </c:pt>
                <c:pt idx="17">
                  <c:v>-0.27200000000000002</c:v>
                </c:pt>
                <c:pt idx="18">
                  <c:v>-0.33200000000000002</c:v>
                </c:pt>
                <c:pt idx="19">
                  <c:v>-0.33800000000000002</c:v>
                </c:pt>
                <c:pt idx="20">
                  <c:v>-0.25900000000000001</c:v>
                </c:pt>
                <c:pt idx="21">
                  <c:v>-0.34599999999999997</c:v>
                </c:pt>
                <c:pt idx="22">
                  <c:v>-0.30199999999999999</c:v>
                </c:pt>
                <c:pt idx="23">
                  <c:v>-0.505</c:v>
                </c:pt>
                <c:pt idx="24">
                  <c:v>-0.44800000000000001</c:v>
                </c:pt>
                <c:pt idx="25">
                  <c:v>-0.42299999999999999</c:v>
                </c:pt>
                <c:pt idx="26">
                  <c:v>-0.51200000000000001</c:v>
                </c:pt>
                <c:pt idx="27">
                  <c:v>-1.9E-2</c:v>
                </c:pt>
                <c:pt idx="28">
                  <c:v>8.4000000000000005E-2</c:v>
                </c:pt>
                <c:pt idx="29">
                  <c:v>-1.4E-2</c:v>
                </c:pt>
                <c:pt idx="30">
                  <c:v>-0.157</c:v>
                </c:pt>
                <c:pt idx="31">
                  <c:v>-0.14399999999999999</c:v>
                </c:pt>
                <c:pt idx="32">
                  <c:v>-0.156</c:v>
                </c:pt>
                <c:pt idx="33">
                  <c:v>-0.193</c:v>
                </c:pt>
                <c:pt idx="34">
                  <c:v>-4.8000000000000001E-2</c:v>
                </c:pt>
                <c:pt idx="35">
                  <c:v>-0.17699999999999999</c:v>
                </c:pt>
                <c:pt idx="36">
                  <c:v>-0.19400000000000001</c:v>
                </c:pt>
                <c:pt idx="37">
                  <c:v>-0.374</c:v>
                </c:pt>
                <c:pt idx="38">
                  <c:v>-6.7000000000000004E-2</c:v>
                </c:pt>
                <c:pt idx="39">
                  <c:v>-0.29099999999999998</c:v>
                </c:pt>
                <c:pt idx="40">
                  <c:v>-0.10299999999999999</c:v>
                </c:pt>
                <c:pt idx="41">
                  <c:v>-0.21299999999999999</c:v>
                </c:pt>
                <c:pt idx="42">
                  <c:v>-0.22500000000000001</c:v>
                </c:pt>
                <c:pt idx="43">
                  <c:v>-7.1999999999999995E-2</c:v>
                </c:pt>
                <c:pt idx="44">
                  <c:v>-7.2999999999999995E-2</c:v>
                </c:pt>
                <c:pt idx="45">
                  <c:v>-0.111</c:v>
                </c:pt>
                <c:pt idx="46">
                  <c:v>-0.154</c:v>
                </c:pt>
                <c:pt idx="47">
                  <c:v>-0.13800000000000001</c:v>
                </c:pt>
                <c:pt idx="48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('AMP1-6'!$AF$4,'AMP1-6'!$AF$4)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('AMP1-6'!$AF$5,'AMP1-6'!$AF$5)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2984"/>
        <c:axId val="493333376"/>
      </c:scatterChart>
      <c:valAx>
        <c:axId val="493332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3376"/>
        <c:crosses val="autoZero"/>
        <c:crossBetween val="midCat"/>
      </c:valAx>
      <c:valAx>
        <c:axId val="4933333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2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'AMP1-6'!$AG$9:$AG$106</c:f>
              <c:numCache>
                <c:formatCode>General</c:formatCode>
                <c:ptCount val="49"/>
                <c:pt idx="0">
                  <c:v>0.10100000000000001</c:v>
                </c:pt>
                <c:pt idx="1">
                  <c:v>-3.5000000000000003E-2</c:v>
                </c:pt>
                <c:pt idx="2">
                  <c:v>-6.0000000000000001E-3</c:v>
                </c:pt>
                <c:pt idx="3">
                  <c:v>1.7000000000000001E-2</c:v>
                </c:pt>
                <c:pt idx="4">
                  <c:v>-3.5999999999999997E-2</c:v>
                </c:pt>
                <c:pt idx="5">
                  <c:v>-7.0000000000000007E-2</c:v>
                </c:pt>
                <c:pt idx="6">
                  <c:v>1.7999999999999999E-2</c:v>
                </c:pt>
                <c:pt idx="7">
                  <c:v>-7.2999999999999995E-2</c:v>
                </c:pt>
                <c:pt idx="8">
                  <c:v>-0.156</c:v>
                </c:pt>
                <c:pt idx="9">
                  <c:v>-0.13500000000000001</c:v>
                </c:pt>
                <c:pt idx="10">
                  <c:v>-8.2000000000000003E-2</c:v>
                </c:pt>
                <c:pt idx="11">
                  <c:v>-0.11899999999999999</c:v>
                </c:pt>
                <c:pt idx="12">
                  <c:v>-0.11899999999999999</c:v>
                </c:pt>
                <c:pt idx="13">
                  <c:v>-0.106</c:v>
                </c:pt>
                <c:pt idx="14">
                  <c:v>-0.11</c:v>
                </c:pt>
                <c:pt idx="15">
                  <c:v>-0.18</c:v>
                </c:pt>
                <c:pt idx="16">
                  <c:v>-0.223</c:v>
                </c:pt>
                <c:pt idx="17">
                  <c:v>-0.14099999999999999</c:v>
                </c:pt>
                <c:pt idx="18">
                  <c:v>-0.20100000000000001</c:v>
                </c:pt>
                <c:pt idx="19">
                  <c:v>-0.17299999999999999</c:v>
                </c:pt>
                <c:pt idx="20">
                  <c:v>-0.14399999999999999</c:v>
                </c:pt>
                <c:pt idx="21">
                  <c:v>-0.23</c:v>
                </c:pt>
                <c:pt idx="22">
                  <c:v>-0.20499999999999999</c:v>
                </c:pt>
                <c:pt idx="23">
                  <c:v>-0.35599999999999998</c:v>
                </c:pt>
                <c:pt idx="24">
                  <c:v>-0.30299999999999999</c:v>
                </c:pt>
                <c:pt idx="25">
                  <c:v>-0.29499999999999998</c:v>
                </c:pt>
                <c:pt idx="26">
                  <c:v>-0.39100000000000001</c:v>
                </c:pt>
                <c:pt idx="27">
                  <c:v>0.10100000000000001</c:v>
                </c:pt>
                <c:pt idx="28">
                  <c:v>0.17399999999999999</c:v>
                </c:pt>
                <c:pt idx="29">
                  <c:v>0.1</c:v>
                </c:pt>
                <c:pt idx="30">
                  <c:v>5.0000000000000001E-3</c:v>
                </c:pt>
                <c:pt idx="31">
                  <c:v>-6.3E-2</c:v>
                </c:pt>
                <c:pt idx="32">
                  <c:v>-3.9E-2</c:v>
                </c:pt>
                <c:pt idx="33">
                  <c:v>-0.05</c:v>
                </c:pt>
                <c:pt idx="34">
                  <c:v>8.5000000000000006E-2</c:v>
                </c:pt>
                <c:pt idx="35">
                  <c:v>-4.7E-2</c:v>
                </c:pt>
                <c:pt idx="36">
                  <c:v>-6.7000000000000004E-2</c:v>
                </c:pt>
                <c:pt idx="37">
                  <c:v>-0.27800000000000002</c:v>
                </c:pt>
                <c:pt idx="38">
                  <c:v>6.3E-2</c:v>
                </c:pt>
                <c:pt idx="39">
                  <c:v>-0.14399999999999999</c:v>
                </c:pt>
                <c:pt idx="40">
                  <c:v>1.2999999999999999E-2</c:v>
                </c:pt>
                <c:pt idx="41">
                  <c:v>-7.0999999999999994E-2</c:v>
                </c:pt>
                <c:pt idx="42">
                  <c:v>-0.10199999999999999</c:v>
                </c:pt>
                <c:pt idx="43">
                  <c:v>1.7000000000000001E-2</c:v>
                </c:pt>
                <c:pt idx="44">
                  <c:v>7.1999999999999995E-2</c:v>
                </c:pt>
                <c:pt idx="45">
                  <c:v>5.0000000000000001E-3</c:v>
                </c:pt>
                <c:pt idx="46">
                  <c:v>-2.1999999999999999E-2</c:v>
                </c:pt>
                <c:pt idx="47">
                  <c:v>-0.01</c:v>
                </c:pt>
                <c:pt idx="48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('AMP1-6'!$AG$4,'AMP1-6'!$AG$4)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('AMP1-6'!$AG$5,'AMP1-6'!$AG$5)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4160"/>
        <c:axId val="493334552"/>
      </c:scatterChart>
      <c:valAx>
        <c:axId val="49333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4552"/>
        <c:crosses val="autoZero"/>
        <c:crossBetween val="midCat"/>
      </c:valAx>
      <c:valAx>
        <c:axId val="4933345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'AMP1-6'!$AH$9:$AH$106</c:f>
              <c:numCache>
                <c:formatCode>General</c:formatCode>
                <c:ptCount val="49"/>
                <c:pt idx="0">
                  <c:v>-2.1999999999999999E-2</c:v>
                </c:pt>
                <c:pt idx="1">
                  <c:v>-0.157</c:v>
                </c:pt>
                <c:pt idx="2">
                  <c:v>-0.124</c:v>
                </c:pt>
                <c:pt idx="3">
                  <c:v>-5.5E-2</c:v>
                </c:pt>
                <c:pt idx="4">
                  <c:v>-0.16200000000000001</c:v>
                </c:pt>
                <c:pt idx="5">
                  <c:v>-0.17</c:v>
                </c:pt>
                <c:pt idx="6">
                  <c:v>-3.6999999999999998E-2</c:v>
                </c:pt>
                <c:pt idx="7">
                  <c:v>-9.2999999999999999E-2</c:v>
                </c:pt>
                <c:pt idx="8">
                  <c:v>-0.183</c:v>
                </c:pt>
                <c:pt idx="9">
                  <c:v>-0.24099999999999999</c:v>
                </c:pt>
                <c:pt idx="10">
                  <c:v>1.9E-2</c:v>
                </c:pt>
                <c:pt idx="11">
                  <c:v>-8.1000000000000003E-2</c:v>
                </c:pt>
                <c:pt idx="12">
                  <c:v>-0.23799999999999999</c:v>
                </c:pt>
                <c:pt idx="13">
                  <c:v>-0.16900000000000001</c:v>
                </c:pt>
                <c:pt idx="14">
                  <c:v>-0.109</c:v>
                </c:pt>
                <c:pt idx="15">
                  <c:v>-0.16200000000000001</c:v>
                </c:pt>
                <c:pt idx="16">
                  <c:v>-0.23699999999999999</c:v>
                </c:pt>
                <c:pt idx="17">
                  <c:v>-0.17</c:v>
                </c:pt>
                <c:pt idx="18">
                  <c:v>-0.14899999999999999</c:v>
                </c:pt>
                <c:pt idx="19">
                  <c:v>-0.309</c:v>
                </c:pt>
                <c:pt idx="20">
                  <c:v>-0.13900000000000001</c:v>
                </c:pt>
                <c:pt idx="21">
                  <c:v>-0.19600000000000001</c:v>
                </c:pt>
                <c:pt idx="22">
                  <c:v>-0.217</c:v>
                </c:pt>
                <c:pt idx="23">
                  <c:v>-0.222</c:v>
                </c:pt>
                <c:pt idx="24">
                  <c:v>-0.26500000000000001</c:v>
                </c:pt>
                <c:pt idx="25">
                  <c:v>-0.25700000000000001</c:v>
                </c:pt>
                <c:pt idx="26">
                  <c:v>-0.34599999999999997</c:v>
                </c:pt>
                <c:pt idx="27">
                  <c:v>5.6000000000000001E-2</c:v>
                </c:pt>
                <c:pt idx="28">
                  <c:v>5.0000000000000001E-3</c:v>
                </c:pt>
                <c:pt idx="29">
                  <c:v>-8.1000000000000003E-2</c:v>
                </c:pt>
                <c:pt idx="30">
                  <c:v>-0.105</c:v>
                </c:pt>
                <c:pt idx="31">
                  <c:v>-0.151</c:v>
                </c:pt>
                <c:pt idx="32">
                  <c:v>-7.9000000000000001E-2</c:v>
                </c:pt>
                <c:pt idx="33">
                  <c:v>-0.16300000000000001</c:v>
                </c:pt>
                <c:pt idx="34">
                  <c:v>-6.8000000000000005E-2</c:v>
                </c:pt>
                <c:pt idx="35">
                  <c:v>-0.14899999999999999</c:v>
                </c:pt>
                <c:pt idx="36">
                  <c:v>-0.14699999999999999</c:v>
                </c:pt>
                <c:pt idx="37">
                  <c:v>-0.23300000000000001</c:v>
                </c:pt>
                <c:pt idx="38">
                  <c:v>-2.3E-2</c:v>
                </c:pt>
                <c:pt idx="39">
                  <c:v>-0.13900000000000001</c:v>
                </c:pt>
                <c:pt idx="40">
                  <c:v>-7.9000000000000001E-2</c:v>
                </c:pt>
                <c:pt idx="41">
                  <c:v>-0.161</c:v>
                </c:pt>
                <c:pt idx="42">
                  <c:v>-0.159</c:v>
                </c:pt>
                <c:pt idx="43">
                  <c:v>-4.1000000000000002E-2</c:v>
                </c:pt>
                <c:pt idx="44">
                  <c:v>-2.1999999999999999E-2</c:v>
                </c:pt>
                <c:pt idx="45">
                  <c:v>-9.6000000000000002E-2</c:v>
                </c:pt>
                <c:pt idx="46">
                  <c:v>-0.04</c:v>
                </c:pt>
                <c:pt idx="47">
                  <c:v>-8.5999999999999993E-2</c:v>
                </c:pt>
                <c:pt idx="48">
                  <c:v>0.13800000000000001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('AMP1-6'!$AH$4,'AMP1-6'!$AH$4)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('AMP1-6'!$AH$5,'AMP1-6'!$AH$5)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5336"/>
        <c:axId val="493335728"/>
      </c:scatterChart>
      <c:valAx>
        <c:axId val="493335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5728"/>
        <c:crosses val="autoZero"/>
        <c:crossBetween val="midCat"/>
      </c:valAx>
      <c:valAx>
        <c:axId val="4933357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5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'AMP1-6'!$AI$8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'AMP1-6'!$C$9:$C$106</c:f>
              <c:numCache>
                <c:formatCode>m/d/yy\ h:mm;@</c:formatCode>
                <c:ptCount val="49"/>
                <c:pt idx="0">
                  <c:v>43699.781504629631</c:v>
                </c:pt>
                <c:pt idx="1">
                  <c:v>43699.893877314818</c:v>
                </c:pt>
                <c:pt idx="2">
                  <c:v>43699.999201388891</c:v>
                </c:pt>
                <c:pt idx="3">
                  <c:v>43700.351481481484</c:v>
                </c:pt>
                <c:pt idx="4">
                  <c:v>43700.511377314811</c:v>
                </c:pt>
                <c:pt idx="5">
                  <c:v>43700.601331018515</c:v>
                </c:pt>
                <c:pt idx="6">
                  <c:v>43701.350474537037</c:v>
                </c:pt>
                <c:pt idx="7">
                  <c:v>43701.475821759261</c:v>
                </c:pt>
                <c:pt idx="8">
                  <c:v>43701.609618055554</c:v>
                </c:pt>
                <c:pt idx="9">
                  <c:v>43701.688981481479</c:v>
                </c:pt>
                <c:pt idx="10">
                  <c:v>43702.369247685187</c:v>
                </c:pt>
                <c:pt idx="11">
                  <c:v>43702.500740740739</c:v>
                </c:pt>
                <c:pt idx="12">
                  <c:v>43702.621840277781</c:v>
                </c:pt>
                <c:pt idx="13">
                  <c:v>43702.672581018516</c:v>
                </c:pt>
                <c:pt idx="14">
                  <c:v>43703.362685185188</c:v>
                </c:pt>
                <c:pt idx="15">
                  <c:v>43703.503854166665</c:v>
                </c:pt>
                <c:pt idx="16">
                  <c:v>43703.60261574074</c:v>
                </c:pt>
                <c:pt idx="17">
                  <c:v>43703.71665509259</c:v>
                </c:pt>
                <c:pt idx="18">
                  <c:v>43703.833032407405</c:v>
                </c:pt>
                <c:pt idx="19">
                  <c:v>43703.974641203706</c:v>
                </c:pt>
                <c:pt idx="20">
                  <c:v>43704.047662037039</c:v>
                </c:pt>
                <c:pt idx="21">
                  <c:v>43704.35738425926</c:v>
                </c:pt>
                <c:pt idx="22">
                  <c:v>43704.461655092593</c:v>
                </c:pt>
                <c:pt idx="23">
                  <c:v>43704.620358796295</c:v>
                </c:pt>
                <c:pt idx="24">
                  <c:v>43704.718321759261</c:v>
                </c:pt>
                <c:pt idx="25">
                  <c:v>43704.836956018517</c:v>
                </c:pt>
                <c:pt idx="26">
                  <c:v>43704.958287037036</c:v>
                </c:pt>
                <c:pt idx="27">
                  <c:v>43705.052546296298</c:v>
                </c:pt>
                <c:pt idx="28">
                  <c:v>43705.363379629627</c:v>
                </c:pt>
                <c:pt idx="29">
                  <c:v>43705.504745370374</c:v>
                </c:pt>
                <c:pt idx="30">
                  <c:v>43705.695567129631</c:v>
                </c:pt>
                <c:pt idx="31">
                  <c:v>43705.790069444447</c:v>
                </c:pt>
                <c:pt idx="32">
                  <c:v>43705.975370370368</c:v>
                </c:pt>
                <c:pt idx="33">
                  <c:v>43706.06449074074</c:v>
                </c:pt>
                <c:pt idx="34">
                  <c:v>43706.379988425928</c:v>
                </c:pt>
                <c:pt idx="35">
                  <c:v>43706.561076388891</c:v>
                </c:pt>
                <c:pt idx="36">
                  <c:v>43706.696967592594</c:v>
                </c:pt>
                <c:pt idx="37">
                  <c:v>43706.803761574076</c:v>
                </c:pt>
                <c:pt idx="38">
                  <c:v>43706.979155092595</c:v>
                </c:pt>
                <c:pt idx="39">
                  <c:v>43707.04210648148</c:v>
                </c:pt>
                <c:pt idx="40">
                  <c:v>43707.380555555559</c:v>
                </c:pt>
                <c:pt idx="41">
                  <c:v>43707.468587962961</c:v>
                </c:pt>
                <c:pt idx="42">
                  <c:v>43707.634884259256</c:v>
                </c:pt>
                <c:pt idx="43">
                  <c:v>43711.547523148147</c:v>
                </c:pt>
                <c:pt idx="44">
                  <c:v>43711.727037037039</c:v>
                </c:pt>
                <c:pt idx="45">
                  <c:v>43711.844166666669</c:v>
                </c:pt>
                <c:pt idx="46">
                  <c:v>43711.967905092592</c:v>
                </c:pt>
                <c:pt idx="47">
                  <c:v>43712.050451388888</c:v>
                </c:pt>
                <c:pt idx="48">
                  <c:v>43712.347453703704</c:v>
                </c:pt>
              </c:numCache>
            </c:numRef>
          </c:xVal>
          <c:yVal>
            <c:numRef>
              <c:f>'AMP1-6'!$AI$9:$AI$106</c:f>
              <c:numCache>
                <c:formatCode>General</c:formatCode>
                <c:ptCount val="49"/>
                <c:pt idx="0">
                  <c:v>9.7000000000000003E-2</c:v>
                </c:pt>
                <c:pt idx="1">
                  <c:v>2.9000000000000001E-2</c:v>
                </c:pt>
                <c:pt idx="2">
                  <c:v>-1.7999999999999999E-2</c:v>
                </c:pt>
                <c:pt idx="3">
                  <c:v>0.114</c:v>
                </c:pt>
                <c:pt idx="4">
                  <c:v>-2E-3</c:v>
                </c:pt>
                <c:pt idx="5">
                  <c:v>-5.0000000000000001E-3</c:v>
                </c:pt>
                <c:pt idx="6">
                  <c:v>0.13100000000000001</c:v>
                </c:pt>
                <c:pt idx="7">
                  <c:v>4.4999999999999998E-2</c:v>
                </c:pt>
                <c:pt idx="8">
                  <c:v>-5.2999999999999999E-2</c:v>
                </c:pt>
                <c:pt idx="9">
                  <c:v>-1.4999999999999999E-2</c:v>
                </c:pt>
                <c:pt idx="10">
                  <c:v>9.7000000000000003E-2</c:v>
                </c:pt>
                <c:pt idx="11">
                  <c:v>8.8999999999999996E-2</c:v>
                </c:pt>
                <c:pt idx="12">
                  <c:v>-5.8000000000000003E-2</c:v>
                </c:pt>
                <c:pt idx="13">
                  <c:v>1.7999999999999999E-2</c:v>
                </c:pt>
                <c:pt idx="14">
                  <c:v>2.8000000000000001E-2</c:v>
                </c:pt>
                <c:pt idx="15">
                  <c:v>2.3E-2</c:v>
                </c:pt>
                <c:pt idx="16">
                  <c:v>-0.08</c:v>
                </c:pt>
                <c:pt idx="17">
                  <c:v>2.9000000000000001E-2</c:v>
                </c:pt>
                <c:pt idx="18">
                  <c:v>0.03</c:v>
                </c:pt>
                <c:pt idx="19">
                  <c:v>-6.8000000000000005E-2</c:v>
                </c:pt>
                <c:pt idx="20">
                  <c:v>-1E-3</c:v>
                </c:pt>
                <c:pt idx="21">
                  <c:v>-3.7999999999999999E-2</c:v>
                </c:pt>
                <c:pt idx="22">
                  <c:v>-0.1</c:v>
                </c:pt>
                <c:pt idx="23">
                  <c:v>-5.1999999999999998E-2</c:v>
                </c:pt>
                <c:pt idx="24">
                  <c:v>-0.18099999999999999</c:v>
                </c:pt>
                <c:pt idx="25">
                  <c:v>-8.4000000000000005E-2</c:v>
                </c:pt>
                <c:pt idx="26">
                  <c:v>-0.17599999999999999</c:v>
                </c:pt>
                <c:pt idx="27">
                  <c:v>0.219</c:v>
                </c:pt>
                <c:pt idx="28">
                  <c:v>0.14000000000000001</c:v>
                </c:pt>
                <c:pt idx="29">
                  <c:v>0.08</c:v>
                </c:pt>
                <c:pt idx="30">
                  <c:v>9.7000000000000003E-2</c:v>
                </c:pt>
                <c:pt idx="31">
                  <c:v>2.7E-2</c:v>
                </c:pt>
                <c:pt idx="32">
                  <c:v>7.5999999999999998E-2</c:v>
                </c:pt>
                <c:pt idx="33">
                  <c:v>6.0000000000000001E-3</c:v>
                </c:pt>
                <c:pt idx="34">
                  <c:v>7.2999999999999995E-2</c:v>
                </c:pt>
                <c:pt idx="35">
                  <c:v>2.4E-2</c:v>
                </c:pt>
                <c:pt idx="36">
                  <c:v>1.2E-2</c:v>
                </c:pt>
                <c:pt idx="37">
                  <c:v>-7.6999999999999999E-2</c:v>
                </c:pt>
                <c:pt idx="38">
                  <c:v>0.14499999999999999</c:v>
                </c:pt>
                <c:pt idx="39">
                  <c:v>0.03</c:v>
                </c:pt>
                <c:pt idx="40">
                  <c:v>8.1000000000000003E-2</c:v>
                </c:pt>
                <c:pt idx="41">
                  <c:v>7.0000000000000001E-3</c:v>
                </c:pt>
                <c:pt idx="42">
                  <c:v>1.2E-2</c:v>
                </c:pt>
                <c:pt idx="43">
                  <c:v>8.2000000000000003E-2</c:v>
                </c:pt>
                <c:pt idx="44">
                  <c:v>0.16500000000000001</c:v>
                </c:pt>
                <c:pt idx="45">
                  <c:v>0.11600000000000001</c:v>
                </c:pt>
                <c:pt idx="46">
                  <c:v>6.6000000000000003E-2</c:v>
                </c:pt>
                <c:pt idx="47">
                  <c:v>9.6000000000000002E-2</c:v>
                </c:pt>
                <c:pt idx="48">
                  <c:v>0.253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D-4E90-930B-BBFA8FE0C2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('AMP1-6'!$AI$4,'AMP1-6'!$AI$4)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D-4925-8366-62EBFC290A1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('AMP1-6'!$C$1,'AMP1-6'!$C$2)</c:f>
              <c:numCache>
                <c:formatCode>m/d/yy\ h:mm;@</c:formatCode>
                <c:ptCount val="2"/>
                <c:pt idx="0">
                  <c:v>43699.781504629631</c:v>
                </c:pt>
                <c:pt idx="1">
                  <c:v>43712.349641203706</c:v>
                </c:pt>
              </c:numCache>
            </c:numRef>
          </c:xVal>
          <c:yVal>
            <c:numRef>
              <c:f>('AMP1-6'!$AI$5,'AMP1-6'!$AI$5)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D-4925-8366-62EBFC29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6512"/>
        <c:axId val="493336904"/>
      </c:scatterChart>
      <c:valAx>
        <c:axId val="49333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6904"/>
        <c:crosses val="autoZero"/>
        <c:crossBetween val="midCat"/>
      </c:valAx>
      <c:valAx>
        <c:axId val="4933369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'AMP5-2'!$F$9:$F$137</c:f>
              <c:numCache>
                <c:formatCode>General</c:formatCode>
                <c:ptCount val="129"/>
                <c:pt idx="0">
                  <c:v>41.39</c:v>
                </c:pt>
                <c:pt idx="2">
                  <c:v>41.271000000000001</c:v>
                </c:pt>
                <c:pt idx="4">
                  <c:v>41.134</c:v>
                </c:pt>
                <c:pt idx="6">
                  <c:v>41.265999999999998</c:v>
                </c:pt>
                <c:pt idx="8">
                  <c:v>41.194000000000003</c:v>
                </c:pt>
                <c:pt idx="10">
                  <c:v>41.313000000000002</c:v>
                </c:pt>
                <c:pt idx="12">
                  <c:v>41.225000000000001</c:v>
                </c:pt>
                <c:pt idx="14">
                  <c:v>41.143000000000001</c:v>
                </c:pt>
                <c:pt idx="16">
                  <c:v>41.341999999999999</c:v>
                </c:pt>
                <c:pt idx="18">
                  <c:v>40.799999999999997</c:v>
                </c:pt>
                <c:pt idx="20">
                  <c:v>41.335000000000001</c:v>
                </c:pt>
                <c:pt idx="22">
                  <c:v>41.103999999999999</c:v>
                </c:pt>
                <c:pt idx="24">
                  <c:v>41.286999999999999</c:v>
                </c:pt>
                <c:pt idx="26">
                  <c:v>41.185000000000002</c:v>
                </c:pt>
                <c:pt idx="28">
                  <c:v>41.101999999999997</c:v>
                </c:pt>
                <c:pt idx="30">
                  <c:v>40.999000000000002</c:v>
                </c:pt>
                <c:pt idx="32">
                  <c:v>40.981999999999999</c:v>
                </c:pt>
                <c:pt idx="34">
                  <c:v>41.176000000000002</c:v>
                </c:pt>
                <c:pt idx="36">
                  <c:v>41.015999999999998</c:v>
                </c:pt>
                <c:pt idx="38">
                  <c:v>40.853999999999999</c:v>
                </c:pt>
                <c:pt idx="40">
                  <c:v>41.411000000000001</c:v>
                </c:pt>
                <c:pt idx="42">
                  <c:v>41.174999999999997</c:v>
                </c:pt>
                <c:pt idx="44">
                  <c:v>41.075000000000003</c:v>
                </c:pt>
                <c:pt idx="46">
                  <c:v>41.1</c:v>
                </c:pt>
                <c:pt idx="48">
                  <c:v>41.206000000000003</c:v>
                </c:pt>
                <c:pt idx="50">
                  <c:v>41.149000000000001</c:v>
                </c:pt>
                <c:pt idx="52">
                  <c:v>40.975999999999999</c:v>
                </c:pt>
                <c:pt idx="54">
                  <c:v>41.12</c:v>
                </c:pt>
                <c:pt idx="56">
                  <c:v>41.043999999999997</c:v>
                </c:pt>
                <c:pt idx="58">
                  <c:v>40.844000000000001</c:v>
                </c:pt>
                <c:pt idx="60">
                  <c:v>41.110999999999997</c:v>
                </c:pt>
                <c:pt idx="62">
                  <c:v>41.2</c:v>
                </c:pt>
                <c:pt idx="64">
                  <c:v>41.034999999999997</c:v>
                </c:pt>
                <c:pt idx="66">
                  <c:v>40.923000000000002</c:v>
                </c:pt>
                <c:pt idx="68">
                  <c:v>41.167000000000002</c:v>
                </c:pt>
                <c:pt idx="70">
                  <c:v>40.950000000000003</c:v>
                </c:pt>
                <c:pt idx="72">
                  <c:v>41.024999999999999</c:v>
                </c:pt>
                <c:pt idx="74">
                  <c:v>40.991</c:v>
                </c:pt>
                <c:pt idx="76">
                  <c:v>41.148000000000003</c:v>
                </c:pt>
                <c:pt idx="78">
                  <c:v>41.067999999999998</c:v>
                </c:pt>
                <c:pt idx="80">
                  <c:v>41.186999999999998</c:v>
                </c:pt>
                <c:pt idx="82">
                  <c:v>41.389000000000003</c:v>
                </c:pt>
                <c:pt idx="84">
                  <c:v>41.094999999999999</c:v>
                </c:pt>
                <c:pt idx="86">
                  <c:v>41.274000000000001</c:v>
                </c:pt>
                <c:pt idx="88">
                  <c:v>41.216999999999999</c:v>
                </c:pt>
                <c:pt idx="90">
                  <c:v>40.951999999999998</c:v>
                </c:pt>
                <c:pt idx="92">
                  <c:v>41.241</c:v>
                </c:pt>
                <c:pt idx="94">
                  <c:v>41.377000000000002</c:v>
                </c:pt>
                <c:pt idx="96">
                  <c:v>41.215000000000003</c:v>
                </c:pt>
                <c:pt idx="98">
                  <c:v>41.011000000000003</c:v>
                </c:pt>
                <c:pt idx="100">
                  <c:v>40.981000000000002</c:v>
                </c:pt>
                <c:pt idx="102">
                  <c:v>41.249000000000002</c:v>
                </c:pt>
                <c:pt idx="104">
                  <c:v>41.287999999999997</c:v>
                </c:pt>
                <c:pt idx="106">
                  <c:v>41.128999999999998</c:v>
                </c:pt>
                <c:pt idx="108">
                  <c:v>41.170999999999999</c:v>
                </c:pt>
                <c:pt idx="110">
                  <c:v>40.936</c:v>
                </c:pt>
                <c:pt idx="112">
                  <c:v>41.146999999999998</c:v>
                </c:pt>
                <c:pt idx="114">
                  <c:v>41.046999999999997</c:v>
                </c:pt>
                <c:pt idx="116">
                  <c:v>41.018000000000001</c:v>
                </c:pt>
                <c:pt idx="118">
                  <c:v>41.003</c:v>
                </c:pt>
                <c:pt idx="120">
                  <c:v>40.765000000000001</c:v>
                </c:pt>
                <c:pt idx="121">
                  <c:v>40.762</c:v>
                </c:pt>
                <c:pt idx="123">
                  <c:v>41.487000000000002</c:v>
                </c:pt>
                <c:pt idx="125">
                  <c:v>41.713000000000001</c:v>
                </c:pt>
                <c:pt idx="127">
                  <c:v>41.634999999999998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E2-479A-8197-6C17B5F3C9B4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2-479A-8197-6C17B5F3C9B4}"/>
              </c:ext>
            </c:extLst>
          </c:dPt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('AMP5-2'!$F$4,'AMP5-2'!$F$4)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E2-479A-8197-6C17B5F3C9B4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AE2-479A-8197-6C17B5F3C9B4}"/>
              </c:ext>
            </c:extLst>
          </c:dPt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('AMP5-2'!$F$5,'AMP5-2'!$F$5)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E2-479A-8197-6C17B5F3C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8472"/>
        <c:axId val="493338864"/>
      </c:scatterChart>
      <c:valAx>
        <c:axId val="49333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8864"/>
        <c:crosses val="autoZero"/>
        <c:crossBetween val="midCat"/>
      </c:valAx>
      <c:valAx>
        <c:axId val="4933388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8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'AMP5-2'!$G$9:$G$137</c:f>
              <c:numCache>
                <c:formatCode>General</c:formatCode>
                <c:ptCount val="129"/>
                <c:pt idx="0">
                  <c:v>41.392000000000003</c:v>
                </c:pt>
                <c:pt idx="2">
                  <c:v>41.338999999999999</c:v>
                </c:pt>
                <c:pt idx="4">
                  <c:v>41.265999999999998</c:v>
                </c:pt>
                <c:pt idx="6">
                  <c:v>41.365000000000002</c:v>
                </c:pt>
                <c:pt idx="8">
                  <c:v>41.326999999999998</c:v>
                </c:pt>
                <c:pt idx="10">
                  <c:v>41.371000000000002</c:v>
                </c:pt>
                <c:pt idx="12">
                  <c:v>41.262</c:v>
                </c:pt>
                <c:pt idx="14">
                  <c:v>41.281999999999996</c:v>
                </c:pt>
                <c:pt idx="16">
                  <c:v>41.34</c:v>
                </c:pt>
                <c:pt idx="18">
                  <c:v>40.889000000000003</c:v>
                </c:pt>
                <c:pt idx="20">
                  <c:v>41.383000000000003</c:v>
                </c:pt>
                <c:pt idx="22">
                  <c:v>41.148000000000003</c:v>
                </c:pt>
                <c:pt idx="24">
                  <c:v>41.084000000000003</c:v>
                </c:pt>
                <c:pt idx="26">
                  <c:v>41.134</c:v>
                </c:pt>
                <c:pt idx="28">
                  <c:v>40.854999999999997</c:v>
                </c:pt>
                <c:pt idx="30">
                  <c:v>40.831000000000003</c:v>
                </c:pt>
                <c:pt idx="32">
                  <c:v>40.883000000000003</c:v>
                </c:pt>
                <c:pt idx="34">
                  <c:v>41.002000000000002</c:v>
                </c:pt>
                <c:pt idx="36">
                  <c:v>41.122</c:v>
                </c:pt>
                <c:pt idx="38">
                  <c:v>41.484000000000002</c:v>
                </c:pt>
                <c:pt idx="40">
                  <c:v>42.957999999999998</c:v>
                </c:pt>
                <c:pt idx="42">
                  <c:v>41.317999999999998</c:v>
                </c:pt>
                <c:pt idx="44">
                  <c:v>41.152000000000001</c:v>
                </c:pt>
                <c:pt idx="46">
                  <c:v>41.097999999999999</c:v>
                </c:pt>
                <c:pt idx="48">
                  <c:v>41.265000000000001</c:v>
                </c:pt>
                <c:pt idx="50">
                  <c:v>41.122</c:v>
                </c:pt>
                <c:pt idx="52">
                  <c:v>41.002000000000002</c:v>
                </c:pt>
                <c:pt idx="54">
                  <c:v>41.034999999999997</c:v>
                </c:pt>
                <c:pt idx="56">
                  <c:v>41.040999999999997</c:v>
                </c:pt>
                <c:pt idx="58">
                  <c:v>40.787999999999997</c:v>
                </c:pt>
                <c:pt idx="60">
                  <c:v>41.015999999999998</c:v>
                </c:pt>
                <c:pt idx="62">
                  <c:v>41.015999999999998</c:v>
                </c:pt>
                <c:pt idx="64">
                  <c:v>40.872999999999998</c:v>
                </c:pt>
                <c:pt idx="66">
                  <c:v>40.683</c:v>
                </c:pt>
                <c:pt idx="68">
                  <c:v>40.890999999999998</c:v>
                </c:pt>
                <c:pt idx="70">
                  <c:v>40.707000000000001</c:v>
                </c:pt>
                <c:pt idx="72">
                  <c:v>40.805</c:v>
                </c:pt>
                <c:pt idx="74">
                  <c:v>40.808999999999997</c:v>
                </c:pt>
                <c:pt idx="76">
                  <c:v>40.841000000000001</c:v>
                </c:pt>
                <c:pt idx="78">
                  <c:v>40.750999999999998</c:v>
                </c:pt>
                <c:pt idx="80">
                  <c:v>40.792999999999999</c:v>
                </c:pt>
                <c:pt idx="82">
                  <c:v>41.332999999999998</c:v>
                </c:pt>
                <c:pt idx="84">
                  <c:v>41.058999999999997</c:v>
                </c:pt>
                <c:pt idx="86">
                  <c:v>41.259</c:v>
                </c:pt>
                <c:pt idx="88">
                  <c:v>41.029000000000003</c:v>
                </c:pt>
                <c:pt idx="90">
                  <c:v>40.848999999999997</c:v>
                </c:pt>
                <c:pt idx="92">
                  <c:v>41.156999999999996</c:v>
                </c:pt>
                <c:pt idx="94">
                  <c:v>41.064</c:v>
                </c:pt>
                <c:pt idx="96">
                  <c:v>41.072000000000003</c:v>
                </c:pt>
                <c:pt idx="98">
                  <c:v>40.811</c:v>
                </c:pt>
                <c:pt idx="100">
                  <c:v>40.741</c:v>
                </c:pt>
                <c:pt idx="102">
                  <c:v>40.853999999999999</c:v>
                </c:pt>
                <c:pt idx="104">
                  <c:v>41.012</c:v>
                </c:pt>
                <c:pt idx="106">
                  <c:v>40.898000000000003</c:v>
                </c:pt>
                <c:pt idx="108">
                  <c:v>40.941000000000003</c:v>
                </c:pt>
                <c:pt idx="110">
                  <c:v>40.652999999999999</c:v>
                </c:pt>
                <c:pt idx="112">
                  <c:v>40.814</c:v>
                </c:pt>
                <c:pt idx="114">
                  <c:v>40.707999999999998</c:v>
                </c:pt>
                <c:pt idx="116">
                  <c:v>40.716999999999999</c:v>
                </c:pt>
                <c:pt idx="118">
                  <c:v>40.680999999999997</c:v>
                </c:pt>
                <c:pt idx="120">
                  <c:v>40.429000000000002</c:v>
                </c:pt>
                <c:pt idx="121">
                  <c:v>40.423000000000002</c:v>
                </c:pt>
                <c:pt idx="123">
                  <c:v>41.167000000000002</c:v>
                </c:pt>
                <c:pt idx="125">
                  <c:v>41.646000000000001</c:v>
                </c:pt>
                <c:pt idx="127">
                  <c:v>41.603000000000002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E4-455E-B06D-983C27C5749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('AMP5-2'!$G$4,'AMP5-2'!$G$4)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E4-455E-B06D-983C27C5749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('AMP5-2'!$G$5,'AMP5-2'!$G$5)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E4-455E-B06D-983C27C57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39648"/>
        <c:axId val="493340040"/>
      </c:scatterChart>
      <c:valAx>
        <c:axId val="49333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0040"/>
        <c:crosses val="autoZero"/>
        <c:crossBetween val="midCat"/>
      </c:valAx>
      <c:valAx>
        <c:axId val="4933400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'AMP5-2'!$H$9:$H$137</c:f>
              <c:numCache>
                <c:formatCode>General</c:formatCode>
                <c:ptCount val="129"/>
                <c:pt idx="0">
                  <c:v>155.755</c:v>
                </c:pt>
                <c:pt idx="1">
                  <c:v>155.709</c:v>
                </c:pt>
                <c:pt idx="2">
                  <c:v>155.762</c:v>
                </c:pt>
                <c:pt idx="3">
                  <c:v>155.78</c:v>
                </c:pt>
                <c:pt idx="4">
                  <c:v>155.881</c:v>
                </c:pt>
                <c:pt idx="5">
                  <c:v>155.828</c:v>
                </c:pt>
                <c:pt idx="6">
                  <c:v>155.83199999999999</c:v>
                </c:pt>
                <c:pt idx="7">
                  <c:v>155.84700000000001</c:v>
                </c:pt>
                <c:pt idx="8">
                  <c:v>155.84</c:v>
                </c:pt>
                <c:pt idx="9">
                  <c:v>155.84100000000001</c:v>
                </c:pt>
                <c:pt idx="10">
                  <c:v>155.83099999999999</c:v>
                </c:pt>
                <c:pt idx="11">
                  <c:v>155.81200000000001</c:v>
                </c:pt>
                <c:pt idx="12">
                  <c:v>155.82599999999999</c:v>
                </c:pt>
                <c:pt idx="13">
                  <c:v>155.80600000000001</c:v>
                </c:pt>
                <c:pt idx="14">
                  <c:v>155.82499999999999</c:v>
                </c:pt>
                <c:pt idx="15">
                  <c:v>155.851</c:v>
                </c:pt>
                <c:pt idx="16">
                  <c:v>155.80500000000001</c:v>
                </c:pt>
                <c:pt idx="17">
                  <c:v>155.892</c:v>
                </c:pt>
                <c:pt idx="18">
                  <c:v>155.90600000000001</c:v>
                </c:pt>
                <c:pt idx="19">
                  <c:v>155.851</c:v>
                </c:pt>
                <c:pt idx="20">
                  <c:v>155.82300000000001</c:v>
                </c:pt>
                <c:pt idx="21">
                  <c:v>155.94399999999999</c:v>
                </c:pt>
                <c:pt idx="22">
                  <c:v>155.91399999999999</c:v>
                </c:pt>
                <c:pt idx="23">
                  <c:v>155.93100000000001</c:v>
                </c:pt>
                <c:pt idx="24">
                  <c:v>155.85599999999999</c:v>
                </c:pt>
                <c:pt idx="25">
                  <c:v>155.959</c:v>
                </c:pt>
                <c:pt idx="26">
                  <c:v>155.923</c:v>
                </c:pt>
                <c:pt idx="27">
                  <c:v>155.989</c:v>
                </c:pt>
                <c:pt idx="28">
                  <c:v>155.92599999999999</c:v>
                </c:pt>
                <c:pt idx="29">
                  <c:v>155.98099999999999</c:v>
                </c:pt>
                <c:pt idx="30">
                  <c:v>155.95699999999999</c:v>
                </c:pt>
                <c:pt idx="31">
                  <c:v>155.995</c:v>
                </c:pt>
                <c:pt idx="32">
                  <c:v>155.99199999999999</c:v>
                </c:pt>
                <c:pt idx="33">
                  <c:v>156.011</c:v>
                </c:pt>
                <c:pt idx="34">
                  <c:v>156.047</c:v>
                </c:pt>
                <c:pt idx="35">
                  <c:v>156.00700000000001</c:v>
                </c:pt>
                <c:pt idx="36">
                  <c:v>156.56800000000001</c:v>
                </c:pt>
                <c:pt idx="37">
                  <c:v>156.024</c:v>
                </c:pt>
                <c:pt idx="38">
                  <c:v>155.71</c:v>
                </c:pt>
                <c:pt idx="39">
                  <c:v>156.5</c:v>
                </c:pt>
                <c:pt idx="40">
                  <c:v>155.72399999999999</c:v>
                </c:pt>
                <c:pt idx="41">
                  <c:v>155.85499999999999</c:v>
                </c:pt>
                <c:pt idx="42">
                  <c:v>155.78</c:v>
                </c:pt>
                <c:pt idx="43">
                  <c:v>155.95500000000001</c:v>
                </c:pt>
                <c:pt idx="44">
                  <c:v>155.83199999999999</c:v>
                </c:pt>
                <c:pt idx="45">
                  <c:v>155.988</c:v>
                </c:pt>
                <c:pt idx="46">
                  <c:v>155.80600000000001</c:v>
                </c:pt>
                <c:pt idx="47">
                  <c:v>155.95599999999999</c:v>
                </c:pt>
                <c:pt idx="48">
                  <c:v>155.71600000000001</c:v>
                </c:pt>
                <c:pt idx="49">
                  <c:v>155.89099999999999</c:v>
                </c:pt>
                <c:pt idx="50">
                  <c:v>155.80199999999999</c:v>
                </c:pt>
                <c:pt idx="51">
                  <c:v>155.965</c:v>
                </c:pt>
                <c:pt idx="52">
                  <c:v>155.917</c:v>
                </c:pt>
                <c:pt idx="53">
                  <c:v>156.06</c:v>
                </c:pt>
                <c:pt idx="54">
                  <c:v>155.88900000000001</c:v>
                </c:pt>
                <c:pt idx="55">
                  <c:v>156.00700000000001</c:v>
                </c:pt>
                <c:pt idx="56">
                  <c:v>155.82400000000001</c:v>
                </c:pt>
                <c:pt idx="57">
                  <c:v>155.959</c:v>
                </c:pt>
                <c:pt idx="58">
                  <c:v>155.946</c:v>
                </c:pt>
                <c:pt idx="59">
                  <c:v>156.09</c:v>
                </c:pt>
                <c:pt idx="60">
                  <c:v>155.88300000000001</c:v>
                </c:pt>
                <c:pt idx="61">
                  <c:v>156.04499999999999</c:v>
                </c:pt>
                <c:pt idx="62">
                  <c:v>155.80000000000001</c:v>
                </c:pt>
                <c:pt idx="63">
                  <c:v>156.01499999999999</c:v>
                </c:pt>
                <c:pt idx="64">
                  <c:v>155.916</c:v>
                </c:pt>
                <c:pt idx="65">
                  <c:v>156.11799999999999</c:v>
                </c:pt>
                <c:pt idx="66">
                  <c:v>155.96</c:v>
                </c:pt>
                <c:pt idx="67">
                  <c:v>156.13900000000001</c:v>
                </c:pt>
                <c:pt idx="68">
                  <c:v>155.827</c:v>
                </c:pt>
                <c:pt idx="69">
                  <c:v>156.02000000000001</c:v>
                </c:pt>
                <c:pt idx="70">
                  <c:v>155.86500000000001</c:v>
                </c:pt>
                <c:pt idx="71">
                  <c:v>156</c:v>
                </c:pt>
                <c:pt idx="72">
                  <c:v>155.77099999999999</c:v>
                </c:pt>
                <c:pt idx="73">
                  <c:v>156.00399999999999</c:v>
                </c:pt>
                <c:pt idx="74">
                  <c:v>155.86000000000001</c:v>
                </c:pt>
                <c:pt idx="75">
                  <c:v>156.04599999999999</c:v>
                </c:pt>
                <c:pt idx="76">
                  <c:v>155.88300000000001</c:v>
                </c:pt>
                <c:pt idx="77">
                  <c:v>156.05500000000001</c:v>
                </c:pt>
                <c:pt idx="78">
                  <c:v>155.93199999999999</c:v>
                </c:pt>
                <c:pt idx="79">
                  <c:v>156.07900000000001</c:v>
                </c:pt>
                <c:pt idx="80">
                  <c:v>155.68199999999999</c:v>
                </c:pt>
                <c:pt idx="81">
                  <c:v>155.91800000000001</c:v>
                </c:pt>
                <c:pt idx="82">
                  <c:v>155.82</c:v>
                </c:pt>
                <c:pt idx="83">
                  <c:v>156.06</c:v>
                </c:pt>
                <c:pt idx="84">
                  <c:v>155.69300000000001</c:v>
                </c:pt>
                <c:pt idx="85">
                  <c:v>155.88</c:v>
                </c:pt>
                <c:pt idx="86">
                  <c:v>155.71100000000001</c:v>
                </c:pt>
                <c:pt idx="87">
                  <c:v>155.94800000000001</c:v>
                </c:pt>
                <c:pt idx="88">
                  <c:v>155.69200000000001</c:v>
                </c:pt>
                <c:pt idx="89">
                  <c:v>155.94900000000001</c:v>
                </c:pt>
                <c:pt idx="90">
                  <c:v>155.83199999999999</c:v>
                </c:pt>
                <c:pt idx="91">
                  <c:v>155.935</c:v>
                </c:pt>
                <c:pt idx="92">
                  <c:v>155.71199999999999</c:v>
                </c:pt>
                <c:pt idx="93">
                  <c:v>155.94200000000001</c:v>
                </c:pt>
                <c:pt idx="94">
                  <c:v>155.696</c:v>
                </c:pt>
                <c:pt idx="95">
                  <c:v>155.90600000000001</c:v>
                </c:pt>
                <c:pt idx="96">
                  <c:v>155.768</c:v>
                </c:pt>
                <c:pt idx="97">
                  <c:v>156</c:v>
                </c:pt>
                <c:pt idx="98">
                  <c:v>155.81899999999999</c:v>
                </c:pt>
                <c:pt idx="99">
                  <c:v>156.06700000000001</c:v>
                </c:pt>
                <c:pt idx="100">
                  <c:v>155.85499999999999</c:v>
                </c:pt>
                <c:pt idx="101">
                  <c:v>156.04400000000001</c:v>
                </c:pt>
                <c:pt idx="102">
                  <c:v>155.732</c:v>
                </c:pt>
                <c:pt idx="103">
                  <c:v>155.911</c:v>
                </c:pt>
                <c:pt idx="104">
                  <c:v>155.80699999999999</c:v>
                </c:pt>
                <c:pt idx="105">
                  <c:v>156.14400000000001</c:v>
                </c:pt>
                <c:pt idx="106">
                  <c:v>155.816</c:v>
                </c:pt>
                <c:pt idx="107">
                  <c:v>156.124</c:v>
                </c:pt>
                <c:pt idx="108">
                  <c:v>155.78399999999999</c:v>
                </c:pt>
                <c:pt idx="109">
                  <c:v>155.99700000000001</c:v>
                </c:pt>
                <c:pt idx="110">
                  <c:v>155.84200000000001</c:v>
                </c:pt>
                <c:pt idx="111">
                  <c:v>156.03399999999999</c:v>
                </c:pt>
                <c:pt idx="112">
                  <c:v>155.74799999999999</c:v>
                </c:pt>
                <c:pt idx="113">
                  <c:v>156.04900000000001</c:v>
                </c:pt>
                <c:pt idx="114">
                  <c:v>155.82</c:v>
                </c:pt>
                <c:pt idx="115">
                  <c:v>156.10499999999999</c:v>
                </c:pt>
                <c:pt idx="116">
                  <c:v>155.89500000000001</c:v>
                </c:pt>
                <c:pt idx="117">
                  <c:v>156.126</c:v>
                </c:pt>
                <c:pt idx="118">
                  <c:v>155.87299999999999</c:v>
                </c:pt>
                <c:pt idx="119">
                  <c:v>156.25</c:v>
                </c:pt>
                <c:pt idx="120">
                  <c:v>156.01400000000001</c:v>
                </c:pt>
                <c:pt idx="121">
                  <c:v>156.01400000000001</c:v>
                </c:pt>
                <c:pt idx="122">
                  <c:v>155.93700000000001</c:v>
                </c:pt>
                <c:pt idx="123">
                  <c:v>155.67099999999999</c:v>
                </c:pt>
                <c:pt idx="124">
                  <c:v>155.477</c:v>
                </c:pt>
                <c:pt idx="125">
                  <c:v>155.63900000000001</c:v>
                </c:pt>
                <c:pt idx="126">
                  <c:v>155.42699999999999</c:v>
                </c:pt>
                <c:pt idx="127">
                  <c:v>155.845</c:v>
                </c:pt>
                <c:pt idx="128">
                  <c:v>155.559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F-41F7-AC63-FD5D5A28A34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('AMP5-2'!$H$4,'AMP5-2'!$H$4)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F-41F7-AC63-FD5D5A28A34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('AMP5-2'!$H$5,'AMP5-2'!$H$5)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AF-41F7-AC63-FD5D5A28A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40824"/>
        <c:axId val="493341216"/>
      </c:scatterChart>
      <c:valAx>
        <c:axId val="49334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1216"/>
        <c:crosses val="autoZero"/>
        <c:crossBetween val="midCat"/>
      </c:valAx>
      <c:valAx>
        <c:axId val="4933412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'AMP5-2'!$I$9:$I$137</c:f>
              <c:numCache>
                <c:formatCode>General</c:formatCode>
                <c:ptCount val="129"/>
                <c:pt idx="0">
                  <c:v>155.75899999999999</c:v>
                </c:pt>
                <c:pt idx="1">
                  <c:v>155.72</c:v>
                </c:pt>
                <c:pt idx="2">
                  <c:v>155.75700000000001</c:v>
                </c:pt>
                <c:pt idx="3">
                  <c:v>155.78899999999999</c:v>
                </c:pt>
                <c:pt idx="4">
                  <c:v>155.85300000000001</c:v>
                </c:pt>
                <c:pt idx="5">
                  <c:v>155.80199999999999</c:v>
                </c:pt>
                <c:pt idx="6">
                  <c:v>155.792</c:v>
                </c:pt>
                <c:pt idx="7">
                  <c:v>155.84899999999999</c:v>
                </c:pt>
                <c:pt idx="8">
                  <c:v>155.81899999999999</c:v>
                </c:pt>
                <c:pt idx="9">
                  <c:v>155.79599999999999</c:v>
                </c:pt>
                <c:pt idx="10">
                  <c:v>155.82499999999999</c:v>
                </c:pt>
                <c:pt idx="11">
                  <c:v>155.83099999999999</c:v>
                </c:pt>
                <c:pt idx="12">
                  <c:v>155.79300000000001</c:v>
                </c:pt>
                <c:pt idx="13">
                  <c:v>155.81899999999999</c:v>
                </c:pt>
                <c:pt idx="14">
                  <c:v>155.79</c:v>
                </c:pt>
                <c:pt idx="15">
                  <c:v>155.83099999999999</c:v>
                </c:pt>
                <c:pt idx="16">
                  <c:v>155.76400000000001</c:v>
                </c:pt>
                <c:pt idx="17">
                  <c:v>155.93199999999999</c:v>
                </c:pt>
                <c:pt idx="18">
                  <c:v>155.85900000000001</c:v>
                </c:pt>
                <c:pt idx="19">
                  <c:v>155.86000000000001</c:v>
                </c:pt>
                <c:pt idx="20">
                  <c:v>155.75700000000001</c:v>
                </c:pt>
                <c:pt idx="21">
                  <c:v>155.93700000000001</c:v>
                </c:pt>
                <c:pt idx="22">
                  <c:v>155.851</c:v>
                </c:pt>
                <c:pt idx="23">
                  <c:v>155.86699999999999</c:v>
                </c:pt>
                <c:pt idx="24">
                  <c:v>155.756</c:v>
                </c:pt>
                <c:pt idx="25">
                  <c:v>155.97499999999999</c:v>
                </c:pt>
                <c:pt idx="26">
                  <c:v>155.756</c:v>
                </c:pt>
                <c:pt idx="27">
                  <c:v>156.04300000000001</c:v>
                </c:pt>
                <c:pt idx="28">
                  <c:v>155.84700000000001</c:v>
                </c:pt>
                <c:pt idx="29">
                  <c:v>156.03100000000001</c:v>
                </c:pt>
                <c:pt idx="30">
                  <c:v>155.886</c:v>
                </c:pt>
                <c:pt idx="31">
                  <c:v>156.06</c:v>
                </c:pt>
                <c:pt idx="32">
                  <c:v>155.92099999999999</c:v>
                </c:pt>
                <c:pt idx="33">
                  <c:v>156.084</c:v>
                </c:pt>
                <c:pt idx="34">
                  <c:v>155.874</c:v>
                </c:pt>
                <c:pt idx="35">
                  <c:v>156.05699999999999</c:v>
                </c:pt>
                <c:pt idx="36">
                  <c:v>156.428</c:v>
                </c:pt>
                <c:pt idx="37">
                  <c:v>156.124</c:v>
                </c:pt>
                <c:pt idx="38">
                  <c:v>155.67699999999999</c:v>
                </c:pt>
                <c:pt idx="39">
                  <c:v>156.554</c:v>
                </c:pt>
                <c:pt idx="40">
                  <c:v>155.68299999999999</c:v>
                </c:pt>
                <c:pt idx="41">
                  <c:v>155.88300000000001</c:v>
                </c:pt>
                <c:pt idx="42">
                  <c:v>155.738</c:v>
                </c:pt>
                <c:pt idx="43">
                  <c:v>155.971</c:v>
                </c:pt>
                <c:pt idx="44">
                  <c:v>155.79499999999999</c:v>
                </c:pt>
                <c:pt idx="45">
                  <c:v>156.00399999999999</c:v>
                </c:pt>
                <c:pt idx="46">
                  <c:v>155.75</c:v>
                </c:pt>
                <c:pt idx="47">
                  <c:v>155.97399999999999</c:v>
                </c:pt>
                <c:pt idx="48">
                  <c:v>155.69300000000001</c:v>
                </c:pt>
                <c:pt idx="49">
                  <c:v>155.958</c:v>
                </c:pt>
                <c:pt idx="50">
                  <c:v>155.70099999999999</c:v>
                </c:pt>
                <c:pt idx="51">
                  <c:v>156.02500000000001</c:v>
                </c:pt>
                <c:pt idx="52">
                  <c:v>155.84800000000001</c:v>
                </c:pt>
                <c:pt idx="53">
                  <c:v>156.06700000000001</c:v>
                </c:pt>
                <c:pt idx="54">
                  <c:v>155.798</c:v>
                </c:pt>
                <c:pt idx="55">
                  <c:v>156.07</c:v>
                </c:pt>
                <c:pt idx="56">
                  <c:v>155.685</c:v>
                </c:pt>
                <c:pt idx="57">
                  <c:v>156.03399999999999</c:v>
                </c:pt>
                <c:pt idx="58">
                  <c:v>155.833</c:v>
                </c:pt>
                <c:pt idx="59">
                  <c:v>156.12299999999999</c:v>
                </c:pt>
                <c:pt idx="60">
                  <c:v>155.74</c:v>
                </c:pt>
                <c:pt idx="61">
                  <c:v>156.137</c:v>
                </c:pt>
                <c:pt idx="62">
                  <c:v>155.69</c:v>
                </c:pt>
                <c:pt idx="63">
                  <c:v>156.11000000000001</c:v>
                </c:pt>
                <c:pt idx="64">
                  <c:v>155.81800000000001</c:v>
                </c:pt>
                <c:pt idx="65">
                  <c:v>156.16200000000001</c:v>
                </c:pt>
                <c:pt idx="66">
                  <c:v>155.887</c:v>
                </c:pt>
                <c:pt idx="67">
                  <c:v>156.21799999999999</c:v>
                </c:pt>
                <c:pt idx="68">
                  <c:v>155.708</c:v>
                </c:pt>
                <c:pt idx="69">
                  <c:v>156.102</c:v>
                </c:pt>
                <c:pt idx="70">
                  <c:v>155.72399999999999</c:v>
                </c:pt>
                <c:pt idx="71">
                  <c:v>156.13499999999999</c:v>
                </c:pt>
                <c:pt idx="72">
                  <c:v>155.679</c:v>
                </c:pt>
                <c:pt idx="73">
                  <c:v>156.126</c:v>
                </c:pt>
                <c:pt idx="74">
                  <c:v>155.75200000000001</c:v>
                </c:pt>
                <c:pt idx="75">
                  <c:v>156.18700000000001</c:v>
                </c:pt>
                <c:pt idx="76">
                  <c:v>155.709</c:v>
                </c:pt>
                <c:pt idx="77">
                  <c:v>156.22300000000001</c:v>
                </c:pt>
                <c:pt idx="78">
                  <c:v>155.80099999999999</c:v>
                </c:pt>
                <c:pt idx="79">
                  <c:v>156.22300000000001</c:v>
                </c:pt>
                <c:pt idx="80">
                  <c:v>155.601</c:v>
                </c:pt>
                <c:pt idx="81">
                  <c:v>156.017</c:v>
                </c:pt>
                <c:pt idx="82">
                  <c:v>155.74100000000001</c:v>
                </c:pt>
                <c:pt idx="83">
                  <c:v>156.07400000000001</c:v>
                </c:pt>
                <c:pt idx="84">
                  <c:v>155.666</c:v>
                </c:pt>
                <c:pt idx="85">
                  <c:v>155.946</c:v>
                </c:pt>
                <c:pt idx="86">
                  <c:v>155.68299999999999</c:v>
                </c:pt>
                <c:pt idx="87">
                  <c:v>156.01</c:v>
                </c:pt>
                <c:pt idx="88">
                  <c:v>155.64599999999999</c:v>
                </c:pt>
                <c:pt idx="89">
                  <c:v>156.01499999999999</c:v>
                </c:pt>
                <c:pt idx="90">
                  <c:v>155.81100000000001</c:v>
                </c:pt>
                <c:pt idx="91">
                  <c:v>156.02500000000001</c:v>
                </c:pt>
                <c:pt idx="92">
                  <c:v>155.66800000000001</c:v>
                </c:pt>
                <c:pt idx="93">
                  <c:v>156.03299999999999</c:v>
                </c:pt>
                <c:pt idx="94">
                  <c:v>155.66800000000001</c:v>
                </c:pt>
                <c:pt idx="95">
                  <c:v>156.017</c:v>
                </c:pt>
                <c:pt idx="96">
                  <c:v>155.732</c:v>
                </c:pt>
                <c:pt idx="97">
                  <c:v>156.12799999999999</c:v>
                </c:pt>
                <c:pt idx="98">
                  <c:v>155.82900000000001</c:v>
                </c:pt>
                <c:pt idx="99">
                  <c:v>156.15299999999999</c:v>
                </c:pt>
                <c:pt idx="100">
                  <c:v>155.84800000000001</c:v>
                </c:pt>
                <c:pt idx="101">
                  <c:v>156.16499999999999</c:v>
                </c:pt>
                <c:pt idx="102">
                  <c:v>155.69900000000001</c:v>
                </c:pt>
                <c:pt idx="103">
                  <c:v>156.08000000000001</c:v>
                </c:pt>
                <c:pt idx="104">
                  <c:v>155.77500000000001</c:v>
                </c:pt>
                <c:pt idx="105">
                  <c:v>156.18</c:v>
                </c:pt>
                <c:pt idx="106">
                  <c:v>155.762</c:v>
                </c:pt>
                <c:pt idx="107">
                  <c:v>156.196</c:v>
                </c:pt>
                <c:pt idx="108">
                  <c:v>155.745</c:v>
                </c:pt>
                <c:pt idx="109">
                  <c:v>156.18299999999999</c:v>
                </c:pt>
                <c:pt idx="110">
                  <c:v>155.81</c:v>
                </c:pt>
                <c:pt idx="111">
                  <c:v>156.17400000000001</c:v>
                </c:pt>
                <c:pt idx="112">
                  <c:v>155.77199999999999</c:v>
                </c:pt>
                <c:pt idx="113">
                  <c:v>156.16999999999999</c:v>
                </c:pt>
                <c:pt idx="114">
                  <c:v>155.785</c:v>
                </c:pt>
                <c:pt idx="115">
                  <c:v>156.28100000000001</c:v>
                </c:pt>
                <c:pt idx="116">
                  <c:v>155.76400000000001</c:v>
                </c:pt>
                <c:pt idx="117">
                  <c:v>156.25</c:v>
                </c:pt>
                <c:pt idx="118">
                  <c:v>155.77500000000001</c:v>
                </c:pt>
                <c:pt idx="119">
                  <c:v>156.40199999999999</c:v>
                </c:pt>
                <c:pt idx="120">
                  <c:v>155.977</c:v>
                </c:pt>
                <c:pt idx="121">
                  <c:v>155.97800000000001</c:v>
                </c:pt>
                <c:pt idx="122">
                  <c:v>155.96</c:v>
                </c:pt>
                <c:pt idx="123">
                  <c:v>155.74199999999999</c:v>
                </c:pt>
                <c:pt idx="124">
                  <c:v>155.40199999999999</c:v>
                </c:pt>
                <c:pt idx="125">
                  <c:v>155.709</c:v>
                </c:pt>
                <c:pt idx="126">
                  <c:v>155.45400000000001</c:v>
                </c:pt>
                <c:pt idx="127">
                  <c:v>155.89400000000001</c:v>
                </c:pt>
                <c:pt idx="128">
                  <c:v>155.53200000000001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B-49BD-8F14-67B3509D229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('AMP5-2'!$I$4,'AMP5-2'!$I$4)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CB-49BD-8F14-67B3509D229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('AMP5-2'!$I$5,'AMP5-2'!$I$5)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CB-49BD-8F14-67B3509D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42000"/>
        <c:axId val="493342392"/>
      </c:scatterChart>
      <c:valAx>
        <c:axId val="49334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2392"/>
        <c:crosses val="autoZero"/>
        <c:crossBetween val="midCat"/>
      </c:valAx>
      <c:valAx>
        <c:axId val="4933423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'AMP5-2'!$J$9:$J$137</c:f>
              <c:numCache>
                <c:formatCode>General</c:formatCode>
                <c:ptCount val="129"/>
                <c:pt idx="1">
                  <c:v>168.755</c:v>
                </c:pt>
                <c:pt idx="3">
                  <c:v>168.69499999999999</c:v>
                </c:pt>
                <c:pt idx="5">
                  <c:v>168.58699999999999</c:v>
                </c:pt>
                <c:pt idx="7">
                  <c:v>168.726</c:v>
                </c:pt>
                <c:pt idx="9">
                  <c:v>168.69200000000001</c:v>
                </c:pt>
                <c:pt idx="11">
                  <c:v>168.79</c:v>
                </c:pt>
                <c:pt idx="13">
                  <c:v>168.74700000000001</c:v>
                </c:pt>
                <c:pt idx="15">
                  <c:v>168.61600000000001</c:v>
                </c:pt>
                <c:pt idx="17">
                  <c:v>168.886</c:v>
                </c:pt>
                <c:pt idx="19">
                  <c:v>168.358</c:v>
                </c:pt>
                <c:pt idx="21">
                  <c:v>168.75700000000001</c:v>
                </c:pt>
                <c:pt idx="23">
                  <c:v>168.696</c:v>
                </c:pt>
                <c:pt idx="25">
                  <c:v>168.80799999999999</c:v>
                </c:pt>
                <c:pt idx="27">
                  <c:v>168.85400000000001</c:v>
                </c:pt>
                <c:pt idx="29">
                  <c:v>168.73</c:v>
                </c:pt>
                <c:pt idx="31">
                  <c:v>168.71199999999999</c:v>
                </c:pt>
                <c:pt idx="33">
                  <c:v>168.69399999999999</c:v>
                </c:pt>
                <c:pt idx="35">
                  <c:v>168.86799999999999</c:v>
                </c:pt>
                <c:pt idx="37">
                  <c:v>168.72</c:v>
                </c:pt>
                <c:pt idx="39">
                  <c:v>169.07400000000001</c:v>
                </c:pt>
                <c:pt idx="41">
                  <c:v>168.90799999999999</c:v>
                </c:pt>
                <c:pt idx="43">
                  <c:v>168.791</c:v>
                </c:pt>
                <c:pt idx="45">
                  <c:v>168.71600000000001</c:v>
                </c:pt>
                <c:pt idx="47">
                  <c:v>168.636</c:v>
                </c:pt>
                <c:pt idx="49">
                  <c:v>168.78800000000001</c:v>
                </c:pt>
                <c:pt idx="51">
                  <c:v>168.72900000000001</c:v>
                </c:pt>
                <c:pt idx="53">
                  <c:v>168.73400000000001</c:v>
                </c:pt>
                <c:pt idx="55">
                  <c:v>168.792</c:v>
                </c:pt>
                <c:pt idx="57">
                  <c:v>168.63800000000001</c:v>
                </c:pt>
                <c:pt idx="59">
                  <c:v>168.65</c:v>
                </c:pt>
                <c:pt idx="61">
                  <c:v>168.85</c:v>
                </c:pt>
                <c:pt idx="63">
                  <c:v>168.874</c:v>
                </c:pt>
                <c:pt idx="65">
                  <c:v>168.768</c:v>
                </c:pt>
                <c:pt idx="67">
                  <c:v>168.68100000000001</c:v>
                </c:pt>
                <c:pt idx="69">
                  <c:v>168.83600000000001</c:v>
                </c:pt>
                <c:pt idx="71">
                  <c:v>168.57599999999999</c:v>
                </c:pt>
                <c:pt idx="73">
                  <c:v>168.65299999999999</c:v>
                </c:pt>
                <c:pt idx="75">
                  <c:v>168.72300000000001</c:v>
                </c:pt>
                <c:pt idx="77">
                  <c:v>168.887</c:v>
                </c:pt>
                <c:pt idx="79">
                  <c:v>168.791</c:v>
                </c:pt>
                <c:pt idx="81">
                  <c:v>168.74</c:v>
                </c:pt>
                <c:pt idx="83">
                  <c:v>169.25299999999999</c:v>
                </c:pt>
                <c:pt idx="85">
                  <c:v>168.542</c:v>
                </c:pt>
                <c:pt idx="87">
                  <c:v>168.73599999999999</c:v>
                </c:pt>
                <c:pt idx="89">
                  <c:v>168.70099999999999</c:v>
                </c:pt>
                <c:pt idx="91">
                  <c:v>168.53</c:v>
                </c:pt>
                <c:pt idx="93">
                  <c:v>168.727</c:v>
                </c:pt>
                <c:pt idx="95">
                  <c:v>168.81100000000001</c:v>
                </c:pt>
                <c:pt idx="97">
                  <c:v>168.79</c:v>
                </c:pt>
                <c:pt idx="99">
                  <c:v>168.60300000000001</c:v>
                </c:pt>
                <c:pt idx="101">
                  <c:v>168.624</c:v>
                </c:pt>
                <c:pt idx="103">
                  <c:v>168.75899999999999</c:v>
                </c:pt>
                <c:pt idx="105">
                  <c:v>168.821</c:v>
                </c:pt>
                <c:pt idx="107">
                  <c:v>168.74799999999999</c:v>
                </c:pt>
                <c:pt idx="109">
                  <c:v>168.75399999999999</c:v>
                </c:pt>
                <c:pt idx="111">
                  <c:v>168.554</c:v>
                </c:pt>
                <c:pt idx="113">
                  <c:v>168.71199999999999</c:v>
                </c:pt>
                <c:pt idx="115">
                  <c:v>168.69399999999999</c:v>
                </c:pt>
                <c:pt idx="117">
                  <c:v>168.73</c:v>
                </c:pt>
                <c:pt idx="119">
                  <c:v>168.691</c:v>
                </c:pt>
                <c:pt idx="122">
                  <c:v>168.298</c:v>
                </c:pt>
                <c:pt idx="124">
                  <c:v>168.495</c:v>
                </c:pt>
                <c:pt idx="126">
                  <c:v>168.71899999999999</c:v>
                </c:pt>
                <c:pt idx="128">
                  <c:v>168.78299999999999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08-4768-B8C5-02726FA58C4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('AMP5-2'!$J$4,'AMP5-2'!$J$4)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8-4768-B8C5-02726FA58C4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('AMP5-2'!$J$5,'AMP5-2'!$J$5)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08-4768-B8C5-02726FA58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43176"/>
        <c:axId val="493343568"/>
      </c:scatterChart>
      <c:valAx>
        <c:axId val="49334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3568"/>
        <c:crosses val="autoZero"/>
        <c:crossBetween val="midCat"/>
      </c:valAx>
      <c:valAx>
        <c:axId val="4933435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'AMP5-2'!$K$9:$K$137</c:f>
              <c:numCache>
                <c:formatCode>General</c:formatCode>
                <c:ptCount val="129"/>
                <c:pt idx="1">
                  <c:v>168.9</c:v>
                </c:pt>
                <c:pt idx="3">
                  <c:v>168.74</c:v>
                </c:pt>
                <c:pt idx="5">
                  <c:v>168.68799999999999</c:v>
                </c:pt>
                <c:pt idx="7">
                  <c:v>168.73</c:v>
                </c:pt>
                <c:pt idx="9">
                  <c:v>168.76300000000001</c:v>
                </c:pt>
                <c:pt idx="11">
                  <c:v>168.804</c:v>
                </c:pt>
                <c:pt idx="13">
                  <c:v>168.69300000000001</c:v>
                </c:pt>
                <c:pt idx="15">
                  <c:v>168.61</c:v>
                </c:pt>
                <c:pt idx="17">
                  <c:v>168.95099999999999</c:v>
                </c:pt>
                <c:pt idx="19">
                  <c:v>168.47300000000001</c:v>
                </c:pt>
                <c:pt idx="21">
                  <c:v>168.84899999999999</c:v>
                </c:pt>
                <c:pt idx="23">
                  <c:v>168.32599999999999</c:v>
                </c:pt>
                <c:pt idx="25">
                  <c:v>169.15799999999999</c:v>
                </c:pt>
                <c:pt idx="27">
                  <c:v>168.71899999999999</c:v>
                </c:pt>
                <c:pt idx="29">
                  <c:v>168.553</c:v>
                </c:pt>
                <c:pt idx="31">
                  <c:v>168.42599999999999</c:v>
                </c:pt>
                <c:pt idx="33">
                  <c:v>168.554</c:v>
                </c:pt>
                <c:pt idx="35">
                  <c:v>168.5</c:v>
                </c:pt>
                <c:pt idx="37">
                  <c:v>168.602</c:v>
                </c:pt>
                <c:pt idx="39">
                  <c:v>169.751</c:v>
                </c:pt>
                <c:pt idx="41">
                  <c:v>170.446</c:v>
                </c:pt>
                <c:pt idx="43">
                  <c:v>168.851</c:v>
                </c:pt>
                <c:pt idx="45">
                  <c:v>168.70599999999999</c:v>
                </c:pt>
                <c:pt idx="47">
                  <c:v>168.24700000000001</c:v>
                </c:pt>
                <c:pt idx="49">
                  <c:v>168.73500000000001</c:v>
                </c:pt>
                <c:pt idx="51">
                  <c:v>168.66200000000001</c:v>
                </c:pt>
                <c:pt idx="53">
                  <c:v>168.727</c:v>
                </c:pt>
                <c:pt idx="55">
                  <c:v>168.673</c:v>
                </c:pt>
                <c:pt idx="57">
                  <c:v>168.51</c:v>
                </c:pt>
                <c:pt idx="59">
                  <c:v>168.685</c:v>
                </c:pt>
                <c:pt idx="61">
                  <c:v>168.60599999999999</c:v>
                </c:pt>
                <c:pt idx="63">
                  <c:v>168.589</c:v>
                </c:pt>
                <c:pt idx="65">
                  <c:v>168.626</c:v>
                </c:pt>
                <c:pt idx="67">
                  <c:v>168.399</c:v>
                </c:pt>
                <c:pt idx="69">
                  <c:v>168.55500000000001</c:v>
                </c:pt>
                <c:pt idx="71">
                  <c:v>168.273</c:v>
                </c:pt>
                <c:pt idx="73">
                  <c:v>168.36199999999999</c:v>
                </c:pt>
                <c:pt idx="75">
                  <c:v>168.381</c:v>
                </c:pt>
                <c:pt idx="77">
                  <c:v>168.518</c:v>
                </c:pt>
                <c:pt idx="79">
                  <c:v>168.49100000000001</c:v>
                </c:pt>
                <c:pt idx="81">
                  <c:v>168.34100000000001</c:v>
                </c:pt>
                <c:pt idx="83">
                  <c:v>169.15100000000001</c:v>
                </c:pt>
                <c:pt idx="85">
                  <c:v>168.405</c:v>
                </c:pt>
                <c:pt idx="87">
                  <c:v>168.75399999999999</c:v>
                </c:pt>
                <c:pt idx="89">
                  <c:v>168.566</c:v>
                </c:pt>
                <c:pt idx="91">
                  <c:v>168.40600000000001</c:v>
                </c:pt>
                <c:pt idx="93">
                  <c:v>168.518</c:v>
                </c:pt>
                <c:pt idx="95">
                  <c:v>168.57400000000001</c:v>
                </c:pt>
                <c:pt idx="97">
                  <c:v>168.607</c:v>
                </c:pt>
                <c:pt idx="99">
                  <c:v>168.505</c:v>
                </c:pt>
                <c:pt idx="101">
                  <c:v>168.45500000000001</c:v>
                </c:pt>
                <c:pt idx="103">
                  <c:v>168.44</c:v>
                </c:pt>
                <c:pt idx="105">
                  <c:v>168.76400000000001</c:v>
                </c:pt>
                <c:pt idx="107">
                  <c:v>168.47900000000001</c:v>
                </c:pt>
                <c:pt idx="109">
                  <c:v>168.499</c:v>
                </c:pt>
                <c:pt idx="111">
                  <c:v>168.29400000000001</c:v>
                </c:pt>
                <c:pt idx="113">
                  <c:v>168.47399999999999</c:v>
                </c:pt>
                <c:pt idx="115">
                  <c:v>168.489</c:v>
                </c:pt>
                <c:pt idx="117">
                  <c:v>168.08799999999999</c:v>
                </c:pt>
                <c:pt idx="119">
                  <c:v>168.33099999999999</c:v>
                </c:pt>
                <c:pt idx="122">
                  <c:v>168.148</c:v>
                </c:pt>
                <c:pt idx="124">
                  <c:v>168.172</c:v>
                </c:pt>
                <c:pt idx="126">
                  <c:v>168.7</c:v>
                </c:pt>
                <c:pt idx="128">
                  <c:v>168.78800000000001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7-4BE8-8E9F-05852256EF9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('AMP5-2'!$K$4,'AMP5-2'!$K$4)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17-4BE8-8E9F-05852256EF9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('AMP5-2'!$K$5,'AMP5-2'!$K$5)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17-4BE8-8E9F-05852256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344352"/>
        <c:axId val="493344744"/>
      </c:scatterChart>
      <c:valAx>
        <c:axId val="49334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4744"/>
        <c:crosses val="autoZero"/>
        <c:crossBetween val="midCat"/>
      </c:valAx>
      <c:valAx>
        <c:axId val="4933447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4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'AMP5-2'!$L$9:$L$137</c:f>
              <c:numCache>
                <c:formatCode>General</c:formatCode>
                <c:ptCount val="129"/>
                <c:pt idx="0">
                  <c:v>155.83199999999999</c:v>
                </c:pt>
                <c:pt idx="1">
                  <c:v>155.911</c:v>
                </c:pt>
                <c:pt idx="2">
                  <c:v>155.852</c:v>
                </c:pt>
                <c:pt idx="3">
                  <c:v>155.94300000000001</c:v>
                </c:pt>
                <c:pt idx="4">
                  <c:v>155.96199999999999</c:v>
                </c:pt>
                <c:pt idx="5">
                  <c:v>155.97800000000001</c:v>
                </c:pt>
                <c:pt idx="6">
                  <c:v>155.94300000000001</c:v>
                </c:pt>
                <c:pt idx="7">
                  <c:v>155.97300000000001</c:v>
                </c:pt>
                <c:pt idx="8">
                  <c:v>155.92699999999999</c:v>
                </c:pt>
                <c:pt idx="9">
                  <c:v>155.98400000000001</c:v>
                </c:pt>
                <c:pt idx="10">
                  <c:v>155.929</c:v>
                </c:pt>
                <c:pt idx="11">
                  <c:v>155.989</c:v>
                </c:pt>
                <c:pt idx="12">
                  <c:v>155.93600000000001</c:v>
                </c:pt>
                <c:pt idx="13">
                  <c:v>155.99299999999999</c:v>
                </c:pt>
                <c:pt idx="14">
                  <c:v>155.934</c:v>
                </c:pt>
                <c:pt idx="15">
                  <c:v>156.01300000000001</c:v>
                </c:pt>
                <c:pt idx="16">
                  <c:v>155.88399999999999</c:v>
                </c:pt>
                <c:pt idx="17">
                  <c:v>156.054</c:v>
                </c:pt>
                <c:pt idx="18">
                  <c:v>155.97499999999999</c:v>
                </c:pt>
                <c:pt idx="19">
                  <c:v>156.04300000000001</c:v>
                </c:pt>
                <c:pt idx="20">
                  <c:v>155.922</c:v>
                </c:pt>
                <c:pt idx="21">
                  <c:v>156.11699999999999</c:v>
                </c:pt>
                <c:pt idx="22">
                  <c:v>156.00399999999999</c:v>
                </c:pt>
                <c:pt idx="23">
                  <c:v>156.10400000000001</c:v>
                </c:pt>
                <c:pt idx="24">
                  <c:v>155.983</c:v>
                </c:pt>
                <c:pt idx="25">
                  <c:v>156.09899999999999</c:v>
                </c:pt>
                <c:pt idx="26">
                  <c:v>156.001</c:v>
                </c:pt>
                <c:pt idx="27">
                  <c:v>156.21600000000001</c:v>
                </c:pt>
                <c:pt idx="28">
                  <c:v>156.047</c:v>
                </c:pt>
                <c:pt idx="29">
                  <c:v>156.238</c:v>
                </c:pt>
                <c:pt idx="30">
                  <c:v>156.06299999999999</c:v>
                </c:pt>
                <c:pt idx="31">
                  <c:v>156.23099999999999</c:v>
                </c:pt>
                <c:pt idx="32">
                  <c:v>156.09100000000001</c:v>
                </c:pt>
                <c:pt idx="33">
                  <c:v>156.22800000000001</c:v>
                </c:pt>
                <c:pt idx="34">
                  <c:v>156.238</c:v>
                </c:pt>
                <c:pt idx="35">
                  <c:v>156.25200000000001</c:v>
                </c:pt>
                <c:pt idx="36">
                  <c:v>156.637</c:v>
                </c:pt>
                <c:pt idx="37">
                  <c:v>156.20699999999999</c:v>
                </c:pt>
                <c:pt idx="38">
                  <c:v>155.80000000000001</c:v>
                </c:pt>
                <c:pt idx="39">
                  <c:v>156.71</c:v>
                </c:pt>
                <c:pt idx="40">
                  <c:v>155.80600000000001</c:v>
                </c:pt>
                <c:pt idx="41">
                  <c:v>156.00700000000001</c:v>
                </c:pt>
                <c:pt idx="42">
                  <c:v>155.88800000000001</c:v>
                </c:pt>
                <c:pt idx="43">
                  <c:v>156.12799999999999</c:v>
                </c:pt>
                <c:pt idx="44">
                  <c:v>155.947</c:v>
                </c:pt>
                <c:pt idx="45">
                  <c:v>156.13300000000001</c:v>
                </c:pt>
                <c:pt idx="46">
                  <c:v>155.90799999999999</c:v>
                </c:pt>
                <c:pt idx="47">
                  <c:v>156.077</c:v>
                </c:pt>
                <c:pt idx="48">
                  <c:v>155.74600000000001</c:v>
                </c:pt>
                <c:pt idx="49">
                  <c:v>155.97800000000001</c:v>
                </c:pt>
                <c:pt idx="50">
                  <c:v>155.84899999999999</c:v>
                </c:pt>
                <c:pt idx="51">
                  <c:v>156.12299999999999</c:v>
                </c:pt>
                <c:pt idx="52">
                  <c:v>156</c:v>
                </c:pt>
                <c:pt idx="53">
                  <c:v>156.21199999999999</c:v>
                </c:pt>
                <c:pt idx="54">
                  <c:v>155.96</c:v>
                </c:pt>
                <c:pt idx="55">
                  <c:v>156.21600000000001</c:v>
                </c:pt>
                <c:pt idx="56">
                  <c:v>155.892</c:v>
                </c:pt>
                <c:pt idx="57">
                  <c:v>156.12299999999999</c:v>
                </c:pt>
                <c:pt idx="58">
                  <c:v>156.065</c:v>
                </c:pt>
                <c:pt idx="59">
                  <c:v>156.239</c:v>
                </c:pt>
                <c:pt idx="60">
                  <c:v>155.97</c:v>
                </c:pt>
                <c:pt idx="61">
                  <c:v>156.19200000000001</c:v>
                </c:pt>
                <c:pt idx="62">
                  <c:v>155.887</c:v>
                </c:pt>
                <c:pt idx="63">
                  <c:v>156.18799999999999</c:v>
                </c:pt>
                <c:pt idx="64">
                  <c:v>156.01</c:v>
                </c:pt>
                <c:pt idx="65">
                  <c:v>156.26</c:v>
                </c:pt>
                <c:pt idx="66">
                  <c:v>156.029</c:v>
                </c:pt>
                <c:pt idx="67">
                  <c:v>156.315</c:v>
                </c:pt>
                <c:pt idx="68">
                  <c:v>155.93100000000001</c:v>
                </c:pt>
                <c:pt idx="69">
                  <c:v>156.19800000000001</c:v>
                </c:pt>
                <c:pt idx="70">
                  <c:v>155.959</c:v>
                </c:pt>
                <c:pt idx="71">
                  <c:v>156.16200000000001</c:v>
                </c:pt>
                <c:pt idx="72">
                  <c:v>155.96299999999999</c:v>
                </c:pt>
                <c:pt idx="73">
                  <c:v>156.13</c:v>
                </c:pt>
                <c:pt idx="74">
                  <c:v>155.97</c:v>
                </c:pt>
                <c:pt idx="75">
                  <c:v>156.268</c:v>
                </c:pt>
                <c:pt idx="76">
                  <c:v>156.006</c:v>
                </c:pt>
                <c:pt idx="77">
                  <c:v>156.268</c:v>
                </c:pt>
                <c:pt idx="78">
                  <c:v>156.011</c:v>
                </c:pt>
                <c:pt idx="79">
                  <c:v>156.27000000000001</c:v>
                </c:pt>
                <c:pt idx="80">
                  <c:v>155.76300000000001</c:v>
                </c:pt>
                <c:pt idx="81">
                  <c:v>156.065</c:v>
                </c:pt>
                <c:pt idx="82">
                  <c:v>155.91300000000001</c:v>
                </c:pt>
                <c:pt idx="83">
                  <c:v>156.19300000000001</c:v>
                </c:pt>
                <c:pt idx="84">
                  <c:v>155.80099999999999</c:v>
                </c:pt>
                <c:pt idx="85">
                  <c:v>155.989</c:v>
                </c:pt>
                <c:pt idx="86">
                  <c:v>155.815</c:v>
                </c:pt>
                <c:pt idx="87">
                  <c:v>156.05000000000001</c:v>
                </c:pt>
                <c:pt idx="88">
                  <c:v>155.786</c:v>
                </c:pt>
                <c:pt idx="89">
                  <c:v>156.06399999999999</c:v>
                </c:pt>
                <c:pt idx="90">
                  <c:v>155.89400000000001</c:v>
                </c:pt>
                <c:pt idx="91">
                  <c:v>156.06299999999999</c:v>
                </c:pt>
                <c:pt idx="92">
                  <c:v>155.798</c:v>
                </c:pt>
                <c:pt idx="93">
                  <c:v>156.06800000000001</c:v>
                </c:pt>
                <c:pt idx="94">
                  <c:v>155.78</c:v>
                </c:pt>
                <c:pt idx="95">
                  <c:v>156.05000000000001</c:v>
                </c:pt>
                <c:pt idx="96">
                  <c:v>155.83600000000001</c:v>
                </c:pt>
                <c:pt idx="97">
                  <c:v>156.15199999999999</c:v>
                </c:pt>
                <c:pt idx="98">
                  <c:v>155.90799999999999</c:v>
                </c:pt>
                <c:pt idx="99">
                  <c:v>156.22</c:v>
                </c:pt>
                <c:pt idx="100">
                  <c:v>155.947</c:v>
                </c:pt>
                <c:pt idx="101">
                  <c:v>156.16499999999999</c:v>
                </c:pt>
                <c:pt idx="102">
                  <c:v>155.804</c:v>
                </c:pt>
                <c:pt idx="103">
                  <c:v>156.08199999999999</c:v>
                </c:pt>
                <c:pt idx="104">
                  <c:v>155.935</c:v>
                </c:pt>
                <c:pt idx="105">
                  <c:v>156.19999999999999</c:v>
                </c:pt>
                <c:pt idx="106">
                  <c:v>155.929</c:v>
                </c:pt>
                <c:pt idx="107">
                  <c:v>156.22900000000001</c:v>
                </c:pt>
                <c:pt idx="108">
                  <c:v>155.91200000000001</c:v>
                </c:pt>
                <c:pt idx="109">
                  <c:v>156.18</c:v>
                </c:pt>
                <c:pt idx="110">
                  <c:v>155.92500000000001</c:v>
                </c:pt>
                <c:pt idx="111">
                  <c:v>156.21799999999999</c:v>
                </c:pt>
                <c:pt idx="112">
                  <c:v>155.86000000000001</c:v>
                </c:pt>
                <c:pt idx="113">
                  <c:v>156.21</c:v>
                </c:pt>
                <c:pt idx="114">
                  <c:v>155.94300000000001</c:v>
                </c:pt>
                <c:pt idx="115">
                  <c:v>156.22900000000001</c:v>
                </c:pt>
                <c:pt idx="116">
                  <c:v>156.00200000000001</c:v>
                </c:pt>
                <c:pt idx="117">
                  <c:v>156.26900000000001</c:v>
                </c:pt>
                <c:pt idx="118">
                  <c:v>156.11699999999999</c:v>
                </c:pt>
                <c:pt idx="119">
                  <c:v>156.446</c:v>
                </c:pt>
                <c:pt idx="120">
                  <c:v>156.12200000000001</c:v>
                </c:pt>
                <c:pt idx="121">
                  <c:v>156.126</c:v>
                </c:pt>
                <c:pt idx="122">
                  <c:v>156.13999999999999</c:v>
                </c:pt>
                <c:pt idx="123">
                  <c:v>155.71899999999999</c:v>
                </c:pt>
                <c:pt idx="124">
                  <c:v>155.61199999999999</c:v>
                </c:pt>
                <c:pt idx="125">
                  <c:v>155.70500000000001</c:v>
                </c:pt>
                <c:pt idx="126">
                  <c:v>155.59200000000001</c:v>
                </c:pt>
                <c:pt idx="127">
                  <c:v>155.85499999999999</c:v>
                </c:pt>
                <c:pt idx="128">
                  <c:v>155.68100000000001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F-4142-9F72-E04C17EB681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('AMP5-2'!$L$4,'AMP5-2'!$L$4)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7F-4142-9F72-E04C17EB681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('AMP5-2'!$L$5,'AMP5-2'!$L$5)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7F-4142-9F72-E04C17EB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1008"/>
        <c:axId val="517841400"/>
      </c:scatterChart>
      <c:valAx>
        <c:axId val="51784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1400"/>
        <c:crosses val="autoZero"/>
        <c:crossBetween val="midCat"/>
      </c:valAx>
      <c:valAx>
        <c:axId val="5178414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'AMP5-2'!$M$9:$M$137</c:f>
              <c:numCache>
                <c:formatCode>General</c:formatCode>
                <c:ptCount val="129"/>
                <c:pt idx="0">
                  <c:v>155.613</c:v>
                </c:pt>
                <c:pt idx="1">
                  <c:v>155.739</c:v>
                </c:pt>
                <c:pt idx="2">
                  <c:v>155.65100000000001</c:v>
                </c:pt>
                <c:pt idx="3">
                  <c:v>155.755</c:v>
                </c:pt>
                <c:pt idx="4">
                  <c:v>155.732</c:v>
                </c:pt>
                <c:pt idx="5">
                  <c:v>155.75899999999999</c:v>
                </c:pt>
                <c:pt idx="6">
                  <c:v>155.66300000000001</c:v>
                </c:pt>
                <c:pt idx="7">
                  <c:v>155.80799999999999</c:v>
                </c:pt>
                <c:pt idx="8">
                  <c:v>155.714</c:v>
                </c:pt>
                <c:pt idx="9">
                  <c:v>155.74600000000001</c:v>
                </c:pt>
                <c:pt idx="10">
                  <c:v>155.679</c:v>
                </c:pt>
                <c:pt idx="11">
                  <c:v>155.791</c:v>
                </c:pt>
                <c:pt idx="12">
                  <c:v>155.64500000000001</c:v>
                </c:pt>
                <c:pt idx="13">
                  <c:v>155.79300000000001</c:v>
                </c:pt>
                <c:pt idx="14">
                  <c:v>155.65799999999999</c:v>
                </c:pt>
                <c:pt idx="15">
                  <c:v>155.80600000000001</c:v>
                </c:pt>
                <c:pt idx="16">
                  <c:v>155.596</c:v>
                </c:pt>
                <c:pt idx="17">
                  <c:v>155.876</c:v>
                </c:pt>
                <c:pt idx="18">
                  <c:v>155.685</c:v>
                </c:pt>
                <c:pt idx="19">
                  <c:v>155.892</c:v>
                </c:pt>
                <c:pt idx="20">
                  <c:v>155.601</c:v>
                </c:pt>
                <c:pt idx="21">
                  <c:v>155.952</c:v>
                </c:pt>
                <c:pt idx="22">
                  <c:v>155.685</c:v>
                </c:pt>
                <c:pt idx="23">
                  <c:v>155.904</c:v>
                </c:pt>
                <c:pt idx="24">
                  <c:v>155.64099999999999</c:v>
                </c:pt>
                <c:pt idx="25">
                  <c:v>155.97300000000001</c:v>
                </c:pt>
                <c:pt idx="26">
                  <c:v>155.578</c:v>
                </c:pt>
                <c:pt idx="27">
                  <c:v>156.108</c:v>
                </c:pt>
                <c:pt idx="28">
                  <c:v>155.744</c:v>
                </c:pt>
                <c:pt idx="29">
                  <c:v>156.13399999999999</c:v>
                </c:pt>
                <c:pt idx="30">
                  <c:v>155.76300000000001</c:v>
                </c:pt>
                <c:pt idx="31">
                  <c:v>156.10400000000001</c:v>
                </c:pt>
                <c:pt idx="32">
                  <c:v>155.738</c:v>
                </c:pt>
                <c:pt idx="33">
                  <c:v>156.13200000000001</c:v>
                </c:pt>
                <c:pt idx="34">
                  <c:v>155.67099999999999</c:v>
                </c:pt>
                <c:pt idx="35">
                  <c:v>156.255</c:v>
                </c:pt>
                <c:pt idx="36">
                  <c:v>156.42400000000001</c:v>
                </c:pt>
                <c:pt idx="37">
                  <c:v>156.166</c:v>
                </c:pt>
                <c:pt idx="38">
                  <c:v>155.56800000000001</c:v>
                </c:pt>
                <c:pt idx="39">
                  <c:v>156.565</c:v>
                </c:pt>
                <c:pt idx="40">
                  <c:v>155.53299999999999</c:v>
                </c:pt>
                <c:pt idx="41">
                  <c:v>155.852</c:v>
                </c:pt>
                <c:pt idx="42">
                  <c:v>155.61600000000001</c:v>
                </c:pt>
                <c:pt idx="43">
                  <c:v>155.96799999999999</c:v>
                </c:pt>
                <c:pt idx="44">
                  <c:v>155.69</c:v>
                </c:pt>
                <c:pt idx="45">
                  <c:v>155.976</c:v>
                </c:pt>
                <c:pt idx="46">
                  <c:v>155.624</c:v>
                </c:pt>
                <c:pt idx="47">
                  <c:v>155.93899999999999</c:v>
                </c:pt>
                <c:pt idx="48">
                  <c:v>155.482</c:v>
                </c:pt>
                <c:pt idx="49">
                  <c:v>155.911</c:v>
                </c:pt>
                <c:pt idx="50">
                  <c:v>155.51499999999999</c:v>
                </c:pt>
                <c:pt idx="51">
                  <c:v>156.018</c:v>
                </c:pt>
                <c:pt idx="52">
                  <c:v>155.678</c:v>
                </c:pt>
                <c:pt idx="53">
                  <c:v>156.03399999999999</c:v>
                </c:pt>
                <c:pt idx="54">
                  <c:v>155.63900000000001</c:v>
                </c:pt>
                <c:pt idx="55">
                  <c:v>156.08199999999999</c:v>
                </c:pt>
                <c:pt idx="56">
                  <c:v>155.523</c:v>
                </c:pt>
                <c:pt idx="57">
                  <c:v>156.01400000000001</c:v>
                </c:pt>
                <c:pt idx="58">
                  <c:v>155.69300000000001</c:v>
                </c:pt>
                <c:pt idx="59">
                  <c:v>156.136</c:v>
                </c:pt>
                <c:pt idx="60">
                  <c:v>155.56200000000001</c:v>
                </c:pt>
                <c:pt idx="61">
                  <c:v>156.107</c:v>
                </c:pt>
                <c:pt idx="62">
                  <c:v>155.49299999999999</c:v>
                </c:pt>
                <c:pt idx="63">
                  <c:v>156.09100000000001</c:v>
                </c:pt>
                <c:pt idx="64">
                  <c:v>155.67699999999999</c:v>
                </c:pt>
                <c:pt idx="65">
                  <c:v>156.172</c:v>
                </c:pt>
                <c:pt idx="66">
                  <c:v>155.60400000000001</c:v>
                </c:pt>
                <c:pt idx="67">
                  <c:v>156.24</c:v>
                </c:pt>
                <c:pt idx="68">
                  <c:v>155.55099999999999</c:v>
                </c:pt>
                <c:pt idx="69">
                  <c:v>156.10900000000001</c:v>
                </c:pt>
                <c:pt idx="70">
                  <c:v>155.56</c:v>
                </c:pt>
                <c:pt idx="71">
                  <c:v>156.1</c:v>
                </c:pt>
                <c:pt idx="72">
                  <c:v>155.50299999999999</c:v>
                </c:pt>
                <c:pt idx="73">
                  <c:v>156.05699999999999</c:v>
                </c:pt>
                <c:pt idx="74">
                  <c:v>155.57499999999999</c:v>
                </c:pt>
                <c:pt idx="75">
                  <c:v>156.203</c:v>
                </c:pt>
                <c:pt idx="76">
                  <c:v>155.566</c:v>
                </c:pt>
                <c:pt idx="77">
                  <c:v>156.23500000000001</c:v>
                </c:pt>
                <c:pt idx="78">
                  <c:v>155.643</c:v>
                </c:pt>
                <c:pt idx="79">
                  <c:v>156.20500000000001</c:v>
                </c:pt>
                <c:pt idx="80">
                  <c:v>155.41200000000001</c:v>
                </c:pt>
                <c:pt idx="81">
                  <c:v>156.00399999999999</c:v>
                </c:pt>
                <c:pt idx="82">
                  <c:v>155.60900000000001</c:v>
                </c:pt>
                <c:pt idx="83">
                  <c:v>156.05699999999999</c:v>
                </c:pt>
                <c:pt idx="84">
                  <c:v>155.53399999999999</c:v>
                </c:pt>
                <c:pt idx="85">
                  <c:v>155.78399999999999</c:v>
                </c:pt>
                <c:pt idx="86">
                  <c:v>155.571</c:v>
                </c:pt>
                <c:pt idx="87">
                  <c:v>155.85400000000001</c:v>
                </c:pt>
                <c:pt idx="88">
                  <c:v>155.54400000000001</c:v>
                </c:pt>
                <c:pt idx="89">
                  <c:v>155.87899999999999</c:v>
                </c:pt>
                <c:pt idx="90">
                  <c:v>155.65899999999999</c:v>
                </c:pt>
                <c:pt idx="91">
                  <c:v>155.904</c:v>
                </c:pt>
                <c:pt idx="92">
                  <c:v>155.548</c:v>
                </c:pt>
                <c:pt idx="93">
                  <c:v>155.887</c:v>
                </c:pt>
                <c:pt idx="94">
                  <c:v>155.49799999999999</c:v>
                </c:pt>
                <c:pt idx="95">
                  <c:v>155.87700000000001</c:v>
                </c:pt>
                <c:pt idx="96">
                  <c:v>155.56200000000001</c:v>
                </c:pt>
                <c:pt idx="97">
                  <c:v>156.01300000000001</c:v>
                </c:pt>
                <c:pt idx="98">
                  <c:v>155.678</c:v>
                </c:pt>
                <c:pt idx="99">
                  <c:v>156.07300000000001</c:v>
                </c:pt>
                <c:pt idx="100">
                  <c:v>155.71600000000001</c:v>
                </c:pt>
                <c:pt idx="101">
                  <c:v>155.982</c:v>
                </c:pt>
                <c:pt idx="102">
                  <c:v>155.52000000000001</c:v>
                </c:pt>
                <c:pt idx="103">
                  <c:v>155.95500000000001</c:v>
                </c:pt>
                <c:pt idx="104">
                  <c:v>155.68700000000001</c:v>
                </c:pt>
                <c:pt idx="105">
                  <c:v>156.00700000000001</c:v>
                </c:pt>
                <c:pt idx="106">
                  <c:v>155.64400000000001</c:v>
                </c:pt>
                <c:pt idx="107">
                  <c:v>156.095</c:v>
                </c:pt>
                <c:pt idx="108">
                  <c:v>155.66900000000001</c:v>
                </c:pt>
                <c:pt idx="109">
                  <c:v>156.07499999999999</c:v>
                </c:pt>
                <c:pt idx="110">
                  <c:v>155.66499999999999</c:v>
                </c:pt>
                <c:pt idx="111">
                  <c:v>156.05199999999999</c:v>
                </c:pt>
                <c:pt idx="112">
                  <c:v>155.589</c:v>
                </c:pt>
                <c:pt idx="113">
                  <c:v>156.06100000000001</c:v>
                </c:pt>
                <c:pt idx="114">
                  <c:v>155.65700000000001</c:v>
                </c:pt>
                <c:pt idx="115">
                  <c:v>156.14699999999999</c:v>
                </c:pt>
                <c:pt idx="116">
                  <c:v>155.691</c:v>
                </c:pt>
                <c:pt idx="117">
                  <c:v>156.12700000000001</c:v>
                </c:pt>
                <c:pt idx="118">
                  <c:v>155.79599999999999</c:v>
                </c:pt>
                <c:pt idx="119">
                  <c:v>156.37299999999999</c:v>
                </c:pt>
                <c:pt idx="120">
                  <c:v>155.87899999999999</c:v>
                </c:pt>
                <c:pt idx="121">
                  <c:v>155.88499999999999</c:v>
                </c:pt>
                <c:pt idx="122">
                  <c:v>156.00399999999999</c:v>
                </c:pt>
                <c:pt idx="123">
                  <c:v>155.624</c:v>
                </c:pt>
                <c:pt idx="124">
                  <c:v>155.32599999999999</c:v>
                </c:pt>
                <c:pt idx="125">
                  <c:v>155.55600000000001</c:v>
                </c:pt>
                <c:pt idx="126">
                  <c:v>155.38499999999999</c:v>
                </c:pt>
                <c:pt idx="127">
                  <c:v>155.70599999999999</c:v>
                </c:pt>
                <c:pt idx="128">
                  <c:v>155.43700000000001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22-4B13-ABDE-73DE2BB097B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('AMP5-2'!$M$4,'AMP5-2'!$M$4)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22-4B13-ABDE-73DE2BB097B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('AMP5-2'!$M$5,'AMP5-2'!$M$5)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22-4B13-ABDE-73DE2BB09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2184"/>
        <c:axId val="517842576"/>
      </c:scatterChart>
      <c:valAx>
        <c:axId val="51784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2576"/>
        <c:crosses val="autoZero"/>
        <c:crossBetween val="midCat"/>
      </c:valAx>
      <c:valAx>
        <c:axId val="5178425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'AMP5-2'!$N$9:$N$137</c:f>
              <c:numCache>
                <c:formatCode>General</c:formatCode>
                <c:ptCount val="129"/>
                <c:pt idx="0">
                  <c:v>27.335000000000001</c:v>
                </c:pt>
                <c:pt idx="1">
                  <c:v>27.282</c:v>
                </c:pt>
                <c:pt idx="2">
                  <c:v>27.315999999999999</c:v>
                </c:pt>
                <c:pt idx="3">
                  <c:v>27.276</c:v>
                </c:pt>
                <c:pt idx="4">
                  <c:v>27.164999999999999</c:v>
                </c:pt>
                <c:pt idx="5">
                  <c:v>27.266999999999999</c:v>
                </c:pt>
                <c:pt idx="6">
                  <c:v>27.245999999999999</c:v>
                </c:pt>
                <c:pt idx="7">
                  <c:v>27.207000000000001</c:v>
                </c:pt>
                <c:pt idx="8">
                  <c:v>27.236999999999998</c:v>
                </c:pt>
                <c:pt idx="9">
                  <c:v>27.242000000000001</c:v>
                </c:pt>
                <c:pt idx="10">
                  <c:v>27.236000000000001</c:v>
                </c:pt>
                <c:pt idx="11">
                  <c:v>27.212</c:v>
                </c:pt>
                <c:pt idx="12">
                  <c:v>27.241</c:v>
                </c:pt>
                <c:pt idx="13">
                  <c:v>27.222000000000001</c:v>
                </c:pt>
                <c:pt idx="14">
                  <c:v>27.236000000000001</c:v>
                </c:pt>
                <c:pt idx="15">
                  <c:v>27.201000000000001</c:v>
                </c:pt>
                <c:pt idx="16">
                  <c:v>27.297000000000001</c:v>
                </c:pt>
                <c:pt idx="17">
                  <c:v>27.134</c:v>
                </c:pt>
                <c:pt idx="18">
                  <c:v>27.207000000000001</c:v>
                </c:pt>
                <c:pt idx="19">
                  <c:v>27.13</c:v>
                </c:pt>
                <c:pt idx="20">
                  <c:v>27.233000000000001</c:v>
                </c:pt>
                <c:pt idx="21">
                  <c:v>27.103999999999999</c:v>
                </c:pt>
                <c:pt idx="22">
                  <c:v>27.210999999999999</c:v>
                </c:pt>
                <c:pt idx="23">
                  <c:v>27.114999999999998</c:v>
                </c:pt>
                <c:pt idx="24">
                  <c:v>27.231000000000002</c:v>
                </c:pt>
                <c:pt idx="25">
                  <c:v>27.085000000000001</c:v>
                </c:pt>
                <c:pt idx="26">
                  <c:v>27.181000000000001</c:v>
                </c:pt>
                <c:pt idx="27">
                  <c:v>26.975000000000001</c:v>
                </c:pt>
                <c:pt idx="28">
                  <c:v>27.123999999999999</c:v>
                </c:pt>
                <c:pt idx="29">
                  <c:v>26.992999999999999</c:v>
                </c:pt>
                <c:pt idx="30">
                  <c:v>27.12</c:v>
                </c:pt>
                <c:pt idx="31">
                  <c:v>26.981999999999999</c:v>
                </c:pt>
                <c:pt idx="32">
                  <c:v>27.012</c:v>
                </c:pt>
                <c:pt idx="33">
                  <c:v>26.994</c:v>
                </c:pt>
                <c:pt idx="34">
                  <c:v>27.001000000000001</c:v>
                </c:pt>
                <c:pt idx="35">
                  <c:v>26.898</c:v>
                </c:pt>
                <c:pt idx="36">
                  <c:v>26.422999999999998</c:v>
                </c:pt>
                <c:pt idx="37">
                  <c:v>26.908000000000001</c:v>
                </c:pt>
                <c:pt idx="38">
                  <c:v>27.356000000000002</c:v>
                </c:pt>
                <c:pt idx="39">
                  <c:v>26.521000000000001</c:v>
                </c:pt>
                <c:pt idx="40">
                  <c:v>27.332999999999998</c:v>
                </c:pt>
                <c:pt idx="41">
                  <c:v>27.206</c:v>
                </c:pt>
                <c:pt idx="42">
                  <c:v>27.289000000000001</c:v>
                </c:pt>
                <c:pt idx="43">
                  <c:v>27.106000000000002</c:v>
                </c:pt>
                <c:pt idx="44">
                  <c:v>27.189</c:v>
                </c:pt>
                <c:pt idx="45">
                  <c:v>27.076000000000001</c:v>
                </c:pt>
                <c:pt idx="46">
                  <c:v>27.28</c:v>
                </c:pt>
                <c:pt idx="47">
                  <c:v>27.097000000000001</c:v>
                </c:pt>
                <c:pt idx="48">
                  <c:v>27.431999999999999</c:v>
                </c:pt>
                <c:pt idx="49">
                  <c:v>27.204999999999998</c:v>
                </c:pt>
                <c:pt idx="50">
                  <c:v>27.324000000000002</c:v>
                </c:pt>
                <c:pt idx="51">
                  <c:v>27.074000000000002</c:v>
                </c:pt>
                <c:pt idx="52">
                  <c:v>27.132999999999999</c:v>
                </c:pt>
                <c:pt idx="53">
                  <c:v>27.016999999999999</c:v>
                </c:pt>
                <c:pt idx="54">
                  <c:v>27.181000000000001</c:v>
                </c:pt>
                <c:pt idx="55">
                  <c:v>27.039000000000001</c:v>
                </c:pt>
                <c:pt idx="56">
                  <c:v>27.245999999999999</c:v>
                </c:pt>
                <c:pt idx="57">
                  <c:v>27.091000000000001</c:v>
                </c:pt>
                <c:pt idx="58">
                  <c:v>27.065000000000001</c:v>
                </c:pt>
                <c:pt idx="59">
                  <c:v>26.997</c:v>
                </c:pt>
                <c:pt idx="60">
                  <c:v>27.196000000000002</c:v>
                </c:pt>
                <c:pt idx="61">
                  <c:v>26.995000000000001</c:v>
                </c:pt>
                <c:pt idx="62">
                  <c:v>27.259</c:v>
                </c:pt>
                <c:pt idx="63">
                  <c:v>27.021000000000001</c:v>
                </c:pt>
                <c:pt idx="64">
                  <c:v>27.154</c:v>
                </c:pt>
                <c:pt idx="65">
                  <c:v>26.952999999999999</c:v>
                </c:pt>
                <c:pt idx="66">
                  <c:v>27.17</c:v>
                </c:pt>
                <c:pt idx="67">
                  <c:v>26.835000000000001</c:v>
                </c:pt>
                <c:pt idx="68">
                  <c:v>27.233000000000001</c:v>
                </c:pt>
                <c:pt idx="69">
                  <c:v>26.998999999999999</c:v>
                </c:pt>
                <c:pt idx="70">
                  <c:v>27.204999999999998</c:v>
                </c:pt>
                <c:pt idx="71">
                  <c:v>27.027000000000001</c:v>
                </c:pt>
                <c:pt idx="72">
                  <c:v>27.222999999999999</c:v>
                </c:pt>
                <c:pt idx="73">
                  <c:v>27.050999999999998</c:v>
                </c:pt>
                <c:pt idx="74">
                  <c:v>27.193999999999999</c:v>
                </c:pt>
                <c:pt idx="75">
                  <c:v>26.949000000000002</c:v>
                </c:pt>
                <c:pt idx="76">
                  <c:v>27.178999999999998</c:v>
                </c:pt>
                <c:pt idx="77">
                  <c:v>26.94</c:v>
                </c:pt>
                <c:pt idx="78">
                  <c:v>27.161999999999999</c:v>
                </c:pt>
                <c:pt idx="79">
                  <c:v>26.913</c:v>
                </c:pt>
                <c:pt idx="80">
                  <c:v>27.372</c:v>
                </c:pt>
                <c:pt idx="81">
                  <c:v>27.129000000000001</c:v>
                </c:pt>
                <c:pt idx="82">
                  <c:v>27.305</c:v>
                </c:pt>
                <c:pt idx="83">
                  <c:v>26.995999999999999</c:v>
                </c:pt>
                <c:pt idx="84">
                  <c:v>27.379000000000001</c:v>
                </c:pt>
                <c:pt idx="85">
                  <c:v>27.192</c:v>
                </c:pt>
                <c:pt idx="86">
                  <c:v>27.338000000000001</c:v>
                </c:pt>
                <c:pt idx="87">
                  <c:v>27.170999999999999</c:v>
                </c:pt>
                <c:pt idx="88">
                  <c:v>27.375</c:v>
                </c:pt>
                <c:pt idx="89">
                  <c:v>27.164000000000001</c:v>
                </c:pt>
                <c:pt idx="90">
                  <c:v>27.257000000000001</c:v>
                </c:pt>
                <c:pt idx="91">
                  <c:v>27.141999999999999</c:v>
                </c:pt>
                <c:pt idx="92">
                  <c:v>27.375</c:v>
                </c:pt>
                <c:pt idx="93">
                  <c:v>27.11</c:v>
                </c:pt>
                <c:pt idx="94">
                  <c:v>27.376000000000001</c:v>
                </c:pt>
                <c:pt idx="95">
                  <c:v>27.137</c:v>
                </c:pt>
                <c:pt idx="96">
                  <c:v>27.364999999999998</c:v>
                </c:pt>
                <c:pt idx="97">
                  <c:v>27.021999999999998</c:v>
                </c:pt>
                <c:pt idx="98">
                  <c:v>27.295999999999999</c:v>
                </c:pt>
                <c:pt idx="99">
                  <c:v>27.053999999999998</c:v>
                </c:pt>
                <c:pt idx="100">
                  <c:v>27.236999999999998</c:v>
                </c:pt>
                <c:pt idx="101">
                  <c:v>27.029</c:v>
                </c:pt>
                <c:pt idx="102">
                  <c:v>27.372</c:v>
                </c:pt>
                <c:pt idx="103">
                  <c:v>27.126000000000001</c:v>
                </c:pt>
                <c:pt idx="104">
                  <c:v>27.181999999999999</c:v>
                </c:pt>
                <c:pt idx="105">
                  <c:v>27.033000000000001</c:v>
                </c:pt>
                <c:pt idx="106">
                  <c:v>27.251000000000001</c:v>
                </c:pt>
                <c:pt idx="107">
                  <c:v>26.966000000000001</c:v>
                </c:pt>
                <c:pt idx="108">
                  <c:v>27.321999999999999</c:v>
                </c:pt>
                <c:pt idx="109">
                  <c:v>27.003</c:v>
                </c:pt>
                <c:pt idx="110">
                  <c:v>27.224</c:v>
                </c:pt>
                <c:pt idx="111">
                  <c:v>26.994</c:v>
                </c:pt>
                <c:pt idx="112">
                  <c:v>27.292000000000002</c:v>
                </c:pt>
                <c:pt idx="113">
                  <c:v>26.992000000000001</c:v>
                </c:pt>
                <c:pt idx="114">
                  <c:v>27.236999999999998</c:v>
                </c:pt>
                <c:pt idx="115">
                  <c:v>26.959</c:v>
                </c:pt>
                <c:pt idx="116">
                  <c:v>27.172999999999998</c:v>
                </c:pt>
                <c:pt idx="117">
                  <c:v>26.908000000000001</c:v>
                </c:pt>
                <c:pt idx="118">
                  <c:v>27.123000000000001</c:v>
                </c:pt>
                <c:pt idx="119">
                  <c:v>26.867999999999999</c:v>
                </c:pt>
                <c:pt idx="120">
                  <c:v>27.004999999999999</c:v>
                </c:pt>
                <c:pt idx="121">
                  <c:v>27</c:v>
                </c:pt>
                <c:pt idx="122">
                  <c:v>27.117000000000001</c:v>
                </c:pt>
                <c:pt idx="123">
                  <c:v>27.483000000000001</c:v>
                </c:pt>
                <c:pt idx="124">
                  <c:v>27.596</c:v>
                </c:pt>
                <c:pt idx="125">
                  <c:v>27.495000000000001</c:v>
                </c:pt>
                <c:pt idx="126">
                  <c:v>27.611999999999998</c:v>
                </c:pt>
                <c:pt idx="127">
                  <c:v>27.341999999999999</c:v>
                </c:pt>
                <c:pt idx="128">
                  <c:v>27.527000000000001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C-4FE2-A81D-469EB44C6C6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('AMP5-2'!$N$4,'AMP5-2'!$N$4)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CC-4FE2-A81D-469EB44C6C6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('AMP5-2'!$N$5,'AMP5-2'!$N$5)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CC-4FE2-A81D-469EB44C6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3360"/>
        <c:axId val="517843752"/>
      </c:scatterChart>
      <c:valAx>
        <c:axId val="51784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3752"/>
        <c:crosses val="autoZero"/>
        <c:crossBetween val="midCat"/>
      </c:valAx>
      <c:valAx>
        <c:axId val="5178437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'AMP5-2'!$O$9:$O$137</c:f>
              <c:numCache>
                <c:formatCode>General</c:formatCode>
                <c:ptCount val="129"/>
                <c:pt idx="0">
                  <c:v>27.463999999999999</c:v>
                </c:pt>
                <c:pt idx="1">
                  <c:v>27.488</c:v>
                </c:pt>
                <c:pt idx="2">
                  <c:v>27.445</c:v>
                </c:pt>
                <c:pt idx="3">
                  <c:v>27.481999999999999</c:v>
                </c:pt>
                <c:pt idx="4">
                  <c:v>27.314</c:v>
                </c:pt>
                <c:pt idx="5">
                  <c:v>27.475000000000001</c:v>
                </c:pt>
                <c:pt idx="6">
                  <c:v>27.448</c:v>
                </c:pt>
                <c:pt idx="7">
                  <c:v>27.422999999999998</c:v>
                </c:pt>
                <c:pt idx="8">
                  <c:v>27.388999999999999</c:v>
                </c:pt>
                <c:pt idx="9">
                  <c:v>27.512</c:v>
                </c:pt>
                <c:pt idx="10">
                  <c:v>27.388000000000002</c:v>
                </c:pt>
                <c:pt idx="11">
                  <c:v>27.434999999999999</c:v>
                </c:pt>
                <c:pt idx="12">
                  <c:v>27.434999999999999</c:v>
                </c:pt>
                <c:pt idx="13">
                  <c:v>27.443999999999999</c:v>
                </c:pt>
                <c:pt idx="14">
                  <c:v>27.42</c:v>
                </c:pt>
                <c:pt idx="15">
                  <c:v>27.451000000000001</c:v>
                </c:pt>
                <c:pt idx="16">
                  <c:v>27.509</c:v>
                </c:pt>
                <c:pt idx="17">
                  <c:v>27.332000000000001</c:v>
                </c:pt>
                <c:pt idx="18">
                  <c:v>27.399000000000001</c:v>
                </c:pt>
                <c:pt idx="19">
                  <c:v>27.337</c:v>
                </c:pt>
                <c:pt idx="20">
                  <c:v>27.452000000000002</c:v>
                </c:pt>
                <c:pt idx="21">
                  <c:v>27.239000000000001</c:v>
                </c:pt>
                <c:pt idx="22">
                  <c:v>27.416</c:v>
                </c:pt>
                <c:pt idx="23">
                  <c:v>27.338999999999999</c:v>
                </c:pt>
                <c:pt idx="24">
                  <c:v>27.471</c:v>
                </c:pt>
                <c:pt idx="25">
                  <c:v>27.236000000000001</c:v>
                </c:pt>
                <c:pt idx="26">
                  <c:v>27.497</c:v>
                </c:pt>
                <c:pt idx="27">
                  <c:v>27.138999999999999</c:v>
                </c:pt>
                <c:pt idx="28">
                  <c:v>27.317</c:v>
                </c:pt>
                <c:pt idx="29">
                  <c:v>27.17</c:v>
                </c:pt>
                <c:pt idx="30">
                  <c:v>27.311</c:v>
                </c:pt>
                <c:pt idx="31">
                  <c:v>27.19</c:v>
                </c:pt>
                <c:pt idx="32">
                  <c:v>27.297999999999998</c:v>
                </c:pt>
                <c:pt idx="33">
                  <c:v>27.125</c:v>
                </c:pt>
                <c:pt idx="34">
                  <c:v>27.376999999999999</c:v>
                </c:pt>
                <c:pt idx="35">
                  <c:v>26.937999999999999</c:v>
                </c:pt>
                <c:pt idx="36">
                  <c:v>26.626000000000001</c:v>
                </c:pt>
                <c:pt idx="37">
                  <c:v>27.073</c:v>
                </c:pt>
                <c:pt idx="38">
                  <c:v>27.527000000000001</c:v>
                </c:pt>
                <c:pt idx="39">
                  <c:v>26.655000000000001</c:v>
                </c:pt>
                <c:pt idx="40">
                  <c:v>27.518999999999998</c:v>
                </c:pt>
                <c:pt idx="41">
                  <c:v>27.350999999999999</c:v>
                </c:pt>
                <c:pt idx="42">
                  <c:v>27.474</c:v>
                </c:pt>
                <c:pt idx="43">
                  <c:v>27.283999999999999</c:v>
                </c:pt>
                <c:pt idx="44">
                  <c:v>27.376999999999999</c:v>
                </c:pt>
                <c:pt idx="45">
                  <c:v>27.256</c:v>
                </c:pt>
                <c:pt idx="46">
                  <c:v>27.466000000000001</c:v>
                </c:pt>
                <c:pt idx="47">
                  <c:v>27.263999999999999</c:v>
                </c:pt>
                <c:pt idx="48">
                  <c:v>27.571000000000002</c:v>
                </c:pt>
                <c:pt idx="49">
                  <c:v>27.308</c:v>
                </c:pt>
                <c:pt idx="50">
                  <c:v>27.579000000000001</c:v>
                </c:pt>
                <c:pt idx="51">
                  <c:v>27.167999999999999</c:v>
                </c:pt>
                <c:pt idx="52">
                  <c:v>27.364000000000001</c:v>
                </c:pt>
                <c:pt idx="53">
                  <c:v>27.161000000000001</c:v>
                </c:pt>
                <c:pt idx="54">
                  <c:v>27.417999999999999</c:v>
                </c:pt>
                <c:pt idx="55">
                  <c:v>27.148</c:v>
                </c:pt>
                <c:pt idx="56">
                  <c:v>27.545000000000002</c:v>
                </c:pt>
                <c:pt idx="57">
                  <c:v>27.177</c:v>
                </c:pt>
                <c:pt idx="58">
                  <c:v>27.347999999999999</c:v>
                </c:pt>
                <c:pt idx="59">
                  <c:v>27.093</c:v>
                </c:pt>
                <c:pt idx="60">
                  <c:v>27.535</c:v>
                </c:pt>
                <c:pt idx="61">
                  <c:v>27.084</c:v>
                </c:pt>
                <c:pt idx="62">
                  <c:v>27.542000000000002</c:v>
                </c:pt>
                <c:pt idx="63">
                  <c:v>27.108000000000001</c:v>
                </c:pt>
                <c:pt idx="64">
                  <c:v>27.399000000000001</c:v>
                </c:pt>
                <c:pt idx="65">
                  <c:v>27.039000000000001</c:v>
                </c:pt>
                <c:pt idx="66">
                  <c:v>27.457999999999998</c:v>
                </c:pt>
                <c:pt idx="67">
                  <c:v>26.931999999999999</c:v>
                </c:pt>
                <c:pt idx="68">
                  <c:v>27.506</c:v>
                </c:pt>
                <c:pt idx="69">
                  <c:v>27.096</c:v>
                </c:pt>
                <c:pt idx="70">
                  <c:v>27.501000000000001</c:v>
                </c:pt>
                <c:pt idx="71">
                  <c:v>27.097999999999999</c:v>
                </c:pt>
                <c:pt idx="72">
                  <c:v>27.513999999999999</c:v>
                </c:pt>
                <c:pt idx="73">
                  <c:v>27.1</c:v>
                </c:pt>
                <c:pt idx="74">
                  <c:v>27.452999999999999</c:v>
                </c:pt>
                <c:pt idx="75">
                  <c:v>27.004000000000001</c:v>
                </c:pt>
                <c:pt idx="76">
                  <c:v>27.516999999999999</c:v>
                </c:pt>
                <c:pt idx="77">
                  <c:v>27</c:v>
                </c:pt>
                <c:pt idx="78">
                  <c:v>27.437999999999999</c:v>
                </c:pt>
                <c:pt idx="79">
                  <c:v>27.004999999999999</c:v>
                </c:pt>
                <c:pt idx="80">
                  <c:v>27.632999999999999</c:v>
                </c:pt>
                <c:pt idx="81">
                  <c:v>27.207999999999998</c:v>
                </c:pt>
                <c:pt idx="82">
                  <c:v>27.498999999999999</c:v>
                </c:pt>
                <c:pt idx="83">
                  <c:v>27.152000000000001</c:v>
                </c:pt>
                <c:pt idx="84">
                  <c:v>27.541</c:v>
                </c:pt>
                <c:pt idx="85">
                  <c:v>27.41</c:v>
                </c:pt>
                <c:pt idx="86">
                  <c:v>27.489000000000001</c:v>
                </c:pt>
                <c:pt idx="87">
                  <c:v>27.364999999999998</c:v>
                </c:pt>
                <c:pt idx="88">
                  <c:v>27.594000000000001</c:v>
                </c:pt>
                <c:pt idx="89">
                  <c:v>27.349</c:v>
                </c:pt>
                <c:pt idx="90">
                  <c:v>27.413</c:v>
                </c:pt>
                <c:pt idx="91">
                  <c:v>27.315000000000001</c:v>
                </c:pt>
                <c:pt idx="92">
                  <c:v>27.524000000000001</c:v>
                </c:pt>
                <c:pt idx="93">
                  <c:v>27.302</c:v>
                </c:pt>
                <c:pt idx="94">
                  <c:v>27.556000000000001</c:v>
                </c:pt>
                <c:pt idx="95">
                  <c:v>27.315000000000001</c:v>
                </c:pt>
                <c:pt idx="96">
                  <c:v>27.547999999999998</c:v>
                </c:pt>
                <c:pt idx="97">
                  <c:v>27.187999999999999</c:v>
                </c:pt>
                <c:pt idx="98">
                  <c:v>27.433</c:v>
                </c:pt>
                <c:pt idx="99">
                  <c:v>27.231000000000002</c:v>
                </c:pt>
                <c:pt idx="100">
                  <c:v>27.366</c:v>
                </c:pt>
                <c:pt idx="101">
                  <c:v>27.224</c:v>
                </c:pt>
                <c:pt idx="102">
                  <c:v>27.555</c:v>
                </c:pt>
                <c:pt idx="103">
                  <c:v>27.257000000000001</c:v>
                </c:pt>
                <c:pt idx="104">
                  <c:v>27.375</c:v>
                </c:pt>
                <c:pt idx="105">
                  <c:v>27.228999999999999</c:v>
                </c:pt>
                <c:pt idx="106">
                  <c:v>27.445</c:v>
                </c:pt>
                <c:pt idx="107">
                  <c:v>27.134</c:v>
                </c:pt>
                <c:pt idx="108">
                  <c:v>27.518999999999998</c:v>
                </c:pt>
                <c:pt idx="109">
                  <c:v>27.169</c:v>
                </c:pt>
                <c:pt idx="110">
                  <c:v>27.385000000000002</c:v>
                </c:pt>
                <c:pt idx="111">
                  <c:v>27.184999999999999</c:v>
                </c:pt>
                <c:pt idx="112">
                  <c:v>27.48</c:v>
                </c:pt>
                <c:pt idx="113">
                  <c:v>27.14</c:v>
                </c:pt>
                <c:pt idx="114">
                  <c:v>27.411999999999999</c:v>
                </c:pt>
                <c:pt idx="115">
                  <c:v>27.071000000000002</c:v>
                </c:pt>
                <c:pt idx="116">
                  <c:v>27.38</c:v>
                </c:pt>
                <c:pt idx="117">
                  <c:v>27.079000000000001</c:v>
                </c:pt>
                <c:pt idx="118">
                  <c:v>27.364000000000001</c:v>
                </c:pt>
                <c:pt idx="119">
                  <c:v>26.954999999999998</c:v>
                </c:pt>
                <c:pt idx="120">
                  <c:v>27.260999999999999</c:v>
                </c:pt>
                <c:pt idx="121">
                  <c:v>27.254999999999999</c:v>
                </c:pt>
                <c:pt idx="122">
                  <c:v>27.347000000000001</c:v>
                </c:pt>
                <c:pt idx="123">
                  <c:v>27.574999999999999</c:v>
                </c:pt>
                <c:pt idx="124">
                  <c:v>27.95</c:v>
                </c:pt>
                <c:pt idx="125">
                  <c:v>27.613</c:v>
                </c:pt>
                <c:pt idx="126">
                  <c:v>27.893999999999998</c:v>
                </c:pt>
                <c:pt idx="127">
                  <c:v>27.448</c:v>
                </c:pt>
                <c:pt idx="128">
                  <c:v>27.863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C-4BF3-9902-79849F039F1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('AMP5-2'!$O$4,'AMP5-2'!$O$4)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5C-4BF3-9902-79849F039F1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('AMP5-2'!$O$5,'AMP5-2'!$O$5)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5C-4BF3-9902-79849F039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4536"/>
        <c:axId val="517844928"/>
      </c:scatterChart>
      <c:valAx>
        <c:axId val="51784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4928"/>
        <c:crosses val="autoZero"/>
        <c:crossBetween val="midCat"/>
      </c:valAx>
      <c:valAx>
        <c:axId val="5178449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'AMP5-2'!$R$9:$R$137</c:f>
              <c:numCache>
                <c:formatCode>General</c:formatCode>
                <c:ptCount val="129"/>
                <c:pt idx="0">
                  <c:v>17.222999999999999</c:v>
                </c:pt>
                <c:pt idx="1">
                  <c:v>17.256</c:v>
                </c:pt>
                <c:pt idx="2">
                  <c:v>17.244</c:v>
                </c:pt>
                <c:pt idx="3">
                  <c:v>17.256</c:v>
                </c:pt>
                <c:pt idx="4">
                  <c:v>17.233000000000001</c:v>
                </c:pt>
                <c:pt idx="5">
                  <c:v>17.244</c:v>
                </c:pt>
                <c:pt idx="6">
                  <c:v>17.22</c:v>
                </c:pt>
                <c:pt idx="7">
                  <c:v>17.271000000000001</c:v>
                </c:pt>
                <c:pt idx="8">
                  <c:v>17.236000000000001</c:v>
                </c:pt>
                <c:pt idx="9">
                  <c:v>17.236999999999998</c:v>
                </c:pt>
                <c:pt idx="10">
                  <c:v>17.231000000000002</c:v>
                </c:pt>
                <c:pt idx="11">
                  <c:v>17.268000000000001</c:v>
                </c:pt>
                <c:pt idx="12">
                  <c:v>17.242000000000001</c:v>
                </c:pt>
                <c:pt idx="13">
                  <c:v>17.245999999999999</c:v>
                </c:pt>
                <c:pt idx="14">
                  <c:v>17.233000000000001</c:v>
                </c:pt>
                <c:pt idx="15">
                  <c:v>17.241</c:v>
                </c:pt>
                <c:pt idx="16">
                  <c:v>17.234000000000002</c:v>
                </c:pt>
                <c:pt idx="17">
                  <c:v>17.245999999999999</c:v>
                </c:pt>
                <c:pt idx="18">
                  <c:v>17.228000000000002</c:v>
                </c:pt>
                <c:pt idx="19">
                  <c:v>17.266999999999999</c:v>
                </c:pt>
                <c:pt idx="20">
                  <c:v>17.190000000000001</c:v>
                </c:pt>
                <c:pt idx="21">
                  <c:v>17.260000000000002</c:v>
                </c:pt>
                <c:pt idx="22">
                  <c:v>17.190999999999999</c:v>
                </c:pt>
                <c:pt idx="23">
                  <c:v>17.251000000000001</c:v>
                </c:pt>
                <c:pt idx="24">
                  <c:v>17.167999999999999</c:v>
                </c:pt>
                <c:pt idx="25">
                  <c:v>17.263999999999999</c:v>
                </c:pt>
                <c:pt idx="26">
                  <c:v>17.132999999999999</c:v>
                </c:pt>
                <c:pt idx="27">
                  <c:v>17.25</c:v>
                </c:pt>
                <c:pt idx="28">
                  <c:v>17.166</c:v>
                </c:pt>
                <c:pt idx="29">
                  <c:v>17.251999999999999</c:v>
                </c:pt>
                <c:pt idx="30">
                  <c:v>17.135999999999999</c:v>
                </c:pt>
                <c:pt idx="31">
                  <c:v>17.242000000000001</c:v>
                </c:pt>
                <c:pt idx="32">
                  <c:v>17.172000000000001</c:v>
                </c:pt>
                <c:pt idx="33">
                  <c:v>17.265999999999998</c:v>
                </c:pt>
                <c:pt idx="34">
                  <c:v>17.172999999999998</c:v>
                </c:pt>
                <c:pt idx="35">
                  <c:v>17.300999999999998</c:v>
                </c:pt>
                <c:pt idx="36">
                  <c:v>17.263999999999999</c:v>
                </c:pt>
                <c:pt idx="37">
                  <c:v>17.515000000000001</c:v>
                </c:pt>
                <c:pt idx="38">
                  <c:v>17.245999999999999</c:v>
                </c:pt>
                <c:pt idx="39">
                  <c:v>17.169</c:v>
                </c:pt>
                <c:pt idx="40">
                  <c:v>17.225999999999999</c:v>
                </c:pt>
                <c:pt idx="41">
                  <c:v>17.204999999999998</c:v>
                </c:pt>
                <c:pt idx="42">
                  <c:v>17.231000000000002</c:v>
                </c:pt>
                <c:pt idx="43">
                  <c:v>17.238</c:v>
                </c:pt>
                <c:pt idx="44">
                  <c:v>17.216999999999999</c:v>
                </c:pt>
                <c:pt idx="45">
                  <c:v>17.213999999999999</c:v>
                </c:pt>
                <c:pt idx="46">
                  <c:v>17.241</c:v>
                </c:pt>
                <c:pt idx="47">
                  <c:v>17.279</c:v>
                </c:pt>
                <c:pt idx="48">
                  <c:v>17.248000000000001</c:v>
                </c:pt>
                <c:pt idx="49">
                  <c:v>17.216000000000001</c:v>
                </c:pt>
                <c:pt idx="50">
                  <c:v>17.236000000000001</c:v>
                </c:pt>
                <c:pt idx="51">
                  <c:v>17.228999999999999</c:v>
                </c:pt>
                <c:pt idx="52">
                  <c:v>17.216999999999999</c:v>
                </c:pt>
                <c:pt idx="53">
                  <c:v>17.239000000000001</c:v>
                </c:pt>
                <c:pt idx="54">
                  <c:v>17.209</c:v>
                </c:pt>
                <c:pt idx="55">
                  <c:v>17.204000000000001</c:v>
                </c:pt>
                <c:pt idx="56">
                  <c:v>17.207000000000001</c:v>
                </c:pt>
                <c:pt idx="57">
                  <c:v>17.204000000000001</c:v>
                </c:pt>
                <c:pt idx="58">
                  <c:v>17.196999999999999</c:v>
                </c:pt>
                <c:pt idx="59">
                  <c:v>17.224</c:v>
                </c:pt>
                <c:pt idx="60">
                  <c:v>17.189</c:v>
                </c:pt>
                <c:pt idx="61">
                  <c:v>17.245999999999999</c:v>
                </c:pt>
                <c:pt idx="62">
                  <c:v>17.227</c:v>
                </c:pt>
                <c:pt idx="63">
                  <c:v>17.187000000000001</c:v>
                </c:pt>
                <c:pt idx="64">
                  <c:v>17.207999999999998</c:v>
                </c:pt>
                <c:pt idx="65">
                  <c:v>17.209</c:v>
                </c:pt>
                <c:pt idx="66">
                  <c:v>17.245999999999999</c:v>
                </c:pt>
                <c:pt idx="67">
                  <c:v>17.303999999999998</c:v>
                </c:pt>
                <c:pt idx="68">
                  <c:v>17.178999999999998</c:v>
                </c:pt>
                <c:pt idx="69">
                  <c:v>17.265000000000001</c:v>
                </c:pt>
                <c:pt idx="70">
                  <c:v>17.196999999999999</c:v>
                </c:pt>
                <c:pt idx="71">
                  <c:v>17.248999999999999</c:v>
                </c:pt>
                <c:pt idx="72">
                  <c:v>17.186</c:v>
                </c:pt>
                <c:pt idx="73">
                  <c:v>17.373000000000001</c:v>
                </c:pt>
                <c:pt idx="74">
                  <c:v>17.207999999999998</c:v>
                </c:pt>
                <c:pt idx="75">
                  <c:v>17.204999999999998</c:v>
                </c:pt>
                <c:pt idx="76">
                  <c:v>17.192</c:v>
                </c:pt>
                <c:pt idx="77">
                  <c:v>17.274000000000001</c:v>
                </c:pt>
                <c:pt idx="78">
                  <c:v>17.225999999999999</c:v>
                </c:pt>
                <c:pt idx="79">
                  <c:v>17.25</c:v>
                </c:pt>
                <c:pt idx="80">
                  <c:v>17.248999999999999</c:v>
                </c:pt>
                <c:pt idx="81">
                  <c:v>17.216999999999999</c:v>
                </c:pt>
                <c:pt idx="82">
                  <c:v>17.207999999999998</c:v>
                </c:pt>
                <c:pt idx="83">
                  <c:v>17.222000000000001</c:v>
                </c:pt>
                <c:pt idx="84">
                  <c:v>17.260999999999999</c:v>
                </c:pt>
                <c:pt idx="85">
                  <c:v>17.225999999999999</c:v>
                </c:pt>
                <c:pt idx="86">
                  <c:v>17.251999999999999</c:v>
                </c:pt>
                <c:pt idx="87">
                  <c:v>17.23</c:v>
                </c:pt>
                <c:pt idx="88">
                  <c:v>17.213000000000001</c:v>
                </c:pt>
                <c:pt idx="89">
                  <c:v>17.209</c:v>
                </c:pt>
                <c:pt idx="90">
                  <c:v>17.233000000000001</c:v>
                </c:pt>
                <c:pt idx="91">
                  <c:v>17.213999999999999</c:v>
                </c:pt>
                <c:pt idx="92">
                  <c:v>17.245999999999999</c:v>
                </c:pt>
                <c:pt idx="93">
                  <c:v>17.239000000000001</c:v>
                </c:pt>
                <c:pt idx="94">
                  <c:v>17.244</c:v>
                </c:pt>
                <c:pt idx="95">
                  <c:v>17.268999999999998</c:v>
                </c:pt>
                <c:pt idx="96">
                  <c:v>17.241</c:v>
                </c:pt>
                <c:pt idx="97">
                  <c:v>17.244</c:v>
                </c:pt>
                <c:pt idx="98">
                  <c:v>17.245000000000001</c:v>
                </c:pt>
                <c:pt idx="99">
                  <c:v>17.222000000000001</c:v>
                </c:pt>
                <c:pt idx="100">
                  <c:v>17.247</c:v>
                </c:pt>
                <c:pt idx="101">
                  <c:v>17.238</c:v>
                </c:pt>
                <c:pt idx="102">
                  <c:v>17.244</c:v>
                </c:pt>
                <c:pt idx="103">
                  <c:v>17.241</c:v>
                </c:pt>
                <c:pt idx="104">
                  <c:v>17.206</c:v>
                </c:pt>
                <c:pt idx="105">
                  <c:v>17.254999999999999</c:v>
                </c:pt>
                <c:pt idx="106">
                  <c:v>17.25</c:v>
                </c:pt>
                <c:pt idx="107">
                  <c:v>17.236999999999998</c:v>
                </c:pt>
                <c:pt idx="108">
                  <c:v>17.189</c:v>
                </c:pt>
                <c:pt idx="109">
                  <c:v>17.248999999999999</c:v>
                </c:pt>
                <c:pt idx="110">
                  <c:v>17.234000000000002</c:v>
                </c:pt>
                <c:pt idx="111">
                  <c:v>17.260999999999999</c:v>
                </c:pt>
                <c:pt idx="112">
                  <c:v>17.184000000000001</c:v>
                </c:pt>
                <c:pt idx="113">
                  <c:v>17.234000000000002</c:v>
                </c:pt>
                <c:pt idx="114">
                  <c:v>17.210999999999999</c:v>
                </c:pt>
                <c:pt idx="115">
                  <c:v>17.257999999999999</c:v>
                </c:pt>
                <c:pt idx="116">
                  <c:v>17.202000000000002</c:v>
                </c:pt>
                <c:pt idx="117">
                  <c:v>17.260000000000002</c:v>
                </c:pt>
                <c:pt idx="118">
                  <c:v>17.204000000000001</c:v>
                </c:pt>
                <c:pt idx="119">
                  <c:v>17.27</c:v>
                </c:pt>
                <c:pt idx="120">
                  <c:v>17.193000000000001</c:v>
                </c:pt>
                <c:pt idx="121">
                  <c:v>17.190000000000001</c:v>
                </c:pt>
                <c:pt idx="122">
                  <c:v>17.399000000000001</c:v>
                </c:pt>
                <c:pt idx="123">
                  <c:v>17.262</c:v>
                </c:pt>
                <c:pt idx="124">
                  <c:v>17.271999999999998</c:v>
                </c:pt>
                <c:pt idx="125">
                  <c:v>17.236999999999998</c:v>
                </c:pt>
                <c:pt idx="126">
                  <c:v>17.276</c:v>
                </c:pt>
                <c:pt idx="127">
                  <c:v>17.253</c:v>
                </c:pt>
                <c:pt idx="128">
                  <c:v>17.254000000000001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1-400B-9E18-95C896F77A9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('AMP5-2'!$R$4,'AMP5-2'!$R$4)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1-400B-9E18-95C896F77A9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('AMP5-2'!$R$5,'AMP5-2'!$R$5)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01-400B-9E18-95C896F77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5712"/>
        <c:axId val="517846104"/>
      </c:scatterChart>
      <c:valAx>
        <c:axId val="51784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6104"/>
        <c:crosses val="autoZero"/>
        <c:crossBetween val="midCat"/>
      </c:valAx>
      <c:valAx>
        <c:axId val="5178461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'AMP5-2'!$S$9:$S$137</c:f>
              <c:numCache>
                <c:formatCode>General</c:formatCode>
                <c:ptCount val="129"/>
                <c:pt idx="0">
                  <c:v>17.29</c:v>
                </c:pt>
                <c:pt idx="1">
                  <c:v>17.178999999999998</c:v>
                </c:pt>
                <c:pt idx="2">
                  <c:v>17.286000000000001</c:v>
                </c:pt>
                <c:pt idx="3">
                  <c:v>17.236999999999998</c:v>
                </c:pt>
                <c:pt idx="4">
                  <c:v>17.206</c:v>
                </c:pt>
                <c:pt idx="5">
                  <c:v>17.245000000000001</c:v>
                </c:pt>
                <c:pt idx="6">
                  <c:v>17.128</c:v>
                </c:pt>
                <c:pt idx="7">
                  <c:v>17.216000000000001</c:v>
                </c:pt>
                <c:pt idx="8">
                  <c:v>17.184000000000001</c:v>
                </c:pt>
                <c:pt idx="9">
                  <c:v>17.155000000000001</c:v>
                </c:pt>
                <c:pt idx="10">
                  <c:v>17.193000000000001</c:v>
                </c:pt>
                <c:pt idx="11">
                  <c:v>17.274999999999999</c:v>
                </c:pt>
                <c:pt idx="12">
                  <c:v>17.164000000000001</c:v>
                </c:pt>
                <c:pt idx="13">
                  <c:v>17.234000000000002</c:v>
                </c:pt>
                <c:pt idx="14">
                  <c:v>17.202999999999999</c:v>
                </c:pt>
                <c:pt idx="15">
                  <c:v>17.221</c:v>
                </c:pt>
                <c:pt idx="16">
                  <c:v>17.138000000000002</c:v>
                </c:pt>
                <c:pt idx="17">
                  <c:v>17.266999999999999</c:v>
                </c:pt>
                <c:pt idx="18">
                  <c:v>17.166</c:v>
                </c:pt>
                <c:pt idx="19">
                  <c:v>17.202000000000002</c:v>
                </c:pt>
                <c:pt idx="20">
                  <c:v>17.117999999999999</c:v>
                </c:pt>
                <c:pt idx="21">
                  <c:v>17.239000000000001</c:v>
                </c:pt>
                <c:pt idx="22">
                  <c:v>17.108000000000001</c:v>
                </c:pt>
                <c:pt idx="23">
                  <c:v>17.300999999999998</c:v>
                </c:pt>
                <c:pt idx="24">
                  <c:v>17.225999999999999</c:v>
                </c:pt>
                <c:pt idx="25">
                  <c:v>17.239999999999998</c:v>
                </c:pt>
                <c:pt idx="26">
                  <c:v>17.193000000000001</c:v>
                </c:pt>
                <c:pt idx="27">
                  <c:v>17.283000000000001</c:v>
                </c:pt>
                <c:pt idx="28">
                  <c:v>17.097999999999999</c:v>
                </c:pt>
                <c:pt idx="29">
                  <c:v>17.27</c:v>
                </c:pt>
                <c:pt idx="30">
                  <c:v>16.986000000000001</c:v>
                </c:pt>
                <c:pt idx="31">
                  <c:v>17.338000000000001</c:v>
                </c:pt>
                <c:pt idx="32">
                  <c:v>17</c:v>
                </c:pt>
                <c:pt idx="33">
                  <c:v>17.48</c:v>
                </c:pt>
                <c:pt idx="34">
                  <c:v>17.292000000000002</c:v>
                </c:pt>
                <c:pt idx="35">
                  <c:v>17.227</c:v>
                </c:pt>
                <c:pt idx="36">
                  <c:v>16.526</c:v>
                </c:pt>
                <c:pt idx="37">
                  <c:v>17.402000000000001</c:v>
                </c:pt>
                <c:pt idx="38">
                  <c:v>17.268000000000001</c:v>
                </c:pt>
                <c:pt idx="39">
                  <c:v>17.202999999999999</c:v>
                </c:pt>
                <c:pt idx="40">
                  <c:v>17.364999999999998</c:v>
                </c:pt>
                <c:pt idx="41">
                  <c:v>17.125</c:v>
                </c:pt>
                <c:pt idx="42">
                  <c:v>17.245000000000001</c:v>
                </c:pt>
                <c:pt idx="43">
                  <c:v>17.148</c:v>
                </c:pt>
                <c:pt idx="44">
                  <c:v>17.271999999999998</c:v>
                </c:pt>
                <c:pt idx="45">
                  <c:v>17.148</c:v>
                </c:pt>
                <c:pt idx="46">
                  <c:v>17.222000000000001</c:v>
                </c:pt>
                <c:pt idx="47">
                  <c:v>17.212</c:v>
                </c:pt>
                <c:pt idx="48">
                  <c:v>17.280999999999999</c:v>
                </c:pt>
                <c:pt idx="49">
                  <c:v>17.209</c:v>
                </c:pt>
                <c:pt idx="50">
                  <c:v>17.236999999999998</c:v>
                </c:pt>
                <c:pt idx="51">
                  <c:v>17.161999999999999</c:v>
                </c:pt>
                <c:pt idx="52">
                  <c:v>17.218</c:v>
                </c:pt>
                <c:pt idx="53">
                  <c:v>17.143000000000001</c:v>
                </c:pt>
                <c:pt idx="54">
                  <c:v>17.187000000000001</c:v>
                </c:pt>
                <c:pt idx="55">
                  <c:v>17.302</c:v>
                </c:pt>
                <c:pt idx="56">
                  <c:v>17.192</c:v>
                </c:pt>
                <c:pt idx="57">
                  <c:v>17.181000000000001</c:v>
                </c:pt>
                <c:pt idx="58">
                  <c:v>17.097999999999999</c:v>
                </c:pt>
                <c:pt idx="59">
                  <c:v>17.195</c:v>
                </c:pt>
                <c:pt idx="60">
                  <c:v>17.132000000000001</c:v>
                </c:pt>
                <c:pt idx="61">
                  <c:v>17.212</c:v>
                </c:pt>
                <c:pt idx="62">
                  <c:v>16.978999999999999</c:v>
                </c:pt>
                <c:pt idx="63">
                  <c:v>17.242999999999999</c:v>
                </c:pt>
                <c:pt idx="64">
                  <c:v>17.158999999999999</c:v>
                </c:pt>
                <c:pt idx="65">
                  <c:v>17.161999999999999</c:v>
                </c:pt>
                <c:pt idx="66">
                  <c:v>17.18</c:v>
                </c:pt>
                <c:pt idx="67">
                  <c:v>17.103999999999999</c:v>
                </c:pt>
                <c:pt idx="68">
                  <c:v>17.189</c:v>
                </c:pt>
                <c:pt idx="69">
                  <c:v>17.266999999999999</c:v>
                </c:pt>
                <c:pt idx="70">
                  <c:v>17.172999999999998</c:v>
                </c:pt>
                <c:pt idx="71">
                  <c:v>17.207000000000001</c:v>
                </c:pt>
                <c:pt idx="72">
                  <c:v>17.004000000000001</c:v>
                </c:pt>
                <c:pt idx="73">
                  <c:v>17.253</c:v>
                </c:pt>
                <c:pt idx="74">
                  <c:v>17.245999999999999</c:v>
                </c:pt>
                <c:pt idx="75">
                  <c:v>17.143000000000001</c:v>
                </c:pt>
                <c:pt idx="76">
                  <c:v>17.209</c:v>
                </c:pt>
                <c:pt idx="77">
                  <c:v>17.172000000000001</c:v>
                </c:pt>
                <c:pt idx="78">
                  <c:v>17.178000000000001</c:v>
                </c:pt>
                <c:pt idx="79">
                  <c:v>17.170000000000002</c:v>
                </c:pt>
                <c:pt idx="80">
                  <c:v>17.28</c:v>
                </c:pt>
                <c:pt idx="81">
                  <c:v>17.068000000000001</c:v>
                </c:pt>
                <c:pt idx="82">
                  <c:v>17.312999999999999</c:v>
                </c:pt>
                <c:pt idx="83">
                  <c:v>17.096</c:v>
                </c:pt>
                <c:pt idx="84">
                  <c:v>17.542000000000002</c:v>
                </c:pt>
                <c:pt idx="85">
                  <c:v>17.114999999999998</c:v>
                </c:pt>
                <c:pt idx="86">
                  <c:v>17.385999999999999</c:v>
                </c:pt>
                <c:pt idx="87">
                  <c:v>17.131</c:v>
                </c:pt>
                <c:pt idx="88">
                  <c:v>17.353999999999999</c:v>
                </c:pt>
                <c:pt idx="89">
                  <c:v>17.172999999999998</c:v>
                </c:pt>
                <c:pt idx="90">
                  <c:v>17.370999999999999</c:v>
                </c:pt>
                <c:pt idx="91">
                  <c:v>17.187000000000001</c:v>
                </c:pt>
                <c:pt idx="92">
                  <c:v>17.417999999999999</c:v>
                </c:pt>
                <c:pt idx="93">
                  <c:v>17.177</c:v>
                </c:pt>
                <c:pt idx="94">
                  <c:v>17.358000000000001</c:v>
                </c:pt>
                <c:pt idx="95">
                  <c:v>17.2</c:v>
                </c:pt>
                <c:pt idx="96">
                  <c:v>17.291</c:v>
                </c:pt>
                <c:pt idx="97">
                  <c:v>17.146000000000001</c:v>
                </c:pt>
                <c:pt idx="98">
                  <c:v>17.315000000000001</c:v>
                </c:pt>
                <c:pt idx="99">
                  <c:v>17.109000000000002</c:v>
                </c:pt>
                <c:pt idx="100">
                  <c:v>17.324000000000002</c:v>
                </c:pt>
                <c:pt idx="101">
                  <c:v>17.11</c:v>
                </c:pt>
                <c:pt idx="102">
                  <c:v>17.356000000000002</c:v>
                </c:pt>
                <c:pt idx="103">
                  <c:v>17.187000000000001</c:v>
                </c:pt>
                <c:pt idx="104">
                  <c:v>17.234000000000002</c:v>
                </c:pt>
                <c:pt idx="105">
                  <c:v>17.13</c:v>
                </c:pt>
                <c:pt idx="106">
                  <c:v>17.3</c:v>
                </c:pt>
                <c:pt idx="107">
                  <c:v>17.117000000000001</c:v>
                </c:pt>
                <c:pt idx="108">
                  <c:v>17.280999999999999</c:v>
                </c:pt>
                <c:pt idx="109">
                  <c:v>17.175000000000001</c:v>
                </c:pt>
                <c:pt idx="110">
                  <c:v>17.341999999999999</c:v>
                </c:pt>
                <c:pt idx="111">
                  <c:v>17.146000000000001</c:v>
                </c:pt>
                <c:pt idx="112">
                  <c:v>17.314</c:v>
                </c:pt>
                <c:pt idx="113">
                  <c:v>17.169</c:v>
                </c:pt>
                <c:pt idx="114">
                  <c:v>17.286999999999999</c:v>
                </c:pt>
                <c:pt idx="115">
                  <c:v>17.222000000000001</c:v>
                </c:pt>
                <c:pt idx="116">
                  <c:v>17.323</c:v>
                </c:pt>
                <c:pt idx="117">
                  <c:v>17.241</c:v>
                </c:pt>
                <c:pt idx="118">
                  <c:v>17.196000000000002</c:v>
                </c:pt>
                <c:pt idx="119">
                  <c:v>17.331</c:v>
                </c:pt>
                <c:pt idx="120">
                  <c:v>17.198</c:v>
                </c:pt>
                <c:pt idx="121">
                  <c:v>17.195</c:v>
                </c:pt>
                <c:pt idx="122">
                  <c:v>17.116</c:v>
                </c:pt>
                <c:pt idx="123">
                  <c:v>17.321999999999999</c:v>
                </c:pt>
                <c:pt idx="124">
                  <c:v>17.329000000000001</c:v>
                </c:pt>
                <c:pt idx="125">
                  <c:v>17.318000000000001</c:v>
                </c:pt>
                <c:pt idx="126">
                  <c:v>17.242000000000001</c:v>
                </c:pt>
                <c:pt idx="127">
                  <c:v>17.253</c:v>
                </c:pt>
                <c:pt idx="128">
                  <c:v>17.279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E-4A8D-B87C-D5373117B58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('AMP5-2'!$S$4,'AMP5-2'!$S$4)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E-4A8D-B87C-D5373117B58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('AMP5-2'!$S$5,'AMP5-2'!$S$5)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0E-4A8D-B87C-D5373117B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6888"/>
        <c:axId val="517847280"/>
      </c:scatterChart>
      <c:valAx>
        <c:axId val="517846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7280"/>
        <c:crosses val="autoZero"/>
        <c:crossBetween val="midCat"/>
      </c:valAx>
      <c:valAx>
        <c:axId val="5178472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'AMP5-2'!$T$9:$T$137</c:f>
              <c:numCache>
                <c:formatCode>General</c:formatCode>
                <c:ptCount val="129"/>
                <c:pt idx="0">
                  <c:v>33.441000000000003</c:v>
                </c:pt>
                <c:pt idx="1">
                  <c:v>36.914000000000001</c:v>
                </c:pt>
                <c:pt idx="2">
                  <c:v>33.49</c:v>
                </c:pt>
                <c:pt idx="3">
                  <c:v>37.854999999999997</c:v>
                </c:pt>
                <c:pt idx="4">
                  <c:v>33.606999999999999</c:v>
                </c:pt>
                <c:pt idx="5">
                  <c:v>34.539000000000001</c:v>
                </c:pt>
                <c:pt idx="6">
                  <c:v>33.606000000000002</c:v>
                </c:pt>
                <c:pt idx="7">
                  <c:v>36.143000000000001</c:v>
                </c:pt>
                <c:pt idx="8">
                  <c:v>33.216000000000001</c:v>
                </c:pt>
                <c:pt idx="9">
                  <c:v>37.031999999999996</c:v>
                </c:pt>
                <c:pt idx="10">
                  <c:v>33.253999999999998</c:v>
                </c:pt>
                <c:pt idx="11">
                  <c:v>37.098999999999997</c:v>
                </c:pt>
                <c:pt idx="12">
                  <c:v>33.307000000000002</c:v>
                </c:pt>
                <c:pt idx="13">
                  <c:v>39.340000000000003</c:v>
                </c:pt>
                <c:pt idx="14">
                  <c:v>33.319000000000003</c:v>
                </c:pt>
                <c:pt idx="15">
                  <c:v>37.009</c:v>
                </c:pt>
                <c:pt idx="16">
                  <c:v>33.457999999999998</c:v>
                </c:pt>
                <c:pt idx="17">
                  <c:v>36.682000000000002</c:v>
                </c:pt>
                <c:pt idx="18">
                  <c:v>33.305</c:v>
                </c:pt>
                <c:pt idx="19">
                  <c:v>37.31</c:v>
                </c:pt>
                <c:pt idx="20">
                  <c:v>33.152000000000001</c:v>
                </c:pt>
                <c:pt idx="21">
                  <c:v>34.625999999999998</c:v>
                </c:pt>
                <c:pt idx="22">
                  <c:v>32.917000000000002</c:v>
                </c:pt>
                <c:pt idx="23">
                  <c:v>40.561</c:v>
                </c:pt>
                <c:pt idx="24">
                  <c:v>32.997999999999998</c:v>
                </c:pt>
                <c:pt idx="25">
                  <c:v>37.503999999999998</c:v>
                </c:pt>
                <c:pt idx="26">
                  <c:v>33.054000000000002</c:v>
                </c:pt>
                <c:pt idx="27">
                  <c:v>36.58</c:v>
                </c:pt>
                <c:pt idx="28">
                  <c:v>33.094000000000001</c:v>
                </c:pt>
                <c:pt idx="29">
                  <c:v>37.689</c:v>
                </c:pt>
                <c:pt idx="30">
                  <c:v>33.075000000000003</c:v>
                </c:pt>
                <c:pt idx="31">
                  <c:v>37.414000000000001</c:v>
                </c:pt>
                <c:pt idx="32">
                  <c:v>33.119999999999997</c:v>
                </c:pt>
                <c:pt idx="33">
                  <c:v>38.103000000000002</c:v>
                </c:pt>
                <c:pt idx="34">
                  <c:v>32.972000000000001</c:v>
                </c:pt>
                <c:pt idx="35">
                  <c:v>37.569000000000003</c:v>
                </c:pt>
                <c:pt idx="36">
                  <c:v>32.857999999999997</c:v>
                </c:pt>
                <c:pt idx="37">
                  <c:v>38.042999999999999</c:v>
                </c:pt>
                <c:pt idx="38">
                  <c:v>33.442</c:v>
                </c:pt>
                <c:pt idx="39">
                  <c:v>37.195999999999998</c:v>
                </c:pt>
                <c:pt idx="40">
                  <c:v>33.655999999999999</c:v>
                </c:pt>
                <c:pt idx="41">
                  <c:v>38.151000000000003</c:v>
                </c:pt>
                <c:pt idx="42">
                  <c:v>33.286999999999999</c:v>
                </c:pt>
                <c:pt idx="43">
                  <c:v>36.271999999999998</c:v>
                </c:pt>
                <c:pt idx="44">
                  <c:v>33.322000000000003</c:v>
                </c:pt>
                <c:pt idx="45">
                  <c:v>40.151000000000003</c:v>
                </c:pt>
                <c:pt idx="46">
                  <c:v>33.488</c:v>
                </c:pt>
                <c:pt idx="47">
                  <c:v>36.588999999999999</c:v>
                </c:pt>
                <c:pt idx="48">
                  <c:v>33.01</c:v>
                </c:pt>
                <c:pt idx="49">
                  <c:v>37.871000000000002</c:v>
                </c:pt>
                <c:pt idx="50">
                  <c:v>33.444000000000003</c:v>
                </c:pt>
                <c:pt idx="51">
                  <c:v>36.862000000000002</c:v>
                </c:pt>
                <c:pt idx="52">
                  <c:v>33.130000000000003</c:v>
                </c:pt>
                <c:pt idx="53">
                  <c:v>37.844999999999999</c:v>
                </c:pt>
                <c:pt idx="54">
                  <c:v>32.981000000000002</c:v>
                </c:pt>
                <c:pt idx="55">
                  <c:v>39.476999999999997</c:v>
                </c:pt>
                <c:pt idx="56">
                  <c:v>33.4</c:v>
                </c:pt>
                <c:pt idx="57">
                  <c:v>38.195</c:v>
                </c:pt>
                <c:pt idx="58">
                  <c:v>33.167000000000002</c:v>
                </c:pt>
                <c:pt idx="59">
                  <c:v>38.564999999999998</c:v>
                </c:pt>
                <c:pt idx="60">
                  <c:v>33.241</c:v>
                </c:pt>
                <c:pt idx="61">
                  <c:v>36.191000000000003</c:v>
                </c:pt>
                <c:pt idx="62">
                  <c:v>33.35</c:v>
                </c:pt>
                <c:pt idx="63">
                  <c:v>38.865000000000002</c:v>
                </c:pt>
                <c:pt idx="64">
                  <c:v>33.530999999999999</c:v>
                </c:pt>
                <c:pt idx="65">
                  <c:v>37.906999999999996</c:v>
                </c:pt>
                <c:pt idx="66">
                  <c:v>33.453000000000003</c:v>
                </c:pt>
                <c:pt idx="67">
                  <c:v>37.026000000000003</c:v>
                </c:pt>
                <c:pt idx="68">
                  <c:v>33.429000000000002</c:v>
                </c:pt>
                <c:pt idx="69">
                  <c:v>36.701999999999998</c:v>
                </c:pt>
                <c:pt idx="70">
                  <c:v>33.395000000000003</c:v>
                </c:pt>
                <c:pt idx="71">
                  <c:v>37.139000000000003</c:v>
                </c:pt>
                <c:pt idx="72">
                  <c:v>33.328000000000003</c:v>
                </c:pt>
                <c:pt idx="73">
                  <c:v>36.634</c:v>
                </c:pt>
                <c:pt idx="74">
                  <c:v>33.283999999999999</c:v>
                </c:pt>
                <c:pt idx="75">
                  <c:v>37.055</c:v>
                </c:pt>
                <c:pt idx="76">
                  <c:v>33.567999999999998</c:v>
                </c:pt>
                <c:pt idx="77">
                  <c:v>37.545000000000002</c:v>
                </c:pt>
                <c:pt idx="78">
                  <c:v>33.192</c:v>
                </c:pt>
                <c:pt idx="79">
                  <c:v>38.762</c:v>
                </c:pt>
                <c:pt idx="80">
                  <c:v>33.473999999999997</c:v>
                </c:pt>
                <c:pt idx="81">
                  <c:v>38.365000000000002</c:v>
                </c:pt>
                <c:pt idx="82">
                  <c:v>33.313000000000002</c:v>
                </c:pt>
                <c:pt idx="83">
                  <c:v>34.898000000000003</c:v>
                </c:pt>
                <c:pt idx="84">
                  <c:v>33.518000000000001</c:v>
                </c:pt>
                <c:pt idx="85">
                  <c:v>39.006999999999998</c:v>
                </c:pt>
                <c:pt idx="86">
                  <c:v>33.49</c:v>
                </c:pt>
                <c:pt idx="87">
                  <c:v>36.656999999999996</c:v>
                </c:pt>
                <c:pt idx="88">
                  <c:v>33.511000000000003</c:v>
                </c:pt>
                <c:pt idx="89">
                  <c:v>37.189</c:v>
                </c:pt>
                <c:pt idx="90">
                  <c:v>33.551000000000002</c:v>
                </c:pt>
                <c:pt idx="91">
                  <c:v>36.265000000000001</c:v>
                </c:pt>
                <c:pt idx="92">
                  <c:v>33.404000000000003</c:v>
                </c:pt>
                <c:pt idx="93">
                  <c:v>39.033999999999999</c:v>
                </c:pt>
                <c:pt idx="94">
                  <c:v>33.387999999999998</c:v>
                </c:pt>
                <c:pt idx="95">
                  <c:v>37.07</c:v>
                </c:pt>
                <c:pt idx="96">
                  <c:v>33.500999999999998</c:v>
                </c:pt>
                <c:pt idx="97">
                  <c:v>40.973999999999997</c:v>
                </c:pt>
                <c:pt idx="98">
                  <c:v>33.158000000000001</c:v>
                </c:pt>
                <c:pt idx="99">
                  <c:v>36.149000000000001</c:v>
                </c:pt>
                <c:pt idx="100">
                  <c:v>33.506999999999998</c:v>
                </c:pt>
                <c:pt idx="101">
                  <c:v>36.296999999999997</c:v>
                </c:pt>
                <c:pt idx="102">
                  <c:v>33.581000000000003</c:v>
                </c:pt>
                <c:pt idx="103">
                  <c:v>38.179000000000002</c:v>
                </c:pt>
                <c:pt idx="104">
                  <c:v>33.271000000000001</c:v>
                </c:pt>
                <c:pt idx="105">
                  <c:v>35.085000000000001</c:v>
                </c:pt>
                <c:pt idx="106">
                  <c:v>33.94</c:v>
                </c:pt>
                <c:pt idx="107">
                  <c:v>35.619</c:v>
                </c:pt>
                <c:pt idx="108">
                  <c:v>33.633000000000003</c:v>
                </c:pt>
                <c:pt idx="109">
                  <c:v>41.078000000000003</c:v>
                </c:pt>
                <c:pt idx="110">
                  <c:v>33.875999999999998</c:v>
                </c:pt>
                <c:pt idx="111">
                  <c:v>38.561999999999998</c:v>
                </c:pt>
                <c:pt idx="112">
                  <c:v>33.334000000000003</c:v>
                </c:pt>
                <c:pt idx="113">
                  <c:v>37.558999999999997</c:v>
                </c:pt>
                <c:pt idx="114">
                  <c:v>33.694000000000003</c:v>
                </c:pt>
                <c:pt idx="115">
                  <c:v>36.911999999999999</c:v>
                </c:pt>
                <c:pt idx="116">
                  <c:v>33.32</c:v>
                </c:pt>
                <c:pt idx="117">
                  <c:v>38.655999999999999</c:v>
                </c:pt>
                <c:pt idx="118">
                  <c:v>33.465000000000003</c:v>
                </c:pt>
                <c:pt idx="119">
                  <c:v>37.5</c:v>
                </c:pt>
                <c:pt idx="120">
                  <c:v>33.796999999999997</c:v>
                </c:pt>
                <c:pt idx="121">
                  <c:v>33.796999999999997</c:v>
                </c:pt>
                <c:pt idx="122">
                  <c:v>34.298999999999999</c:v>
                </c:pt>
                <c:pt idx="123">
                  <c:v>33.744999999999997</c:v>
                </c:pt>
                <c:pt idx="124">
                  <c:v>36.997</c:v>
                </c:pt>
                <c:pt idx="125">
                  <c:v>33.590000000000003</c:v>
                </c:pt>
                <c:pt idx="126">
                  <c:v>38.176000000000002</c:v>
                </c:pt>
                <c:pt idx="127">
                  <c:v>33.369999999999997</c:v>
                </c:pt>
                <c:pt idx="128">
                  <c:v>40.500999999999998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42-4114-B4D6-5F097676D76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('AMP5-2'!$T$4,'AMP5-2'!$T$4)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42-4114-B4D6-5F097676D76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('AMP5-2'!$T$5,'AMP5-2'!$T$5)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42-4114-B4D6-5F097676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8064"/>
        <c:axId val="517848456"/>
      </c:scatterChart>
      <c:valAx>
        <c:axId val="51784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8456"/>
        <c:crosses val="autoZero"/>
        <c:crossBetween val="midCat"/>
      </c:valAx>
      <c:valAx>
        <c:axId val="5178484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'AMP5-2'!$U$9:$U$137</c:f>
              <c:numCache>
                <c:formatCode>General</c:formatCode>
                <c:ptCount val="129"/>
                <c:pt idx="0">
                  <c:v>33.762999999999998</c:v>
                </c:pt>
                <c:pt idx="1">
                  <c:v>37.036999999999999</c:v>
                </c:pt>
                <c:pt idx="2">
                  <c:v>33.656999999999996</c:v>
                </c:pt>
                <c:pt idx="3">
                  <c:v>39.151000000000003</c:v>
                </c:pt>
                <c:pt idx="4">
                  <c:v>33.337000000000003</c:v>
                </c:pt>
                <c:pt idx="5">
                  <c:v>35.692999999999998</c:v>
                </c:pt>
                <c:pt idx="6">
                  <c:v>33.564999999999998</c:v>
                </c:pt>
                <c:pt idx="7">
                  <c:v>37.268999999999998</c:v>
                </c:pt>
                <c:pt idx="8">
                  <c:v>33.883000000000003</c:v>
                </c:pt>
                <c:pt idx="9">
                  <c:v>38.055</c:v>
                </c:pt>
                <c:pt idx="10">
                  <c:v>33.685000000000002</c:v>
                </c:pt>
                <c:pt idx="11">
                  <c:v>37.582000000000001</c:v>
                </c:pt>
                <c:pt idx="12">
                  <c:v>33.759</c:v>
                </c:pt>
                <c:pt idx="13">
                  <c:v>39.399000000000001</c:v>
                </c:pt>
                <c:pt idx="14">
                  <c:v>34.003999999999998</c:v>
                </c:pt>
                <c:pt idx="15">
                  <c:v>38.493000000000002</c:v>
                </c:pt>
                <c:pt idx="16">
                  <c:v>33.896000000000001</c:v>
                </c:pt>
                <c:pt idx="17">
                  <c:v>36.981999999999999</c:v>
                </c:pt>
                <c:pt idx="18">
                  <c:v>33.643000000000001</c:v>
                </c:pt>
                <c:pt idx="19">
                  <c:v>39.472000000000001</c:v>
                </c:pt>
                <c:pt idx="20">
                  <c:v>33.622</c:v>
                </c:pt>
                <c:pt idx="21">
                  <c:v>36.884</c:v>
                </c:pt>
                <c:pt idx="22">
                  <c:v>33.700000000000003</c:v>
                </c:pt>
                <c:pt idx="23">
                  <c:v>41.412999999999997</c:v>
                </c:pt>
                <c:pt idx="24">
                  <c:v>33.534999999999997</c:v>
                </c:pt>
                <c:pt idx="25">
                  <c:v>38.261000000000003</c:v>
                </c:pt>
                <c:pt idx="26">
                  <c:v>33.271999999999998</c:v>
                </c:pt>
                <c:pt idx="27">
                  <c:v>36.174999999999997</c:v>
                </c:pt>
                <c:pt idx="28">
                  <c:v>33.529000000000003</c:v>
                </c:pt>
                <c:pt idx="29">
                  <c:v>38.049999999999997</c:v>
                </c:pt>
                <c:pt idx="30">
                  <c:v>33.780999999999999</c:v>
                </c:pt>
                <c:pt idx="31">
                  <c:v>39.445</c:v>
                </c:pt>
                <c:pt idx="32">
                  <c:v>33.811999999999998</c:v>
                </c:pt>
                <c:pt idx="33">
                  <c:v>38.405999999999999</c:v>
                </c:pt>
                <c:pt idx="34">
                  <c:v>33.283000000000001</c:v>
                </c:pt>
                <c:pt idx="35">
                  <c:v>37.713999999999999</c:v>
                </c:pt>
                <c:pt idx="36">
                  <c:v>34.009</c:v>
                </c:pt>
                <c:pt idx="37">
                  <c:v>38.819000000000003</c:v>
                </c:pt>
                <c:pt idx="38">
                  <c:v>33.829000000000001</c:v>
                </c:pt>
                <c:pt idx="39">
                  <c:v>38.789000000000001</c:v>
                </c:pt>
                <c:pt idx="40">
                  <c:v>33.896000000000001</c:v>
                </c:pt>
                <c:pt idx="41">
                  <c:v>39.097999999999999</c:v>
                </c:pt>
                <c:pt idx="42">
                  <c:v>33.756999999999998</c:v>
                </c:pt>
                <c:pt idx="43">
                  <c:v>38.100999999999999</c:v>
                </c:pt>
                <c:pt idx="44">
                  <c:v>33.811999999999998</c:v>
                </c:pt>
                <c:pt idx="45">
                  <c:v>42.180999999999997</c:v>
                </c:pt>
                <c:pt idx="46">
                  <c:v>33.906999999999996</c:v>
                </c:pt>
                <c:pt idx="47">
                  <c:v>36.783000000000001</c:v>
                </c:pt>
                <c:pt idx="48">
                  <c:v>33.508000000000003</c:v>
                </c:pt>
                <c:pt idx="49">
                  <c:v>38.357999999999997</c:v>
                </c:pt>
                <c:pt idx="50">
                  <c:v>33.695</c:v>
                </c:pt>
                <c:pt idx="51">
                  <c:v>37.521999999999998</c:v>
                </c:pt>
                <c:pt idx="52">
                  <c:v>33.770000000000003</c:v>
                </c:pt>
                <c:pt idx="53">
                  <c:v>38.979999999999997</c:v>
                </c:pt>
                <c:pt idx="54">
                  <c:v>33.838999999999999</c:v>
                </c:pt>
                <c:pt idx="55">
                  <c:v>40.281999999999996</c:v>
                </c:pt>
                <c:pt idx="56">
                  <c:v>33.661999999999999</c:v>
                </c:pt>
                <c:pt idx="57">
                  <c:v>40.296999999999997</c:v>
                </c:pt>
                <c:pt idx="58">
                  <c:v>33.854999999999997</c:v>
                </c:pt>
                <c:pt idx="59">
                  <c:v>39.430999999999997</c:v>
                </c:pt>
                <c:pt idx="60">
                  <c:v>33.610999999999997</c:v>
                </c:pt>
                <c:pt idx="61">
                  <c:v>36.44</c:v>
                </c:pt>
                <c:pt idx="62">
                  <c:v>33.869</c:v>
                </c:pt>
                <c:pt idx="63">
                  <c:v>36.377000000000002</c:v>
                </c:pt>
                <c:pt idx="64">
                  <c:v>33.674999999999997</c:v>
                </c:pt>
                <c:pt idx="65">
                  <c:v>39.305999999999997</c:v>
                </c:pt>
                <c:pt idx="66">
                  <c:v>33.795999999999999</c:v>
                </c:pt>
                <c:pt idx="67">
                  <c:v>38.439</c:v>
                </c:pt>
                <c:pt idx="68">
                  <c:v>33.758000000000003</c:v>
                </c:pt>
                <c:pt idx="69">
                  <c:v>37.393000000000001</c:v>
                </c:pt>
                <c:pt idx="70">
                  <c:v>33.814</c:v>
                </c:pt>
                <c:pt idx="71">
                  <c:v>38.063000000000002</c:v>
                </c:pt>
                <c:pt idx="72">
                  <c:v>33.906999999999996</c:v>
                </c:pt>
                <c:pt idx="73">
                  <c:v>37.354999999999997</c:v>
                </c:pt>
                <c:pt idx="74">
                  <c:v>33.573</c:v>
                </c:pt>
                <c:pt idx="75">
                  <c:v>37.493000000000002</c:v>
                </c:pt>
                <c:pt idx="76">
                  <c:v>33.280999999999999</c:v>
                </c:pt>
                <c:pt idx="77">
                  <c:v>38.146999999999998</c:v>
                </c:pt>
                <c:pt idx="78">
                  <c:v>33.572000000000003</c:v>
                </c:pt>
                <c:pt idx="79">
                  <c:v>39.823</c:v>
                </c:pt>
                <c:pt idx="80">
                  <c:v>33.712000000000003</c:v>
                </c:pt>
                <c:pt idx="81">
                  <c:v>39.932000000000002</c:v>
                </c:pt>
                <c:pt idx="82">
                  <c:v>33.527000000000001</c:v>
                </c:pt>
                <c:pt idx="83">
                  <c:v>37.372</c:v>
                </c:pt>
                <c:pt idx="84">
                  <c:v>33.786000000000001</c:v>
                </c:pt>
                <c:pt idx="85">
                  <c:v>39.173000000000002</c:v>
                </c:pt>
                <c:pt idx="86">
                  <c:v>33.773000000000003</c:v>
                </c:pt>
                <c:pt idx="87">
                  <c:v>37.811</c:v>
                </c:pt>
                <c:pt idx="88">
                  <c:v>33.784999999999997</c:v>
                </c:pt>
                <c:pt idx="89">
                  <c:v>38.314</c:v>
                </c:pt>
                <c:pt idx="90">
                  <c:v>33.802999999999997</c:v>
                </c:pt>
                <c:pt idx="91">
                  <c:v>39.012</c:v>
                </c:pt>
                <c:pt idx="92">
                  <c:v>33.99</c:v>
                </c:pt>
                <c:pt idx="93">
                  <c:v>39.213000000000001</c:v>
                </c:pt>
                <c:pt idx="94">
                  <c:v>33.767000000000003</c:v>
                </c:pt>
                <c:pt idx="95">
                  <c:v>39.232999999999997</c:v>
                </c:pt>
                <c:pt idx="96">
                  <c:v>33.713999999999999</c:v>
                </c:pt>
                <c:pt idx="97">
                  <c:v>41.685000000000002</c:v>
                </c:pt>
                <c:pt idx="98">
                  <c:v>33.835999999999999</c:v>
                </c:pt>
                <c:pt idx="99">
                  <c:v>37.579000000000001</c:v>
                </c:pt>
                <c:pt idx="100">
                  <c:v>33.863999999999997</c:v>
                </c:pt>
                <c:pt idx="101">
                  <c:v>37.853999999999999</c:v>
                </c:pt>
                <c:pt idx="102">
                  <c:v>33.799999999999997</c:v>
                </c:pt>
                <c:pt idx="103">
                  <c:v>39.034999999999997</c:v>
                </c:pt>
                <c:pt idx="104">
                  <c:v>33.902999999999999</c:v>
                </c:pt>
                <c:pt idx="105">
                  <c:v>37.302</c:v>
                </c:pt>
                <c:pt idx="106">
                  <c:v>33.286000000000001</c:v>
                </c:pt>
                <c:pt idx="107">
                  <c:v>38.357999999999997</c:v>
                </c:pt>
                <c:pt idx="108">
                  <c:v>33.405999999999999</c:v>
                </c:pt>
                <c:pt idx="109">
                  <c:v>42.063000000000002</c:v>
                </c:pt>
                <c:pt idx="110">
                  <c:v>33.837000000000003</c:v>
                </c:pt>
                <c:pt idx="111">
                  <c:v>39.503</c:v>
                </c:pt>
                <c:pt idx="112">
                  <c:v>34.061999999999998</c:v>
                </c:pt>
                <c:pt idx="113">
                  <c:v>38.667999999999999</c:v>
                </c:pt>
                <c:pt idx="114">
                  <c:v>33.606999999999999</c:v>
                </c:pt>
                <c:pt idx="115">
                  <c:v>37.569000000000003</c:v>
                </c:pt>
                <c:pt idx="116">
                  <c:v>33.683</c:v>
                </c:pt>
                <c:pt idx="117">
                  <c:v>39.652000000000001</c:v>
                </c:pt>
                <c:pt idx="118">
                  <c:v>33.734999999999999</c:v>
                </c:pt>
                <c:pt idx="119">
                  <c:v>39.786999999999999</c:v>
                </c:pt>
                <c:pt idx="120">
                  <c:v>34.058</c:v>
                </c:pt>
                <c:pt idx="121">
                  <c:v>34.061999999999998</c:v>
                </c:pt>
                <c:pt idx="122">
                  <c:v>36.466000000000001</c:v>
                </c:pt>
                <c:pt idx="123">
                  <c:v>33.756</c:v>
                </c:pt>
                <c:pt idx="124">
                  <c:v>37.485999999999997</c:v>
                </c:pt>
                <c:pt idx="125">
                  <c:v>33.920999999999999</c:v>
                </c:pt>
                <c:pt idx="126">
                  <c:v>39.572000000000003</c:v>
                </c:pt>
                <c:pt idx="127">
                  <c:v>33.945999999999998</c:v>
                </c:pt>
                <c:pt idx="128">
                  <c:v>41.713999999999999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A-46F1-9B50-83E0AABE59B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('AMP5-2'!$U$4,'AMP5-2'!$U$4)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1A-46F1-9B50-83E0AABE59B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('AMP5-2'!$U$5,'AMP5-2'!$U$5)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1A-46F1-9B50-83E0AABE5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49240"/>
        <c:axId val="517849632"/>
      </c:scatterChart>
      <c:valAx>
        <c:axId val="51784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9632"/>
        <c:crosses val="autoZero"/>
        <c:crossBetween val="midCat"/>
      </c:valAx>
      <c:valAx>
        <c:axId val="5178496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'AMP5-2'!$AB$9:$AB$137</c:f>
              <c:numCache>
                <c:formatCode>General</c:formatCode>
                <c:ptCount val="129"/>
                <c:pt idx="0">
                  <c:v>5.1999999999999998E-2</c:v>
                </c:pt>
                <c:pt idx="1">
                  <c:v>-4.4999999999999998E-2</c:v>
                </c:pt>
                <c:pt idx="2">
                  <c:v>6.7000000000000004E-2</c:v>
                </c:pt>
                <c:pt idx="3">
                  <c:v>-0.108</c:v>
                </c:pt>
                <c:pt idx="4">
                  <c:v>-7.5999999999999998E-2</c:v>
                </c:pt>
                <c:pt idx="5">
                  <c:v>-0.124</c:v>
                </c:pt>
                <c:pt idx="6">
                  <c:v>0.01</c:v>
                </c:pt>
                <c:pt idx="7">
                  <c:v>-0.17799999999999999</c:v>
                </c:pt>
                <c:pt idx="8">
                  <c:v>6.0000000000000001E-3</c:v>
                </c:pt>
                <c:pt idx="9">
                  <c:v>-8.7999999999999995E-2</c:v>
                </c:pt>
                <c:pt idx="10">
                  <c:v>-7.0000000000000001E-3</c:v>
                </c:pt>
                <c:pt idx="11">
                  <c:v>-0.129</c:v>
                </c:pt>
                <c:pt idx="12">
                  <c:v>6.0000000000000001E-3</c:v>
                </c:pt>
                <c:pt idx="13">
                  <c:v>-9.2999999999999999E-2</c:v>
                </c:pt>
                <c:pt idx="14">
                  <c:v>1.4999999999999999E-2</c:v>
                </c:pt>
                <c:pt idx="15">
                  <c:v>-7.1999999999999995E-2</c:v>
                </c:pt>
                <c:pt idx="16">
                  <c:v>7.4999999999999997E-2</c:v>
                </c:pt>
                <c:pt idx="17">
                  <c:v>-0.13200000000000001</c:v>
                </c:pt>
                <c:pt idx="18">
                  <c:v>-3.6999999999999998E-2</c:v>
                </c:pt>
                <c:pt idx="19">
                  <c:v>-0.128</c:v>
                </c:pt>
                <c:pt idx="20">
                  <c:v>4.4999999999999998E-2</c:v>
                </c:pt>
                <c:pt idx="21">
                  <c:v>-0.19400000000000001</c:v>
                </c:pt>
                <c:pt idx="22">
                  <c:v>-5.8999999999999997E-2</c:v>
                </c:pt>
                <c:pt idx="23">
                  <c:v>-0.1</c:v>
                </c:pt>
                <c:pt idx="24">
                  <c:v>0</c:v>
                </c:pt>
                <c:pt idx="25">
                  <c:v>-0.23699999999999999</c:v>
                </c:pt>
                <c:pt idx="26">
                  <c:v>4.0000000000000001E-3</c:v>
                </c:pt>
                <c:pt idx="27">
                  <c:v>-0.29699999999999999</c:v>
                </c:pt>
                <c:pt idx="28">
                  <c:v>-0.13500000000000001</c:v>
                </c:pt>
                <c:pt idx="29">
                  <c:v>-0.27400000000000002</c:v>
                </c:pt>
                <c:pt idx="30">
                  <c:v>-6.8000000000000005E-2</c:v>
                </c:pt>
                <c:pt idx="31">
                  <c:v>-0.30299999999999999</c:v>
                </c:pt>
                <c:pt idx="32">
                  <c:v>-0.124</c:v>
                </c:pt>
                <c:pt idx="33">
                  <c:v>-0.28100000000000003</c:v>
                </c:pt>
                <c:pt idx="34">
                  <c:v>-9.6000000000000002E-2</c:v>
                </c:pt>
                <c:pt idx="35">
                  <c:v>-0.42799999999999999</c:v>
                </c:pt>
                <c:pt idx="36">
                  <c:v>-0.34300000000000003</c:v>
                </c:pt>
                <c:pt idx="37">
                  <c:v>-0.621</c:v>
                </c:pt>
                <c:pt idx="38">
                  <c:v>0.11899999999999999</c:v>
                </c:pt>
                <c:pt idx="39">
                  <c:v>-1.157</c:v>
                </c:pt>
                <c:pt idx="40">
                  <c:v>0.15</c:v>
                </c:pt>
                <c:pt idx="41">
                  <c:v>-2.5999999999999999E-2</c:v>
                </c:pt>
                <c:pt idx="42">
                  <c:v>1.7999999999999999E-2</c:v>
                </c:pt>
                <c:pt idx="43">
                  <c:v>-0.13100000000000001</c:v>
                </c:pt>
                <c:pt idx="44">
                  <c:v>-0.10100000000000001</c:v>
                </c:pt>
                <c:pt idx="45">
                  <c:v>-0.152</c:v>
                </c:pt>
                <c:pt idx="46">
                  <c:v>-7.0999999999999994E-2</c:v>
                </c:pt>
                <c:pt idx="47">
                  <c:v>-0.11899999999999999</c:v>
                </c:pt>
                <c:pt idx="48">
                  <c:v>6.8000000000000005E-2</c:v>
                </c:pt>
                <c:pt idx="49">
                  <c:v>8.2000000000000003E-2</c:v>
                </c:pt>
                <c:pt idx="50">
                  <c:v>4.9000000000000002E-2</c:v>
                </c:pt>
                <c:pt idx="51">
                  <c:v>-0.13400000000000001</c:v>
                </c:pt>
                <c:pt idx="52">
                  <c:v>-6.5000000000000002E-2</c:v>
                </c:pt>
                <c:pt idx="53">
                  <c:v>-0.17299999999999999</c:v>
                </c:pt>
                <c:pt idx="54">
                  <c:v>-7.1999999999999995E-2</c:v>
                </c:pt>
                <c:pt idx="55">
                  <c:v>-0.255</c:v>
                </c:pt>
                <c:pt idx="56">
                  <c:v>5.8999999999999997E-2</c:v>
                </c:pt>
                <c:pt idx="57">
                  <c:v>-0.13</c:v>
                </c:pt>
                <c:pt idx="58">
                  <c:v>-0.13600000000000001</c:v>
                </c:pt>
                <c:pt idx="59">
                  <c:v>-0.252</c:v>
                </c:pt>
                <c:pt idx="60">
                  <c:v>-2.1999999999999999E-2</c:v>
                </c:pt>
                <c:pt idx="61">
                  <c:v>-0.23100000000000001</c:v>
                </c:pt>
                <c:pt idx="62">
                  <c:v>7.8E-2</c:v>
                </c:pt>
                <c:pt idx="63">
                  <c:v>-0.188</c:v>
                </c:pt>
                <c:pt idx="64">
                  <c:v>-0.188</c:v>
                </c:pt>
                <c:pt idx="65">
                  <c:v>-0.30499999999999999</c:v>
                </c:pt>
                <c:pt idx="66">
                  <c:v>-0.104</c:v>
                </c:pt>
                <c:pt idx="67">
                  <c:v>-0.34799999999999998</c:v>
                </c:pt>
                <c:pt idx="68">
                  <c:v>-1.4E-2</c:v>
                </c:pt>
                <c:pt idx="69">
                  <c:v>-0.192</c:v>
                </c:pt>
                <c:pt idx="70">
                  <c:v>-7.2999999999999995E-2</c:v>
                </c:pt>
                <c:pt idx="71">
                  <c:v>-0.20100000000000001</c:v>
                </c:pt>
                <c:pt idx="72">
                  <c:v>-0.13200000000000001</c:v>
                </c:pt>
                <c:pt idx="73">
                  <c:v>-0.19700000000000001</c:v>
                </c:pt>
                <c:pt idx="74">
                  <c:v>-7.0000000000000001E-3</c:v>
                </c:pt>
                <c:pt idx="75">
                  <c:v>-0.26800000000000002</c:v>
                </c:pt>
                <c:pt idx="76">
                  <c:v>-2.4E-2</c:v>
                </c:pt>
                <c:pt idx="77">
                  <c:v>-0.26300000000000001</c:v>
                </c:pt>
                <c:pt idx="78">
                  <c:v>-3.9E-2</c:v>
                </c:pt>
                <c:pt idx="79">
                  <c:v>-0.35399999999999998</c:v>
                </c:pt>
                <c:pt idx="80">
                  <c:v>0.14599999999999999</c:v>
                </c:pt>
                <c:pt idx="81">
                  <c:v>-0.14499999999999999</c:v>
                </c:pt>
                <c:pt idx="82">
                  <c:v>4.2000000000000003E-2</c:v>
                </c:pt>
                <c:pt idx="83">
                  <c:v>-0.23400000000000001</c:v>
                </c:pt>
                <c:pt idx="84">
                  <c:v>0.09</c:v>
                </c:pt>
                <c:pt idx="85">
                  <c:v>-3.7999999999999999E-2</c:v>
                </c:pt>
                <c:pt idx="86">
                  <c:v>1E-3</c:v>
                </c:pt>
                <c:pt idx="87">
                  <c:v>-7.9000000000000001E-2</c:v>
                </c:pt>
                <c:pt idx="88">
                  <c:v>8.5000000000000006E-2</c:v>
                </c:pt>
                <c:pt idx="89">
                  <c:v>-7.3999999999999996E-2</c:v>
                </c:pt>
                <c:pt idx="90">
                  <c:v>-1.9E-2</c:v>
                </c:pt>
                <c:pt idx="91">
                  <c:v>-4.5999999999999999E-2</c:v>
                </c:pt>
                <c:pt idx="92">
                  <c:v>2E-3</c:v>
                </c:pt>
                <c:pt idx="93">
                  <c:v>-7.8E-2</c:v>
                </c:pt>
                <c:pt idx="94">
                  <c:v>0.1</c:v>
                </c:pt>
                <c:pt idx="95">
                  <c:v>-7.8E-2</c:v>
                </c:pt>
                <c:pt idx="96">
                  <c:v>4.2000000000000003E-2</c:v>
                </c:pt>
                <c:pt idx="97">
                  <c:v>-0.18099999999999999</c:v>
                </c:pt>
                <c:pt idx="98">
                  <c:v>-0.105</c:v>
                </c:pt>
                <c:pt idx="99">
                  <c:v>-0.27700000000000002</c:v>
                </c:pt>
                <c:pt idx="100">
                  <c:v>-9.2999999999999999E-2</c:v>
                </c:pt>
                <c:pt idx="101">
                  <c:v>-0.23599999999999999</c:v>
                </c:pt>
                <c:pt idx="102">
                  <c:v>5.7000000000000002E-2</c:v>
                </c:pt>
                <c:pt idx="103">
                  <c:v>-9.2999999999999999E-2</c:v>
                </c:pt>
                <c:pt idx="104">
                  <c:v>-0.191</c:v>
                </c:pt>
                <c:pt idx="105">
                  <c:v>-0.17100000000000001</c:v>
                </c:pt>
                <c:pt idx="106">
                  <c:v>-6.7000000000000004E-2</c:v>
                </c:pt>
                <c:pt idx="107">
                  <c:v>-0.20100000000000001</c:v>
                </c:pt>
                <c:pt idx="108">
                  <c:v>-3.9E-2</c:v>
                </c:pt>
                <c:pt idx="109">
                  <c:v>-0.189</c:v>
                </c:pt>
                <c:pt idx="110">
                  <c:v>-0.114</c:v>
                </c:pt>
                <c:pt idx="111">
                  <c:v>-0.154</c:v>
                </c:pt>
                <c:pt idx="112">
                  <c:v>-6.4000000000000001E-2</c:v>
                </c:pt>
                <c:pt idx="113">
                  <c:v>-0.16200000000000001</c:v>
                </c:pt>
                <c:pt idx="114">
                  <c:v>-8.6999999999999994E-2</c:v>
                </c:pt>
                <c:pt idx="115">
                  <c:v>-0.20599999999999999</c:v>
                </c:pt>
                <c:pt idx="116">
                  <c:v>-0.128</c:v>
                </c:pt>
                <c:pt idx="117">
                  <c:v>-0.24199999999999999</c:v>
                </c:pt>
                <c:pt idx="118">
                  <c:v>-0.68400000000000005</c:v>
                </c:pt>
                <c:pt idx="119">
                  <c:v>-0.18</c:v>
                </c:pt>
                <c:pt idx="120">
                  <c:v>-0.16800000000000001</c:v>
                </c:pt>
                <c:pt idx="121">
                  <c:v>-0.17199999999999999</c:v>
                </c:pt>
                <c:pt idx="122">
                  <c:v>-0.215</c:v>
                </c:pt>
                <c:pt idx="123">
                  <c:v>0.216</c:v>
                </c:pt>
                <c:pt idx="124">
                  <c:v>0.17</c:v>
                </c:pt>
                <c:pt idx="125">
                  <c:v>0.24</c:v>
                </c:pt>
                <c:pt idx="126">
                  <c:v>0.126</c:v>
                </c:pt>
                <c:pt idx="127">
                  <c:v>5.5E-2</c:v>
                </c:pt>
                <c:pt idx="128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C-447C-AF49-A9E8AB185BA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('AMP5-2'!$AB$4,'AMP5-2'!$AB$4)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C-447C-AF49-A9E8AB185BA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('AMP5-2'!$AB$5,'AMP5-2'!$AB$5)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C-447C-AF49-A9E8AB185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0416"/>
        <c:axId val="517850808"/>
      </c:scatterChart>
      <c:valAx>
        <c:axId val="51785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0808"/>
        <c:crosses val="autoZero"/>
        <c:crossBetween val="midCat"/>
      </c:valAx>
      <c:valAx>
        <c:axId val="5178508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'AMP5-2'!$AC$9:$AC$137</c:f>
              <c:numCache>
                <c:formatCode>General</c:formatCode>
                <c:ptCount val="129"/>
                <c:pt idx="0">
                  <c:v>8.7999999999999995E-2</c:v>
                </c:pt>
                <c:pt idx="1">
                  <c:v>5.2999999999999999E-2</c:v>
                </c:pt>
                <c:pt idx="2">
                  <c:v>9.5000000000000001E-2</c:v>
                </c:pt>
                <c:pt idx="3">
                  <c:v>-2E-3</c:v>
                </c:pt>
                <c:pt idx="4">
                  <c:v>-6.2E-2</c:v>
                </c:pt>
                <c:pt idx="5">
                  <c:v>-1.4E-2</c:v>
                </c:pt>
                <c:pt idx="6">
                  <c:v>3.1E-2</c:v>
                </c:pt>
                <c:pt idx="7">
                  <c:v>-7.0999999999999994E-2</c:v>
                </c:pt>
                <c:pt idx="8">
                  <c:v>2.8000000000000001E-2</c:v>
                </c:pt>
                <c:pt idx="9">
                  <c:v>2.1000000000000001E-2</c:v>
                </c:pt>
                <c:pt idx="10">
                  <c:v>0.02</c:v>
                </c:pt>
                <c:pt idx="11">
                  <c:v>-1.6E-2</c:v>
                </c:pt>
                <c:pt idx="12">
                  <c:v>3.1E-2</c:v>
                </c:pt>
                <c:pt idx="13">
                  <c:v>2.7E-2</c:v>
                </c:pt>
                <c:pt idx="14">
                  <c:v>2.8000000000000001E-2</c:v>
                </c:pt>
                <c:pt idx="15">
                  <c:v>4.2999999999999997E-2</c:v>
                </c:pt>
                <c:pt idx="16">
                  <c:v>0.106</c:v>
                </c:pt>
                <c:pt idx="17">
                  <c:v>1.4999999999999999E-2</c:v>
                </c:pt>
                <c:pt idx="18">
                  <c:v>-5.0000000000000001E-3</c:v>
                </c:pt>
                <c:pt idx="19">
                  <c:v>-1.7999999999999999E-2</c:v>
                </c:pt>
                <c:pt idx="20">
                  <c:v>6.6000000000000003E-2</c:v>
                </c:pt>
                <c:pt idx="21">
                  <c:v>-8.4000000000000005E-2</c:v>
                </c:pt>
                <c:pt idx="22">
                  <c:v>-2.5000000000000001E-2</c:v>
                </c:pt>
                <c:pt idx="23">
                  <c:v>4.0000000000000001E-3</c:v>
                </c:pt>
                <c:pt idx="24">
                  <c:v>2.1999999999999999E-2</c:v>
                </c:pt>
                <c:pt idx="25">
                  <c:v>-0.11600000000000001</c:v>
                </c:pt>
                <c:pt idx="26">
                  <c:v>3.7999999999999999E-2</c:v>
                </c:pt>
                <c:pt idx="27">
                  <c:v>-0.16200000000000001</c:v>
                </c:pt>
                <c:pt idx="28">
                  <c:v>-0.123</c:v>
                </c:pt>
                <c:pt idx="29">
                  <c:v>-0.13700000000000001</c:v>
                </c:pt>
                <c:pt idx="30">
                  <c:v>-4.2000000000000003E-2</c:v>
                </c:pt>
                <c:pt idx="31">
                  <c:v>-0.17199999999999999</c:v>
                </c:pt>
                <c:pt idx="32">
                  <c:v>-7.5999999999999998E-2</c:v>
                </c:pt>
                <c:pt idx="33">
                  <c:v>-0.13200000000000001</c:v>
                </c:pt>
                <c:pt idx="34">
                  <c:v>-7.3999999999999996E-2</c:v>
                </c:pt>
                <c:pt idx="35">
                  <c:v>-0.26100000000000001</c:v>
                </c:pt>
                <c:pt idx="36">
                  <c:v>-0.247</c:v>
                </c:pt>
                <c:pt idx="37">
                  <c:v>-0.45100000000000001</c:v>
                </c:pt>
                <c:pt idx="38">
                  <c:v>0.151</c:v>
                </c:pt>
                <c:pt idx="39">
                  <c:v>-0.53300000000000003</c:v>
                </c:pt>
                <c:pt idx="40">
                  <c:v>0.16300000000000001</c:v>
                </c:pt>
                <c:pt idx="41">
                  <c:v>5.8000000000000003E-2</c:v>
                </c:pt>
                <c:pt idx="42">
                  <c:v>4.5999999999999999E-2</c:v>
                </c:pt>
                <c:pt idx="43">
                  <c:v>-4.2000000000000003E-2</c:v>
                </c:pt>
                <c:pt idx="44">
                  <c:v>-7.2999999999999995E-2</c:v>
                </c:pt>
                <c:pt idx="45">
                  <c:v>-6.7000000000000004E-2</c:v>
                </c:pt>
                <c:pt idx="46">
                  <c:v>6.0000000000000001E-3</c:v>
                </c:pt>
                <c:pt idx="47">
                  <c:v>-3.9E-2</c:v>
                </c:pt>
                <c:pt idx="48">
                  <c:v>8.3000000000000004E-2</c:v>
                </c:pt>
                <c:pt idx="49">
                  <c:v>0.156</c:v>
                </c:pt>
                <c:pt idx="50">
                  <c:v>7.2999999999999995E-2</c:v>
                </c:pt>
                <c:pt idx="51">
                  <c:v>-0.05</c:v>
                </c:pt>
                <c:pt idx="52">
                  <c:v>-4.9000000000000002E-2</c:v>
                </c:pt>
                <c:pt idx="53">
                  <c:v>-9.2999999999999999E-2</c:v>
                </c:pt>
                <c:pt idx="54">
                  <c:v>-2.8000000000000001E-2</c:v>
                </c:pt>
                <c:pt idx="55">
                  <c:v>-0.161</c:v>
                </c:pt>
                <c:pt idx="56">
                  <c:v>8.6999999999999994E-2</c:v>
                </c:pt>
                <c:pt idx="57">
                  <c:v>-5.3999999999999999E-2</c:v>
                </c:pt>
                <c:pt idx="58">
                  <c:v>-0.115</c:v>
                </c:pt>
                <c:pt idx="59">
                  <c:v>-0.17299999999999999</c:v>
                </c:pt>
                <c:pt idx="60">
                  <c:v>0</c:v>
                </c:pt>
                <c:pt idx="61">
                  <c:v>-0.14799999999999999</c:v>
                </c:pt>
                <c:pt idx="62">
                  <c:v>0.12</c:v>
                </c:pt>
                <c:pt idx="63">
                  <c:v>-0.11799999999999999</c:v>
                </c:pt>
                <c:pt idx="64">
                  <c:v>-0.13800000000000001</c:v>
                </c:pt>
                <c:pt idx="65">
                  <c:v>-0.21099999999999999</c:v>
                </c:pt>
                <c:pt idx="66">
                  <c:v>-8.8999999999999996E-2</c:v>
                </c:pt>
                <c:pt idx="67">
                  <c:v>-0.22700000000000001</c:v>
                </c:pt>
                <c:pt idx="68">
                  <c:v>2.3E-2</c:v>
                </c:pt>
                <c:pt idx="69">
                  <c:v>-0.105</c:v>
                </c:pt>
                <c:pt idx="70">
                  <c:v>-2.8000000000000001E-2</c:v>
                </c:pt>
                <c:pt idx="71">
                  <c:v>-9.6000000000000002E-2</c:v>
                </c:pt>
                <c:pt idx="72">
                  <c:v>-0.10199999999999999</c:v>
                </c:pt>
                <c:pt idx="73">
                  <c:v>-0.104</c:v>
                </c:pt>
                <c:pt idx="74">
                  <c:v>0.03</c:v>
                </c:pt>
                <c:pt idx="75">
                  <c:v>-0.18099999999999999</c:v>
                </c:pt>
                <c:pt idx="76">
                  <c:v>1.6E-2</c:v>
                </c:pt>
                <c:pt idx="77">
                  <c:v>-0.17</c:v>
                </c:pt>
                <c:pt idx="78">
                  <c:v>-7.0000000000000001E-3</c:v>
                </c:pt>
                <c:pt idx="79">
                  <c:v>-0.26500000000000001</c:v>
                </c:pt>
                <c:pt idx="80">
                  <c:v>0.16400000000000001</c:v>
                </c:pt>
                <c:pt idx="81">
                  <c:v>-9.6000000000000002E-2</c:v>
                </c:pt>
                <c:pt idx="82">
                  <c:v>5.6000000000000001E-2</c:v>
                </c:pt>
                <c:pt idx="83">
                  <c:v>-0.191</c:v>
                </c:pt>
                <c:pt idx="84">
                  <c:v>0.11799999999999999</c:v>
                </c:pt>
                <c:pt idx="85">
                  <c:v>8.9999999999999993E-3</c:v>
                </c:pt>
                <c:pt idx="86">
                  <c:v>1.6E-2</c:v>
                </c:pt>
                <c:pt idx="87">
                  <c:v>-3.5000000000000003E-2</c:v>
                </c:pt>
                <c:pt idx="88">
                  <c:v>0.114</c:v>
                </c:pt>
                <c:pt idx="89">
                  <c:v>-8.0000000000000002E-3</c:v>
                </c:pt>
                <c:pt idx="90">
                  <c:v>6.0000000000000001E-3</c:v>
                </c:pt>
                <c:pt idx="91">
                  <c:v>1.6E-2</c:v>
                </c:pt>
                <c:pt idx="92">
                  <c:v>2.7E-2</c:v>
                </c:pt>
                <c:pt idx="93">
                  <c:v>-2.1000000000000001E-2</c:v>
                </c:pt>
                <c:pt idx="94">
                  <c:v>0.13800000000000001</c:v>
                </c:pt>
                <c:pt idx="95">
                  <c:v>-3.5000000000000003E-2</c:v>
                </c:pt>
                <c:pt idx="96">
                  <c:v>6.6000000000000003E-2</c:v>
                </c:pt>
                <c:pt idx="97">
                  <c:v>-0.13300000000000001</c:v>
                </c:pt>
                <c:pt idx="98">
                  <c:v>-7.8E-2</c:v>
                </c:pt>
                <c:pt idx="99">
                  <c:v>-0.21</c:v>
                </c:pt>
                <c:pt idx="100">
                  <c:v>-0.03</c:v>
                </c:pt>
                <c:pt idx="101">
                  <c:v>-0.185</c:v>
                </c:pt>
                <c:pt idx="102">
                  <c:v>9.1999999999999998E-2</c:v>
                </c:pt>
                <c:pt idx="103">
                  <c:v>-0.04</c:v>
                </c:pt>
                <c:pt idx="104">
                  <c:v>-0.156</c:v>
                </c:pt>
                <c:pt idx="105">
                  <c:v>-0.109</c:v>
                </c:pt>
                <c:pt idx="106">
                  <c:v>-6.5000000000000002E-2</c:v>
                </c:pt>
                <c:pt idx="107">
                  <c:v>-0.13700000000000001</c:v>
                </c:pt>
                <c:pt idx="108">
                  <c:v>-2E-3</c:v>
                </c:pt>
                <c:pt idx="109">
                  <c:v>-0.13200000000000001</c:v>
                </c:pt>
                <c:pt idx="110">
                  <c:v>-7.5999999999999998E-2</c:v>
                </c:pt>
                <c:pt idx="111">
                  <c:v>-8.4000000000000005E-2</c:v>
                </c:pt>
                <c:pt idx="112">
                  <c:v>-4.4999999999999998E-2</c:v>
                </c:pt>
                <c:pt idx="113">
                  <c:v>-0.09</c:v>
                </c:pt>
                <c:pt idx="114">
                  <c:v>-5.1999999999999998E-2</c:v>
                </c:pt>
                <c:pt idx="115">
                  <c:v>-0.13900000000000001</c:v>
                </c:pt>
                <c:pt idx="116">
                  <c:v>-8.2000000000000003E-2</c:v>
                </c:pt>
                <c:pt idx="117">
                  <c:v>-0.2</c:v>
                </c:pt>
                <c:pt idx="118">
                  <c:v>-0.61399999999999999</c:v>
                </c:pt>
                <c:pt idx="119">
                  <c:v>-8.1000000000000003E-2</c:v>
                </c:pt>
                <c:pt idx="120">
                  <c:v>-0.112</c:v>
                </c:pt>
                <c:pt idx="121">
                  <c:v>-0.115</c:v>
                </c:pt>
                <c:pt idx="122">
                  <c:v>-0.15</c:v>
                </c:pt>
                <c:pt idx="123">
                  <c:v>0.24099999999999999</c:v>
                </c:pt>
                <c:pt idx="124">
                  <c:v>0.22800000000000001</c:v>
                </c:pt>
                <c:pt idx="125">
                  <c:v>0.26400000000000001</c:v>
                </c:pt>
                <c:pt idx="126">
                  <c:v>0.20300000000000001</c:v>
                </c:pt>
                <c:pt idx="127">
                  <c:v>7.9000000000000001E-2</c:v>
                </c:pt>
                <c:pt idx="128">
                  <c:v>7.2999999999999995E-2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8-4D54-8A90-7BA876C4F66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('AMP5-2'!$AC$4,'AMP5-2'!$AC$4)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28-4D54-8A90-7BA876C4F66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('AMP5-2'!$AC$5,'AMP5-2'!$AC$5)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28-4D54-8A90-7BA876C4F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1592"/>
        <c:axId val="517851984"/>
      </c:scatterChart>
      <c:valAx>
        <c:axId val="51785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1984"/>
        <c:crosses val="autoZero"/>
        <c:crossBetween val="midCat"/>
      </c:valAx>
      <c:valAx>
        <c:axId val="5178519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1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'AMP5-2'!$AD$9:$AD$137</c:f>
              <c:numCache>
                <c:formatCode>General</c:formatCode>
                <c:ptCount val="129"/>
                <c:pt idx="0">
                  <c:v>7.2999999999999995E-2</c:v>
                </c:pt>
                <c:pt idx="1">
                  <c:v>3.3000000000000002E-2</c:v>
                </c:pt>
                <c:pt idx="2">
                  <c:v>9.9000000000000005E-2</c:v>
                </c:pt>
                <c:pt idx="3">
                  <c:v>-0.14799999999999999</c:v>
                </c:pt>
                <c:pt idx="4">
                  <c:v>8.5999999999999993E-2</c:v>
                </c:pt>
                <c:pt idx="5">
                  <c:v>-8.3000000000000004E-2</c:v>
                </c:pt>
                <c:pt idx="6">
                  <c:v>0.21099999999999999</c:v>
                </c:pt>
                <c:pt idx="7">
                  <c:v>-0.04</c:v>
                </c:pt>
                <c:pt idx="8">
                  <c:v>0.26800000000000002</c:v>
                </c:pt>
                <c:pt idx="9">
                  <c:v>0.03</c:v>
                </c:pt>
                <c:pt idx="10">
                  <c:v>0.11899999999999999</c:v>
                </c:pt>
                <c:pt idx="11">
                  <c:v>-0.156</c:v>
                </c:pt>
                <c:pt idx="12">
                  <c:v>0.13700000000000001</c:v>
                </c:pt>
                <c:pt idx="13">
                  <c:v>-0.14499999999999999</c:v>
                </c:pt>
                <c:pt idx="14">
                  <c:v>9.9000000000000005E-2</c:v>
                </c:pt>
                <c:pt idx="15">
                  <c:v>-9.9000000000000005E-2</c:v>
                </c:pt>
                <c:pt idx="16">
                  <c:v>0.16</c:v>
                </c:pt>
                <c:pt idx="17">
                  <c:v>-0.188</c:v>
                </c:pt>
                <c:pt idx="18">
                  <c:v>8.4000000000000005E-2</c:v>
                </c:pt>
                <c:pt idx="19">
                  <c:v>-9.1999999999999998E-2</c:v>
                </c:pt>
                <c:pt idx="20">
                  <c:v>9.4E-2</c:v>
                </c:pt>
                <c:pt idx="21">
                  <c:v>-0.20200000000000001</c:v>
                </c:pt>
                <c:pt idx="22">
                  <c:v>7.2999999999999995E-2</c:v>
                </c:pt>
                <c:pt idx="23">
                  <c:v>-0.11899999999999999</c:v>
                </c:pt>
                <c:pt idx="24">
                  <c:v>-7.4999999999999997E-2</c:v>
                </c:pt>
                <c:pt idx="25">
                  <c:v>-0.26700000000000002</c:v>
                </c:pt>
                <c:pt idx="26">
                  <c:v>7.0000000000000001E-3</c:v>
                </c:pt>
                <c:pt idx="27">
                  <c:v>-0.27100000000000002</c:v>
                </c:pt>
                <c:pt idx="28">
                  <c:v>5.3999999999999999E-2</c:v>
                </c:pt>
                <c:pt idx="29">
                  <c:v>-0.311</c:v>
                </c:pt>
                <c:pt idx="30">
                  <c:v>0.253</c:v>
                </c:pt>
                <c:pt idx="31">
                  <c:v>-0.38</c:v>
                </c:pt>
                <c:pt idx="32">
                  <c:v>0.27</c:v>
                </c:pt>
                <c:pt idx="33">
                  <c:v>-0.51500000000000001</c:v>
                </c:pt>
                <c:pt idx="34">
                  <c:v>6.3E-2</c:v>
                </c:pt>
                <c:pt idx="35">
                  <c:v>-0.128</c:v>
                </c:pt>
                <c:pt idx="36">
                  <c:v>0.86799999999999999</c:v>
                </c:pt>
                <c:pt idx="37">
                  <c:v>-0.10199999999999999</c:v>
                </c:pt>
                <c:pt idx="38">
                  <c:v>0.157</c:v>
                </c:pt>
                <c:pt idx="39">
                  <c:v>-5.6040000000000001</c:v>
                </c:pt>
                <c:pt idx="40">
                  <c:v>8.8999999999999996E-2</c:v>
                </c:pt>
                <c:pt idx="41">
                  <c:v>2.3E-2</c:v>
                </c:pt>
                <c:pt idx="42">
                  <c:v>0.113</c:v>
                </c:pt>
                <c:pt idx="43">
                  <c:v>-6.8000000000000005E-2</c:v>
                </c:pt>
                <c:pt idx="44">
                  <c:v>-4.0000000000000001E-3</c:v>
                </c:pt>
                <c:pt idx="45">
                  <c:v>-0.13600000000000001</c:v>
                </c:pt>
                <c:pt idx="46">
                  <c:v>5.0999999999999997E-2</c:v>
                </c:pt>
                <c:pt idx="47">
                  <c:v>-0.10100000000000001</c:v>
                </c:pt>
                <c:pt idx="48">
                  <c:v>-4.1000000000000002E-2</c:v>
                </c:pt>
                <c:pt idx="49">
                  <c:v>-3.5000000000000003E-2</c:v>
                </c:pt>
                <c:pt idx="50">
                  <c:v>6.3E-2</c:v>
                </c:pt>
                <c:pt idx="51">
                  <c:v>-0.21</c:v>
                </c:pt>
                <c:pt idx="52">
                  <c:v>-4.0000000000000001E-3</c:v>
                </c:pt>
                <c:pt idx="53">
                  <c:v>-0.12</c:v>
                </c:pt>
                <c:pt idx="54">
                  <c:v>4.1000000000000002E-2</c:v>
                </c:pt>
                <c:pt idx="55">
                  <c:v>-0.26300000000000001</c:v>
                </c:pt>
                <c:pt idx="56">
                  <c:v>0.151</c:v>
                </c:pt>
                <c:pt idx="57">
                  <c:v>-0.191</c:v>
                </c:pt>
                <c:pt idx="58">
                  <c:v>9.2999999999999999E-2</c:v>
                </c:pt>
                <c:pt idx="59">
                  <c:v>-0.20100000000000001</c:v>
                </c:pt>
                <c:pt idx="60">
                  <c:v>0.13500000000000001</c:v>
                </c:pt>
                <c:pt idx="61">
                  <c:v>-0.25800000000000001</c:v>
                </c:pt>
                <c:pt idx="62">
                  <c:v>0.36799999999999999</c:v>
                </c:pt>
                <c:pt idx="63">
                  <c:v>-0.29799999999999999</c:v>
                </c:pt>
                <c:pt idx="64">
                  <c:v>-7.0000000000000001E-3</c:v>
                </c:pt>
                <c:pt idx="65">
                  <c:v>-0.248</c:v>
                </c:pt>
                <c:pt idx="66">
                  <c:v>6.0999999999999999E-2</c:v>
                </c:pt>
                <c:pt idx="67">
                  <c:v>-0.192</c:v>
                </c:pt>
                <c:pt idx="68">
                  <c:v>2.1999999999999999E-2</c:v>
                </c:pt>
                <c:pt idx="69">
                  <c:v>-0.28799999999999998</c:v>
                </c:pt>
                <c:pt idx="70">
                  <c:v>2.9000000000000001E-2</c:v>
                </c:pt>
                <c:pt idx="71">
                  <c:v>-0.248</c:v>
                </c:pt>
                <c:pt idx="72">
                  <c:v>8.5999999999999993E-2</c:v>
                </c:pt>
                <c:pt idx="73">
                  <c:v>-0.20799999999999999</c:v>
                </c:pt>
                <c:pt idx="74">
                  <c:v>6.5000000000000002E-2</c:v>
                </c:pt>
                <c:pt idx="75">
                  <c:v>-0.28199999999999997</c:v>
                </c:pt>
                <c:pt idx="76">
                  <c:v>0.10100000000000001</c:v>
                </c:pt>
                <c:pt idx="77">
                  <c:v>-0.219</c:v>
                </c:pt>
                <c:pt idx="78">
                  <c:v>0.20300000000000001</c:v>
                </c:pt>
                <c:pt idx="79">
                  <c:v>-0.28000000000000003</c:v>
                </c:pt>
                <c:pt idx="80">
                  <c:v>0.20100000000000001</c:v>
                </c:pt>
                <c:pt idx="81">
                  <c:v>-7.2999999999999995E-2</c:v>
                </c:pt>
                <c:pt idx="82">
                  <c:v>5.5E-2</c:v>
                </c:pt>
                <c:pt idx="83">
                  <c:v>-0.154</c:v>
                </c:pt>
                <c:pt idx="84">
                  <c:v>-5.8000000000000003E-2</c:v>
                </c:pt>
                <c:pt idx="85">
                  <c:v>2E-3</c:v>
                </c:pt>
                <c:pt idx="86">
                  <c:v>-0.08</c:v>
                </c:pt>
                <c:pt idx="87">
                  <c:v>1.4999999999999999E-2</c:v>
                </c:pt>
                <c:pt idx="88">
                  <c:v>2.4E-2</c:v>
                </c:pt>
                <c:pt idx="89">
                  <c:v>-0.02</c:v>
                </c:pt>
                <c:pt idx="90">
                  <c:v>-5.1999999999999998E-2</c:v>
                </c:pt>
                <c:pt idx="91">
                  <c:v>-4.3999999999999997E-2</c:v>
                </c:pt>
                <c:pt idx="92">
                  <c:v>-8.4000000000000005E-2</c:v>
                </c:pt>
                <c:pt idx="93">
                  <c:v>-6.4000000000000001E-2</c:v>
                </c:pt>
                <c:pt idx="94">
                  <c:v>6.4000000000000001E-2</c:v>
                </c:pt>
                <c:pt idx="95">
                  <c:v>-0.192</c:v>
                </c:pt>
                <c:pt idx="96">
                  <c:v>9.5000000000000001E-2</c:v>
                </c:pt>
                <c:pt idx="97">
                  <c:v>-0.106</c:v>
                </c:pt>
                <c:pt idx="98">
                  <c:v>-2.9000000000000001E-2</c:v>
                </c:pt>
                <c:pt idx="99">
                  <c:v>-0.23100000000000001</c:v>
                </c:pt>
                <c:pt idx="100">
                  <c:v>-4.0000000000000001E-3</c:v>
                </c:pt>
                <c:pt idx="101">
                  <c:v>-0.104</c:v>
                </c:pt>
                <c:pt idx="102">
                  <c:v>1.4999999999999999E-2</c:v>
                </c:pt>
                <c:pt idx="103">
                  <c:v>-0.13800000000000001</c:v>
                </c:pt>
                <c:pt idx="104">
                  <c:v>-4.8000000000000001E-2</c:v>
                </c:pt>
                <c:pt idx="105">
                  <c:v>-0.13500000000000001</c:v>
                </c:pt>
                <c:pt idx="106">
                  <c:v>3.1E-2</c:v>
                </c:pt>
                <c:pt idx="107">
                  <c:v>-0.127</c:v>
                </c:pt>
                <c:pt idx="108">
                  <c:v>1.0999999999999999E-2</c:v>
                </c:pt>
                <c:pt idx="109">
                  <c:v>-0.192</c:v>
                </c:pt>
                <c:pt idx="110">
                  <c:v>-6.6000000000000003E-2</c:v>
                </c:pt>
                <c:pt idx="111">
                  <c:v>-9.8000000000000004E-2</c:v>
                </c:pt>
                <c:pt idx="112">
                  <c:v>-3.7999999999999999E-2</c:v>
                </c:pt>
                <c:pt idx="113">
                  <c:v>-0.18</c:v>
                </c:pt>
                <c:pt idx="114">
                  <c:v>1.0999999999999999E-2</c:v>
                </c:pt>
                <c:pt idx="115">
                  <c:v>-0.23499999999999999</c:v>
                </c:pt>
                <c:pt idx="116">
                  <c:v>-4.1000000000000002E-2</c:v>
                </c:pt>
                <c:pt idx="117">
                  <c:v>-0.22600000000000001</c:v>
                </c:pt>
                <c:pt idx="118">
                  <c:v>-0.505</c:v>
                </c:pt>
                <c:pt idx="119">
                  <c:v>-0.23300000000000001</c:v>
                </c:pt>
                <c:pt idx="120">
                  <c:v>-2.4E-2</c:v>
                </c:pt>
                <c:pt idx="121">
                  <c:v>-2.4E-2</c:v>
                </c:pt>
                <c:pt idx="122">
                  <c:v>0.29699999999999999</c:v>
                </c:pt>
                <c:pt idx="123">
                  <c:v>0.124</c:v>
                </c:pt>
                <c:pt idx="124">
                  <c:v>0.26700000000000002</c:v>
                </c:pt>
                <c:pt idx="125">
                  <c:v>9.2999999999999999E-2</c:v>
                </c:pt>
                <c:pt idx="126">
                  <c:v>0.20300000000000001</c:v>
                </c:pt>
                <c:pt idx="127">
                  <c:v>0.08</c:v>
                </c:pt>
                <c:pt idx="128">
                  <c:v>0.20499999999999999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79-408C-9E72-8A37D9B6D9E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('AMP5-2'!$AD$4,'AMP5-2'!$AD$4)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79-408C-9E72-8A37D9B6D9E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('AMP5-2'!$AD$5,'AMP5-2'!$AD$5)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79-408C-9E72-8A37D9B6D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2768"/>
        <c:axId val="517853160"/>
      </c:scatterChart>
      <c:valAx>
        <c:axId val="5178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3160"/>
        <c:crosses val="autoZero"/>
        <c:crossBetween val="midCat"/>
      </c:valAx>
      <c:valAx>
        <c:axId val="5178531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'AMP5-2'!$AE$9:$AE$137</c:f>
              <c:numCache>
                <c:formatCode>General</c:formatCode>
                <c:ptCount val="129"/>
                <c:pt idx="0">
                  <c:v>-5.2999999999999999E-2</c:v>
                </c:pt>
                <c:pt idx="1">
                  <c:v>5.3999999999999999E-2</c:v>
                </c:pt>
                <c:pt idx="2">
                  <c:v>-8.5000000000000006E-2</c:v>
                </c:pt>
                <c:pt idx="3">
                  <c:v>-9.0999999999999998E-2</c:v>
                </c:pt>
                <c:pt idx="4">
                  <c:v>-3.1E-2</c:v>
                </c:pt>
                <c:pt idx="5">
                  <c:v>-5.6000000000000001E-2</c:v>
                </c:pt>
                <c:pt idx="6">
                  <c:v>9.2999999999999999E-2</c:v>
                </c:pt>
                <c:pt idx="7">
                  <c:v>-6.0000000000000001E-3</c:v>
                </c:pt>
                <c:pt idx="8">
                  <c:v>0.23699999999999999</c:v>
                </c:pt>
                <c:pt idx="9">
                  <c:v>0.04</c:v>
                </c:pt>
                <c:pt idx="10">
                  <c:v>-2.5999999999999999E-2</c:v>
                </c:pt>
                <c:pt idx="11">
                  <c:v>-0.13700000000000001</c:v>
                </c:pt>
                <c:pt idx="12">
                  <c:v>2E-3</c:v>
                </c:pt>
                <c:pt idx="13">
                  <c:v>-9.4E-2</c:v>
                </c:pt>
                <c:pt idx="14">
                  <c:v>-3.2000000000000001E-2</c:v>
                </c:pt>
                <c:pt idx="15">
                  <c:v>-6.4000000000000001E-2</c:v>
                </c:pt>
                <c:pt idx="16">
                  <c:v>5.8000000000000003E-2</c:v>
                </c:pt>
                <c:pt idx="17">
                  <c:v>0.19800000000000001</c:v>
                </c:pt>
                <c:pt idx="18">
                  <c:v>-7.5999999999999998E-2</c:v>
                </c:pt>
                <c:pt idx="19">
                  <c:v>-6.0999999999999999E-2</c:v>
                </c:pt>
                <c:pt idx="20">
                  <c:v>-7.1999999999999995E-2</c:v>
                </c:pt>
                <c:pt idx="21">
                  <c:v>-0.28599999999999998</c:v>
                </c:pt>
                <c:pt idx="22">
                  <c:v>-8.1000000000000003E-2</c:v>
                </c:pt>
                <c:pt idx="23">
                  <c:v>-0.14699999999999999</c:v>
                </c:pt>
                <c:pt idx="24">
                  <c:v>-0.24299999999999999</c:v>
                </c:pt>
                <c:pt idx="25">
                  <c:v>-0.245</c:v>
                </c:pt>
                <c:pt idx="26">
                  <c:v>-8.8999999999999996E-2</c:v>
                </c:pt>
                <c:pt idx="27">
                  <c:v>-0.23899999999999999</c:v>
                </c:pt>
                <c:pt idx="28">
                  <c:v>-4.9000000000000002E-2</c:v>
                </c:pt>
                <c:pt idx="29">
                  <c:v>-0.32500000000000001</c:v>
                </c:pt>
                <c:pt idx="30">
                  <c:v>0.14799999999999999</c:v>
                </c:pt>
                <c:pt idx="31">
                  <c:v>-0.42399999999999999</c:v>
                </c:pt>
                <c:pt idx="32">
                  <c:v>0.26700000000000002</c:v>
                </c:pt>
                <c:pt idx="33">
                  <c:v>-0.40799999999999997</c:v>
                </c:pt>
                <c:pt idx="34">
                  <c:v>0.13700000000000001</c:v>
                </c:pt>
                <c:pt idx="35">
                  <c:v>0.15</c:v>
                </c:pt>
                <c:pt idx="36">
                  <c:v>0.66800000000000004</c:v>
                </c:pt>
                <c:pt idx="37">
                  <c:v>0.375</c:v>
                </c:pt>
                <c:pt idx="38">
                  <c:v>5.8999999999999997E-2</c:v>
                </c:pt>
                <c:pt idx="39">
                  <c:v>-0.98599999999999999</c:v>
                </c:pt>
                <c:pt idx="40">
                  <c:v>-5.1999999999999998E-2</c:v>
                </c:pt>
                <c:pt idx="41">
                  <c:v>2.5000000000000001E-2</c:v>
                </c:pt>
                <c:pt idx="42">
                  <c:v>1.2E-2</c:v>
                </c:pt>
                <c:pt idx="43">
                  <c:v>-3.7999999999999999E-2</c:v>
                </c:pt>
                <c:pt idx="44">
                  <c:v>-0.111</c:v>
                </c:pt>
                <c:pt idx="45">
                  <c:v>-6.8000000000000005E-2</c:v>
                </c:pt>
                <c:pt idx="46">
                  <c:v>-1.7999999999999999E-2</c:v>
                </c:pt>
                <c:pt idx="47">
                  <c:v>-4.5999999999999999E-2</c:v>
                </c:pt>
                <c:pt idx="48">
                  <c:v>-0.13</c:v>
                </c:pt>
                <c:pt idx="49">
                  <c:v>-8.8999999999999996E-2</c:v>
                </c:pt>
                <c:pt idx="50">
                  <c:v>-0.02</c:v>
                </c:pt>
                <c:pt idx="51">
                  <c:v>-0.18</c:v>
                </c:pt>
                <c:pt idx="52">
                  <c:v>-7.5999999999999998E-2</c:v>
                </c:pt>
                <c:pt idx="53">
                  <c:v>-8.7999999999999995E-2</c:v>
                </c:pt>
                <c:pt idx="54">
                  <c:v>-4.0000000000000001E-3</c:v>
                </c:pt>
                <c:pt idx="55">
                  <c:v>-0.25800000000000001</c:v>
                </c:pt>
                <c:pt idx="56">
                  <c:v>2.3E-2</c:v>
                </c:pt>
                <c:pt idx="57">
                  <c:v>-0.21099999999999999</c:v>
                </c:pt>
                <c:pt idx="58">
                  <c:v>1.6E-2</c:v>
                </c:pt>
                <c:pt idx="59">
                  <c:v>-0.22500000000000001</c:v>
                </c:pt>
                <c:pt idx="60">
                  <c:v>2.3E-2</c:v>
                </c:pt>
                <c:pt idx="61">
                  <c:v>-0.23400000000000001</c:v>
                </c:pt>
                <c:pt idx="62">
                  <c:v>0.309</c:v>
                </c:pt>
                <c:pt idx="63">
                  <c:v>-0.35799999999999998</c:v>
                </c:pt>
                <c:pt idx="64">
                  <c:v>-0.107</c:v>
                </c:pt>
                <c:pt idx="65">
                  <c:v>-0.28599999999999998</c:v>
                </c:pt>
                <c:pt idx="66">
                  <c:v>-4.7E-2</c:v>
                </c:pt>
                <c:pt idx="67">
                  <c:v>-0.185</c:v>
                </c:pt>
                <c:pt idx="68">
                  <c:v>-2.1999999999999999E-2</c:v>
                </c:pt>
                <c:pt idx="69">
                  <c:v>-0.312</c:v>
                </c:pt>
                <c:pt idx="70">
                  <c:v>-1.7000000000000001E-2</c:v>
                </c:pt>
                <c:pt idx="71">
                  <c:v>-0.311</c:v>
                </c:pt>
                <c:pt idx="72">
                  <c:v>0.1</c:v>
                </c:pt>
                <c:pt idx="73">
                  <c:v>-0.29199999999999998</c:v>
                </c:pt>
                <c:pt idx="74">
                  <c:v>7.4999999999999997E-2</c:v>
                </c:pt>
                <c:pt idx="75">
                  <c:v>-0.35</c:v>
                </c:pt>
                <c:pt idx="76">
                  <c:v>0.107</c:v>
                </c:pt>
                <c:pt idx="77">
                  <c:v>-0.314</c:v>
                </c:pt>
                <c:pt idx="78">
                  <c:v>0.17699999999999999</c:v>
                </c:pt>
                <c:pt idx="79">
                  <c:v>-0.378</c:v>
                </c:pt>
                <c:pt idx="80">
                  <c:v>0.10299999999999999</c:v>
                </c:pt>
                <c:pt idx="81">
                  <c:v>-0.13100000000000001</c:v>
                </c:pt>
                <c:pt idx="82">
                  <c:v>-1.6E-2</c:v>
                </c:pt>
                <c:pt idx="83">
                  <c:v>-0.13500000000000001</c:v>
                </c:pt>
                <c:pt idx="84">
                  <c:v>-0.158</c:v>
                </c:pt>
                <c:pt idx="85">
                  <c:v>7.0000000000000001E-3</c:v>
                </c:pt>
                <c:pt idx="86">
                  <c:v>-0.23400000000000001</c:v>
                </c:pt>
                <c:pt idx="87">
                  <c:v>-8.0000000000000002E-3</c:v>
                </c:pt>
                <c:pt idx="88">
                  <c:v>-3.5999999999999997E-2</c:v>
                </c:pt>
                <c:pt idx="89">
                  <c:v>-8.8999999999999996E-2</c:v>
                </c:pt>
                <c:pt idx="90">
                  <c:v>-0.113</c:v>
                </c:pt>
                <c:pt idx="91">
                  <c:v>-0.13800000000000001</c:v>
                </c:pt>
                <c:pt idx="92">
                  <c:v>-0.151</c:v>
                </c:pt>
                <c:pt idx="93">
                  <c:v>-0.14899999999999999</c:v>
                </c:pt>
                <c:pt idx="94">
                  <c:v>-1.4999999999999999E-2</c:v>
                </c:pt>
                <c:pt idx="95">
                  <c:v>-0.23100000000000001</c:v>
                </c:pt>
                <c:pt idx="96">
                  <c:v>2.3E-2</c:v>
                </c:pt>
                <c:pt idx="97">
                  <c:v>-0.23100000000000001</c:v>
                </c:pt>
                <c:pt idx="98">
                  <c:v>-9.1999999999999998E-2</c:v>
                </c:pt>
                <c:pt idx="99">
                  <c:v>-0.246</c:v>
                </c:pt>
                <c:pt idx="100">
                  <c:v>-6.8000000000000005E-2</c:v>
                </c:pt>
                <c:pt idx="101">
                  <c:v>-0.16300000000000001</c:v>
                </c:pt>
                <c:pt idx="102">
                  <c:v>5.0000000000000001E-3</c:v>
                </c:pt>
                <c:pt idx="103">
                  <c:v>-0.26600000000000001</c:v>
                </c:pt>
                <c:pt idx="104">
                  <c:v>-8.8999999999999996E-2</c:v>
                </c:pt>
                <c:pt idx="105">
                  <c:v>-0.23100000000000001</c:v>
                </c:pt>
                <c:pt idx="106">
                  <c:v>-8.5000000000000006E-2</c:v>
                </c:pt>
                <c:pt idx="107">
                  <c:v>-0.20200000000000001</c:v>
                </c:pt>
                <c:pt idx="108">
                  <c:v>-6.7000000000000004E-2</c:v>
                </c:pt>
                <c:pt idx="109">
                  <c:v>-0.3</c:v>
                </c:pt>
                <c:pt idx="110">
                  <c:v>-0.151</c:v>
                </c:pt>
                <c:pt idx="111">
                  <c:v>-0.16300000000000001</c:v>
                </c:pt>
                <c:pt idx="112">
                  <c:v>-4.4999999999999998E-2</c:v>
                </c:pt>
                <c:pt idx="113">
                  <c:v>-0.317</c:v>
                </c:pt>
                <c:pt idx="114">
                  <c:v>-3.3000000000000002E-2</c:v>
                </c:pt>
                <c:pt idx="115">
                  <c:v>-0.34599999999999997</c:v>
                </c:pt>
                <c:pt idx="116">
                  <c:v>-6.9000000000000006E-2</c:v>
                </c:pt>
                <c:pt idx="117">
                  <c:v>-0.33600000000000002</c:v>
                </c:pt>
                <c:pt idx="118">
                  <c:v>-0.505</c:v>
                </c:pt>
                <c:pt idx="119">
                  <c:v>-0.28699999999999998</c:v>
                </c:pt>
                <c:pt idx="120">
                  <c:v>-3.4000000000000002E-2</c:v>
                </c:pt>
                <c:pt idx="121">
                  <c:v>-3.4000000000000002E-2</c:v>
                </c:pt>
                <c:pt idx="122">
                  <c:v>0.311</c:v>
                </c:pt>
                <c:pt idx="123">
                  <c:v>3.4000000000000002E-2</c:v>
                </c:pt>
                <c:pt idx="124">
                  <c:v>0.28799999999999998</c:v>
                </c:pt>
                <c:pt idx="125">
                  <c:v>6.2E-2</c:v>
                </c:pt>
                <c:pt idx="126">
                  <c:v>0.26900000000000002</c:v>
                </c:pt>
                <c:pt idx="127">
                  <c:v>-0.02</c:v>
                </c:pt>
                <c:pt idx="128">
                  <c:v>0.11700000000000001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CB-46CD-8189-15A2D2EEE51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('AMP5-2'!$AE$4,'AMP5-2'!$AE$4)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CB-46CD-8189-15A2D2EEE51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('AMP5-2'!$AE$5,'AMP5-2'!$AE$5)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CB-46CD-8189-15A2D2EEE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4336"/>
        <c:axId val="517854728"/>
      </c:scatterChart>
      <c:valAx>
        <c:axId val="51785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4728"/>
        <c:crosses val="autoZero"/>
        <c:crossBetween val="midCat"/>
      </c:valAx>
      <c:valAx>
        <c:axId val="5178547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'AMP5-2'!$AF$9:$AF$137</c:f>
              <c:numCache>
                <c:formatCode>General</c:formatCode>
                <c:ptCount val="129"/>
                <c:pt idx="0">
                  <c:v>0.106</c:v>
                </c:pt>
                <c:pt idx="1">
                  <c:v>0.112</c:v>
                </c:pt>
                <c:pt idx="2">
                  <c:v>9.6000000000000002E-2</c:v>
                </c:pt>
                <c:pt idx="3">
                  <c:v>2.1999999999999999E-2</c:v>
                </c:pt>
                <c:pt idx="4">
                  <c:v>3.1E-2</c:v>
                </c:pt>
                <c:pt idx="5">
                  <c:v>-5.1999999999999998E-2</c:v>
                </c:pt>
                <c:pt idx="6">
                  <c:v>-2.3E-2</c:v>
                </c:pt>
                <c:pt idx="7">
                  <c:v>-4.2999999999999997E-2</c:v>
                </c:pt>
                <c:pt idx="8">
                  <c:v>4.5999999999999999E-2</c:v>
                </c:pt>
                <c:pt idx="9">
                  <c:v>2.9000000000000001E-2</c:v>
                </c:pt>
                <c:pt idx="10">
                  <c:v>4.3999999999999997E-2</c:v>
                </c:pt>
                <c:pt idx="11">
                  <c:v>3.5000000000000003E-2</c:v>
                </c:pt>
                <c:pt idx="12">
                  <c:v>7.2999999999999995E-2</c:v>
                </c:pt>
                <c:pt idx="13">
                  <c:v>0.11799999999999999</c:v>
                </c:pt>
                <c:pt idx="14">
                  <c:v>0.1</c:v>
                </c:pt>
                <c:pt idx="15">
                  <c:v>0.13300000000000001</c:v>
                </c:pt>
                <c:pt idx="16">
                  <c:v>0.10199999999999999</c:v>
                </c:pt>
                <c:pt idx="17">
                  <c:v>8.4000000000000005E-2</c:v>
                </c:pt>
                <c:pt idx="18">
                  <c:v>6.0000000000000001E-3</c:v>
                </c:pt>
                <c:pt idx="19">
                  <c:v>0.129</c:v>
                </c:pt>
                <c:pt idx="20">
                  <c:v>2.7E-2</c:v>
                </c:pt>
                <c:pt idx="21">
                  <c:v>3.0000000000000001E-3</c:v>
                </c:pt>
                <c:pt idx="22">
                  <c:v>4.1000000000000002E-2</c:v>
                </c:pt>
                <c:pt idx="23">
                  <c:v>3.1E-2</c:v>
                </c:pt>
                <c:pt idx="24">
                  <c:v>1.4999999999999999E-2</c:v>
                </c:pt>
                <c:pt idx="25">
                  <c:v>-0.01</c:v>
                </c:pt>
                <c:pt idx="26">
                  <c:v>1E-3</c:v>
                </c:pt>
                <c:pt idx="27">
                  <c:v>-2.5999999999999999E-2</c:v>
                </c:pt>
                <c:pt idx="28">
                  <c:v>-2.9000000000000001E-2</c:v>
                </c:pt>
                <c:pt idx="29">
                  <c:v>-6.4000000000000001E-2</c:v>
                </c:pt>
                <c:pt idx="30">
                  <c:v>-5.3999999999999999E-2</c:v>
                </c:pt>
                <c:pt idx="31">
                  <c:v>-0.09</c:v>
                </c:pt>
                <c:pt idx="32">
                  <c:v>8.0000000000000002E-3</c:v>
                </c:pt>
                <c:pt idx="33">
                  <c:v>-5.5E-2</c:v>
                </c:pt>
                <c:pt idx="34">
                  <c:v>-0.222</c:v>
                </c:pt>
                <c:pt idx="35">
                  <c:v>-0.19600000000000001</c:v>
                </c:pt>
                <c:pt idx="36">
                  <c:v>-0.46300000000000002</c:v>
                </c:pt>
                <c:pt idx="37">
                  <c:v>-0.81699999999999995</c:v>
                </c:pt>
                <c:pt idx="38">
                  <c:v>0.17699999999999999</c:v>
                </c:pt>
                <c:pt idx="39">
                  <c:v>0.17399999999999999</c:v>
                </c:pt>
                <c:pt idx="40">
                  <c:v>0.184</c:v>
                </c:pt>
                <c:pt idx="41">
                  <c:v>0.19</c:v>
                </c:pt>
                <c:pt idx="42">
                  <c:v>9.1999999999999998E-2</c:v>
                </c:pt>
                <c:pt idx="43">
                  <c:v>5.7000000000000002E-2</c:v>
                </c:pt>
                <c:pt idx="44">
                  <c:v>1.2999999999999999E-2</c:v>
                </c:pt>
                <c:pt idx="45">
                  <c:v>4.7E-2</c:v>
                </c:pt>
                <c:pt idx="46">
                  <c:v>4.9000000000000002E-2</c:v>
                </c:pt>
                <c:pt idx="47">
                  <c:v>6.5000000000000002E-2</c:v>
                </c:pt>
                <c:pt idx="48">
                  <c:v>2.1999999999999999E-2</c:v>
                </c:pt>
                <c:pt idx="49">
                  <c:v>0.156</c:v>
                </c:pt>
                <c:pt idx="50">
                  <c:v>0.09</c:v>
                </c:pt>
                <c:pt idx="51">
                  <c:v>0.11</c:v>
                </c:pt>
                <c:pt idx="52">
                  <c:v>6.9000000000000006E-2</c:v>
                </c:pt>
                <c:pt idx="53">
                  <c:v>-5.8000000000000003E-2</c:v>
                </c:pt>
                <c:pt idx="54">
                  <c:v>3.0000000000000001E-3</c:v>
                </c:pt>
                <c:pt idx="55">
                  <c:v>-0.02</c:v>
                </c:pt>
                <c:pt idx="56">
                  <c:v>0.11899999999999999</c:v>
                </c:pt>
                <c:pt idx="57">
                  <c:v>5.3999999999999999E-2</c:v>
                </c:pt>
                <c:pt idx="58">
                  <c:v>-1.2E-2</c:v>
                </c:pt>
                <c:pt idx="59">
                  <c:v>-0.129</c:v>
                </c:pt>
                <c:pt idx="60">
                  <c:v>-4.0000000000000001E-3</c:v>
                </c:pt>
                <c:pt idx="61">
                  <c:v>-2.5999999999999999E-2</c:v>
                </c:pt>
                <c:pt idx="62">
                  <c:v>3.5000000000000003E-2</c:v>
                </c:pt>
                <c:pt idx="63">
                  <c:v>-7.8E-2</c:v>
                </c:pt>
                <c:pt idx="64">
                  <c:v>-0.11600000000000001</c:v>
                </c:pt>
                <c:pt idx="65">
                  <c:v>-9.9000000000000005E-2</c:v>
                </c:pt>
                <c:pt idx="66">
                  <c:v>-0.13300000000000001</c:v>
                </c:pt>
                <c:pt idx="67">
                  <c:v>-5.3999999999999999E-2</c:v>
                </c:pt>
                <c:pt idx="68">
                  <c:v>3.7999999999999999E-2</c:v>
                </c:pt>
                <c:pt idx="69">
                  <c:v>-4.1000000000000002E-2</c:v>
                </c:pt>
                <c:pt idx="70">
                  <c:v>-8.9999999999999993E-3</c:v>
                </c:pt>
                <c:pt idx="71">
                  <c:v>0.02</c:v>
                </c:pt>
                <c:pt idx="72">
                  <c:v>4.2999999999999997E-2</c:v>
                </c:pt>
                <c:pt idx="73">
                  <c:v>-0.152</c:v>
                </c:pt>
                <c:pt idx="74">
                  <c:v>-0.03</c:v>
                </c:pt>
                <c:pt idx="75">
                  <c:v>-0.06</c:v>
                </c:pt>
                <c:pt idx="76">
                  <c:v>0</c:v>
                </c:pt>
                <c:pt idx="77">
                  <c:v>-7.0000000000000007E-2</c:v>
                </c:pt>
                <c:pt idx="78">
                  <c:v>-0.12</c:v>
                </c:pt>
                <c:pt idx="79">
                  <c:v>-0.184</c:v>
                </c:pt>
                <c:pt idx="80">
                  <c:v>0.08</c:v>
                </c:pt>
                <c:pt idx="81">
                  <c:v>0.122</c:v>
                </c:pt>
                <c:pt idx="82">
                  <c:v>4.7E-2</c:v>
                </c:pt>
                <c:pt idx="83">
                  <c:v>6.0000000000000001E-3</c:v>
                </c:pt>
                <c:pt idx="84">
                  <c:v>0.1</c:v>
                </c:pt>
                <c:pt idx="85">
                  <c:v>6.8000000000000005E-2</c:v>
                </c:pt>
                <c:pt idx="86">
                  <c:v>5.8000000000000003E-2</c:v>
                </c:pt>
                <c:pt idx="87">
                  <c:v>5.5E-2</c:v>
                </c:pt>
                <c:pt idx="88">
                  <c:v>0.127</c:v>
                </c:pt>
                <c:pt idx="89">
                  <c:v>4.2999999999999997E-2</c:v>
                </c:pt>
                <c:pt idx="90">
                  <c:v>6.8000000000000005E-2</c:v>
                </c:pt>
                <c:pt idx="91">
                  <c:v>4.7E-2</c:v>
                </c:pt>
                <c:pt idx="92">
                  <c:v>6.0999999999999999E-2</c:v>
                </c:pt>
                <c:pt idx="93">
                  <c:v>8.6999999999999994E-2</c:v>
                </c:pt>
                <c:pt idx="94">
                  <c:v>0.14299999999999999</c:v>
                </c:pt>
                <c:pt idx="95">
                  <c:v>3.5999999999999997E-2</c:v>
                </c:pt>
                <c:pt idx="96">
                  <c:v>-1E-3</c:v>
                </c:pt>
                <c:pt idx="97">
                  <c:v>-4.8000000000000001E-2</c:v>
                </c:pt>
                <c:pt idx="98">
                  <c:v>-0.115</c:v>
                </c:pt>
                <c:pt idx="99">
                  <c:v>-0.182</c:v>
                </c:pt>
                <c:pt idx="100">
                  <c:v>-4.3999999999999997E-2</c:v>
                </c:pt>
                <c:pt idx="101">
                  <c:v>-0.151</c:v>
                </c:pt>
                <c:pt idx="102">
                  <c:v>8.4000000000000005E-2</c:v>
                </c:pt>
                <c:pt idx="103">
                  <c:v>3.5000000000000003E-2</c:v>
                </c:pt>
                <c:pt idx="104">
                  <c:v>-0.05</c:v>
                </c:pt>
                <c:pt idx="105">
                  <c:v>-8.5000000000000006E-2</c:v>
                </c:pt>
                <c:pt idx="106">
                  <c:v>-0.03</c:v>
                </c:pt>
                <c:pt idx="107">
                  <c:v>-8.8999999999999996E-2</c:v>
                </c:pt>
                <c:pt idx="108">
                  <c:v>-3.5000000000000003E-2</c:v>
                </c:pt>
                <c:pt idx="109">
                  <c:v>-0.127</c:v>
                </c:pt>
                <c:pt idx="110">
                  <c:v>5.0000000000000001E-3</c:v>
                </c:pt>
                <c:pt idx="111">
                  <c:v>-3.0000000000000001E-3</c:v>
                </c:pt>
                <c:pt idx="112">
                  <c:v>-2.4E-2</c:v>
                </c:pt>
                <c:pt idx="113">
                  <c:v>-4.0000000000000001E-3</c:v>
                </c:pt>
                <c:pt idx="114">
                  <c:v>-2.5999999999999999E-2</c:v>
                </c:pt>
                <c:pt idx="115">
                  <c:v>-4.2000000000000003E-2</c:v>
                </c:pt>
                <c:pt idx="116">
                  <c:v>-7.0999999999999994E-2</c:v>
                </c:pt>
                <c:pt idx="117">
                  <c:v>-0.14399999999999999</c:v>
                </c:pt>
                <c:pt idx="118">
                  <c:v>-0.15</c:v>
                </c:pt>
                <c:pt idx="119">
                  <c:v>0.30599999999999999</c:v>
                </c:pt>
                <c:pt idx="120">
                  <c:v>-8.5000000000000006E-2</c:v>
                </c:pt>
                <c:pt idx="121">
                  <c:v>-8.5999999999999993E-2</c:v>
                </c:pt>
                <c:pt idx="122">
                  <c:v>-0.39300000000000002</c:v>
                </c:pt>
                <c:pt idx="123">
                  <c:v>0.127</c:v>
                </c:pt>
                <c:pt idx="124">
                  <c:v>0.16500000000000001</c:v>
                </c:pt>
                <c:pt idx="125">
                  <c:v>0.114</c:v>
                </c:pt>
                <c:pt idx="126">
                  <c:v>0.124</c:v>
                </c:pt>
                <c:pt idx="127">
                  <c:v>-2.3E-2</c:v>
                </c:pt>
                <c:pt idx="128">
                  <c:v>-3.0000000000000001E-3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2-4F76-8DB4-7A269DBF904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('AMP5-2'!$AF$4,'AMP5-2'!$AF$4)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A2-4F76-8DB4-7A269DBF904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('AMP5-2'!$AF$5,'AMP5-2'!$AF$5)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A2-4F76-8DB4-7A269DBF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5120"/>
        <c:axId val="517855512"/>
      </c:scatterChart>
      <c:valAx>
        <c:axId val="51785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5512"/>
        <c:crosses val="autoZero"/>
        <c:crossBetween val="midCat"/>
      </c:valAx>
      <c:valAx>
        <c:axId val="5178555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'AMP5-2'!$AG$9:$AG$137</c:f>
              <c:numCache>
                <c:formatCode>General</c:formatCode>
                <c:ptCount val="129"/>
                <c:pt idx="0">
                  <c:v>5.1999999999999998E-2</c:v>
                </c:pt>
                <c:pt idx="1">
                  <c:v>0.06</c:v>
                </c:pt>
                <c:pt idx="2">
                  <c:v>3.2000000000000001E-2</c:v>
                </c:pt>
                <c:pt idx="3">
                  <c:v>-4.2000000000000003E-2</c:v>
                </c:pt>
                <c:pt idx="4">
                  <c:v>-2.1999999999999999E-2</c:v>
                </c:pt>
                <c:pt idx="5">
                  <c:v>-0.113</c:v>
                </c:pt>
                <c:pt idx="6">
                  <c:v>-9.2999999999999999E-2</c:v>
                </c:pt>
                <c:pt idx="7">
                  <c:v>-0.10299999999999999</c:v>
                </c:pt>
                <c:pt idx="8">
                  <c:v>0</c:v>
                </c:pt>
                <c:pt idx="9">
                  <c:v>-3.1E-2</c:v>
                </c:pt>
                <c:pt idx="10">
                  <c:v>-0.02</c:v>
                </c:pt>
                <c:pt idx="11">
                  <c:v>-2.1999999999999999E-2</c:v>
                </c:pt>
                <c:pt idx="12">
                  <c:v>0.02</c:v>
                </c:pt>
                <c:pt idx="13">
                  <c:v>6.6000000000000003E-2</c:v>
                </c:pt>
                <c:pt idx="14">
                  <c:v>4.8000000000000001E-2</c:v>
                </c:pt>
                <c:pt idx="15">
                  <c:v>7.0999999999999994E-2</c:v>
                </c:pt>
                <c:pt idx="16">
                  <c:v>3.5000000000000003E-2</c:v>
                </c:pt>
                <c:pt idx="17">
                  <c:v>1.7000000000000001E-2</c:v>
                </c:pt>
                <c:pt idx="18">
                  <c:v>-7.4999999999999997E-2</c:v>
                </c:pt>
                <c:pt idx="19">
                  <c:v>6.7000000000000004E-2</c:v>
                </c:pt>
                <c:pt idx="20">
                  <c:v>-2.1999999999999999E-2</c:v>
                </c:pt>
                <c:pt idx="21">
                  <c:v>-9.1999999999999998E-2</c:v>
                </c:pt>
                <c:pt idx="22">
                  <c:v>-1.0999999999999999E-2</c:v>
                </c:pt>
                <c:pt idx="23">
                  <c:v>-0.03</c:v>
                </c:pt>
                <c:pt idx="24">
                  <c:v>-4.1000000000000002E-2</c:v>
                </c:pt>
                <c:pt idx="25">
                  <c:v>-8.5999999999999993E-2</c:v>
                </c:pt>
                <c:pt idx="26">
                  <c:v>-6.0999999999999999E-2</c:v>
                </c:pt>
                <c:pt idx="27">
                  <c:v>-0.113</c:v>
                </c:pt>
                <c:pt idx="28">
                  <c:v>-6.9000000000000006E-2</c:v>
                </c:pt>
                <c:pt idx="29">
                  <c:v>-0.161</c:v>
                </c:pt>
                <c:pt idx="30">
                  <c:v>-0.10299999999999999</c:v>
                </c:pt>
                <c:pt idx="31">
                  <c:v>-0.20699999999999999</c:v>
                </c:pt>
                <c:pt idx="32">
                  <c:v>-5.8000000000000003E-2</c:v>
                </c:pt>
                <c:pt idx="33">
                  <c:v>-0.189</c:v>
                </c:pt>
                <c:pt idx="34">
                  <c:v>-0.26700000000000002</c:v>
                </c:pt>
                <c:pt idx="35">
                  <c:v>-0.33500000000000002</c:v>
                </c:pt>
                <c:pt idx="36">
                  <c:v>-0.622</c:v>
                </c:pt>
                <c:pt idx="37">
                  <c:v>-0.95199999999999996</c:v>
                </c:pt>
                <c:pt idx="38">
                  <c:v>0.115</c:v>
                </c:pt>
                <c:pt idx="39">
                  <c:v>0.125</c:v>
                </c:pt>
                <c:pt idx="40">
                  <c:v>0.155</c:v>
                </c:pt>
                <c:pt idx="41">
                  <c:v>0.126</c:v>
                </c:pt>
                <c:pt idx="42">
                  <c:v>3.6999999999999998E-2</c:v>
                </c:pt>
                <c:pt idx="43">
                  <c:v>1.4E-2</c:v>
                </c:pt>
                <c:pt idx="44">
                  <c:v>-4.8000000000000001E-2</c:v>
                </c:pt>
                <c:pt idx="45">
                  <c:v>2E-3</c:v>
                </c:pt>
                <c:pt idx="46">
                  <c:v>4.0000000000000001E-3</c:v>
                </c:pt>
                <c:pt idx="47">
                  <c:v>-0.02</c:v>
                </c:pt>
                <c:pt idx="48">
                  <c:v>-1.7000000000000001E-2</c:v>
                </c:pt>
                <c:pt idx="49">
                  <c:v>8.4000000000000005E-2</c:v>
                </c:pt>
                <c:pt idx="50">
                  <c:v>4.3999999999999997E-2</c:v>
                </c:pt>
                <c:pt idx="51">
                  <c:v>4.1000000000000002E-2</c:v>
                </c:pt>
                <c:pt idx="52">
                  <c:v>2.8000000000000001E-2</c:v>
                </c:pt>
                <c:pt idx="53">
                  <c:v>-0.12</c:v>
                </c:pt>
                <c:pt idx="54">
                  <c:v>-5.3999999999999999E-2</c:v>
                </c:pt>
                <c:pt idx="55">
                  <c:v>-4.9000000000000002E-2</c:v>
                </c:pt>
                <c:pt idx="56">
                  <c:v>5.6000000000000001E-2</c:v>
                </c:pt>
                <c:pt idx="57">
                  <c:v>-6.0000000000000001E-3</c:v>
                </c:pt>
                <c:pt idx="58">
                  <c:v>-6.8000000000000005E-2</c:v>
                </c:pt>
                <c:pt idx="59">
                  <c:v>-0.16900000000000001</c:v>
                </c:pt>
                <c:pt idx="60">
                  <c:v>-6.9000000000000006E-2</c:v>
                </c:pt>
                <c:pt idx="61">
                  <c:v>-0.10299999999999999</c:v>
                </c:pt>
                <c:pt idx="62">
                  <c:v>-8.9999999999999993E-3</c:v>
                </c:pt>
                <c:pt idx="63">
                  <c:v>-0.14199999999999999</c:v>
                </c:pt>
                <c:pt idx="64">
                  <c:v>-0.186</c:v>
                </c:pt>
                <c:pt idx="65">
                  <c:v>-0.16700000000000001</c:v>
                </c:pt>
                <c:pt idx="66">
                  <c:v>-0.20100000000000001</c:v>
                </c:pt>
                <c:pt idx="67">
                  <c:v>-0.114</c:v>
                </c:pt>
                <c:pt idx="68">
                  <c:v>-2.5000000000000001E-2</c:v>
                </c:pt>
                <c:pt idx="69">
                  <c:v>-0.10199999999999999</c:v>
                </c:pt>
                <c:pt idx="70">
                  <c:v>-9.4E-2</c:v>
                </c:pt>
                <c:pt idx="71">
                  <c:v>-0.05</c:v>
                </c:pt>
                <c:pt idx="72">
                  <c:v>-1.2999999999999999E-2</c:v>
                </c:pt>
                <c:pt idx="73">
                  <c:v>-0.224</c:v>
                </c:pt>
                <c:pt idx="74">
                  <c:v>-8.4000000000000005E-2</c:v>
                </c:pt>
                <c:pt idx="75">
                  <c:v>-0.12</c:v>
                </c:pt>
                <c:pt idx="76">
                  <c:v>-7.2999999999999995E-2</c:v>
                </c:pt>
                <c:pt idx="77">
                  <c:v>-0.13700000000000001</c:v>
                </c:pt>
                <c:pt idx="78">
                  <c:v>-0.20200000000000001</c:v>
                </c:pt>
                <c:pt idx="79">
                  <c:v>-0.252</c:v>
                </c:pt>
                <c:pt idx="80">
                  <c:v>4.7E-2</c:v>
                </c:pt>
                <c:pt idx="81">
                  <c:v>8.4000000000000005E-2</c:v>
                </c:pt>
                <c:pt idx="82">
                  <c:v>-8.9999999999999993E-3</c:v>
                </c:pt>
                <c:pt idx="83">
                  <c:v>-4.3999999999999997E-2</c:v>
                </c:pt>
                <c:pt idx="84">
                  <c:v>6.5000000000000002E-2</c:v>
                </c:pt>
                <c:pt idx="85">
                  <c:v>1.4E-2</c:v>
                </c:pt>
                <c:pt idx="86">
                  <c:v>-6.0000000000000001E-3</c:v>
                </c:pt>
                <c:pt idx="87">
                  <c:v>8.9999999999999993E-3</c:v>
                </c:pt>
                <c:pt idx="88">
                  <c:v>4.8000000000000001E-2</c:v>
                </c:pt>
                <c:pt idx="89">
                  <c:v>-1.6E-2</c:v>
                </c:pt>
                <c:pt idx="90">
                  <c:v>1.2999999999999999E-2</c:v>
                </c:pt>
                <c:pt idx="91">
                  <c:v>-1.6E-2</c:v>
                </c:pt>
                <c:pt idx="92">
                  <c:v>5.0000000000000001E-3</c:v>
                </c:pt>
                <c:pt idx="93">
                  <c:v>4.1000000000000002E-2</c:v>
                </c:pt>
                <c:pt idx="94">
                  <c:v>6.3E-2</c:v>
                </c:pt>
                <c:pt idx="95">
                  <c:v>-2.4E-2</c:v>
                </c:pt>
                <c:pt idx="96">
                  <c:v>-6.5000000000000002E-2</c:v>
                </c:pt>
                <c:pt idx="97">
                  <c:v>-0.104</c:v>
                </c:pt>
                <c:pt idx="98">
                  <c:v>-0.155</c:v>
                </c:pt>
                <c:pt idx="99">
                  <c:v>-0.249</c:v>
                </c:pt>
                <c:pt idx="100">
                  <c:v>-8.7999999999999995E-2</c:v>
                </c:pt>
                <c:pt idx="101">
                  <c:v>-0.218</c:v>
                </c:pt>
                <c:pt idx="102">
                  <c:v>2.3E-2</c:v>
                </c:pt>
                <c:pt idx="103">
                  <c:v>-1.4999999999999999E-2</c:v>
                </c:pt>
                <c:pt idx="104">
                  <c:v>-0.113</c:v>
                </c:pt>
                <c:pt idx="105">
                  <c:v>-0.14699999999999999</c:v>
                </c:pt>
                <c:pt idx="106">
                  <c:v>-0.112</c:v>
                </c:pt>
                <c:pt idx="107">
                  <c:v>-0.14699999999999999</c:v>
                </c:pt>
                <c:pt idx="108">
                  <c:v>-0.108</c:v>
                </c:pt>
                <c:pt idx="109">
                  <c:v>-0.19500000000000001</c:v>
                </c:pt>
                <c:pt idx="110">
                  <c:v>-7.0000000000000007E-2</c:v>
                </c:pt>
                <c:pt idx="111">
                  <c:v>-0.08</c:v>
                </c:pt>
                <c:pt idx="112">
                  <c:v>-7.2999999999999995E-2</c:v>
                </c:pt>
                <c:pt idx="113">
                  <c:v>-9.5000000000000001E-2</c:v>
                </c:pt>
                <c:pt idx="114">
                  <c:v>-8.8999999999999996E-2</c:v>
                </c:pt>
                <c:pt idx="115">
                  <c:v>-0.123</c:v>
                </c:pt>
                <c:pt idx="116">
                  <c:v>-0.16500000000000001</c:v>
                </c:pt>
                <c:pt idx="117">
                  <c:v>-0.22</c:v>
                </c:pt>
                <c:pt idx="118">
                  <c:v>-0.20599999999999999</c:v>
                </c:pt>
                <c:pt idx="119">
                  <c:v>0.252</c:v>
                </c:pt>
                <c:pt idx="120">
                  <c:v>-0.17199999999999999</c:v>
                </c:pt>
                <c:pt idx="121">
                  <c:v>-0.17299999999999999</c:v>
                </c:pt>
                <c:pt idx="122">
                  <c:v>-0.373</c:v>
                </c:pt>
                <c:pt idx="123">
                  <c:v>0.1</c:v>
                </c:pt>
                <c:pt idx="124">
                  <c:v>0.11700000000000001</c:v>
                </c:pt>
                <c:pt idx="125">
                  <c:v>6.4000000000000001E-2</c:v>
                </c:pt>
                <c:pt idx="126">
                  <c:v>8.2000000000000003E-2</c:v>
                </c:pt>
                <c:pt idx="127">
                  <c:v>-7.6999999999999999E-2</c:v>
                </c:pt>
                <c:pt idx="128">
                  <c:v>-0.06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49-43C5-882C-E89EEA98B01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('AMP5-2'!$AG$4,'AMP5-2'!$AG$4)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9-43C5-882C-E89EEA98B01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('AMP5-2'!$AG$5,'AMP5-2'!$AG$5)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49-43C5-882C-E89EEA98B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6296"/>
        <c:axId val="517856688"/>
      </c:scatterChart>
      <c:valAx>
        <c:axId val="517856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6688"/>
        <c:crosses val="autoZero"/>
        <c:crossBetween val="midCat"/>
      </c:valAx>
      <c:valAx>
        <c:axId val="5178566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6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'AMP5-2'!$AH$9:$AH$137</c:f>
              <c:numCache>
                <c:formatCode>General</c:formatCode>
                <c:ptCount val="129"/>
                <c:pt idx="0">
                  <c:v>3.3000000000000002E-2</c:v>
                </c:pt>
                <c:pt idx="1">
                  <c:v>0.128</c:v>
                </c:pt>
                <c:pt idx="2">
                  <c:v>-1.7000000000000001E-2</c:v>
                </c:pt>
                <c:pt idx="3">
                  <c:v>-7.9000000000000001E-2</c:v>
                </c:pt>
                <c:pt idx="4">
                  <c:v>2.7E-2</c:v>
                </c:pt>
                <c:pt idx="5">
                  <c:v>-8.2000000000000003E-2</c:v>
                </c:pt>
                <c:pt idx="6">
                  <c:v>7.3999999999999996E-2</c:v>
                </c:pt>
                <c:pt idx="7">
                  <c:v>0.03</c:v>
                </c:pt>
                <c:pt idx="8">
                  <c:v>6.0999999999999999E-2</c:v>
                </c:pt>
                <c:pt idx="9">
                  <c:v>4.3999999999999997E-2</c:v>
                </c:pt>
                <c:pt idx="10">
                  <c:v>1.7000000000000001E-2</c:v>
                </c:pt>
                <c:pt idx="11">
                  <c:v>-5.2999999999999999E-2</c:v>
                </c:pt>
                <c:pt idx="12">
                  <c:v>0.108</c:v>
                </c:pt>
                <c:pt idx="13">
                  <c:v>1.7999999999999999E-2</c:v>
                </c:pt>
                <c:pt idx="14">
                  <c:v>7.5999999999999998E-2</c:v>
                </c:pt>
                <c:pt idx="15">
                  <c:v>5.3999999999999999E-2</c:v>
                </c:pt>
                <c:pt idx="16">
                  <c:v>0.104</c:v>
                </c:pt>
                <c:pt idx="17">
                  <c:v>-0.05</c:v>
                </c:pt>
                <c:pt idx="18">
                  <c:v>-0.01</c:v>
                </c:pt>
                <c:pt idx="19">
                  <c:v>7.8E-2</c:v>
                </c:pt>
                <c:pt idx="20">
                  <c:v>-8.5999999999999993E-2</c:v>
                </c:pt>
                <c:pt idx="21">
                  <c:v>-7.5999999999999998E-2</c:v>
                </c:pt>
                <c:pt idx="22">
                  <c:v>5.0000000000000001E-3</c:v>
                </c:pt>
                <c:pt idx="23">
                  <c:v>1.6E-2</c:v>
                </c:pt>
                <c:pt idx="24">
                  <c:v>-0.17399999999999999</c:v>
                </c:pt>
                <c:pt idx="25">
                  <c:v>-5.1999999999999998E-2</c:v>
                </c:pt>
                <c:pt idx="26">
                  <c:v>-0.126</c:v>
                </c:pt>
                <c:pt idx="27">
                  <c:v>-0.107</c:v>
                </c:pt>
                <c:pt idx="28">
                  <c:v>-5.0000000000000001E-3</c:v>
                </c:pt>
                <c:pt idx="29">
                  <c:v>-0.10199999999999999</c:v>
                </c:pt>
                <c:pt idx="30">
                  <c:v>0.19</c:v>
                </c:pt>
                <c:pt idx="31">
                  <c:v>-0.25600000000000001</c:v>
                </c:pt>
                <c:pt idx="32">
                  <c:v>0.33200000000000002</c:v>
                </c:pt>
                <c:pt idx="33">
                  <c:v>-0.35</c:v>
                </c:pt>
                <c:pt idx="34">
                  <c:v>-0.125</c:v>
                </c:pt>
                <c:pt idx="35">
                  <c:v>-0.13200000000000001</c:v>
                </c:pt>
                <c:pt idx="36">
                  <c:v>0.63800000000000001</c:v>
                </c:pt>
                <c:pt idx="37">
                  <c:v>-0.33500000000000002</c:v>
                </c:pt>
                <c:pt idx="38">
                  <c:v>0.10100000000000001</c:v>
                </c:pt>
                <c:pt idx="39">
                  <c:v>0.14399999999999999</c:v>
                </c:pt>
                <c:pt idx="40">
                  <c:v>2.7E-2</c:v>
                </c:pt>
                <c:pt idx="41">
                  <c:v>0.13400000000000001</c:v>
                </c:pt>
                <c:pt idx="42">
                  <c:v>7.9000000000000001E-2</c:v>
                </c:pt>
                <c:pt idx="43">
                  <c:v>0.01</c:v>
                </c:pt>
                <c:pt idx="44">
                  <c:v>-5.0999999999999997E-2</c:v>
                </c:pt>
                <c:pt idx="45">
                  <c:v>-2.4E-2</c:v>
                </c:pt>
                <c:pt idx="46">
                  <c:v>0.03</c:v>
                </c:pt>
                <c:pt idx="47">
                  <c:v>4.1000000000000002E-2</c:v>
                </c:pt>
                <c:pt idx="48">
                  <c:v>-0.16800000000000001</c:v>
                </c:pt>
                <c:pt idx="49">
                  <c:v>-4.3999999999999997E-2</c:v>
                </c:pt>
                <c:pt idx="50">
                  <c:v>0</c:v>
                </c:pt>
                <c:pt idx="51">
                  <c:v>-3.7999999999999999E-2</c:v>
                </c:pt>
                <c:pt idx="52">
                  <c:v>5.0000000000000001E-3</c:v>
                </c:pt>
                <c:pt idx="53">
                  <c:v>-5.1999999999999998E-2</c:v>
                </c:pt>
                <c:pt idx="54">
                  <c:v>-1.7000000000000001E-2</c:v>
                </c:pt>
                <c:pt idx="55">
                  <c:v>-6.3E-2</c:v>
                </c:pt>
                <c:pt idx="56">
                  <c:v>5.6000000000000001E-2</c:v>
                </c:pt>
                <c:pt idx="57">
                  <c:v>-5.8000000000000003E-2</c:v>
                </c:pt>
                <c:pt idx="58">
                  <c:v>6.5000000000000002E-2</c:v>
                </c:pt>
                <c:pt idx="59">
                  <c:v>-0.10199999999999999</c:v>
                </c:pt>
                <c:pt idx="60">
                  <c:v>0.03</c:v>
                </c:pt>
                <c:pt idx="61">
                  <c:v>-0.13700000000000001</c:v>
                </c:pt>
                <c:pt idx="62">
                  <c:v>0.251</c:v>
                </c:pt>
                <c:pt idx="63">
                  <c:v>-0.215</c:v>
                </c:pt>
                <c:pt idx="64">
                  <c:v>-7.6999999999999999E-2</c:v>
                </c:pt>
                <c:pt idx="65">
                  <c:v>-0.12</c:v>
                </c:pt>
                <c:pt idx="66">
                  <c:v>-8.9999999999999993E-3</c:v>
                </c:pt>
                <c:pt idx="67">
                  <c:v>-2.3E-2</c:v>
                </c:pt>
                <c:pt idx="68">
                  <c:v>-4.2000000000000003E-2</c:v>
                </c:pt>
                <c:pt idx="69">
                  <c:v>-0.13500000000000001</c:v>
                </c:pt>
                <c:pt idx="70">
                  <c:v>-2.1999999999999999E-2</c:v>
                </c:pt>
                <c:pt idx="71">
                  <c:v>-0.15</c:v>
                </c:pt>
                <c:pt idx="72">
                  <c:v>0.19400000000000001</c:v>
                </c:pt>
                <c:pt idx="73">
                  <c:v>-0.158</c:v>
                </c:pt>
                <c:pt idx="74">
                  <c:v>-8.2000000000000003E-2</c:v>
                </c:pt>
                <c:pt idx="75">
                  <c:v>-0.11700000000000001</c:v>
                </c:pt>
                <c:pt idx="76">
                  <c:v>2.9000000000000001E-2</c:v>
                </c:pt>
                <c:pt idx="77">
                  <c:v>-0.12</c:v>
                </c:pt>
                <c:pt idx="78">
                  <c:v>2.1999999999999999E-2</c:v>
                </c:pt>
                <c:pt idx="79">
                  <c:v>-0.188</c:v>
                </c:pt>
                <c:pt idx="80">
                  <c:v>0.107</c:v>
                </c:pt>
                <c:pt idx="81">
                  <c:v>8.8999999999999996E-2</c:v>
                </c:pt>
                <c:pt idx="82">
                  <c:v>-4.8000000000000001E-2</c:v>
                </c:pt>
                <c:pt idx="83">
                  <c:v>-5.2999999999999999E-2</c:v>
                </c:pt>
                <c:pt idx="84">
                  <c:v>-0.13700000000000001</c:v>
                </c:pt>
                <c:pt idx="85">
                  <c:v>-0.13200000000000001</c:v>
                </c:pt>
                <c:pt idx="86">
                  <c:v>1.4999999999999999E-2</c:v>
                </c:pt>
                <c:pt idx="87">
                  <c:v>7.3999999999999996E-2</c:v>
                </c:pt>
                <c:pt idx="88">
                  <c:v>3.5999999999999997E-2</c:v>
                </c:pt>
                <c:pt idx="89">
                  <c:v>-0.14899999999999999</c:v>
                </c:pt>
                <c:pt idx="90">
                  <c:v>-3.2000000000000001E-2</c:v>
                </c:pt>
                <c:pt idx="91">
                  <c:v>-3.5000000000000003E-2</c:v>
                </c:pt>
                <c:pt idx="92">
                  <c:v>-6.0999999999999999E-2</c:v>
                </c:pt>
                <c:pt idx="93">
                  <c:v>-1.4E-2</c:v>
                </c:pt>
                <c:pt idx="94">
                  <c:v>0.112</c:v>
                </c:pt>
                <c:pt idx="95">
                  <c:v>-9.1999999999999998E-2</c:v>
                </c:pt>
                <c:pt idx="96">
                  <c:v>5.8999999999999997E-2</c:v>
                </c:pt>
                <c:pt idx="97">
                  <c:v>-0.13200000000000001</c:v>
                </c:pt>
                <c:pt idx="98">
                  <c:v>-5.7000000000000002E-2</c:v>
                </c:pt>
                <c:pt idx="99">
                  <c:v>-0.188</c:v>
                </c:pt>
                <c:pt idx="100">
                  <c:v>1.4E-2</c:v>
                </c:pt>
                <c:pt idx="101">
                  <c:v>-0.14499999999999999</c:v>
                </c:pt>
                <c:pt idx="102">
                  <c:v>4.5999999999999999E-2</c:v>
                </c:pt>
                <c:pt idx="103">
                  <c:v>-9.0999999999999998E-2</c:v>
                </c:pt>
                <c:pt idx="104">
                  <c:v>0.11700000000000001</c:v>
                </c:pt>
                <c:pt idx="105">
                  <c:v>-7.5999999999999998E-2</c:v>
                </c:pt>
                <c:pt idx="106">
                  <c:v>2.4E-2</c:v>
                </c:pt>
                <c:pt idx="107">
                  <c:v>-7.2999999999999995E-2</c:v>
                </c:pt>
                <c:pt idx="108">
                  <c:v>-8.9999999999999993E-3</c:v>
                </c:pt>
                <c:pt idx="109">
                  <c:v>-0.21099999999999999</c:v>
                </c:pt>
                <c:pt idx="110">
                  <c:v>4.8000000000000001E-2</c:v>
                </c:pt>
                <c:pt idx="111">
                  <c:v>-0.02</c:v>
                </c:pt>
                <c:pt idx="112">
                  <c:v>-1.4999999999999999E-2</c:v>
                </c:pt>
                <c:pt idx="113">
                  <c:v>-8.1000000000000003E-2</c:v>
                </c:pt>
                <c:pt idx="114">
                  <c:v>4.8000000000000001E-2</c:v>
                </c:pt>
                <c:pt idx="115">
                  <c:v>-0.158</c:v>
                </c:pt>
                <c:pt idx="116">
                  <c:v>2.5000000000000001E-2</c:v>
                </c:pt>
                <c:pt idx="117">
                  <c:v>-0.14799999999999999</c:v>
                </c:pt>
                <c:pt idx="118">
                  <c:v>3.5999999999999997E-2</c:v>
                </c:pt>
                <c:pt idx="119">
                  <c:v>0.183</c:v>
                </c:pt>
                <c:pt idx="120">
                  <c:v>0.22500000000000001</c:v>
                </c:pt>
                <c:pt idx="121">
                  <c:v>0.22600000000000001</c:v>
                </c:pt>
                <c:pt idx="122">
                  <c:v>7.0000000000000007E-2</c:v>
                </c:pt>
                <c:pt idx="123">
                  <c:v>4.3999999999999997E-2</c:v>
                </c:pt>
                <c:pt idx="124">
                  <c:v>0.13500000000000001</c:v>
                </c:pt>
                <c:pt idx="125">
                  <c:v>-1.4E-2</c:v>
                </c:pt>
                <c:pt idx="126">
                  <c:v>0.104</c:v>
                </c:pt>
                <c:pt idx="127">
                  <c:v>-1.4999999999999999E-2</c:v>
                </c:pt>
                <c:pt idx="128">
                  <c:v>4.2999999999999997E-2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7-4F9D-A5FF-53AC4CF96E3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('AMP5-2'!$AH$4,'AMP5-2'!$AH$4)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7-4F9D-A5FF-53AC4CF96E3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('AMP5-2'!$AH$5,'AMP5-2'!$AH$5)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77-4F9D-A5FF-53AC4CF9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7472"/>
        <c:axId val="517857864"/>
      </c:scatterChart>
      <c:valAx>
        <c:axId val="51785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7864"/>
        <c:crosses val="autoZero"/>
        <c:crossBetween val="midCat"/>
      </c:valAx>
      <c:valAx>
        <c:axId val="5178578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'AMP5-2'!$AI$8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'AMP5-2'!$C$9:$C$137</c:f>
              <c:numCache>
                <c:formatCode>m/d/yy\ h:mm;@</c:formatCode>
                <c:ptCount val="129"/>
                <c:pt idx="0">
                  <c:v>43698.523831018516</c:v>
                </c:pt>
                <c:pt idx="1">
                  <c:v>43698.525856481479</c:v>
                </c:pt>
                <c:pt idx="2">
                  <c:v>43698.607812499999</c:v>
                </c:pt>
                <c:pt idx="3">
                  <c:v>43698.609884259262</c:v>
                </c:pt>
                <c:pt idx="4">
                  <c:v>43698.801400462966</c:v>
                </c:pt>
                <c:pt idx="5">
                  <c:v>43698.803483796299</c:v>
                </c:pt>
                <c:pt idx="6">
                  <c:v>43698.822511574072</c:v>
                </c:pt>
                <c:pt idx="7">
                  <c:v>43698.824641203704</c:v>
                </c:pt>
                <c:pt idx="8">
                  <c:v>43698.873749999999</c:v>
                </c:pt>
                <c:pt idx="9">
                  <c:v>43698.876261574071</c:v>
                </c:pt>
                <c:pt idx="10">
                  <c:v>43698.966064814813</c:v>
                </c:pt>
                <c:pt idx="11">
                  <c:v>43698.9684375</c:v>
                </c:pt>
                <c:pt idx="12">
                  <c:v>43699.045972222222</c:v>
                </c:pt>
                <c:pt idx="13">
                  <c:v>43699.048344907409</c:v>
                </c:pt>
                <c:pt idx="14">
                  <c:v>43699.364444444444</c:v>
                </c:pt>
                <c:pt idx="15">
                  <c:v>43699.366724537038</c:v>
                </c:pt>
                <c:pt idx="16">
                  <c:v>43699.441400462965</c:v>
                </c:pt>
                <c:pt idx="17">
                  <c:v>43699.443761574075</c:v>
                </c:pt>
                <c:pt idx="18">
                  <c:v>43699.603182870371</c:v>
                </c:pt>
                <c:pt idx="19">
                  <c:v>43699.605219907404</c:v>
                </c:pt>
                <c:pt idx="20">
                  <c:v>43699.677546296298</c:v>
                </c:pt>
                <c:pt idx="21">
                  <c:v>43699.679606481484</c:v>
                </c:pt>
                <c:pt idx="22">
                  <c:v>43699.758310185185</c:v>
                </c:pt>
                <c:pt idx="23">
                  <c:v>43699.760312500002</c:v>
                </c:pt>
                <c:pt idx="24">
                  <c:v>43699.837395833332</c:v>
                </c:pt>
                <c:pt idx="25">
                  <c:v>43699.839421296296</c:v>
                </c:pt>
                <c:pt idx="26">
                  <c:v>43699.923125000001</c:v>
                </c:pt>
                <c:pt idx="27">
                  <c:v>43699.925173611111</c:v>
                </c:pt>
                <c:pt idx="28">
                  <c:v>43700.016504629632</c:v>
                </c:pt>
                <c:pt idx="29">
                  <c:v>43700.018576388888</c:v>
                </c:pt>
                <c:pt idx="30">
                  <c:v>43700.051365740743</c:v>
                </c:pt>
                <c:pt idx="31">
                  <c:v>43700.054710648146</c:v>
                </c:pt>
                <c:pt idx="32">
                  <c:v>43700.307511574072</c:v>
                </c:pt>
                <c:pt idx="33">
                  <c:v>43700.30972222222</c:v>
                </c:pt>
                <c:pt idx="34">
                  <c:v>43700.393622685187</c:v>
                </c:pt>
                <c:pt idx="35">
                  <c:v>43700.396041666667</c:v>
                </c:pt>
                <c:pt idx="36">
                  <c:v>43700.498541666668</c:v>
                </c:pt>
                <c:pt idx="37">
                  <c:v>43700.501921296294</c:v>
                </c:pt>
                <c:pt idx="38">
                  <c:v>43700.720231481479</c:v>
                </c:pt>
                <c:pt idx="39">
                  <c:v>43700.721944444442</c:v>
                </c:pt>
                <c:pt idx="40">
                  <c:v>43703.885983796295</c:v>
                </c:pt>
                <c:pt idx="41">
                  <c:v>43703.888969907406</c:v>
                </c:pt>
                <c:pt idx="42">
                  <c:v>43703.965185185189</c:v>
                </c:pt>
                <c:pt idx="43">
                  <c:v>43703.966747685183</c:v>
                </c:pt>
                <c:pt idx="44">
                  <c:v>43704.053715277776</c:v>
                </c:pt>
                <c:pt idx="45">
                  <c:v>43704.055381944447</c:v>
                </c:pt>
                <c:pt idx="46">
                  <c:v>43704.334872685184</c:v>
                </c:pt>
                <c:pt idx="47">
                  <c:v>43704.33693287037</c:v>
                </c:pt>
                <c:pt idx="48">
                  <c:v>43704.406631944446</c:v>
                </c:pt>
                <c:pt idx="49">
                  <c:v>43704.408668981479</c:v>
                </c:pt>
                <c:pt idx="50">
                  <c:v>43704.510682870372</c:v>
                </c:pt>
                <c:pt idx="51">
                  <c:v>43704.512800925928</c:v>
                </c:pt>
                <c:pt idx="52">
                  <c:v>43704.597800925927</c:v>
                </c:pt>
                <c:pt idx="53">
                  <c:v>43704.600138888891</c:v>
                </c:pt>
                <c:pt idx="54">
                  <c:v>43704.680046296293</c:v>
                </c:pt>
                <c:pt idx="55">
                  <c:v>43704.681562500002</c:v>
                </c:pt>
                <c:pt idx="56">
                  <c:v>43704.770914351851</c:v>
                </c:pt>
                <c:pt idx="57">
                  <c:v>43704.772488425922</c:v>
                </c:pt>
                <c:pt idx="58">
                  <c:v>43704.850972222222</c:v>
                </c:pt>
                <c:pt idx="59">
                  <c:v>43704.852939814817</c:v>
                </c:pt>
                <c:pt idx="60">
                  <c:v>43704.919502314813</c:v>
                </c:pt>
                <c:pt idx="61">
                  <c:v>43704.921064814815</c:v>
                </c:pt>
                <c:pt idx="62">
                  <c:v>43705.025219907409</c:v>
                </c:pt>
                <c:pt idx="63">
                  <c:v>43705.026736111111</c:v>
                </c:pt>
                <c:pt idx="64">
                  <c:v>43705.048842592594</c:v>
                </c:pt>
                <c:pt idx="65">
                  <c:v>43705.051041666666</c:v>
                </c:pt>
                <c:pt idx="66">
                  <c:v>43705.338206018518</c:v>
                </c:pt>
                <c:pt idx="67">
                  <c:v>43705.341273148151</c:v>
                </c:pt>
                <c:pt idx="68">
                  <c:v>43705.422129629631</c:v>
                </c:pt>
                <c:pt idx="69">
                  <c:v>43705.424270833333</c:v>
                </c:pt>
                <c:pt idx="70">
                  <c:v>43705.521817129629</c:v>
                </c:pt>
                <c:pt idx="71">
                  <c:v>43705.524699074071</c:v>
                </c:pt>
                <c:pt idx="72">
                  <c:v>43705.630810185183</c:v>
                </c:pt>
                <c:pt idx="73">
                  <c:v>43705.632893518516</c:v>
                </c:pt>
                <c:pt idx="74">
                  <c:v>43705.720231481479</c:v>
                </c:pt>
                <c:pt idx="75">
                  <c:v>43705.721747685187</c:v>
                </c:pt>
                <c:pt idx="76">
                  <c:v>43705.823622685188</c:v>
                </c:pt>
                <c:pt idx="77">
                  <c:v>43705.825127314813</c:v>
                </c:pt>
                <c:pt idx="78">
                  <c:v>43705.960173611114</c:v>
                </c:pt>
                <c:pt idx="79">
                  <c:v>43705.962511574071</c:v>
                </c:pt>
                <c:pt idx="80">
                  <c:v>43705.998807870368</c:v>
                </c:pt>
                <c:pt idx="81">
                  <c:v>43706.000798611109</c:v>
                </c:pt>
                <c:pt idx="82">
                  <c:v>43706.056354166663</c:v>
                </c:pt>
                <c:pt idx="83">
                  <c:v>43706.057905092595</c:v>
                </c:pt>
                <c:pt idx="84">
                  <c:v>43706.358043981483</c:v>
                </c:pt>
                <c:pt idx="85">
                  <c:v>43706.360127314816</c:v>
                </c:pt>
                <c:pt idx="86">
                  <c:v>43706.466782407406</c:v>
                </c:pt>
                <c:pt idx="87">
                  <c:v>43706.468888888892</c:v>
                </c:pt>
                <c:pt idx="88">
                  <c:v>43706.589432870373</c:v>
                </c:pt>
                <c:pt idx="89">
                  <c:v>43706.591539351852</c:v>
                </c:pt>
                <c:pt idx="90">
                  <c:v>43706.740868055553</c:v>
                </c:pt>
                <c:pt idx="91">
                  <c:v>43706.742905092593</c:v>
                </c:pt>
                <c:pt idx="92">
                  <c:v>43706.823541666665</c:v>
                </c:pt>
                <c:pt idx="93">
                  <c:v>43706.826435185183</c:v>
                </c:pt>
                <c:pt idx="94">
                  <c:v>43706.933888888889</c:v>
                </c:pt>
                <c:pt idx="95">
                  <c:v>43706.936053240737</c:v>
                </c:pt>
                <c:pt idx="96">
                  <c:v>43706.990787037037</c:v>
                </c:pt>
                <c:pt idx="97">
                  <c:v>43706.992835648147</c:v>
                </c:pt>
                <c:pt idx="98">
                  <c:v>43707.033599537041</c:v>
                </c:pt>
                <c:pt idx="99">
                  <c:v>43707.035636574074</c:v>
                </c:pt>
                <c:pt idx="100">
                  <c:v>43707.34646990741</c:v>
                </c:pt>
                <c:pt idx="101">
                  <c:v>43707.350081018521</c:v>
                </c:pt>
                <c:pt idx="102">
                  <c:v>43707.486145833333</c:v>
                </c:pt>
                <c:pt idx="103">
                  <c:v>43707.488877314812</c:v>
                </c:pt>
                <c:pt idx="104">
                  <c:v>43707.603993055556</c:v>
                </c:pt>
                <c:pt idx="105">
                  <c:v>43707.607256944444</c:v>
                </c:pt>
                <c:pt idx="106">
                  <c:v>43707.655358796299</c:v>
                </c:pt>
                <c:pt idx="107">
                  <c:v>43707.657592592594</c:v>
                </c:pt>
                <c:pt idx="108">
                  <c:v>43707.681840277779</c:v>
                </c:pt>
                <c:pt idx="109">
                  <c:v>43707.684317129628</c:v>
                </c:pt>
                <c:pt idx="110">
                  <c:v>43708.320798611108</c:v>
                </c:pt>
                <c:pt idx="111">
                  <c:v>43708.323761574073</c:v>
                </c:pt>
                <c:pt idx="112">
                  <c:v>43708.428657407407</c:v>
                </c:pt>
                <c:pt idx="113">
                  <c:v>43708.430856481478</c:v>
                </c:pt>
                <c:pt idx="114">
                  <c:v>43708.477395833332</c:v>
                </c:pt>
                <c:pt idx="115">
                  <c:v>43708.481481481482</c:v>
                </c:pt>
                <c:pt idx="116">
                  <c:v>43708.599004629628</c:v>
                </c:pt>
                <c:pt idx="117">
                  <c:v>43708.601886574077</c:v>
                </c:pt>
                <c:pt idx="118">
                  <c:v>43708.646180555559</c:v>
                </c:pt>
                <c:pt idx="119">
                  <c:v>43708.649039351854</c:v>
                </c:pt>
                <c:pt idx="120">
                  <c:v>43711.430462962962</c:v>
                </c:pt>
                <c:pt idx="121">
                  <c:v>43711.437199074076</c:v>
                </c:pt>
                <c:pt idx="122">
                  <c:v>43711.439432870371</c:v>
                </c:pt>
                <c:pt idx="123">
                  <c:v>43711.533854166664</c:v>
                </c:pt>
                <c:pt idx="124">
                  <c:v>43711.53597222222</c:v>
                </c:pt>
                <c:pt idx="125">
                  <c:v>43711.676192129627</c:v>
                </c:pt>
                <c:pt idx="126">
                  <c:v>43711.678229166668</c:v>
                </c:pt>
                <c:pt idx="127">
                  <c:v>43711.755543981482</c:v>
                </c:pt>
                <c:pt idx="128">
                  <c:v>43711.759733796294</c:v>
                </c:pt>
              </c:numCache>
            </c:numRef>
          </c:xVal>
          <c:yVal>
            <c:numRef>
              <c:f>'AMP5-2'!$AI$9:$AI$137</c:f>
              <c:numCache>
                <c:formatCode>General</c:formatCode>
                <c:ptCount val="129"/>
                <c:pt idx="0">
                  <c:v>7.1999999999999995E-2</c:v>
                </c:pt>
                <c:pt idx="1">
                  <c:v>0.18</c:v>
                </c:pt>
                <c:pt idx="2">
                  <c:v>6.5000000000000002E-2</c:v>
                </c:pt>
                <c:pt idx="3">
                  <c:v>-3.7999999999999999E-2</c:v>
                </c:pt>
                <c:pt idx="4">
                  <c:v>9.8000000000000004E-2</c:v>
                </c:pt>
                <c:pt idx="5">
                  <c:v>-5.8999999999999997E-2</c:v>
                </c:pt>
                <c:pt idx="6">
                  <c:v>0.11899999999999999</c:v>
                </c:pt>
                <c:pt idx="7">
                  <c:v>1.9E-2</c:v>
                </c:pt>
                <c:pt idx="8">
                  <c:v>0.14199999999999999</c:v>
                </c:pt>
                <c:pt idx="9">
                  <c:v>8.4000000000000005E-2</c:v>
                </c:pt>
                <c:pt idx="10">
                  <c:v>0.107</c:v>
                </c:pt>
                <c:pt idx="11">
                  <c:v>-3.6999999999999998E-2</c:v>
                </c:pt>
                <c:pt idx="12">
                  <c:v>0.19400000000000001</c:v>
                </c:pt>
                <c:pt idx="13">
                  <c:v>4.1000000000000002E-2</c:v>
                </c:pt>
                <c:pt idx="14">
                  <c:v>0.16800000000000001</c:v>
                </c:pt>
                <c:pt idx="15">
                  <c:v>0.06</c:v>
                </c:pt>
                <c:pt idx="16">
                  <c:v>0.223</c:v>
                </c:pt>
                <c:pt idx="17">
                  <c:v>-2.3E-2</c:v>
                </c:pt>
                <c:pt idx="18">
                  <c:v>7.1999999999999995E-2</c:v>
                </c:pt>
                <c:pt idx="19">
                  <c:v>0.126</c:v>
                </c:pt>
                <c:pt idx="20">
                  <c:v>7.8E-2</c:v>
                </c:pt>
                <c:pt idx="21">
                  <c:v>-0.111</c:v>
                </c:pt>
                <c:pt idx="22">
                  <c:v>0.124</c:v>
                </c:pt>
                <c:pt idx="23">
                  <c:v>-2.3E-2</c:v>
                </c:pt>
                <c:pt idx="24">
                  <c:v>-5.5E-2</c:v>
                </c:pt>
                <c:pt idx="25">
                  <c:v>-7.6999999999999999E-2</c:v>
                </c:pt>
                <c:pt idx="26">
                  <c:v>-3.7999999999999999E-2</c:v>
                </c:pt>
                <c:pt idx="27">
                  <c:v>-5.8999999999999997E-2</c:v>
                </c:pt>
                <c:pt idx="28">
                  <c:v>4.5999999999999999E-2</c:v>
                </c:pt>
                <c:pt idx="29">
                  <c:v>-0.09</c:v>
                </c:pt>
                <c:pt idx="30">
                  <c:v>0.14299999999999999</c:v>
                </c:pt>
                <c:pt idx="31">
                  <c:v>-0.189</c:v>
                </c:pt>
                <c:pt idx="32">
                  <c:v>0.155</c:v>
                </c:pt>
                <c:pt idx="33">
                  <c:v>-0.217</c:v>
                </c:pt>
                <c:pt idx="34">
                  <c:v>-0.38100000000000001</c:v>
                </c:pt>
                <c:pt idx="35">
                  <c:v>0.108</c:v>
                </c:pt>
                <c:pt idx="36">
                  <c:v>0.47399999999999998</c:v>
                </c:pt>
                <c:pt idx="37">
                  <c:v>-0.63</c:v>
                </c:pt>
                <c:pt idx="38">
                  <c:v>0.18099999999999999</c:v>
                </c:pt>
                <c:pt idx="39">
                  <c:v>0.16800000000000001</c:v>
                </c:pt>
                <c:pt idx="40">
                  <c:v>0.111</c:v>
                </c:pt>
                <c:pt idx="41">
                  <c:v>0.189</c:v>
                </c:pt>
                <c:pt idx="42">
                  <c:v>0.14699999999999999</c:v>
                </c:pt>
                <c:pt idx="43">
                  <c:v>8.6999999999999994E-2</c:v>
                </c:pt>
                <c:pt idx="44">
                  <c:v>2.7E-2</c:v>
                </c:pt>
                <c:pt idx="45">
                  <c:v>4.1000000000000002E-2</c:v>
                </c:pt>
                <c:pt idx="46">
                  <c:v>0.11700000000000001</c:v>
                </c:pt>
                <c:pt idx="47">
                  <c:v>1.2999999999999999E-2</c:v>
                </c:pt>
                <c:pt idx="48">
                  <c:v>-7.0000000000000007E-2</c:v>
                </c:pt>
                <c:pt idx="49">
                  <c:v>1.9E-2</c:v>
                </c:pt>
                <c:pt idx="50">
                  <c:v>9.7000000000000003E-2</c:v>
                </c:pt>
                <c:pt idx="51">
                  <c:v>0.01</c:v>
                </c:pt>
                <c:pt idx="52">
                  <c:v>9.2999999999999999E-2</c:v>
                </c:pt>
                <c:pt idx="53">
                  <c:v>-1.4999999999999999E-2</c:v>
                </c:pt>
                <c:pt idx="54">
                  <c:v>5.1999999999999998E-2</c:v>
                </c:pt>
                <c:pt idx="55">
                  <c:v>-6.0000000000000001E-3</c:v>
                </c:pt>
                <c:pt idx="56">
                  <c:v>0.156</c:v>
                </c:pt>
                <c:pt idx="57">
                  <c:v>0.01</c:v>
                </c:pt>
                <c:pt idx="58">
                  <c:v>0.11899999999999999</c:v>
                </c:pt>
                <c:pt idx="59">
                  <c:v>-9.7000000000000003E-2</c:v>
                </c:pt>
                <c:pt idx="60">
                  <c:v>0.10199999999999999</c:v>
                </c:pt>
                <c:pt idx="61">
                  <c:v>-8.4000000000000005E-2</c:v>
                </c:pt>
                <c:pt idx="62">
                  <c:v>0.33700000000000002</c:v>
                </c:pt>
                <c:pt idx="63">
                  <c:v>-0.16300000000000001</c:v>
                </c:pt>
                <c:pt idx="64">
                  <c:v>-3.2000000000000001E-2</c:v>
                </c:pt>
                <c:pt idx="65">
                  <c:v>-8.6999999999999994E-2</c:v>
                </c:pt>
                <c:pt idx="66">
                  <c:v>-3.5000000000000003E-2</c:v>
                </c:pt>
                <c:pt idx="67">
                  <c:v>1.6E-2</c:v>
                </c:pt>
                <c:pt idx="68">
                  <c:v>2.3E-2</c:v>
                </c:pt>
                <c:pt idx="69">
                  <c:v>-9.1999999999999998E-2</c:v>
                </c:pt>
                <c:pt idx="70">
                  <c:v>2.5000000000000001E-2</c:v>
                </c:pt>
                <c:pt idx="71">
                  <c:v>-4.2000000000000003E-2</c:v>
                </c:pt>
                <c:pt idx="72">
                  <c:v>0.254</c:v>
                </c:pt>
                <c:pt idx="73">
                  <c:v>-8.4000000000000005E-2</c:v>
                </c:pt>
                <c:pt idx="74">
                  <c:v>-4.4999999999999998E-2</c:v>
                </c:pt>
                <c:pt idx="75">
                  <c:v>-2.3E-2</c:v>
                </c:pt>
                <c:pt idx="76">
                  <c:v>6.0000000000000001E-3</c:v>
                </c:pt>
                <c:pt idx="77">
                  <c:v>2.1999999999999999E-2</c:v>
                </c:pt>
                <c:pt idx="78">
                  <c:v>-5.3999999999999999E-2</c:v>
                </c:pt>
                <c:pt idx="79">
                  <c:v>-0.06</c:v>
                </c:pt>
                <c:pt idx="80">
                  <c:v>0.11</c:v>
                </c:pt>
                <c:pt idx="81">
                  <c:v>0.191</c:v>
                </c:pt>
                <c:pt idx="82">
                  <c:v>-1.7000000000000001E-2</c:v>
                </c:pt>
                <c:pt idx="83">
                  <c:v>0.06</c:v>
                </c:pt>
                <c:pt idx="84">
                  <c:v>-4.0000000000000001E-3</c:v>
                </c:pt>
                <c:pt idx="85">
                  <c:v>0.123</c:v>
                </c:pt>
                <c:pt idx="86">
                  <c:v>1.6E-2</c:v>
                </c:pt>
                <c:pt idx="87">
                  <c:v>0.14699999999999999</c:v>
                </c:pt>
                <c:pt idx="88">
                  <c:v>6.6000000000000003E-2</c:v>
                </c:pt>
                <c:pt idx="89">
                  <c:v>5.6000000000000001E-2</c:v>
                </c:pt>
                <c:pt idx="90">
                  <c:v>1.7000000000000001E-2</c:v>
                </c:pt>
                <c:pt idx="91">
                  <c:v>4.2000000000000003E-2</c:v>
                </c:pt>
                <c:pt idx="92">
                  <c:v>-1.0999999999999999E-2</c:v>
                </c:pt>
                <c:pt idx="93">
                  <c:v>8.3000000000000004E-2</c:v>
                </c:pt>
                <c:pt idx="94">
                  <c:v>0.105</c:v>
                </c:pt>
                <c:pt idx="95">
                  <c:v>2E-3</c:v>
                </c:pt>
                <c:pt idx="96">
                  <c:v>6.4000000000000001E-2</c:v>
                </c:pt>
                <c:pt idx="97">
                  <c:v>-5.0000000000000001E-3</c:v>
                </c:pt>
                <c:pt idx="98">
                  <c:v>-5.8000000000000003E-2</c:v>
                </c:pt>
                <c:pt idx="99">
                  <c:v>-0.123</c:v>
                </c:pt>
                <c:pt idx="100">
                  <c:v>1.2999999999999999E-2</c:v>
                </c:pt>
                <c:pt idx="101">
                  <c:v>-4.3999999999999997E-2</c:v>
                </c:pt>
                <c:pt idx="102">
                  <c:v>6.6000000000000003E-2</c:v>
                </c:pt>
                <c:pt idx="103">
                  <c:v>3.6999999999999998E-2</c:v>
                </c:pt>
                <c:pt idx="104">
                  <c:v>8.7999999999999995E-2</c:v>
                </c:pt>
                <c:pt idx="105">
                  <c:v>-0.03</c:v>
                </c:pt>
                <c:pt idx="106">
                  <c:v>1.4E-2</c:v>
                </c:pt>
                <c:pt idx="107">
                  <c:v>-1.4999999999999999E-2</c:v>
                </c:pt>
                <c:pt idx="108">
                  <c:v>-2.4E-2</c:v>
                </c:pt>
                <c:pt idx="109">
                  <c:v>-0.106</c:v>
                </c:pt>
                <c:pt idx="110">
                  <c:v>7.0000000000000001E-3</c:v>
                </c:pt>
                <c:pt idx="111">
                  <c:v>7.6999999999999999E-2</c:v>
                </c:pt>
                <c:pt idx="112">
                  <c:v>-1.4999999999999999E-2</c:v>
                </c:pt>
                <c:pt idx="113">
                  <c:v>1E-3</c:v>
                </c:pt>
                <c:pt idx="114">
                  <c:v>-5.0000000000000001E-3</c:v>
                </c:pt>
                <c:pt idx="115">
                  <c:v>-4.9000000000000002E-2</c:v>
                </c:pt>
                <c:pt idx="116">
                  <c:v>-8.8999999999999996E-2</c:v>
                </c:pt>
                <c:pt idx="117">
                  <c:v>-8.7999999999999995E-2</c:v>
                </c:pt>
                <c:pt idx="118">
                  <c:v>-1.9E-2</c:v>
                </c:pt>
                <c:pt idx="119">
                  <c:v>0.35499999999999998</c:v>
                </c:pt>
                <c:pt idx="120">
                  <c:v>-2.8000000000000001E-2</c:v>
                </c:pt>
                <c:pt idx="121">
                  <c:v>-2.5000000000000001E-2</c:v>
                </c:pt>
                <c:pt idx="122">
                  <c:v>0.26800000000000002</c:v>
                </c:pt>
                <c:pt idx="123">
                  <c:v>0.14299999999999999</c:v>
                </c:pt>
                <c:pt idx="124">
                  <c:v>0.21199999999999999</c:v>
                </c:pt>
                <c:pt idx="125">
                  <c:v>6.5000000000000002E-2</c:v>
                </c:pt>
                <c:pt idx="126">
                  <c:v>0.16700000000000001</c:v>
                </c:pt>
                <c:pt idx="127">
                  <c:v>4.2999999999999997E-2</c:v>
                </c:pt>
                <c:pt idx="128">
                  <c:v>9.1999999999999998E-2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B2-455E-AE4D-E1D2F2B5683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('AMP5-2'!$AI$4,'AMP5-2'!$AI$4)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B2-455E-AE4D-E1D2F2B5683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('AMP5-2'!$C$1,'AMP5-2'!$C$2)</c:f>
              <c:numCache>
                <c:formatCode>m/d/yy\ h:mm;@</c:formatCode>
                <c:ptCount val="2"/>
                <c:pt idx="0">
                  <c:v>43698.523831018516</c:v>
                </c:pt>
                <c:pt idx="1">
                  <c:v>43711.759733796294</c:v>
                </c:pt>
              </c:numCache>
            </c:numRef>
          </c:xVal>
          <c:yVal>
            <c:numRef>
              <c:f>('AMP5-2'!$AI$5,'AMP5-2'!$AI$5)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B2-455E-AE4D-E1D2F2B56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58648"/>
        <c:axId val="517859040"/>
      </c:scatterChart>
      <c:valAx>
        <c:axId val="517858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9040"/>
        <c:crosses val="autoZero"/>
        <c:crossBetween val="midCat"/>
      </c:valAx>
      <c:valAx>
        <c:axId val="5178590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'AMP5-4'!$F$9:$F$132</c:f>
              <c:numCache>
                <c:formatCode>General</c:formatCode>
                <c:ptCount val="124"/>
                <c:pt idx="0">
                  <c:v>41.628</c:v>
                </c:pt>
                <c:pt idx="2">
                  <c:v>41.624000000000002</c:v>
                </c:pt>
                <c:pt idx="4">
                  <c:v>41.594999999999999</c:v>
                </c:pt>
                <c:pt idx="6">
                  <c:v>41.512999999999998</c:v>
                </c:pt>
                <c:pt idx="8">
                  <c:v>41.521999999999998</c:v>
                </c:pt>
                <c:pt idx="10">
                  <c:v>41.534999999999997</c:v>
                </c:pt>
                <c:pt idx="12">
                  <c:v>41.414999999999999</c:v>
                </c:pt>
                <c:pt idx="14">
                  <c:v>41.616999999999997</c:v>
                </c:pt>
                <c:pt idx="16">
                  <c:v>41.466999999999999</c:v>
                </c:pt>
                <c:pt idx="18">
                  <c:v>41.390999999999998</c:v>
                </c:pt>
                <c:pt idx="20">
                  <c:v>41.247</c:v>
                </c:pt>
                <c:pt idx="22">
                  <c:v>41.54</c:v>
                </c:pt>
                <c:pt idx="24">
                  <c:v>41.697000000000003</c:v>
                </c:pt>
                <c:pt idx="26">
                  <c:v>41.671999999999997</c:v>
                </c:pt>
                <c:pt idx="28">
                  <c:v>41.683999999999997</c:v>
                </c:pt>
                <c:pt idx="30">
                  <c:v>41.426000000000002</c:v>
                </c:pt>
                <c:pt idx="32">
                  <c:v>41.228000000000002</c:v>
                </c:pt>
                <c:pt idx="34">
                  <c:v>40.832999999999998</c:v>
                </c:pt>
                <c:pt idx="36">
                  <c:v>41.356999999999999</c:v>
                </c:pt>
                <c:pt idx="38">
                  <c:v>42.036999999999999</c:v>
                </c:pt>
                <c:pt idx="40">
                  <c:v>41.491999999999997</c:v>
                </c:pt>
                <c:pt idx="42">
                  <c:v>41.548000000000002</c:v>
                </c:pt>
                <c:pt idx="44">
                  <c:v>41.680999999999997</c:v>
                </c:pt>
                <c:pt idx="46">
                  <c:v>41.719000000000001</c:v>
                </c:pt>
                <c:pt idx="48">
                  <c:v>41.72</c:v>
                </c:pt>
                <c:pt idx="50">
                  <c:v>41.652999999999999</c:v>
                </c:pt>
                <c:pt idx="52">
                  <c:v>41.606000000000002</c:v>
                </c:pt>
                <c:pt idx="54">
                  <c:v>41.643000000000001</c:v>
                </c:pt>
                <c:pt idx="56">
                  <c:v>41.677</c:v>
                </c:pt>
                <c:pt idx="58">
                  <c:v>41.704999999999998</c:v>
                </c:pt>
                <c:pt idx="60">
                  <c:v>41.45</c:v>
                </c:pt>
                <c:pt idx="62">
                  <c:v>41.576999999999998</c:v>
                </c:pt>
                <c:pt idx="64">
                  <c:v>41.631</c:v>
                </c:pt>
                <c:pt idx="66">
                  <c:v>41.643000000000001</c:v>
                </c:pt>
                <c:pt idx="68">
                  <c:v>41.584000000000003</c:v>
                </c:pt>
                <c:pt idx="70">
                  <c:v>41.625</c:v>
                </c:pt>
                <c:pt idx="72">
                  <c:v>41.442</c:v>
                </c:pt>
                <c:pt idx="74">
                  <c:v>41.720999999999997</c:v>
                </c:pt>
                <c:pt idx="77">
                  <c:v>41.938000000000002</c:v>
                </c:pt>
                <c:pt idx="78">
                  <c:v>41.726999999999997</c:v>
                </c:pt>
                <c:pt idx="80">
                  <c:v>41.781999999999996</c:v>
                </c:pt>
                <c:pt idx="82">
                  <c:v>41.527999999999999</c:v>
                </c:pt>
                <c:pt idx="84">
                  <c:v>41.5</c:v>
                </c:pt>
                <c:pt idx="86">
                  <c:v>41.555999999999997</c:v>
                </c:pt>
                <c:pt idx="88">
                  <c:v>41.627000000000002</c:v>
                </c:pt>
                <c:pt idx="90">
                  <c:v>41.567</c:v>
                </c:pt>
                <c:pt idx="92">
                  <c:v>41.393000000000001</c:v>
                </c:pt>
                <c:pt idx="94">
                  <c:v>41.56</c:v>
                </c:pt>
                <c:pt idx="96">
                  <c:v>41.472999999999999</c:v>
                </c:pt>
                <c:pt idx="98">
                  <c:v>41.384999999999998</c:v>
                </c:pt>
                <c:pt idx="100">
                  <c:v>41.564999999999998</c:v>
                </c:pt>
                <c:pt idx="102">
                  <c:v>41.576000000000001</c:v>
                </c:pt>
                <c:pt idx="104">
                  <c:v>41.451999999999998</c:v>
                </c:pt>
                <c:pt idx="106">
                  <c:v>41.564999999999998</c:v>
                </c:pt>
                <c:pt idx="108">
                  <c:v>41.38</c:v>
                </c:pt>
                <c:pt idx="110">
                  <c:v>41.459000000000003</c:v>
                </c:pt>
                <c:pt idx="112">
                  <c:v>41.087000000000003</c:v>
                </c:pt>
                <c:pt idx="114">
                  <c:v>41.64</c:v>
                </c:pt>
                <c:pt idx="116">
                  <c:v>41.506999999999998</c:v>
                </c:pt>
                <c:pt idx="118">
                  <c:v>41.524999999999999</c:v>
                </c:pt>
                <c:pt idx="120">
                  <c:v>41.584000000000003</c:v>
                </c:pt>
                <c:pt idx="122">
                  <c:v>41.442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D-4884-9E04-0ABE880740CD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C1D-4884-9E04-0ABE880740CD}"/>
              </c:ext>
            </c:extLst>
          </c:dPt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('AMP5-4'!$F$4,'AMP5-4'!$F$4)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1D-4884-9E04-0ABE880740CD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1D-4884-9E04-0ABE880740CD}"/>
              </c:ext>
            </c:extLst>
          </c:dPt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('AMP5-4'!$F$5,'AMP5-4'!$F$5)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D-4884-9E04-0ABE8807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0608"/>
        <c:axId val="517861000"/>
      </c:scatterChart>
      <c:valAx>
        <c:axId val="51786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1000"/>
        <c:crosses val="autoZero"/>
        <c:crossBetween val="midCat"/>
      </c:valAx>
      <c:valAx>
        <c:axId val="517861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'AMP5-4'!$G$9:$G$132</c:f>
              <c:numCache>
                <c:formatCode>General</c:formatCode>
                <c:ptCount val="124"/>
                <c:pt idx="0">
                  <c:v>41.622</c:v>
                </c:pt>
                <c:pt idx="2">
                  <c:v>41.512999999999998</c:v>
                </c:pt>
                <c:pt idx="4">
                  <c:v>41.557000000000002</c:v>
                </c:pt>
                <c:pt idx="6">
                  <c:v>41.412999999999997</c:v>
                </c:pt>
                <c:pt idx="8">
                  <c:v>41.625999999999998</c:v>
                </c:pt>
                <c:pt idx="10">
                  <c:v>41.438000000000002</c:v>
                </c:pt>
                <c:pt idx="12">
                  <c:v>41.365000000000002</c:v>
                </c:pt>
                <c:pt idx="14">
                  <c:v>41.582000000000001</c:v>
                </c:pt>
                <c:pt idx="16">
                  <c:v>41.487000000000002</c:v>
                </c:pt>
                <c:pt idx="18">
                  <c:v>41.247</c:v>
                </c:pt>
                <c:pt idx="20">
                  <c:v>41.177</c:v>
                </c:pt>
                <c:pt idx="22">
                  <c:v>41.597000000000001</c:v>
                </c:pt>
                <c:pt idx="24">
                  <c:v>41.744999999999997</c:v>
                </c:pt>
                <c:pt idx="26">
                  <c:v>41.801000000000002</c:v>
                </c:pt>
                <c:pt idx="28">
                  <c:v>41.854999999999997</c:v>
                </c:pt>
                <c:pt idx="30">
                  <c:v>41.58</c:v>
                </c:pt>
                <c:pt idx="32">
                  <c:v>41.264000000000003</c:v>
                </c:pt>
                <c:pt idx="34">
                  <c:v>40.981999999999999</c:v>
                </c:pt>
                <c:pt idx="36">
                  <c:v>41.49</c:v>
                </c:pt>
                <c:pt idx="38">
                  <c:v>41.838999999999999</c:v>
                </c:pt>
                <c:pt idx="40">
                  <c:v>41.494</c:v>
                </c:pt>
                <c:pt idx="42">
                  <c:v>41.500999999999998</c:v>
                </c:pt>
                <c:pt idx="44">
                  <c:v>41.643999999999998</c:v>
                </c:pt>
                <c:pt idx="46">
                  <c:v>41.670999999999999</c:v>
                </c:pt>
                <c:pt idx="48">
                  <c:v>41.69</c:v>
                </c:pt>
                <c:pt idx="50">
                  <c:v>41.677999999999997</c:v>
                </c:pt>
                <c:pt idx="52">
                  <c:v>41.658999999999999</c:v>
                </c:pt>
                <c:pt idx="54">
                  <c:v>41.716999999999999</c:v>
                </c:pt>
                <c:pt idx="56">
                  <c:v>41.798999999999999</c:v>
                </c:pt>
                <c:pt idx="58">
                  <c:v>41.779000000000003</c:v>
                </c:pt>
                <c:pt idx="60">
                  <c:v>41.606000000000002</c:v>
                </c:pt>
                <c:pt idx="62">
                  <c:v>41.774999999999999</c:v>
                </c:pt>
                <c:pt idx="64">
                  <c:v>41.756999999999998</c:v>
                </c:pt>
                <c:pt idx="66">
                  <c:v>41.796999999999997</c:v>
                </c:pt>
                <c:pt idx="68">
                  <c:v>41.767000000000003</c:v>
                </c:pt>
                <c:pt idx="70">
                  <c:v>41.655000000000001</c:v>
                </c:pt>
                <c:pt idx="72">
                  <c:v>41.566000000000003</c:v>
                </c:pt>
                <c:pt idx="74">
                  <c:v>41.720999999999997</c:v>
                </c:pt>
                <c:pt idx="77">
                  <c:v>41.83</c:v>
                </c:pt>
                <c:pt idx="78">
                  <c:v>41.652999999999999</c:v>
                </c:pt>
                <c:pt idx="80">
                  <c:v>41.718000000000004</c:v>
                </c:pt>
                <c:pt idx="82">
                  <c:v>41.473999999999997</c:v>
                </c:pt>
                <c:pt idx="84">
                  <c:v>41.488</c:v>
                </c:pt>
                <c:pt idx="86">
                  <c:v>41.616999999999997</c:v>
                </c:pt>
                <c:pt idx="88">
                  <c:v>41.536999999999999</c:v>
                </c:pt>
                <c:pt idx="90">
                  <c:v>41.552999999999997</c:v>
                </c:pt>
                <c:pt idx="92">
                  <c:v>41.502000000000002</c:v>
                </c:pt>
                <c:pt idx="94">
                  <c:v>41.588000000000001</c:v>
                </c:pt>
                <c:pt idx="96">
                  <c:v>41.557000000000002</c:v>
                </c:pt>
                <c:pt idx="98">
                  <c:v>41.427</c:v>
                </c:pt>
                <c:pt idx="100">
                  <c:v>41.655000000000001</c:v>
                </c:pt>
                <c:pt idx="102">
                  <c:v>41.546999999999997</c:v>
                </c:pt>
                <c:pt idx="104">
                  <c:v>41.613999999999997</c:v>
                </c:pt>
                <c:pt idx="106">
                  <c:v>41.558</c:v>
                </c:pt>
                <c:pt idx="108">
                  <c:v>41.417999999999999</c:v>
                </c:pt>
                <c:pt idx="110">
                  <c:v>41.677</c:v>
                </c:pt>
                <c:pt idx="112">
                  <c:v>41.252000000000002</c:v>
                </c:pt>
                <c:pt idx="114">
                  <c:v>41.7</c:v>
                </c:pt>
                <c:pt idx="116">
                  <c:v>41.277000000000001</c:v>
                </c:pt>
                <c:pt idx="118">
                  <c:v>41.594999999999999</c:v>
                </c:pt>
                <c:pt idx="120">
                  <c:v>41.564999999999998</c:v>
                </c:pt>
                <c:pt idx="122">
                  <c:v>41.512999999999998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9-4C5E-9300-2CAABA6727F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('AMP5-4'!$G$4,'AMP5-4'!$G$4)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F9-4C5E-9300-2CAABA6727F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('AMP5-4'!$G$5,'AMP5-4'!$G$5)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F9-4C5E-9300-2CAABA672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1784"/>
        <c:axId val="517862176"/>
      </c:scatterChart>
      <c:valAx>
        <c:axId val="517861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2176"/>
        <c:crosses val="autoZero"/>
        <c:crossBetween val="midCat"/>
      </c:valAx>
      <c:valAx>
        <c:axId val="517862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'AMP5-4'!$H$9:$H$132</c:f>
              <c:numCache>
                <c:formatCode>General</c:formatCode>
                <c:ptCount val="124"/>
                <c:pt idx="0">
                  <c:v>155.74299999999999</c:v>
                </c:pt>
                <c:pt idx="1">
                  <c:v>155.334</c:v>
                </c:pt>
                <c:pt idx="2">
                  <c:v>155.71100000000001</c:v>
                </c:pt>
                <c:pt idx="3">
                  <c:v>155.446</c:v>
                </c:pt>
                <c:pt idx="4">
                  <c:v>155.78</c:v>
                </c:pt>
                <c:pt idx="5">
                  <c:v>155.41800000000001</c:v>
                </c:pt>
                <c:pt idx="6">
                  <c:v>155.77600000000001</c:v>
                </c:pt>
                <c:pt idx="7">
                  <c:v>155.38399999999999</c:v>
                </c:pt>
                <c:pt idx="8">
                  <c:v>155.81200000000001</c:v>
                </c:pt>
                <c:pt idx="9">
                  <c:v>155.43</c:v>
                </c:pt>
                <c:pt idx="10">
                  <c:v>155.774</c:v>
                </c:pt>
                <c:pt idx="11">
                  <c:v>155.34299999999999</c:v>
                </c:pt>
                <c:pt idx="12">
                  <c:v>155.774</c:v>
                </c:pt>
                <c:pt idx="13">
                  <c:v>155.393</c:v>
                </c:pt>
                <c:pt idx="14">
                  <c:v>155.78899999999999</c:v>
                </c:pt>
                <c:pt idx="15">
                  <c:v>155.40299999999999</c:v>
                </c:pt>
                <c:pt idx="16">
                  <c:v>155.88300000000001</c:v>
                </c:pt>
                <c:pt idx="17">
                  <c:v>155.422</c:v>
                </c:pt>
                <c:pt idx="18">
                  <c:v>156.01900000000001</c:v>
                </c:pt>
                <c:pt idx="19">
                  <c:v>155.494</c:v>
                </c:pt>
                <c:pt idx="20">
                  <c:v>155.739</c:v>
                </c:pt>
                <c:pt idx="21">
                  <c:v>155.292</c:v>
                </c:pt>
                <c:pt idx="22">
                  <c:v>155.785</c:v>
                </c:pt>
                <c:pt idx="23">
                  <c:v>155.33600000000001</c:v>
                </c:pt>
                <c:pt idx="24">
                  <c:v>155.82499999999999</c:v>
                </c:pt>
                <c:pt idx="25">
                  <c:v>155.38399999999999</c:v>
                </c:pt>
                <c:pt idx="26">
                  <c:v>155.79499999999999</c:v>
                </c:pt>
                <c:pt idx="27">
                  <c:v>155.416</c:v>
                </c:pt>
                <c:pt idx="28">
                  <c:v>155.852</c:v>
                </c:pt>
                <c:pt idx="29">
                  <c:v>155.51300000000001</c:v>
                </c:pt>
                <c:pt idx="30">
                  <c:v>156.11500000000001</c:v>
                </c:pt>
                <c:pt idx="31">
                  <c:v>155.68899999999999</c:v>
                </c:pt>
                <c:pt idx="32">
                  <c:v>156.239</c:v>
                </c:pt>
                <c:pt idx="33">
                  <c:v>155.70699999999999</c:v>
                </c:pt>
                <c:pt idx="34">
                  <c:v>156.441</c:v>
                </c:pt>
                <c:pt idx="35">
                  <c:v>156.32</c:v>
                </c:pt>
                <c:pt idx="36">
                  <c:v>155.69200000000001</c:v>
                </c:pt>
                <c:pt idx="37">
                  <c:v>155.58000000000001</c:v>
                </c:pt>
                <c:pt idx="38">
                  <c:v>155.733</c:v>
                </c:pt>
                <c:pt idx="39">
                  <c:v>155.46299999999999</c:v>
                </c:pt>
                <c:pt idx="40">
                  <c:v>155.82300000000001</c:v>
                </c:pt>
                <c:pt idx="41">
                  <c:v>155.59399999999999</c:v>
                </c:pt>
                <c:pt idx="42">
                  <c:v>155.78700000000001</c:v>
                </c:pt>
                <c:pt idx="43">
                  <c:v>155.47300000000001</c:v>
                </c:pt>
                <c:pt idx="44">
                  <c:v>155.798</c:v>
                </c:pt>
                <c:pt idx="45">
                  <c:v>155.53800000000001</c:v>
                </c:pt>
                <c:pt idx="46">
                  <c:v>155.733</c:v>
                </c:pt>
                <c:pt idx="47">
                  <c:v>155.47900000000001</c:v>
                </c:pt>
                <c:pt idx="48">
                  <c:v>155.77000000000001</c:v>
                </c:pt>
                <c:pt idx="49">
                  <c:v>155.434</c:v>
                </c:pt>
                <c:pt idx="50">
                  <c:v>155.78299999999999</c:v>
                </c:pt>
                <c:pt idx="51">
                  <c:v>155.518</c:v>
                </c:pt>
                <c:pt idx="52">
                  <c:v>155.851</c:v>
                </c:pt>
                <c:pt idx="53">
                  <c:v>155.548</c:v>
                </c:pt>
                <c:pt idx="54">
                  <c:v>155.822</c:v>
                </c:pt>
                <c:pt idx="55">
                  <c:v>155.595</c:v>
                </c:pt>
                <c:pt idx="56">
                  <c:v>155.82300000000001</c:v>
                </c:pt>
                <c:pt idx="57">
                  <c:v>155.55699999999999</c:v>
                </c:pt>
                <c:pt idx="58">
                  <c:v>155.81399999999999</c:v>
                </c:pt>
                <c:pt idx="59">
                  <c:v>155.52099999999999</c:v>
                </c:pt>
                <c:pt idx="60">
                  <c:v>155.94999999999999</c:v>
                </c:pt>
                <c:pt idx="61">
                  <c:v>155.70599999999999</c:v>
                </c:pt>
                <c:pt idx="62">
                  <c:v>155.76499999999999</c:v>
                </c:pt>
                <c:pt idx="63">
                  <c:v>155.51</c:v>
                </c:pt>
                <c:pt idx="64">
                  <c:v>155.78700000000001</c:v>
                </c:pt>
                <c:pt idx="65">
                  <c:v>155.51</c:v>
                </c:pt>
                <c:pt idx="66">
                  <c:v>155.85</c:v>
                </c:pt>
                <c:pt idx="67">
                  <c:v>155.55699999999999</c:v>
                </c:pt>
                <c:pt idx="68">
                  <c:v>155.86500000000001</c:v>
                </c:pt>
                <c:pt idx="69">
                  <c:v>155.60300000000001</c:v>
                </c:pt>
                <c:pt idx="70">
                  <c:v>155.852</c:v>
                </c:pt>
                <c:pt idx="71">
                  <c:v>155.59</c:v>
                </c:pt>
                <c:pt idx="72">
                  <c:v>155.98500000000001</c:v>
                </c:pt>
                <c:pt idx="73">
                  <c:v>155.756</c:v>
                </c:pt>
                <c:pt idx="74">
                  <c:v>155.773</c:v>
                </c:pt>
                <c:pt idx="75">
                  <c:v>155.36600000000001</c:v>
                </c:pt>
                <c:pt idx="76">
                  <c:v>155.31399999999999</c:v>
                </c:pt>
                <c:pt idx="77">
                  <c:v>155.68799999999999</c:v>
                </c:pt>
                <c:pt idx="78">
                  <c:v>155.703</c:v>
                </c:pt>
                <c:pt idx="79">
                  <c:v>155.64699999999999</c:v>
                </c:pt>
                <c:pt idx="80">
                  <c:v>155.65100000000001</c:v>
                </c:pt>
                <c:pt idx="81">
                  <c:v>155.58199999999999</c:v>
                </c:pt>
                <c:pt idx="82">
                  <c:v>155.80199999999999</c:v>
                </c:pt>
                <c:pt idx="83">
                  <c:v>155.77799999999999</c:v>
                </c:pt>
                <c:pt idx="84">
                  <c:v>155.71100000000001</c:v>
                </c:pt>
                <c:pt idx="85">
                  <c:v>155.66499999999999</c:v>
                </c:pt>
                <c:pt idx="86">
                  <c:v>155.74700000000001</c:v>
                </c:pt>
                <c:pt idx="87">
                  <c:v>155.67699999999999</c:v>
                </c:pt>
                <c:pt idx="88">
                  <c:v>155.71</c:v>
                </c:pt>
                <c:pt idx="89">
                  <c:v>155.673</c:v>
                </c:pt>
                <c:pt idx="90">
                  <c:v>155.786</c:v>
                </c:pt>
                <c:pt idx="91">
                  <c:v>155.72900000000001</c:v>
                </c:pt>
                <c:pt idx="92">
                  <c:v>155.881</c:v>
                </c:pt>
                <c:pt idx="93">
                  <c:v>155.91800000000001</c:v>
                </c:pt>
                <c:pt idx="94">
                  <c:v>155.82599999999999</c:v>
                </c:pt>
                <c:pt idx="95">
                  <c:v>155.792</c:v>
                </c:pt>
                <c:pt idx="96">
                  <c:v>155.81399999999999</c:v>
                </c:pt>
                <c:pt idx="97">
                  <c:v>155.821</c:v>
                </c:pt>
                <c:pt idx="98">
                  <c:v>155.827</c:v>
                </c:pt>
                <c:pt idx="99">
                  <c:v>155.82900000000001</c:v>
                </c:pt>
                <c:pt idx="100">
                  <c:v>155.76900000000001</c:v>
                </c:pt>
                <c:pt idx="101">
                  <c:v>155.714</c:v>
                </c:pt>
                <c:pt idx="102">
                  <c:v>155.82</c:v>
                </c:pt>
                <c:pt idx="103">
                  <c:v>155.71199999999999</c:v>
                </c:pt>
                <c:pt idx="104">
                  <c:v>155.934</c:v>
                </c:pt>
                <c:pt idx="105">
                  <c:v>155.97</c:v>
                </c:pt>
                <c:pt idx="106">
                  <c:v>155.881</c:v>
                </c:pt>
                <c:pt idx="107">
                  <c:v>155.839</c:v>
                </c:pt>
                <c:pt idx="108">
                  <c:v>155.833</c:v>
                </c:pt>
                <c:pt idx="109">
                  <c:v>155.85599999999999</c:v>
                </c:pt>
                <c:pt idx="110">
                  <c:v>155.84399999999999</c:v>
                </c:pt>
                <c:pt idx="111">
                  <c:v>155.87100000000001</c:v>
                </c:pt>
                <c:pt idx="112">
                  <c:v>155.93899999999999</c:v>
                </c:pt>
                <c:pt idx="113">
                  <c:v>155.892</c:v>
                </c:pt>
                <c:pt idx="114">
                  <c:v>155.65600000000001</c:v>
                </c:pt>
                <c:pt idx="115">
                  <c:v>155.78100000000001</c:v>
                </c:pt>
                <c:pt idx="116">
                  <c:v>155.65199999999999</c:v>
                </c:pt>
                <c:pt idx="117">
                  <c:v>155.75800000000001</c:v>
                </c:pt>
                <c:pt idx="118">
                  <c:v>155.661</c:v>
                </c:pt>
                <c:pt idx="119">
                  <c:v>155.785</c:v>
                </c:pt>
                <c:pt idx="120">
                  <c:v>155.68799999999999</c:v>
                </c:pt>
                <c:pt idx="121">
                  <c:v>155.483</c:v>
                </c:pt>
                <c:pt idx="122">
                  <c:v>155.709</c:v>
                </c:pt>
                <c:pt idx="123">
                  <c:v>155.893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5E-4656-8797-F7883F6110D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('AMP5-4'!$H$4,'AMP5-4'!$H$4)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5E-4656-8797-F7883F6110D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('AMP5-4'!$H$5,'AMP5-4'!$H$5)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5E-4656-8797-F7883F611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2960"/>
        <c:axId val="517863352"/>
      </c:scatterChart>
      <c:valAx>
        <c:axId val="51786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3352"/>
        <c:crosses val="autoZero"/>
        <c:crossBetween val="midCat"/>
      </c:valAx>
      <c:valAx>
        <c:axId val="5178633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'AMP5-4'!$I$9:$I$132</c:f>
              <c:numCache>
                <c:formatCode>General</c:formatCode>
                <c:ptCount val="124"/>
                <c:pt idx="0">
                  <c:v>155.71700000000001</c:v>
                </c:pt>
                <c:pt idx="1">
                  <c:v>155.45400000000001</c:v>
                </c:pt>
                <c:pt idx="2">
                  <c:v>155.75700000000001</c:v>
                </c:pt>
                <c:pt idx="3">
                  <c:v>155.54499999999999</c:v>
                </c:pt>
                <c:pt idx="4">
                  <c:v>155.761</c:v>
                </c:pt>
                <c:pt idx="5">
                  <c:v>155.49799999999999</c:v>
                </c:pt>
                <c:pt idx="6">
                  <c:v>155.77600000000001</c:v>
                </c:pt>
                <c:pt idx="7">
                  <c:v>155.501</c:v>
                </c:pt>
                <c:pt idx="8">
                  <c:v>155.80000000000001</c:v>
                </c:pt>
                <c:pt idx="9">
                  <c:v>155.50399999999999</c:v>
                </c:pt>
                <c:pt idx="10">
                  <c:v>155.749</c:v>
                </c:pt>
                <c:pt idx="11">
                  <c:v>155.46199999999999</c:v>
                </c:pt>
                <c:pt idx="12">
                  <c:v>155.78100000000001</c:v>
                </c:pt>
                <c:pt idx="13">
                  <c:v>155.49700000000001</c:v>
                </c:pt>
                <c:pt idx="14">
                  <c:v>155.75899999999999</c:v>
                </c:pt>
                <c:pt idx="15">
                  <c:v>155.52699999999999</c:v>
                </c:pt>
                <c:pt idx="16">
                  <c:v>155.846</c:v>
                </c:pt>
                <c:pt idx="17">
                  <c:v>155.542</c:v>
                </c:pt>
                <c:pt idx="18">
                  <c:v>156.035</c:v>
                </c:pt>
                <c:pt idx="19">
                  <c:v>155.56299999999999</c:v>
                </c:pt>
                <c:pt idx="20">
                  <c:v>155.79300000000001</c:v>
                </c:pt>
                <c:pt idx="21">
                  <c:v>155.37700000000001</c:v>
                </c:pt>
                <c:pt idx="22">
                  <c:v>155.846</c:v>
                </c:pt>
                <c:pt idx="23">
                  <c:v>155.404</c:v>
                </c:pt>
                <c:pt idx="24">
                  <c:v>155.83199999999999</c:v>
                </c:pt>
                <c:pt idx="25">
                  <c:v>155.40700000000001</c:v>
                </c:pt>
                <c:pt idx="26">
                  <c:v>155.84700000000001</c:v>
                </c:pt>
                <c:pt idx="27">
                  <c:v>155.38300000000001</c:v>
                </c:pt>
                <c:pt idx="28">
                  <c:v>155.88999999999999</c:v>
                </c:pt>
                <c:pt idx="29">
                  <c:v>155.51400000000001</c:v>
                </c:pt>
                <c:pt idx="30">
                  <c:v>156.11600000000001</c:v>
                </c:pt>
                <c:pt idx="31">
                  <c:v>155.75</c:v>
                </c:pt>
                <c:pt idx="32">
                  <c:v>156.29300000000001</c:v>
                </c:pt>
                <c:pt idx="33">
                  <c:v>155.74100000000001</c:v>
                </c:pt>
                <c:pt idx="34">
                  <c:v>156.53200000000001</c:v>
                </c:pt>
                <c:pt idx="35">
                  <c:v>156.13300000000001</c:v>
                </c:pt>
                <c:pt idx="36">
                  <c:v>155.71199999999999</c:v>
                </c:pt>
                <c:pt idx="37">
                  <c:v>155.51400000000001</c:v>
                </c:pt>
                <c:pt idx="38">
                  <c:v>155.75</c:v>
                </c:pt>
                <c:pt idx="39">
                  <c:v>155.46899999999999</c:v>
                </c:pt>
                <c:pt idx="40">
                  <c:v>155.88900000000001</c:v>
                </c:pt>
                <c:pt idx="41">
                  <c:v>155.505</c:v>
                </c:pt>
                <c:pt idx="42">
                  <c:v>155.80199999999999</c:v>
                </c:pt>
                <c:pt idx="43">
                  <c:v>155.49700000000001</c:v>
                </c:pt>
                <c:pt idx="44">
                  <c:v>155.82499999999999</c:v>
                </c:pt>
                <c:pt idx="45">
                  <c:v>155.511</c:v>
                </c:pt>
                <c:pt idx="46">
                  <c:v>155.804</c:v>
                </c:pt>
                <c:pt idx="47">
                  <c:v>155.483</c:v>
                </c:pt>
                <c:pt idx="48">
                  <c:v>155.80799999999999</c:v>
                </c:pt>
                <c:pt idx="49">
                  <c:v>155.459</c:v>
                </c:pt>
                <c:pt idx="50">
                  <c:v>155.82</c:v>
                </c:pt>
                <c:pt idx="51">
                  <c:v>155.50299999999999</c:v>
                </c:pt>
                <c:pt idx="52">
                  <c:v>155.86199999999999</c:v>
                </c:pt>
                <c:pt idx="53">
                  <c:v>155.54</c:v>
                </c:pt>
                <c:pt idx="54">
                  <c:v>155.87200000000001</c:v>
                </c:pt>
                <c:pt idx="55">
                  <c:v>155.52500000000001</c:v>
                </c:pt>
                <c:pt idx="56">
                  <c:v>155.90100000000001</c:v>
                </c:pt>
                <c:pt idx="57">
                  <c:v>155.53100000000001</c:v>
                </c:pt>
                <c:pt idx="58">
                  <c:v>155.91499999999999</c:v>
                </c:pt>
                <c:pt idx="59">
                  <c:v>155.49</c:v>
                </c:pt>
                <c:pt idx="60">
                  <c:v>155.97800000000001</c:v>
                </c:pt>
                <c:pt idx="61">
                  <c:v>155.68</c:v>
                </c:pt>
                <c:pt idx="62">
                  <c:v>155.88800000000001</c:v>
                </c:pt>
                <c:pt idx="63">
                  <c:v>155.477</c:v>
                </c:pt>
                <c:pt idx="64">
                  <c:v>155.91399999999999</c:v>
                </c:pt>
                <c:pt idx="65">
                  <c:v>155.464</c:v>
                </c:pt>
                <c:pt idx="66">
                  <c:v>155.96</c:v>
                </c:pt>
                <c:pt idx="67">
                  <c:v>155.494</c:v>
                </c:pt>
                <c:pt idx="68">
                  <c:v>156.017</c:v>
                </c:pt>
                <c:pt idx="69">
                  <c:v>155.571</c:v>
                </c:pt>
                <c:pt idx="70">
                  <c:v>155.983</c:v>
                </c:pt>
                <c:pt idx="71">
                  <c:v>155.601</c:v>
                </c:pt>
                <c:pt idx="72">
                  <c:v>156.10599999999999</c:v>
                </c:pt>
                <c:pt idx="73">
                  <c:v>155.69300000000001</c:v>
                </c:pt>
                <c:pt idx="74">
                  <c:v>155.77099999999999</c:v>
                </c:pt>
                <c:pt idx="75">
                  <c:v>155.38300000000001</c:v>
                </c:pt>
                <c:pt idx="76">
                  <c:v>155.328</c:v>
                </c:pt>
                <c:pt idx="77">
                  <c:v>155.72300000000001</c:v>
                </c:pt>
                <c:pt idx="78">
                  <c:v>155.709</c:v>
                </c:pt>
                <c:pt idx="79">
                  <c:v>155.65</c:v>
                </c:pt>
                <c:pt idx="80">
                  <c:v>155.65299999999999</c:v>
                </c:pt>
                <c:pt idx="81">
                  <c:v>155.61099999999999</c:v>
                </c:pt>
                <c:pt idx="82">
                  <c:v>155.77500000000001</c:v>
                </c:pt>
                <c:pt idx="83">
                  <c:v>155.70500000000001</c:v>
                </c:pt>
                <c:pt idx="84">
                  <c:v>155.75399999999999</c:v>
                </c:pt>
                <c:pt idx="85">
                  <c:v>155.65799999999999</c:v>
                </c:pt>
                <c:pt idx="86">
                  <c:v>155.77500000000001</c:v>
                </c:pt>
                <c:pt idx="87">
                  <c:v>155.69399999999999</c:v>
                </c:pt>
                <c:pt idx="88">
                  <c:v>155.815</c:v>
                </c:pt>
                <c:pt idx="89">
                  <c:v>155.67599999999999</c:v>
                </c:pt>
                <c:pt idx="90">
                  <c:v>155.89699999999999</c:v>
                </c:pt>
                <c:pt idx="91">
                  <c:v>155.66900000000001</c:v>
                </c:pt>
                <c:pt idx="92">
                  <c:v>155.91</c:v>
                </c:pt>
                <c:pt idx="93">
                  <c:v>155.881</c:v>
                </c:pt>
                <c:pt idx="94">
                  <c:v>155.886</c:v>
                </c:pt>
                <c:pt idx="95">
                  <c:v>155.77799999999999</c:v>
                </c:pt>
                <c:pt idx="96">
                  <c:v>155.857</c:v>
                </c:pt>
                <c:pt idx="97">
                  <c:v>155.78200000000001</c:v>
                </c:pt>
                <c:pt idx="98">
                  <c:v>155.88999999999999</c:v>
                </c:pt>
                <c:pt idx="99">
                  <c:v>155.804</c:v>
                </c:pt>
                <c:pt idx="100">
                  <c:v>155.875</c:v>
                </c:pt>
                <c:pt idx="101">
                  <c:v>155.703</c:v>
                </c:pt>
                <c:pt idx="102">
                  <c:v>155.91300000000001</c:v>
                </c:pt>
                <c:pt idx="103">
                  <c:v>155.65700000000001</c:v>
                </c:pt>
                <c:pt idx="104">
                  <c:v>155.97</c:v>
                </c:pt>
                <c:pt idx="105">
                  <c:v>155.886</c:v>
                </c:pt>
                <c:pt idx="106">
                  <c:v>155.93899999999999</c:v>
                </c:pt>
                <c:pt idx="107">
                  <c:v>155.857</c:v>
                </c:pt>
                <c:pt idx="108">
                  <c:v>155.92400000000001</c:v>
                </c:pt>
                <c:pt idx="109">
                  <c:v>155.84399999999999</c:v>
                </c:pt>
                <c:pt idx="110">
                  <c:v>156.05000000000001</c:v>
                </c:pt>
                <c:pt idx="111">
                  <c:v>155.77199999999999</c:v>
                </c:pt>
                <c:pt idx="112">
                  <c:v>156.059</c:v>
                </c:pt>
                <c:pt idx="113">
                  <c:v>155.845</c:v>
                </c:pt>
                <c:pt idx="114">
                  <c:v>155.6</c:v>
                </c:pt>
                <c:pt idx="115">
                  <c:v>155.80699999999999</c:v>
                </c:pt>
                <c:pt idx="116">
                  <c:v>155.65</c:v>
                </c:pt>
                <c:pt idx="117">
                  <c:v>155.77500000000001</c:v>
                </c:pt>
                <c:pt idx="118">
                  <c:v>155.63800000000001</c:v>
                </c:pt>
                <c:pt idx="119">
                  <c:v>155.81299999999999</c:v>
                </c:pt>
                <c:pt idx="120">
                  <c:v>155.71799999999999</c:v>
                </c:pt>
                <c:pt idx="121">
                  <c:v>155.47900000000001</c:v>
                </c:pt>
                <c:pt idx="122">
                  <c:v>155.69399999999999</c:v>
                </c:pt>
                <c:pt idx="123">
                  <c:v>155.886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61-4970-AD54-42B23E4ACF2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('AMP5-4'!$I$4,'AMP5-4'!$I$4)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61-4970-AD54-42B23E4ACF2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('AMP5-4'!$I$5,'AMP5-4'!$I$5)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61-4970-AD54-42B23E4AC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4136"/>
        <c:axId val="517864528"/>
      </c:scatterChart>
      <c:valAx>
        <c:axId val="517864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4528"/>
        <c:crosses val="autoZero"/>
        <c:crossBetween val="midCat"/>
      </c:valAx>
      <c:valAx>
        <c:axId val="5178645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4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'AMP5-4'!$J$9:$J$132</c:f>
              <c:numCache>
                <c:formatCode>General</c:formatCode>
                <c:ptCount val="124"/>
                <c:pt idx="1">
                  <c:v>168.69200000000001</c:v>
                </c:pt>
                <c:pt idx="3">
                  <c:v>168.65299999999999</c:v>
                </c:pt>
                <c:pt idx="5">
                  <c:v>168.64599999999999</c:v>
                </c:pt>
                <c:pt idx="7">
                  <c:v>168.59700000000001</c:v>
                </c:pt>
                <c:pt idx="9">
                  <c:v>168.614</c:v>
                </c:pt>
                <c:pt idx="11">
                  <c:v>168.62</c:v>
                </c:pt>
                <c:pt idx="13">
                  <c:v>168.51300000000001</c:v>
                </c:pt>
                <c:pt idx="15">
                  <c:v>168.67599999999999</c:v>
                </c:pt>
                <c:pt idx="17">
                  <c:v>168.69200000000001</c:v>
                </c:pt>
                <c:pt idx="19">
                  <c:v>168.70400000000001</c:v>
                </c:pt>
                <c:pt idx="21">
                  <c:v>168.26300000000001</c:v>
                </c:pt>
                <c:pt idx="23">
                  <c:v>168.58799999999999</c:v>
                </c:pt>
                <c:pt idx="25">
                  <c:v>168.75700000000001</c:v>
                </c:pt>
                <c:pt idx="27">
                  <c:v>168.69300000000001</c:v>
                </c:pt>
                <c:pt idx="29">
                  <c:v>168.74</c:v>
                </c:pt>
                <c:pt idx="31">
                  <c:v>168.876</c:v>
                </c:pt>
                <c:pt idx="33">
                  <c:v>168.935</c:v>
                </c:pt>
                <c:pt idx="35">
                  <c:v>168.98500000000001</c:v>
                </c:pt>
                <c:pt idx="37">
                  <c:v>168.45400000000001</c:v>
                </c:pt>
                <c:pt idx="39">
                  <c:v>169.02199999999999</c:v>
                </c:pt>
                <c:pt idx="41">
                  <c:v>168.625</c:v>
                </c:pt>
                <c:pt idx="43">
                  <c:v>168.61500000000001</c:v>
                </c:pt>
                <c:pt idx="45">
                  <c:v>168.76499999999999</c:v>
                </c:pt>
                <c:pt idx="47">
                  <c:v>168.852</c:v>
                </c:pt>
                <c:pt idx="49">
                  <c:v>168.78899999999999</c:v>
                </c:pt>
                <c:pt idx="51">
                  <c:v>168.77099999999999</c:v>
                </c:pt>
                <c:pt idx="53">
                  <c:v>168.70500000000001</c:v>
                </c:pt>
                <c:pt idx="55">
                  <c:v>168.73699999999999</c:v>
                </c:pt>
                <c:pt idx="57">
                  <c:v>168.75399999999999</c:v>
                </c:pt>
                <c:pt idx="59">
                  <c:v>168.78700000000001</c:v>
                </c:pt>
                <c:pt idx="61">
                  <c:v>168.79400000000001</c:v>
                </c:pt>
                <c:pt idx="63">
                  <c:v>168.62700000000001</c:v>
                </c:pt>
                <c:pt idx="65">
                  <c:v>168.74700000000001</c:v>
                </c:pt>
                <c:pt idx="67">
                  <c:v>168.80799999999999</c:v>
                </c:pt>
                <c:pt idx="69">
                  <c:v>168.74700000000001</c:v>
                </c:pt>
                <c:pt idx="71">
                  <c:v>168.73</c:v>
                </c:pt>
                <c:pt idx="73">
                  <c:v>168.797</c:v>
                </c:pt>
                <c:pt idx="75">
                  <c:v>168.59299999999999</c:v>
                </c:pt>
                <c:pt idx="76">
                  <c:v>168.821</c:v>
                </c:pt>
                <c:pt idx="79">
                  <c:v>168.797</c:v>
                </c:pt>
                <c:pt idx="81">
                  <c:v>168.85300000000001</c:v>
                </c:pt>
                <c:pt idx="83">
                  <c:v>168.69</c:v>
                </c:pt>
                <c:pt idx="85">
                  <c:v>168.589</c:v>
                </c:pt>
                <c:pt idx="87">
                  <c:v>168.73</c:v>
                </c:pt>
                <c:pt idx="89">
                  <c:v>168.72499999999999</c:v>
                </c:pt>
                <c:pt idx="91">
                  <c:v>168.75</c:v>
                </c:pt>
                <c:pt idx="93">
                  <c:v>168.68</c:v>
                </c:pt>
                <c:pt idx="95">
                  <c:v>168.83699999999999</c:v>
                </c:pt>
                <c:pt idx="97">
                  <c:v>168.721</c:v>
                </c:pt>
                <c:pt idx="99">
                  <c:v>168.64099999999999</c:v>
                </c:pt>
                <c:pt idx="101">
                  <c:v>168.714</c:v>
                </c:pt>
                <c:pt idx="103">
                  <c:v>168.73</c:v>
                </c:pt>
                <c:pt idx="105">
                  <c:v>168.84100000000001</c:v>
                </c:pt>
                <c:pt idx="107">
                  <c:v>168.95</c:v>
                </c:pt>
                <c:pt idx="109">
                  <c:v>168.63900000000001</c:v>
                </c:pt>
                <c:pt idx="111">
                  <c:v>168.77</c:v>
                </c:pt>
                <c:pt idx="113">
                  <c:v>168.48</c:v>
                </c:pt>
                <c:pt idx="115">
                  <c:v>168.86</c:v>
                </c:pt>
                <c:pt idx="117">
                  <c:v>168.71299999999999</c:v>
                </c:pt>
                <c:pt idx="119">
                  <c:v>168.79599999999999</c:v>
                </c:pt>
                <c:pt idx="121">
                  <c:v>168.63800000000001</c:v>
                </c:pt>
                <c:pt idx="123">
                  <c:v>168.75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69-4C95-B529-3E80AAB94F5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('AMP5-4'!$J$4,'AMP5-4'!$J$4)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69-4C95-B529-3E80AAB94F5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('AMP5-4'!$J$5,'AMP5-4'!$J$5)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69-4C95-B529-3E80AAB9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5312"/>
        <c:axId val="517865704"/>
      </c:scatterChart>
      <c:valAx>
        <c:axId val="51786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5704"/>
        <c:crosses val="autoZero"/>
        <c:crossBetween val="midCat"/>
      </c:valAx>
      <c:valAx>
        <c:axId val="5178657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'AMP5-4'!$K$9:$K$132</c:f>
              <c:numCache>
                <c:formatCode>General</c:formatCode>
                <c:ptCount val="124"/>
                <c:pt idx="1">
                  <c:v>168.59800000000001</c:v>
                </c:pt>
                <c:pt idx="3">
                  <c:v>168.727</c:v>
                </c:pt>
                <c:pt idx="5">
                  <c:v>168.643</c:v>
                </c:pt>
                <c:pt idx="7">
                  <c:v>168.56800000000001</c:v>
                </c:pt>
                <c:pt idx="9">
                  <c:v>168.74100000000001</c:v>
                </c:pt>
                <c:pt idx="11">
                  <c:v>168.559</c:v>
                </c:pt>
                <c:pt idx="13">
                  <c:v>168.53</c:v>
                </c:pt>
                <c:pt idx="15">
                  <c:v>168.71299999999999</c:v>
                </c:pt>
                <c:pt idx="17">
                  <c:v>168.702</c:v>
                </c:pt>
                <c:pt idx="19">
                  <c:v>168.73599999999999</c:v>
                </c:pt>
                <c:pt idx="21">
                  <c:v>168.268</c:v>
                </c:pt>
                <c:pt idx="23">
                  <c:v>168.61799999999999</c:v>
                </c:pt>
                <c:pt idx="25">
                  <c:v>168.804</c:v>
                </c:pt>
                <c:pt idx="27">
                  <c:v>168.821</c:v>
                </c:pt>
                <c:pt idx="29">
                  <c:v>168.95500000000001</c:v>
                </c:pt>
                <c:pt idx="31">
                  <c:v>169.06700000000001</c:v>
                </c:pt>
                <c:pt idx="33">
                  <c:v>169.041</c:v>
                </c:pt>
                <c:pt idx="35">
                  <c:v>169.137</c:v>
                </c:pt>
                <c:pt idx="37">
                  <c:v>168.654</c:v>
                </c:pt>
                <c:pt idx="39">
                  <c:v>168.80199999999999</c:v>
                </c:pt>
                <c:pt idx="41">
                  <c:v>168.64599999999999</c:v>
                </c:pt>
                <c:pt idx="43">
                  <c:v>168.61099999999999</c:v>
                </c:pt>
                <c:pt idx="45">
                  <c:v>168.81</c:v>
                </c:pt>
                <c:pt idx="47">
                  <c:v>168.83</c:v>
                </c:pt>
                <c:pt idx="49">
                  <c:v>168.87899999999999</c:v>
                </c:pt>
                <c:pt idx="51">
                  <c:v>168.762</c:v>
                </c:pt>
                <c:pt idx="53">
                  <c:v>168.809</c:v>
                </c:pt>
                <c:pt idx="55">
                  <c:v>168.85900000000001</c:v>
                </c:pt>
                <c:pt idx="57">
                  <c:v>169.047</c:v>
                </c:pt>
                <c:pt idx="59">
                  <c:v>168.905</c:v>
                </c:pt>
                <c:pt idx="61">
                  <c:v>168.99799999999999</c:v>
                </c:pt>
                <c:pt idx="63">
                  <c:v>168.952</c:v>
                </c:pt>
                <c:pt idx="65">
                  <c:v>168.958</c:v>
                </c:pt>
                <c:pt idx="67">
                  <c:v>168.96</c:v>
                </c:pt>
                <c:pt idx="69">
                  <c:v>168.97300000000001</c:v>
                </c:pt>
                <c:pt idx="71">
                  <c:v>168.58600000000001</c:v>
                </c:pt>
                <c:pt idx="73">
                  <c:v>168.96100000000001</c:v>
                </c:pt>
                <c:pt idx="75">
                  <c:v>168.739</c:v>
                </c:pt>
                <c:pt idx="76">
                  <c:v>168.78200000000001</c:v>
                </c:pt>
                <c:pt idx="79">
                  <c:v>168.773</c:v>
                </c:pt>
                <c:pt idx="81">
                  <c:v>168.887</c:v>
                </c:pt>
                <c:pt idx="83">
                  <c:v>168.79499999999999</c:v>
                </c:pt>
                <c:pt idx="85">
                  <c:v>168.46100000000001</c:v>
                </c:pt>
                <c:pt idx="87">
                  <c:v>168.73599999999999</c:v>
                </c:pt>
                <c:pt idx="89">
                  <c:v>168.76</c:v>
                </c:pt>
                <c:pt idx="91">
                  <c:v>168.83799999999999</c:v>
                </c:pt>
                <c:pt idx="93">
                  <c:v>168.78800000000001</c:v>
                </c:pt>
                <c:pt idx="95">
                  <c:v>168.96</c:v>
                </c:pt>
                <c:pt idx="97">
                  <c:v>168.82300000000001</c:v>
                </c:pt>
                <c:pt idx="99">
                  <c:v>168.804</c:v>
                </c:pt>
                <c:pt idx="101">
                  <c:v>168.79499999999999</c:v>
                </c:pt>
                <c:pt idx="103">
                  <c:v>168.86199999999999</c:v>
                </c:pt>
                <c:pt idx="105">
                  <c:v>168.98400000000001</c:v>
                </c:pt>
                <c:pt idx="107">
                  <c:v>169.08199999999999</c:v>
                </c:pt>
                <c:pt idx="109">
                  <c:v>168.77699999999999</c:v>
                </c:pt>
                <c:pt idx="111">
                  <c:v>168.92</c:v>
                </c:pt>
                <c:pt idx="113">
                  <c:v>168.60300000000001</c:v>
                </c:pt>
                <c:pt idx="115">
                  <c:v>168.922</c:v>
                </c:pt>
                <c:pt idx="117">
                  <c:v>168.58099999999999</c:v>
                </c:pt>
                <c:pt idx="119">
                  <c:v>168.73</c:v>
                </c:pt>
                <c:pt idx="121">
                  <c:v>168.56800000000001</c:v>
                </c:pt>
                <c:pt idx="123">
                  <c:v>168.61500000000001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D-4B6D-92EB-BD223A4D422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('AMP5-4'!$K$4,'AMP5-4'!$K$4)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1D-4B6D-92EB-BD223A4D422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('AMP5-4'!$K$5,'AMP5-4'!$K$5)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1D-4B6D-92EB-BD223A4D4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6488"/>
        <c:axId val="517866880"/>
      </c:scatterChart>
      <c:valAx>
        <c:axId val="517866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6880"/>
        <c:crosses val="autoZero"/>
        <c:crossBetween val="midCat"/>
      </c:valAx>
      <c:valAx>
        <c:axId val="5178668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6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'AMP5-4'!$L$9:$L$132</c:f>
              <c:numCache>
                <c:formatCode>General</c:formatCode>
                <c:ptCount val="124"/>
                <c:pt idx="0">
                  <c:v>155.88800000000001</c:v>
                </c:pt>
                <c:pt idx="1">
                  <c:v>155.46899999999999</c:v>
                </c:pt>
                <c:pt idx="2">
                  <c:v>155.89500000000001</c:v>
                </c:pt>
                <c:pt idx="3">
                  <c:v>155.524</c:v>
                </c:pt>
                <c:pt idx="4">
                  <c:v>155.94999999999999</c:v>
                </c:pt>
                <c:pt idx="5">
                  <c:v>155.52799999999999</c:v>
                </c:pt>
                <c:pt idx="6">
                  <c:v>155.94</c:v>
                </c:pt>
                <c:pt idx="7">
                  <c:v>155.48400000000001</c:v>
                </c:pt>
                <c:pt idx="8">
                  <c:v>155.95699999999999</c:v>
                </c:pt>
                <c:pt idx="9">
                  <c:v>155.52500000000001</c:v>
                </c:pt>
                <c:pt idx="10">
                  <c:v>155.91900000000001</c:v>
                </c:pt>
                <c:pt idx="11">
                  <c:v>155.47900000000001</c:v>
                </c:pt>
                <c:pt idx="12">
                  <c:v>155.93899999999999</c:v>
                </c:pt>
                <c:pt idx="13">
                  <c:v>155.5</c:v>
                </c:pt>
                <c:pt idx="14">
                  <c:v>155.93100000000001</c:v>
                </c:pt>
                <c:pt idx="15">
                  <c:v>155.52000000000001</c:v>
                </c:pt>
                <c:pt idx="16">
                  <c:v>156.04300000000001</c:v>
                </c:pt>
                <c:pt idx="17">
                  <c:v>155.56899999999999</c:v>
                </c:pt>
                <c:pt idx="18">
                  <c:v>156.13900000000001</c:v>
                </c:pt>
                <c:pt idx="19">
                  <c:v>156.07</c:v>
                </c:pt>
                <c:pt idx="20">
                  <c:v>155.935</c:v>
                </c:pt>
                <c:pt idx="21">
                  <c:v>155.44999999999999</c:v>
                </c:pt>
                <c:pt idx="22">
                  <c:v>155.93700000000001</c:v>
                </c:pt>
                <c:pt idx="23">
                  <c:v>155.48500000000001</c:v>
                </c:pt>
                <c:pt idx="24">
                  <c:v>155.994</c:v>
                </c:pt>
                <c:pt idx="25">
                  <c:v>155.548</c:v>
                </c:pt>
                <c:pt idx="26">
                  <c:v>155.93899999999999</c:v>
                </c:pt>
                <c:pt idx="27">
                  <c:v>155.553</c:v>
                </c:pt>
                <c:pt idx="28">
                  <c:v>156.006</c:v>
                </c:pt>
                <c:pt idx="29">
                  <c:v>155.72800000000001</c:v>
                </c:pt>
                <c:pt idx="30">
                  <c:v>156.285</c:v>
                </c:pt>
                <c:pt idx="31">
                  <c:v>156.042</c:v>
                </c:pt>
                <c:pt idx="32">
                  <c:v>156.41300000000001</c:v>
                </c:pt>
                <c:pt idx="33">
                  <c:v>156.166</c:v>
                </c:pt>
                <c:pt idx="34">
                  <c:v>156.61000000000001</c:v>
                </c:pt>
                <c:pt idx="35">
                  <c:v>156.68299999999999</c:v>
                </c:pt>
                <c:pt idx="36">
                  <c:v>155.76599999999999</c:v>
                </c:pt>
                <c:pt idx="37">
                  <c:v>155.36600000000001</c:v>
                </c:pt>
                <c:pt idx="38">
                  <c:v>155.809</c:v>
                </c:pt>
                <c:pt idx="39">
                  <c:v>155.46899999999999</c:v>
                </c:pt>
                <c:pt idx="40">
                  <c:v>155.90799999999999</c:v>
                </c:pt>
                <c:pt idx="41">
                  <c:v>155.58799999999999</c:v>
                </c:pt>
                <c:pt idx="42">
                  <c:v>155.83099999999999</c:v>
                </c:pt>
                <c:pt idx="43">
                  <c:v>155.505</c:v>
                </c:pt>
                <c:pt idx="44">
                  <c:v>155.86500000000001</c:v>
                </c:pt>
                <c:pt idx="45">
                  <c:v>155.565</c:v>
                </c:pt>
                <c:pt idx="46">
                  <c:v>155.81899999999999</c:v>
                </c:pt>
                <c:pt idx="47">
                  <c:v>155.535</c:v>
                </c:pt>
                <c:pt idx="48">
                  <c:v>155.83099999999999</c:v>
                </c:pt>
                <c:pt idx="49">
                  <c:v>155.499</c:v>
                </c:pt>
                <c:pt idx="50">
                  <c:v>155.85400000000001</c:v>
                </c:pt>
                <c:pt idx="51">
                  <c:v>155.57300000000001</c:v>
                </c:pt>
                <c:pt idx="52">
                  <c:v>155.92400000000001</c:v>
                </c:pt>
                <c:pt idx="53">
                  <c:v>155.60499999999999</c:v>
                </c:pt>
                <c:pt idx="54">
                  <c:v>155.90799999999999</c:v>
                </c:pt>
                <c:pt idx="55">
                  <c:v>155.58600000000001</c:v>
                </c:pt>
                <c:pt idx="56">
                  <c:v>155.90600000000001</c:v>
                </c:pt>
                <c:pt idx="57">
                  <c:v>155.63900000000001</c:v>
                </c:pt>
                <c:pt idx="58">
                  <c:v>155.90600000000001</c:v>
                </c:pt>
                <c:pt idx="59">
                  <c:v>155.58799999999999</c:v>
                </c:pt>
                <c:pt idx="60">
                  <c:v>156.017</c:v>
                </c:pt>
                <c:pt idx="61">
                  <c:v>155.76300000000001</c:v>
                </c:pt>
                <c:pt idx="62">
                  <c:v>155.863</c:v>
                </c:pt>
                <c:pt idx="63">
                  <c:v>155.57</c:v>
                </c:pt>
                <c:pt idx="64">
                  <c:v>155.881</c:v>
                </c:pt>
                <c:pt idx="65">
                  <c:v>155.59</c:v>
                </c:pt>
                <c:pt idx="66">
                  <c:v>155.91499999999999</c:v>
                </c:pt>
                <c:pt idx="67">
                  <c:v>155.65100000000001</c:v>
                </c:pt>
                <c:pt idx="68">
                  <c:v>155.982</c:v>
                </c:pt>
                <c:pt idx="69">
                  <c:v>155.70099999999999</c:v>
                </c:pt>
                <c:pt idx="70">
                  <c:v>155.96799999999999</c:v>
                </c:pt>
                <c:pt idx="71">
                  <c:v>155.73099999999999</c:v>
                </c:pt>
                <c:pt idx="72">
                  <c:v>156.05500000000001</c:v>
                </c:pt>
                <c:pt idx="73">
                  <c:v>155.881</c:v>
                </c:pt>
                <c:pt idx="74">
                  <c:v>155.821</c:v>
                </c:pt>
                <c:pt idx="75">
                  <c:v>155.351</c:v>
                </c:pt>
                <c:pt idx="76">
                  <c:v>155.357</c:v>
                </c:pt>
                <c:pt idx="77">
                  <c:v>155.74799999999999</c:v>
                </c:pt>
                <c:pt idx="78">
                  <c:v>155.76300000000001</c:v>
                </c:pt>
                <c:pt idx="79">
                  <c:v>155.64599999999999</c:v>
                </c:pt>
                <c:pt idx="80">
                  <c:v>155.68299999999999</c:v>
                </c:pt>
                <c:pt idx="81">
                  <c:v>155.631</c:v>
                </c:pt>
                <c:pt idx="82">
                  <c:v>155.84299999999999</c:v>
                </c:pt>
                <c:pt idx="83">
                  <c:v>155.77500000000001</c:v>
                </c:pt>
                <c:pt idx="84">
                  <c:v>155.798</c:v>
                </c:pt>
                <c:pt idx="85">
                  <c:v>155.72</c:v>
                </c:pt>
                <c:pt idx="86">
                  <c:v>155.81899999999999</c:v>
                </c:pt>
                <c:pt idx="87">
                  <c:v>155.76599999999999</c:v>
                </c:pt>
                <c:pt idx="88">
                  <c:v>155.78299999999999</c:v>
                </c:pt>
                <c:pt idx="89">
                  <c:v>155.727</c:v>
                </c:pt>
                <c:pt idx="90">
                  <c:v>155.864</c:v>
                </c:pt>
                <c:pt idx="91">
                  <c:v>155.762</c:v>
                </c:pt>
                <c:pt idx="92">
                  <c:v>155.94999999999999</c:v>
                </c:pt>
                <c:pt idx="93">
                  <c:v>155.92400000000001</c:v>
                </c:pt>
                <c:pt idx="94">
                  <c:v>155.892</c:v>
                </c:pt>
                <c:pt idx="95">
                  <c:v>155.84399999999999</c:v>
                </c:pt>
                <c:pt idx="96">
                  <c:v>155.887</c:v>
                </c:pt>
                <c:pt idx="97">
                  <c:v>155.88800000000001</c:v>
                </c:pt>
                <c:pt idx="98">
                  <c:v>155.893</c:v>
                </c:pt>
                <c:pt idx="99">
                  <c:v>155.87200000000001</c:v>
                </c:pt>
                <c:pt idx="100">
                  <c:v>155.83799999999999</c:v>
                </c:pt>
                <c:pt idx="101">
                  <c:v>155.82300000000001</c:v>
                </c:pt>
                <c:pt idx="102">
                  <c:v>155.88399999999999</c:v>
                </c:pt>
                <c:pt idx="103">
                  <c:v>155.821</c:v>
                </c:pt>
                <c:pt idx="104">
                  <c:v>155.999</c:v>
                </c:pt>
                <c:pt idx="105">
                  <c:v>156.01900000000001</c:v>
                </c:pt>
                <c:pt idx="106">
                  <c:v>155.94200000000001</c:v>
                </c:pt>
                <c:pt idx="107">
                  <c:v>155.994</c:v>
                </c:pt>
                <c:pt idx="108">
                  <c:v>155.93199999999999</c:v>
                </c:pt>
                <c:pt idx="109">
                  <c:v>156.011</c:v>
                </c:pt>
                <c:pt idx="110">
                  <c:v>155.94300000000001</c:v>
                </c:pt>
                <c:pt idx="111">
                  <c:v>156.03899999999999</c:v>
                </c:pt>
                <c:pt idx="112">
                  <c:v>156.00299999999999</c:v>
                </c:pt>
                <c:pt idx="113">
                  <c:v>156.08099999999999</c:v>
                </c:pt>
                <c:pt idx="114">
                  <c:v>155.71600000000001</c:v>
                </c:pt>
                <c:pt idx="115">
                  <c:v>155.83000000000001</c:v>
                </c:pt>
                <c:pt idx="116">
                  <c:v>155.714</c:v>
                </c:pt>
                <c:pt idx="117">
                  <c:v>155.84399999999999</c:v>
                </c:pt>
                <c:pt idx="118">
                  <c:v>155.72399999999999</c:v>
                </c:pt>
                <c:pt idx="119">
                  <c:v>155.84299999999999</c:v>
                </c:pt>
                <c:pt idx="120">
                  <c:v>155.78399999999999</c:v>
                </c:pt>
                <c:pt idx="121">
                  <c:v>155.63900000000001</c:v>
                </c:pt>
                <c:pt idx="122">
                  <c:v>155.774</c:v>
                </c:pt>
                <c:pt idx="123">
                  <c:v>155.92099999999999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2-4D84-A892-975D2E34932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('AMP5-4'!$L$4,'AMP5-4'!$L$4)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2-4D84-A892-975D2E34932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('AMP5-4'!$L$5,'AMP5-4'!$L$5)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2-4D84-A892-975D2E349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7664"/>
        <c:axId val="517868056"/>
      </c:scatterChart>
      <c:valAx>
        <c:axId val="51786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8056"/>
        <c:crosses val="autoZero"/>
        <c:crossBetween val="midCat"/>
      </c:valAx>
      <c:valAx>
        <c:axId val="5178680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'AMP5-4'!$M$9:$M$132</c:f>
              <c:numCache>
                <c:formatCode>General</c:formatCode>
                <c:ptCount val="124"/>
                <c:pt idx="0">
                  <c:v>155.535</c:v>
                </c:pt>
                <c:pt idx="1">
                  <c:v>155.321</c:v>
                </c:pt>
                <c:pt idx="2">
                  <c:v>155.626</c:v>
                </c:pt>
                <c:pt idx="3">
                  <c:v>155.38900000000001</c:v>
                </c:pt>
                <c:pt idx="4">
                  <c:v>155.63</c:v>
                </c:pt>
                <c:pt idx="5">
                  <c:v>155.37200000000001</c:v>
                </c:pt>
                <c:pt idx="6">
                  <c:v>155.60499999999999</c:v>
                </c:pt>
                <c:pt idx="7">
                  <c:v>155.36500000000001</c:v>
                </c:pt>
                <c:pt idx="8">
                  <c:v>155.648</c:v>
                </c:pt>
                <c:pt idx="9">
                  <c:v>155.37100000000001</c:v>
                </c:pt>
                <c:pt idx="10">
                  <c:v>155.596</c:v>
                </c:pt>
                <c:pt idx="11">
                  <c:v>155.34399999999999</c:v>
                </c:pt>
                <c:pt idx="12">
                  <c:v>155.619</c:v>
                </c:pt>
                <c:pt idx="13">
                  <c:v>155.37</c:v>
                </c:pt>
                <c:pt idx="14">
                  <c:v>155.572</c:v>
                </c:pt>
                <c:pt idx="15">
                  <c:v>155.405</c:v>
                </c:pt>
                <c:pt idx="16">
                  <c:v>155.68899999999999</c:v>
                </c:pt>
                <c:pt idx="17">
                  <c:v>155.41900000000001</c:v>
                </c:pt>
                <c:pt idx="18">
                  <c:v>155.81100000000001</c:v>
                </c:pt>
                <c:pt idx="19">
                  <c:v>155.91200000000001</c:v>
                </c:pt>
                <c:pt idx="20">
                  <c:v>155.65199999999999</c:v>
                </c:pt>
                <c:pt idx="21">
                  <c:v>155.28200000000001</c:v>
                </c:pt>
                <c:pt idx="22">
                  <c:v>155.672</c:v>
                </c:pt>
                <c:pt idx="23">
                  <c:v>155.33000000000001</c:v>
                </c:pt>
                <c:pt idx="24">
                  <c:v>155.69499999999999</c:v>
                </c:pt>
                <c:pt idx="25">
                  <c:v>155.34700000000001</c:v>
                </c:pt>
                <c:pt idx="26">
                  <c:v>155.721</c:v>
                </c:pt>
                <c:pt idx="27">
                  <c:v>155.33099999999999</c:v>
                </c:pt>
                <c:pt idx="28">
                  <c:v>155.77000000000001</c:v>
                </c:pt>
                <c:pt idx="29">
                  <c:v>155.46799999999999</c:v>
                </c:pt>
                <c:pt idx="30">
                  <c:v>156.006</c:v>
                </c:pt>
                <c:pt idx="31">
                  <c:v>155.65199999999999</c:v>
                </c:pt>
                <c:pt idx="32">
                  <c:v>156.18199999999999</c:v>
                </c:pt>
                <c:pt idx="33">
                  <c:v>155.715</c:v>
                </c:pt>
                <c:pt idx="34">
                  <c:v>156.33600000000001</c:v>
                </c:pt>
                <c:pt idx="35">
                  <c:v>156.50299999999999</c:v>
                </c:pt>
                <c:pt idx="36">
                  <c:v>155.58699999999999</c:v>
                </c:pt>
                <c:pt idx="37">
                  <c:v>155.16499999999999</c:v>
                </c:pt>
                <c:pt idx="38">
                  <c:v>155.59299999999999</c:v>
                </c:pt>
                <c:pt idx="39">
                  <c:v>155.291</c:v>
                </c:pt>
                <c:pt idx="40">
                  <c:v>155.74700000000001</c:v>
                </c:pt>
                <c:pt idx="41">
                  <c:v>155.34700000000001</c:v>
                </c:pt>
                <c:pt idx="42">
                  <c:v>155.64099999999999</c:v>
                </c:pt>
                <c:pt idx="43">
                  <c:v>155.35</c:v>
                </c:pt>
                <c:pt idx="44">
                  <c:v>155.68299999999999</c:v>
                </c:pt>
                <c:pt idx="45">
                  <c:v>155.36199999999999</c:v>
                </c:pt>
                <c:pt idx="46">
                  <c:v>155.66300000000001</c:v>
                </c:pt>
                <c:pt idx="47">
                  <c:v>155.34299999999999</c:v>
                </c:pt>
                <c:pt idx="48">
                  <c:v>155.666</c:v>
                </c:pt>
                <c:pt idx="49">
                  <c:v>155.339</c:v>
                </c:pt>
                <c:pt idx="50">
                  <c:v>155.67699999999999</c:v>
                </c:pt>
                <c:pt idx="51">
                  <c:v>155.37899999999999</c:v>
                </c:pt>
                <c:pt idx="52">
                  <c:v>155.721</c:v>
                </c:pt>
                <c:pt idx="53">
                  <c:v>155.42400000000001</c:v>
                </c:pt>
                <c:pt idx="54">
                  <c:v>155.74199999999999</c:v>
                </c:pt>
                <c:pt idx="55">
                  <c:v>155.40899999999999</c:v>
                </c:pt>
                <c:pt idx="56">
                  <c:v>155.77600000000001</c:v>
                </c:pt>
                <c:pt idx="57">
                  <c:v>155.441</c:v>
                </c:pt>
                <c:pt idx="58">
                  <c:v>155.798</c:v>
                </c:pt>
                <c:pt idx="59">
                  <c:v>155.37899999999999</c:v>
                </c:pt>
                <c:pt idx="60">
                  <c:v>155.839</c:v>
                </c:pt>
                <c:pt idx="61">
                  <c:v>155.56200000000001</c:v>
                </c:pt>
                <c:pt idx="62">
                  <c:v>155.786</c:v>
                </c:pt>
                <c:pt idx="63">
                  <c:v>155.35499999999999</c:v>
                </c:pt>
                <c:pt idx="64">
                  <c:v>155.80699999999999</c:v>
                </c:pt>
                <c:pt idx="65">
                  <c:v>155.334</c:v>
                </c:pt>
                <c:pt idx="66">
                  <c:v>155.851</c:v>
                </c:pt>
                <c:pt idx="67">
                  <c:v>155.36199999999999</c:v>
                </c:pt>
                <c:pt idx="68">
                  <c:v>155.917</c:v>
                </c:pt>
                <c:pt idx="69">
                  <c:v>155.422</c:v>
                </c:pt>
                <c:pt idx="70">
                  <c:v>155.91300000000001</c:v>
                </c:pt>
                <c:pt idx="71">
                  <c:v>155.41900000000001</c:v>
                </c:pt>
                <c:pt idx="72">
                  <c:v>155.98500000000001</c:v>
                </c:pt>
                <c:pt idx="73">
                  <c:v>155.57400000000001</c:v>
                </c:pt>
                <c:pt idx="74">
                  <c:v>155.58799999999999</c:v>
                </c:pt>
                <c:pt idx="75">
                  <c:v>155.17400000000001</c:v>
                </c:pt>
                <c:pt idx="76">
                  <c:v>155.12700000000001</c:v>
                </c:pt>
                <c:pt idx="77">
                  <c:v>155.57599999999999</c:v>
                </c:pt>
                <c:pt idx="78">
                  <c:v>155.548</c:v>
                </c:pt>
                <c:pt idx="79">
                  <c:v>155.43</c:v>
                </c:pt>
                <c:pt idx="80">
                  <c:v>155.46799999999999</c:v>
                </c:pt>
                <c:pt idx="81">
                  <c:v>155.41</c:v>
                </c:pt>
                <c:pt idx="82">
                  <c:v>155.643</c:v>
                </c:pt>
                <c:pt idx="83">
                  <c:v>155.501</c:v>
                </c:pt>
                <c:pt idx="84">
                  <c:v>155.60400000000001</c:v>
                </c:pt>
                <c:pt idx="85">
                  <c:v>155.495</c:v>
                </c:pt>
                <c:pt idx="86">
                  <c:v>155.619</c:v>
                </c:pt>
                <c:pt idx="87">
                  <c:v>155.536</c:v>
                </c:pt>
                <c:pt idx="88">
                  <c:v>155.68199999999999</c:v>
                </c:pt>
                <c:pt idx="89">
                  <c:v>155.46600000000001</c:v>
                </c:pt>
                <c:pt idx="90">
                  <c:v>155.78899999999999</c:v>
                </c:pt>
                <c:pt idx="91">
                  <c:v>155.459</c:v>
                </c:pt>
                <c:pt idx="92">
                  <c:v>155.75899999999999</c:v>
                </c:pt>
                <c:pt idx="93">
                  <c:v>155.69999999999999</c:v>
                </c:pt>
                <c:pt idx="94">
                  <c:v>155.75899999999999</c:v>
                </c:pt>
                <c:pt idx="95">
                  <c:v>155.60300000000001</c:v>
                </c:pt>
                <c:pt idx="96">
                  <c:v>155.74799999999999</c:v>
                </c:pt>
                <c:pt idx="97">
                  <c:v>155.614</c:v>
                </c:pt>
                <c:pt idx="98">
                  <c:v>155.767</c:v>
                </c:pt>
                <c:pt idx="99">
                  <c:v>155.63</c:v>
                </c:pt>
                <c:pt idx="100">
                  <c:v>155.74799999999999</c:v>
                </c:pt>
                <c:pt idx="101">
                  <c:v>155.55099999999999</c:v>
                </c:pt>
                <c:pt idx="102">
                  <c:v>155.79900000000001</c:v>
                </c:pt>
                <c:pt idx="103">
                  <c:v>155.49</c:v>
                </c:pt>
                <c:pt idx="104">
                  <c:v>155.87299999999999</c:v>
                </c:pt>
                <c:pt idx="105">
                  <c:v>155.72200000000001</c:v>
                </c:pt>
                <c:pt idx="106">
                  <c:v>155.83199999999999</c:v>
                </c:pt>
                <c:pt idx="107">
                  <c:v>155.72399999999999</c:v>
                </c:pt>
                <c:pt idx="108">
                  <c:v>155.828</c:v>
                </c:pt>
                <c:pt idx="109">
                  <c:v>155.70699999999999</c:v>
                </c:pt>
                <c:pt idx="110">
                  <c:v>155.99</c:v>
                </c:pt>
                <c:pt idx="111">
                  <c:v>155.56899999999999</c:v>
                </c:pt>
                <c:pt idx="112">
                  <c:v>155.93199999999999</c:v>
                </c:pt>
                <c:pt idx="113">
                  <c:v>155.643</c:v>
                </c:pt>
                <c:pt idx="114">
                  <c:v>155.43700000000001</c:v>
                </c:pt>
                <c:pt idx="115">
                  <c:v>155.626</c:v>
                </c:pt>
                <c:pt idx="116">
                  <c:v>155.46299999999999</c:v>
                </c:pt>
                <c:pt idx="117">
                  <c:v>155.642</c:v>
                </c:pt>
                <c:pt idx="118">
                  <c:v>155.43799999999999</c:v>
                </c:pt>
                <c:pt idx="119">
                  <c:v>155.667</c:v>
                </c:pt>
                <c:pt idx="120">
                  <c:v>155.59899999999999</c:v>
                </c:pt>
                <c:pt idx="121">
                  <c:v>155.40700000000001</c:v>
                </c:pt>
                <c:pt idx="122">
                  <c:v>155.488</c:v>
                </c:pt>
                <c:pt idx="123">
                  <c:v>155.74700000000001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B3-4A97-87A2-369A030352A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('AMP5-4'!$M$4,'AMP5-4'!$M$4)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B3-4A97-87A2-369A030352A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('AMP5-4'!$M$5,'AMP5-4'!$M$5)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B3-4A97-87A2-369A03035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68840"/>
        <c:axId val="517869232"/>
      </c:scatterChart>
      <c:valAx>
        <c:axId val="517868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9232"/>
        <c:crosses val="autoZero"/>
        <c:crossBetween val="midCat"/>
      </c:valAx>
      <c:valAx>
        <c:axId val="5178692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68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'AMP5-4'!$N$9:$N$132</c:f>
              <c:numCache>
                <c:formatCode>General</c:formatCode>
                <c:ptCount val="124"/>
                <c:pt idx="0">
                  <c:v>27.257000000000001</c:v>
                </c:pt>
                <c:pt idx="1">
                  <c:v>27.742000000000001</c:v>
                </c:pt>
                <c:pt idx="2">
                  <c:v>27.26</c:v>
                </c:pt>
                <c:pt idx="3">
                  <c:v>27.670999999999999</c:v>
                </c:pt>
                <c:pt idx="4">
                  <c:v>27.216999999999999</c:v>
                </c:pt>
                <c:pt idx="5">
                  <c:v>27.651</c:v>
                </c:pt>
                <c:pt idx="6">
                  <c:v>27.224</c:v>
                </c:pt>
                <c:pt idx="7">
                  <c:v>27.68</c:v>
                </c:pt>
                <c:pt idx="8">
                  <c:v>27.225999999999999</c:v>
                </c:pt>
                <c:pt idx="9">
                  <c:v>27.666</c:v>
                </c:pt>
                <c:pt idx="10">
                  <c:v>27.218</c:v>
                </c:pt>
                <c:pt idx="11">
                  <c:v>27.728999999999999</c:v>
                </c:pt>
                <c:pt idx="12">
                  <c:v>27.202000000000002</c:v>
                </c:pt>
                <c:pt idx="13">
                  <c:v>27.684999999999999</c:v>
                </c:pt>
                <c:pt idx="14">
                  <c:v>27.202999999999999</c:v>
                </c:pt>
                <c:pt idx="15">
                  <c:v>27.675000000000001</c:v>
                </c:pt>
                <c:pt idx="16">
                  <c:v>27.097000000000001</c:v>
                </c:pt>
                <c:pt idx="17">
                  <c:v>27.626999999999999</c:v>
                </c:pt>
                <c:pt idx="18">
                  <c:v>27.422000000000001</c:v>
                </c:pt>
                <c:pt idx="19">
                  <c:v>27.49</c:v>
                </c:pt>
                <c:pt idx="20">
                  <c:v>27.242000000000001</c:v>
                </c:pt>
                <c:pt idx="21">
                  <c:v>27.690999999999999</c:v>
                </c:pt>
                <c:pt idx="22">
                  <c:v>27.21</c:v>
                </c:pt>
                <c:pt idx="23">
                  <c:v>27.698</c:v>
                </c:pt>
                <c:pt idx="24">
                  <c:v>27.215</c:v>
                </c:pt>
                <c:pt idx="25">
                  <c:v>27.588000000000001</c:v>
                </c:pt>
                <c:pt idx="26">
                  <c:v>27.137</c:v>
                </c:pt>
                <c:pt idx="27">
                  <c:v>27.692</c:v>
                </c:pt>
                <c:pt idx="28">
                  <c:v>27.114999999999998</c:v>
                </c:pt>
                <c:pt idx="29">
                  <c:v>27.54</c:v>
                </c:pt>
                <c:pt idx="30">
                  <c:v>26.966000000000001</c:v>
                </c:pt>
                <c:pt idx="31">
                  <c:v>27.030999999999999</c:v>
                </c:pt>
                <c:pt idx="32">
                  <c:v>26.7</c:v>
                </c:pt>
                <c:pt idx="33">
                  <c:v>27.077000000000002</c:v>
                </c:pt>
                <c:pt idx="34">
                  <c:v>26.55</c:v>
                </c:pt>
                <c:pt idx="35">
                  <c:v>26.54</c:v>
                </c:pt>
                <c:pt idx="36">
                  <c:v>27.062000000000001</c:v>
                </c:pt>
                <c:pt idx="37">
                  <c:v>27.664000000000001</c:v>
                </c:pt>
                <c:pt idx="38">
                  <c:v>27.363</c:v>
                </c:pt>
                <c:pt idx="39">
                  <c:v>27.754999999999999</c:v>
                </c:pt>
                <c:pt idx="40">
                  <c:v>27.260999999999999</c:v>
                </c:pt>
                <c:pt idx="41">
                  <c:v>27.643000000000001</c:v>
                </c:pt>
                <c:pt idx="42">
                  <c:v>27.311</c:v>
                </c:pt>
                <c:pt idx="43">
                  <c:v>27.704000000000001</c:v>
                </c:pt>
                <c:pt idx="44">
                  <c:v>27.318000000000001</c:v>
                </c:pt>
                <c:pt idx="45">
                  <c:v>27.641999999999999</c:v>
                </c:pt>
                <c:pt idx="46">
                  <c:v>27.363</c:v>
                </c:pt>
                <c:pt idx="47">
                  <c:v>27.678000000000001</c:v>
                </c:pt>
                <c:pt idx="48">
                  <c:v>27.359000000000002</c:v>
                </c:pt>
                <c:pt idx="49">
                  <c:v>27.716000000000001</c:v>
                </c:pt>
                <c:pt idx="50">
                  <c:v>27.315999999999999</c:v>
                </c:pt>
                <c:pt idx="51">
                  <c:v>27.641999999999999</c:v>
                </c:pt>
                <c:pt idx="52">
                  <c:v>27.274000000000001</c:v>
                </c:pt>
                <c:pt idx="53">
                  <c:v>27.603000000000002</c:v>
                </c:pt>
                <c:pt idx="54">
                  <c:v>27.282</c:v>
                </c:pt>
                <c:pt idx="55">
                  <c:v>27.606000000000002</c:v>
                </c:pt>
                <c:pt idx="56">
                  <c:v>27.254000000000001</c:v>
                </c:pt>
                <c:pt idx="57">
                  <c:v>27.591999999999999</c:v>
                </c:pt>
                <c:pt idx="58">
                  <c:v>27.271999999999998</c:v>
                </c:pt>
                <c:pt idx="59">
                  <c:v>27.613</c:v>
                </c:pt>
                <c:pt idx="60">
                  <c:v>27.161999999999999</c:v>
                </c:pt>
                <c:pt idx="61">
                  <c:v>27.405000000000001</c:v>
                </c:pt>
                <c:pt idx="62">
                  <c:v>27.312000000000001</c:v>
                </c:pt>
                <c:pt idx="63">
                  <c:v>27.617000000000001</c:v>
                </c:pt>
                <c:pt idx="64">
                  <c:v>27.302</c:v>
                </c:pt>
                <c:pt idx="65">
                  <c:v>27.61</c:v>
                </c:pt>
                <c:pt idx="66">
                  <c:v>27.256</c:v>
                </c:pt>
                <c:pt idx="67">
                  <c:v>27.577000000000002</c:v>
                </c:pt>
                <c:pt idx="68">
                  <c:v>27.202999999999999</c:v>
                </c:pt>
                <c:pt idx="69">
                  <c:v>27.526</c:v>
                </c:pt>
                <c:pt idx="70">
                  <c:v>27.222000000000001</c:v>
                </c:pt>
                <c:pt idx="71">
                  <c:v>27.481999999999999</c:v>
                </c:pt>
                <c:pt idx="72">
                  <c:v>27.111999999999998</c:v>
                </c:pt>
                <c:pt idx="73">
                  <c:v>27.332000000000001</c:v>
                </c:pt>
                <c:pt idx="74">
                  <c:v>27.350999999999999</c:v>
                </c:pt>
                <c:pt idx="75">
                  <c:v>27.823</c:v>
                </c:pt>
                <c:pt idx="76">
                  <c:v>27.863</c:v>
                </c:pt>
                <c:pt idx="77">
                  <c:v>27.425000000000001</c:v>
                </c:pt>
                <c:pt idx="78">
                  <c:v>27.495000000000001</c:v>
                </c:pt>
                <c:pt idx="79">
                  <c:v>27.617999999999999</c:v>
                </c:pt>
                <c:pt idx="80">
                  <c:v>27.535</c:v>
                </c:pt>
                <c:pt idx="81">
                  <c:v>27.678000000000001</c:v>
                </c:pt>
                <c:pt idx="82">
                  <c:v>27.41</c:v>
                </c:pt>
                <c:pt idx="83">
                  <c:v>27.518000000000001</c:v>
                </c:pt>
                <c:pt idx="84">
                  <c:v>27.47</c:v>
                </c:pt>
                <c:pt idx="85">
                  <c:v>27.536999999999999</c:v>
                </c:pt>
                <c:pt idx="86">
                  <c:v>27.436</c:v>
                </c:pt>
                <c:pt idx="87">
                  <c:v>27.501000000000001</c:v>
                </c:pt>
                <c:pt idx="88">
                  <c:v>27.433</c:v>
                </c:pt>
                <c:pt idx="89">
                  <c:v>27.574000000000002</c:v>
                </c:pt>
                <c:pt idx="90">
                  <c:v>27.405000000000001</c:v>
                </c:pt>
                <c:pt idx="91">
                  <c:v>27.513000000000002</c:v>
                </c:pt>
                <c:pt idx="92">
                  <c:v>27.331</c:v>
                </c:pt>
                <c:pt idx="93">
                  <c:v>27.318999999999999</c:v>
                </c:pt>
                <c:pt idx="94">
                  <c:v>27.36</c:v>
                </c:pt>
                <c:pt idx="95">
                  <c:v>27.451000000000001</c:v>
                </c:pt>
                <c:pt idx="96">
                  <c:v>27.405999999999999</c:v>
                </c:pt>
                <c:pt idx="97">
                  <c:v>27.37</c:v>
                </c:pt>
                <c:pt idx="98">
                  <c:v>27.298999999999999</c:v>
                </c:pt>
                <c:pt idx="99">
                  <c:v>27.457999999999998</c:v>
                </c:pt>
                <c:pt idx="100">
                  <c:v>27.431000000000001</c:v>
                </c:pt>
                <c:pt idx="101">
                  <c:v>27.47</c:v>
                </c:pt>
                <c:pt idx="102">
                  <c:v>27.42</c:v>
                </c:pt>
                <c:pt idx="103">
                  <c:v>27.431000000000001</c:v>
                </c:pt>
                <c:pt idx="104">
                  <c:v>27.178999999999998</c:v>
                </c:pt>
                <c:pt idx="105">
                  <c:v>27.334</c:v>
                </c:pt>
                <c:pt idx="106">
                  <c:v>27.3</c:v>
                </c:pt>
                <c:pt idx="107">
                  <c:v>27.312999999999999</c:v>
                </c:pt>
                <c:pt idx="108">
                  <c:v>27.286999999999999</c:v>
                </c:pt>
                <c:pt idx="109">
                  <c:v>27.323</c:v>
                </c:pt>
                <c:pt idx="110">
                  <c:v>27.382000000000001</c:v>
                </c:pt>
                <c:pt idx="111">
                  <c:v>27.216999999999999</c:v>
                </c:pt>
                <c:pt idx="112">
                  <c:v>27.315999999999999</c:v>
                </c:pt>
                <c:pt idx="113">
                  <c:v>27.138000000000002</c:v>
                </c:pt>
                <c:pt idx="114">
                  <c:v>27.552</c:v>
                </c:pt>
                <c:pt idx="115">
                  <c:v>27.471</c:v>
                </c:pt>
                <c:pt idx="116">
                  <c:v>27.54</c:v>
                </c:pt>
                <c:pt idx="117">
                  <c:v>27.446000000000002</c:v>
                </c:pt>
                <c:pt idx="118">
                  <c:v>27.521999999999998</c:v>
                </c:pt>
                <c:pt idx="119">
                  <c:v>27.445</c:v>
                </c:pt>
                <c:pt idx="120">
                  <c:v>27.425999999999998</c:v>
                </c:pt>
                <c:pt idx="121">
                  <c:v>27.526</c:v>
                </c:pt>
                <c:pt idx="122">
                  <c:v>27.472999999999999</c:v>
                </c:pt>
                <c:pt idx="123">
                  <c:v>27.382000000000001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EB-4518-AE9E-5D9B8F6D84D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('AMP5-4'!$N$4,'AMP5-4'!$N$4)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EB-4518-AE9E-5D9B8F6D84D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('AMP5-4'!$N$5,'AMP5-4'!$N$5)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EB-4518-AE9E-5D9B8F6D8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70016"/>
        <c:axId val="517870408"/>
      </c:scatterChart>
      <c:valAx>
        <c:axId val="51787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70408"/>
        <c:crosses val="autoZero"/>
        <c:crossBetween val="midCat"/>
      </c:valAx>
      <c:valAx>
        <c:axId val="5178704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'AMP5-4'!$O$9:$O$132</c:f>
              <c:numCache>
                <c:formatCode>General</c:formatCode>
                <c:ptCount val="124"/>
                <c:pt idx="0">
                  <c:v>27.452999999999999</c:v>
                </c:pt>
                <c:pt idx="1">
                  <c:v>27.824999999999999</c:v>
                </c:pt>
                <c:pt idx="2">
                  <c:v>27.38</c:v>
                </c:pt>
                <c:pt idx="3">
                  <c:v>27.797999999999998</c:v>
                </c:pt>
                <c:pt idx="4">
                  <c:v>27.385000000000002</c:v>
                </c:pt>
                <c:pt idx="5">
                  <c:v>27.803000000000001</c:v>
                </c:pt>
                <c:pt idx="6">
                  <c:v>27.388000000000002</c:v>
                </c:pt>
                <c:pt idx="7">
                  <c:v>27.786999999999999</c:v>
                </c:pt>
                <c:pt idx="8">
                  <c:v>27.353000000000002</c:v>
                </c:pt>
                <c:pt idx="9">
                  <c:v>27.8</c:v>
                </c:pt>
                <c:pt idx="10">
                  <c:v>27.411999999999999</c:v>
                </c:pt>
                <c:pt idx="11">
                  <c:v>27.846</c:v>
                </c:pt>
                <c:pt idx="12">
                  <c:v>27.352</c:v>
                </c:pt>
                <c:pt idx="13">
                  <c:v>27.783000000000001</c:v>
                </c:pt>
                <c:pt idx="14">
                  <c:v>27.411999999999999</c:v>
                </c:pt>
                <c:pt idx="15">
                  <c:v>27.783999999999999</c:v>
                </c:pt>
                <c:pt idx="16">
                  <c:v>27.294</c:v>
                </c:pt>
                <c:pt idx="17">
                  <c:v>27.756</c:v>
                </c:pt>
                <c:pt idx="18">
                  <c:v>27.59</c:v>
                </c:pt>
                <c:pt idx="19">
                  <c:v>27.678999999999998</c:v>
                </c:pt>
                <c:pt idx="20">
                  <c:v>27.332999999999998</c:v>
                </c:pt>
                <c:pt idx="21">
                  <c:v>27.875</c:v>
                </c:pt>
                <c:pt idx="22">
                  <c:v>27.297000000000001</c:v>
                </c:pt>
                <c:pt idx="23">
                  <c:v>27.844999999999999</c:v>
                </c:pt>
                <c:pt idx="24">
                  <c:v>27.303999999999998</c:v>
                </c:pt>
                <c:pt idx="25">
                  <c:v>27.803999999999998</c:v>
                </c:pt>
                <c:pt idx="26">
                  <c:v>27.221</c:v>
                </c:pt>
                <c:pt idx="27">
                  <c:v>27.882999999999999</c:v>
                </c:pt>
                <c:pt idx="28">
                  <c:v>27.222999999999999</c:v>
                </c:pt>
                <c:pt idx="29">
                  <c:v>27.77</c:v>
                </c:pt>
                <c:pt idx="30">
                  <c:v>26.952000000000002</c:v>
                </c:pt>
                <c:pt idx="31">
                  <c:v>27.361999999999998</c:v>
                </c:pt>
                <c:pt idx="32">
                  <c:v>26.760999999999999</c:v>
                </c:pt>
                <c:pt idx="33">
                  <c:v>27.404</c:v>
                </c:pt>
                <c:pt idx="34">
                  <c:v>26.042000000000002</c:v>
                </c:pt>
                <c:pt idx="35">
                  <c:v>26.975000000000001</c:v>
                </c:pt>
                <c:pt idx="36">
                  <c:v>27.731000000000002</c:v>
                </c:pt>
                <c:pt idx="37">
                  <c:v>27.879000000000001</c:v>
                </c:pt>
                <c:pt idx="38">
                  <c:v>27.489000000000001</c:v>
                </c:pt>
                <c:pt idx="39">
                  <c:v>27.98</c:v>
                </c:pt>
                <c:pt idx="40">
                  <c:v>27.350999999999999</c:v>
                </c:pt>
                <c:pt idx="41">
                  <c:v>27.952999999999999</c:v>
                </c:pt>
                <c:pt idx="42">
                  <c:v>27.411000000000001</c:v>
                </c:pt>
                <c:pt idx="43">
                  <c:v>27.937999999999999</c:v>
                </c:pt>
                <c:pt idx="44">
                  <c:v>27.422999999999998</c:v>
                </c:pt>
                <c:pt idx="45">
                  <c:v>27.925000000000001</c:v>
                </c:pt>
                <c:pt idx="46">
                  <c:v>27.419</c:v>
                </c:pt>
                <c:pt idx="47">
                  <c:v>27.956</c:v>
                </c:pt>
                <c:pt idx="48">
                  <c:v>27.416</c:v>
                </c:pt>
                <c:pt idx="49">
                  <c:v>27.946999999999999</c:v>
                </c:pt>
                <c:pt idx="50">
                  <c:v>27.401</c:v>
                </c:pt>
                <c:pt idx="51">
                  <c:v>27.920999999999999</c:v>
                </c:pt>
                <c:pt idx="52">
                  <c:v>27.370999999999999</c:v>
                </c:pt>
                <c:pt idx="53">
                  <c:v>27.88</c:v>
                </c:pt>
                <c:pt idx="54">
                  <c:v>27.335000000000001</c:v>
                </c:pt>
                <c:pt idx="55">
                  <c:v>27.896999999999998</c:v>
                </c:pt>
                <c:pt idx="56">
                  <c:v>27.311</c:v>
                </c:pt>
                <c:pt idx="57">
                  <c:v>27.902000000000001</c:v>
                </c:pt>
                <c:pt idx="58">
                  <c:v>27.271999999999998</c:v>
                </c:pt>
                <c:pt idx="59">
                  <c:v>27.931000000000001</c:v>
                </c:pt>
                <c:pt idx="60">
                  <c:v>27.238</c:v>
                </c:pt>
                <c:pt idx="61">
                  <c:v>27.736999999999998</c:v>
                </c:pt>
                <c:pt idx="62">
                  <c:v>27.318000000000001</c:v>
                </c:pt>
                <c:pt idx="63">
                  <c:v>27.951000000000001</c:v>
                </c:pt>
                <c:pt idx="64">
                  <c:v>27.273</c:v>
                </c:pt>
                <c:pt idx="65">
                  <c:v>27.99</c:v>
                </c:pt>
                <c:pt idx="66">
                  <c:v>27.228999999999999</c:v>
                </c:pt>
                <c:pt idx="67">
                  <c:v>27.981999999999999</c:v>
                </c:pt>
                <c:pt idx="68">
                  <c:v>27.166</c:v>
                </c:pt>
                <c:pt idx="69">
                  <c:v>27.949000000000002</c:v>
                </c:pt>
                <c:pt idx="70">
                  <c:v>27.198</c:v>
                </c:pt>
                <c:pt idx="71">
                  <c:v>27.946000000000002</c:v>
                </c:pt>
                <c:pt idx="72">
                  <c:v>27.056999999999999</c:v>
                </c:pt>
                <c:pt idx="73">
                  <c:v>27.771000000000001</c:v>
                </c:pt>
                <c:pt idx="74">
                  <c:v>27.483000000000001</c:v>
                </c:pt>
                <c:pt idx="75">
                  <c:v>28.041</c:v>
                </c:pt>
                <c:pt idx="76">
                  <c:v>28.145</c:v>
                </c:pt>
                <c:pt idx="77">
                  <c:v>27.507999999999999</c:v>
                </c:pt>
                <c:pt idx="78">
                  <c:v>27.556999999999999</c:v>
                </c:pt>
                <c:pt idx="79">
                  <c:v>27.850999999999999</c:v>
                </c:pt>
                <c:pt idx="80">
                  <c:v>27.61</c:v>
                </c:pt>
                <c:pt idx="81">
                  <c:v>27.888000000000002</c:v>
                </c:pt>
                <c:pt idx="82">
                  <c:v>27.504999999999999</c:v>
                </c:pt>
                <c:pt idx="83">
                  <c:v>27.812000000000001</c:v>
                </c:pt>
                <c:pt idx="84">
                  <c:v>27.486999999999998</c:v>
                </c:pt>
                <c:pt idx="85">
                  <c:v>27.795000000000002</c:v>
                </c:pt>
                <c:pt idx="86">
                  <c:v>27.466999999999999</c:v>
                </c:pt>
                <c:pt idx="87">
                  <c:v>27.771000000000001</c:v>
                </c:pt>
                <c:pt idx="88">
                  <c:v>27.363</c:v>
                </c:pt>
                <c:pt idx="89">
                  <c:v>27.837</c:v>
                </c:pt>
                <c:pt idx="90">
                  <c:v>27.317</c:v>
                </c:pt>
                <c:pt idx="91">
                  <c:v>27.856999999999999</c:v>
                </c:pt>
                <c:pt idx="92">
                  <c:v>27.34</c:v>
                </c:pt>
                <c:pt idx="93">
                  <c:v>27.606999999999999</c:v>
                </c:pt>
                <c:pt idx="94">
                  <c:v>27.352</c:v>
                </c:pt>
                <c:pt idx="95">
                  <c:v>27.742000000000001</c:v>
                </c:pt>
                <c:pt idx="96">
                  <c:v>27.366</c:v>
                </c:pt>
                <c:pt idx="97">
                  <c:v>27.724</c:v>
                </c:pt>
                <c:pt idx="98">
                  <c:v>27.298999999999999</c:v>
                </c:pt>
                <c:pt idx="99">
                  <c:v>27.754000000000001</c:v>
                </c:pt>
                <c:pt idx="100">
                  <c:v>27.337</c:v>
                </c:pt>
                <c:pt idx="101">
                  <c:v>27.798999999999999</c:v>
                </c:pt>
                <c:pt idx="102">
                  <c:v>27.295999999999999</c:v>
                </c:pt>
                <c:pt idx="103">
                  <c:v>27.817</c:v>
                </c:pt>
                <c:pt idx="104">
                  <c:v>27.184000000000001</c:v>
                </c:pt>
                <c:pt idx="105">
                  <c:v>27.696999999999999</c:v>
                </c:pt>
                <c:pt idx="106">
                  <c:v>27.259</c:v>
                </c:pt>
                <c:pt idx="107">
                  <c:v>27.658000000000001</c:v>
                </c:pt>
                <c:pt idx="108">
                  <c:v>27.26</c:v>
                </c:pt>
                <c:pt idx="109">
                  <c:v>27.664999999999999</c:v>
                </c:pt>
                <c:pt idx="110">
                  <c:v>27.109000000000002</c:v>
                </c:pt>
                <c:pt idx="111">
                  <c:v>27.760999999999999</c:v>
                </c:pt>
                <c:pt idx="112">
                  <c:v>27.148</c:v>
                </c:pt>
                <c:pt idx="113">
                  <c:v>27.64</c:v>
                </c:pt>
                <c:pt idx="114">
                  <c:v>27.677</c:v>
                </c:pt>
                <c:pt idx="115">
                  <c:v>27.643000000000001</c:v>
                </c:pt>
                <c:pt idx="116">
                  <c:v>27.603000000000002</c:v>
                </c:pt>
                <c:pt idx="117">
                  <c:v>27.632999999999999</c:v>
                </c:pt>
                <c:pt idx="118">
                  <c:v>27.637</c:v>
                </c:pt>
                <c:pt idx="119">
                  <c:v>27.609000000000002</c:v>
                </c:pt>
                <c:pt idx="120">
                  <c:v>27.571999999999999</c:v>
                </c:pt>
                <c:pt idx="121">
                  <c:v>27.834</c:v>
                </c:pt>
                <c:pt idx="122">
                  <c:v>27.602</c:v>
                </c:pt>
                <c:pt idx="123">
                  <c:v>27.547999999999998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5-4FE2-957C-C3CB2C91C4D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('AMP5-4'!$O$4,'AMP5-4'!$O$4)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55-4FE2-957C-C3CB2C91C4D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('AMP5-4'!$O$5,'AMP5-4'!$O$5)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55-4FE2-957C-C3CB2C91C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71192"/>
        <c:axId val="517871584"/>
      </c:scatterChart>
      <c:valAx>
        <c:axId val="51787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71584"/>
        <c:crosses val="autoZero"/>
        <c:crossBetween val="midCat"/>
      </c:valAx>
      <c:valAx>
        <c:axId val="5178715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71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'AMP5-4'!$R$9:$R$132</c:f>
              <c:numCache>
                <c:formatCode>General</c:formatCode>
                <c:ptCount val="124"/>
                <c:pt idx="0">
                  <c:v>17.274999999999999</c:v>
                </c:pt>
                <c:pt idx="1">
                  <c:v>17.329000000000001</c:v>
                </c:pt>
                <c:pt idx="2">
                  <c:v>17.303000000000001</c:v>
                </c:pt>
                <c:pt idx="3">
                  <c:v>17.349</c:v>
                </c:pt>
                <c:pt idx="4">
                  <c:v>17.308</c:v>
                </c:pt>
                <c:pt idx="5">
                  <c:v>17.366</c:v>
                </c:pt>
                <c:pt idx="6">
                  <c:v>17.305</c:v>
                </c:pt>
                <c:pt idx="7">
                  <c:v>17.366</c:v>
                </c:pt>
                <c:pt idx="8">
                  <c:v>17.29</c:v>
                </c:pt>
                <c:pt idx="9">
                  <c:v>17.373999999999999</c:v>
                </c:pt>
                <c:pt idx="10">
                  <c:v>17.286999999999999</c:v>
                </c:pt>
                <c:pt idx="11">
                  <c:v>17.355</c:v>
                </c:pt>
                <c:pt idx="12">
                  <c:v>17.292999999999999</c:v>
                </c:pt>
                <c:pt idx="13">
                  <c:v>17.363</c:v>
                </c:pt>
                <c:pt idx="14">
                  <c:v>17.317</c:v>
                </c:pt>
                <c:pt idx="15">
                  <c:v>17.385000000000002</c:v>
                </c:pt>
                <c:pt idx="16">
                  <c:v>17.314</c:v>
                </c:pt>
                <c:pt idx="17">
                  <c:v>17.361999999999998</c:v>
                </c:pt>
                <c:pt idx="18">
                  <c:v>17.256</c:v>
                </c:pt>
                <c:pt idx="19">
                  <c:v>17.390999999999998</c:v>
                </c:pt>
                <c:pt idx="20">
                  <c:v>17.294</c:v>
                </c:pt>
                <c:pt idx="21">
                  <c:v>17.361999999999998</c:v>
                </c:pt>
                <c:pt idx="22">
                  <c:v>17.283000000000001</c:v>
                </c:pt>
                <c:pt idx="23">
                  <c:v>17.395</c:v>
                </c:pt>
                <c:pt idx="24">
                  <c:v>17.291</c:v>
                </c:pt>
                <c:pt idx="25">
                  <c:v>17.402999999999999</c:v>
                </c:pt>
                <c:pt idx="26">
                  <c:v>17.295000000000002</c:v>
                </c:pt>
                <c:pt idx="27">
                  <c:v>17.381</c:v>
                </c:pt>
                <c:pt idx="28">
                  <c:v>17.391999999999999</c:v>
                </c:pt>
                <c:pt idx="29">
                  <c:v>17.388999999999999</c:v>
                </c:pt>
                <c:pt idx="30">
                  <c:v>17.344000000000001</c:v>
                </c:pt>
                <c:pt idx="31">
                  <c:v>17.414000000000001</c:v>
                </c:pt>
                <c:pt idx="32">
                  <c:v>17.311</c:v>
                </c:pt>
                <c:pt idx="33">
                  <c:v>17.420000000000002</c:v>
                </c:pt>
                <c:pt idx="34">
                  <c:v>17.257000000000001</c:v>
                </c:pt>
                <c:pt idx="35">
                  <c:v>17.329999999999998</c:v>
                </c:pt>
                <c:pt idx="36">
                  <c:v>17.196000000000002</c:v>
                </c:pt>
                <c:pt idx="37">
                  <c:v>17.276</c:v>
                </c:pt>
                <c:pt idx="38">
                  <c:v>17.207999999999998</c:v>
                </c:pt>
                <c:pt idx="39">
                  <c:v>17.218</c:v>
                </c:pt>
                <c:pt idx="40">
                  <c:v>17.209</c:v>
                </c:pt>
                <c:pt idx="41">
                  <c:v>17.22</c:v>
                </c:pt>
                <c:pt idx="42">
                  <c:v>17.23</c:v>
                </c:pt>
                <c:pt idx="43">
                  <c:v>17.251999999999999</c:v>
                </c:pt>
                <c:pt idx="44">
                  <c:v>17.206</c:v>
                </c:pt>
                <c:pt idx="45">
                  <c:v>17.251999999999999</c:v>
                </c:pt>
                <c:pt idx="46">
                  <c:v>17.2</c:v>
                </c:pt>
                <c:pt idx="47">
                  <c:v>17.253</c:v>
                </c:pt>
                <c:pt idx="48">
                  <c:v>17.195</c:v>
                </c:pt>
                <c:pt idx="49">
                  <c:v>17.245000000000001</c:v>
                </c:pt>
                <c:pt idx="50">
                  <c:v>17.202000000000002</c:v>
                </c:pt>
                <c:pt idx="51">
                  <c:v>17.241</c:v>
                </c:pt>
                <c:pt idx="52">
                  <c:v>17.204999999999998</c:v>
                </c:pt>
                <c:pt idx="53">
                  <c:v>17.248000000000001</c:v>
                </c:pt>
                <c:pt idx="54">
                  <c:v>17.202000000000002</c:v>
                </c:pt>
                <c:pt idx="55">
                  <c:v>17.271999999999998</c:v>
                </c:pt>
                <c:pt idx="56">
                  <c:v>17.190999999999999</c:v>
                </c:pt>
                <c:pt idx="57">
                  <c:v>17.216999999999999</c:v>
                </c:pt>
                <c:pt idx="58">
                  <c:v>17.18</c:v>
                </c:pt>
                <c:pt idx="59">
                  <c:v>17.262</c:v>
                </c:pt>
                <c:pt idx="60">
                  <c:v>17.215</c:v>
                </c:pt>
                <c:pt idx="61">
                  <c:v>17.283000000000001</c:v>
                </c:pt>
                <c:pt idx="62">
                  <c:v>17.190999999999999</c:v>
                </c:pt>
                <c:pt idx="63">
                  <c:v>17.27</c:v>
                </c:pt>
                <c:pt idx="64">
                  <c:v>17.187999999999999</c:v>
                </c:pt>
                <c:pt idx="65">
                  <c:v>17.277999999999999</c:v>
                </c:pt>
                <c:pt idx="66">
                  <c:v>17.186</c:v>
                </c:pt>
                <c:pt idx="67">
                  <c:v>17.27</c:v>
                </c:pt>
                <c:pt idx="68">
                  <c:v>17.173999999999999</c:v>
                </c:pt>
                <c:pt idx="69">
                  <c:v>17.251999999999999</c:v>
                </c:pt>
                <c:pt idx="70">
                  <c:v>17.207000000000001</c:v>
                </c:pt>
                <c:pt idx="71">
                  <c:v>17.260000000000002</c:v>
                </c:pt>
                <c:pt idx="72">
                  <c:v>17.228000000000002</c:v>
                </c:pt>
                <c:pt idx="73">
                  <c:v>17.236000000000001</c:v>
                </c:pt>
                <c:pt idx="74">
                  <c:v>17.193999999999999</c:v>
                </c:pt>
                <c:pt idx="75">
                  <c:v>17.260999999999999</c:v>
                </c:pt>
                <c:pt idx="76">
                  <c:v>17.238</c:v>
                </c:pt>
                <c:pt idx="77">
                  <c:v>17.21</c:v>
                </c:pt>
                <c:pt idx="78">
                  <c:v>17.311</c:v>
                </c:pt>
                <c:pt idx="79">
                  <c:v>17.256</c:v>
                </c:pt>
                <c:pt idx="80">
                  <c:v>17.321999999999999</c:v>
                </c:pt>
                <c:pt idx="81">
                  <c:v>17.245000000000001</c:v>
                </c:pt>
                <c:pt idx="82">
                  <c:v>17.238</c:v>
                </c:pt>
                <c:pt idx="83">
                  <c:v>17.263000000000002</c:v>
                </c:pt>
                <c:pt idx="84">
                  <c:v>17.288</c:v>
                </c:pt>
                <c:pt idx="85">
                  <c:v>17.251000000000001</c:v>
                </c:pt>
                <c:pt idx="86">
                  <c:v>17.271999999999998</c:v>
                </c:pt>
                <c:pt idx="87">
                  <c:v>17.225000000000001</c:v>
                </c:pt>
                <c:pt idx="88">
                  <c:v>17.288</c:v>
                </c:pt>
                <c:pt idx="89">
                  <c:v>17.253</c:v>
                </c:pt>
                <c:pt idx="90">
                  <c:v>17.274000000000001</c:v>
                </c:pt>
                <c:pt idx="91">
                  <c:v>17.245999999999999</c:v>
                </c:pt>
                <c:pt idx="92">
                  <c:v>17.285</c:v>
                </c:pt>
                <c:pt idx="93">
                  <c:v>17.256</c:v>
                </c:pt>
                <c:pt idx="94">
                  <c:v>17.277000000000001</c:v>
                </c:pt>
                <c:pt idx="95">
                  <c:v>17.259</c:v>
                </c:pt>
                <c:pt idx="96">
                  <c:v>17.279</c:v>
                </c:pt>
                <c:pt idx="97">
                  <c:v>17.251999999999999</c:v>
                </c:pt>
                <c:pt idx="98">
                  <c:v>17.271000000000001</c:v>
                </c:pt>
                <c:pt idx="99">
                  <c:v>17.259</c:v>
                </c:pt>
                <c:pt idx="100">
                  <c:v>17.257999999999999</c:v>
                </c:pt>
                <c:pt idx="101">
                  <c:v>17.239000000000001</c:v>
                </c:pt>
                <c:pt idx="102">
                  <c:v>17.277000000000001</c:v>
                </c:pt>
                <c:pt idx="103">
                  <c:v>17.274000000000001</c:v>
                </c:pt>
                <c:pt idx="104">
                  <c:v>17.23</c:v>
                </c:pt>
                <c:pt idx="105">
                  <c:v>17.254000000000001</c:v>
                </c:pt>
                <c:pt idx="106">
                  <c:v>17.268999999999998</c:v>
                </c:pt>
                <c:pt idx="107">
                  <c:v>17.247</c:v>
                </c:pt>
                <c:pt idx="108">
                  <c:v>17.260999999999999</c:v>
                </c:pt>
                <c:pt idx="109">
                  <c:v>17.236999999999998</c:v>
                </c:pt>
                <c:pt idx="110">
                  <c:v>17.248000000000001</c:v>
                </c:pt>
                <c:pt idx="111">
                  <c:v>17.241</c:v>
                </c:pt>
                <c:pt idx="112">
                  <c:v>17.324999999999999</c:v>
                </c:pt>
                <c:pt idx="113">
                  <c:v>17.265999999999998</c:v>
                </c:pt>
                <c:pt idx="114">
                  <c:v>17.277999999999999</c:v>
                </c:pt>
                <c:pt idx="115">
                  <c:v>17.213999999999999</c:v>
                </c:pt>
                <c:pt idx="116">
                  <c:v>17.294</c:v>
                </c:pt>
                <c:pt idx="117">
                  <c:v>17.215</c:v>
                </c:pt>
                <c:pt idx="118">
                  <c:v>17.280999999999999</c:v>
                </c:pt>
                <c:pt idx="119">
                  <c:v>17.236999999999998</c:v>
                </c:pt>
                <c:pt idx="120">
                  <c:v>17.224</c:v>
                </c:pt>
                <c:pt idx="121">
                  <c:v>17.274999999999999</c:v>
                </c:pt>
                <c:pt idx="122">
                  <c:v>17.274000000000001</c:v>
                </c:pt>
                <c:pt idx="123">
                  <c:v>17.236999999999998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A-49BF-8470-A72F491E6ED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('AMP5-4'!$R$4,'AMP5-4'!$R$4)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4A-49BF-8470-A72F491E6ED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('AMP5-4'!$R$5,'AMP5-4'!$R$5)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4A-49BF-8470-A72F491E6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72368"/>
        <c:axId val="517872760"/>
      </c:scatterChart>
      <c:valAx>
        <c:axId val="51787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72760"/>
        <c:crosses val="autoZero"/>
        <c:crossBetween val="midCat"/>
      </c:valAx>
      <c:valAx>
        <c:axId val="5178727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72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'AMP5-4'!$S$9:$S$132</c:f>
              <c:numCache>
                <c:formatCode>General</c:formatCode>
                <c:ptCount val="124"/>
                <c:pt idx="0">
                  <c:v>17.396999999999998</c:v>
                </c:pt>
                <c:pt idx="1">
                  <c:v>17.425000000000001</c:v>
                </c:pt>
                <c:pt idx="2">
                  <c:v>17.332999999999998</c:v>
                </c:pt>
                <c:pt idx="3">
                  <c:v>17.425999999999998</c:v>
                </c:pt>
                <c:pt idx="4">
                  <c:v>17.350999999999999</c:v>
                </c:pt>
                <c:pt idx="5">
                  <c:v>17.428000000000001</c:v>
                </c:pt>
                <c:pt idx="6">
                  <c:v>17.408000000000001</c:v>
                </c:pt>
                <c:pt idx="7">
                  <c:v>17.463000000000001</c:v>
                </c:pt>
                <c:pt idx="8">
                  <c:v>17.372</c:v>
                </c:pt>
                <c:pt idx="9">
                  <c:v>17.495999999999999</c:v>
                </c:pt>
                <c:pt idx="10">
                  <c:v>17.437000000000001</c:v>
                </c:pt>
                <c:pt idx="11">
                  <c:v>17.434000000000001</c:v>
                </c:pt>
                <c:pt idx="12">
                  <c:v>17.408999999999999</c:v>
                </c:pt>
                <c:pt idx="13">
                  <c:v>17.431000000000001</c:v>
                </c:pt>
                <c:pt idx="14">
                  <c:v>17.488</c:v>
                </c:pt>
                <c:pt idx="15">
                  <c:v>17.416</c:v>
                </c:pt>
                <c:pt idx="16">
                  <c:v>17.417000000000002</c:v>
                </c:pt>
                <c:pt idx="17">
                  <c:v>17.45</c:v>
                </c:pt>
                <c:pt idx="18">
                  <c:v>17.361000000000001</c:v>
                </c:pt>
                <c:pt idx="19">
                  <c:v>17.521999999999998</c:v>
                </c:pt>
                <c:pt idx="20">
                  <c:v>17.481999999999999</c:v>
                </c:pt>
                <c:pt idx="21">
                  <c:v>17.431999999999999</c:v>
                </c:pt>
                <c:pt idx="22">
                  <c:v>17.477</c:v>
                </c:pt>
                <c:pt idx="23">
                  <c:v>17.373999999999999</c:v>
                </c:pt>
                <c:pt idx="24">
                  <c:v>17.443999999999999</c:v>
                </c:pt>
                <c:pt idx="25">
                  <c:v>17.404</c:v>
                </c:pt>
                <c:pt idx="26">
                  <c:v>17.428000000000001</c:v>
                </c:pt>
                <c:pt idx="27">
                  <c:v>17.417000000000002</c:v>
                </c:pt>
                <c:pt idx="28">
                  <c:v>17.332000000000001</c:v>
                </c:pt>
                <c:pt idx="29">
                  <c:v>17.141999999999999</c:v>
                </c:pt>
                <c:pt idx="30">
                  <c:v>17.152000000000001</c:v>
                </c:pt>
                <c:pt idx="31">
                  <c:v>17.202999999999999</c:v>
                </c:pt>
                <c:pt idx="32">
                  <c:v>17.103999999999999</c:v>
                </c:pt>
                <c:pt idx="33">
                  <c:v>17.213000000000001</c:v>
                </c:pt>
                <c:pt idx="34">
                  <c:v>16.777000000000001</c:v>
                </c:pt>
                <c:pt idx="35">
                  <c:v>17.321000000000002</c:v>
                </c:pt>
                <c:pt idx="36">
                  <c:v>17.324000000000002</c:v>
                </c:pt>
                <c:pt idx="37">
                  <c:v>16.937000000000001</c:v>
                </c:pt>
                <c:pt idx="38">
                  <c:v>17.32</c:v>
                </c:pt>
                <c:pt idx="39">
                  <c:v>17.309999999999999</c:v>
                </c:pt>
                <c:pt idx="40">
                  <c:v>17.241</c:v>
                </c:pt>
                <c:pt idx="41">
                  <c:v>17.286000000000001</c:v>
                </c:pt>
                <c:pt idx="42">
                  <c:v>17.312999999999999</c:v>
                </c:pt>
                <c:pt idx="43">
                  <c:v>17.213000000000001</c:v>
                </c:pt>
                <c:pt idx="44">
                  <c:v>17.242000000000001</c:v>
                </c:pt>
                <c:pt idx="45">
                  <c:v>17.279</c:v>
                </c:pt>
                <c:pt idx="46">
                  <c:v>17.300999999999998</c:v>
                </c:pt>
                <c:pt idx="47">
                  <c:v>17.28</c:v>
                </c:pt>
                <c:pt idx="48">
                  <c:v>17.292000000000002</c:v>
                </c:pt>
                <c:pt idx="49">
                  <c:v>17.335000000000001</c:v>
                </c:pt>
                <c:pt idx="50">
                  <c:v>17.317</c:v>
                </c:pt>
                <c:pt idx="51">
                  <c:v>17.221</c:v>
                </c:pt>
                <c:pt idx="52">
                  <c:v>17.239000000000001</c:v>
                </c:pt>
                <c:pt idx="53">
                  <c:v>17.366</c:v>
                </c:pt>
                <c:pt idx="54">
                  <c:v>17.242999999999999</c:v>
                </c:pt>
                <c:pt idx="55">
                  <c:v>17.219000000000001</c:v>
                </c:pt>
                <c:pt idx="56">
                  <c:v>17.257000000000001</c:v>
                </c:pt>
                <c:pt idx="57">
                  <c:v>17.231000000000002</c:v>
                </c:pt>
                <c:pt idx="58">
                  <c:v>17.215</c:v>
                </c:pt>
                <c:pt idx="59">
                  <c:v>17.292999999999999</c:v>
                </c:pt>
                <c:pt idx="60">
                  <c:v>17.175999999999998</c:v>
                </c:pt>
                <c:pt idx="61">
                  <c:v>17.260999999999999</c:v>
                </c:pt>
                <c:pt idx="62">
                  <c:v>17.206</c:v>
                </c:pt>
                <c:pt idx="63">
                  <c:v>17.259</c:v>
                </c:pt>
                <c:pt idx="64">
                  <c:v>17.259</c:v>
                </c:pt>
                <c:pt idx="65">
                  <c:v>17.388000000000002</c:v>
                </c:pt>
                <c:pt idx="66">
                  <c:v>17.206</c:v>
                </c:pt>
                <c:pt idx="67">
                  <c:v>17.405999999999999</c:v>
                </c:pt>
                <c:pt idx="68">
                  <c:v>17.132999999999999</c:v>
                </c:pt>
                <c:pt idx="69">
                  <c:v>17.292999999999999</c:v>
                </c:pt>
                <c:pt idx="70">
                  <c:v>17.123000000000001</c:v>
                </c:pt>
                <c:pt idx="71">
                  <c:v>17.312000000000001</c:v>
                </c:pt>
                <c:pt idx="72">
                  <c:v>17.087</c:v>
                </c:pt>
                <c:pt idx="73">
                  <c:v>17.22</c:v>
                </c:pt>
                <c:pt idx="74">
                  <c:v>17.173999999999999</c:v>
                </c:pt>
                <c:pt idx="75">
                  <c:v>17.334</c:v>
                </c:pt>
                <c:pt idx="76">
                  <c:v>17.38</c:v>
                </c:pt>
                <c:pt idx="77">
                  <c:v>17.279</c:v>
                </c:pt>
                <c:pt idx="78">
                  <c:v>17.311</c:v>
                </c:pt>
                <c:pt idx="79">
                  <c:v>17.308</c:v>
                </c:pt>
                <c:pt idx="80">
                  <c:v>17.256</c:v>
                </c:pt>
                <c:pt idx="81">
                  <c:v>17.361000000000001</c:v>
                </c:pt>
                <c:pt idx="82">
                  <c:v>17.117999999999999</c:v>
                </c:pt>
                <c:pt idx="83">
                  <c:v>17.413</c:v>
                </c:pt>
                <c:pt idx="84">
                  <c:v>17.216999999999999</c:v>
                </c:pt>
                <c:pt idx="85">
                  <c:v>17.404</c:v>
                </c:pt>
                <c:pt idx="86">
                  <c:v>17.260999999999999</c:v>
                </c:pt>
                <c:pt idx="87">
                  <c:v>17.414000000000001</c:v>
                </c:pt>
                <c:pt idx="88">
                  <c:v>17.207000000000001</c:v>
                </c:pt>
                <c:pt idx="89">
                  <c:v>17.352</c:v>
                </c:pt>
                <c:pt idx="90">
                  <c:v>17.201000000000001</c:v>
                </c:pt>
                <c:pt idx="91">
                  <c:v>17.329000000000001</c:v>
                </c:pt>
                <c:pt idx="92">
                  <c:v>17.155000000000001</c:v>
                </c:pt>
                <c:pt idx="93">
                  <c:v>17.263999999999999</c:v>
                </c:pt>
                <c:pt idx="94">
                  <c:v>17.271000000000001</c:v>
                </c:pt>
                <c:pt idx="95">
                  <c:v>17.385999999999999</c:v>
                </c:pt>
                <c:pt idx="96">
                  <c:v>17.134</c:v>
                </c:pt>
                <c:pt idx="97">
                  <c:v>17.311</c:v>
                </c:pt>
                <c:pt idx="98">
                  <c:v>17.152000000000001</c:v>
                </c:pt>
                <c:pt idx="99">
                  <c:v>17.334</c:v>
                </c:pt>
                <c:pt idx="100">
                  <c:v>17.177</c:v>
                </c:pt>
                <c:pt idx="101">
                  <c:v>17.334</c:v>
                </c:pt>
                <c:pt idx="102">
                  <c:v>17.109000000000002</c:v>
                </c:pt>
                <c:pt idx="103">
                  <c:v>17.292999999999999</c:v>
                </c:pt>
                <c:pt idx="104">
                  <c:v>16.988</c:v>
                </c:pt>
                <c:pt idx="105">
                  <c:v>17.343</c:v>
                </c:pt>
                <c:pt idx="106">
                  <c:v>17.010999999999999</c:v>
                </c:pt>
                <c:pt idx="107">
                  <c:v>17.292000000000002</c:v>
                </c:pt>
                <c:pt idx="108">
                  <c:v>16.989000000000001</c:v>
                </c:pt>
                <c:pt idx="109">
                  <c:v>17.39</c:v>
                </c:pt>
                <c:pt idx="110">
                  <c:v>17.036000000000001</c:v>
                </c:pt>
                <c:pt idx="111">
                  <c:v>17.286000000000001</c:v>
                </c:pt>
                <c:pt idx="112">
                  <c:v>16.82</c:v>
                </c:pt>
                <c:pt idx="113">
                  <c:v>17.213000000000001</c:v>
                </c:pt>
                <c:pt idx="114">
                  <c:v>17.306000000000001</c:v>
                </c:pt>
                <c:pt idx="115">
                  <c:v>17.331</c:v>
                </c:pt>
                <c:pt idx="116">
                  <c:v>17.271000000000001</c:v>
                </c:pt>
                <c:pt idx="117">
                  <c:v>17.353999999999999</c:v>
                </c:pt>
                <c:pt idx="118">
                  <c:v>17.335999999999999</c:v>
                </c:pt>
                <c:pt idx="119">
                  <c:v>17.329999999999998</c:v>
                </c:pt>
                <c:pt idx="120">
                  <c:v>17.245999999999999</c:v>
                </c:pt>
                <c:pt idx="121">
                  <c:v>17.259</c:v>
                </c:pt>
                <c:pt idx="122">
                  <c:v>17.239999999999998</c:v>
                </c:pt>
                <c:pt idx="123">
                  <c:v>17.283999999999999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BB-40A2-B5BC-B6D82ADC320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('AMP5-4'!$S$4,'AMP5-4'!$S$4)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BB-40A2-B5BC-B6D82ADC320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('AMP5-4'!$S$5,'AMP5-4'!$S$5)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BB-40A2-B5BC-B6D82ADC3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0904"/>
        <c:axId val="543091296"/>
      </c:scatterChart>
      <c:valAx>
        <c:axId val="54309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1296"/>
        <c:crosses val="autoZero"/>
        <c:crossBetween val="midCat"/>
      </c:valAx>
      <c:valAx>
        <c:axId val="543091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'AMP5-4'!$T$9:$T$132</c:f>
              <c:numCache>
                <c:formatCode>General</c:formatCode>
                <c:ptCount val="124"/>
                <c:pt idx="0">
                  <c:v>33.843000000000004</c:v>
                </c:pt>
                <c:pt idx="1">
                  <c:v>36.618000000000002</c:v>
                </c:pt>
                <c:pt idx="2">
                  <c:v>33.857999999999997</c:v>
                </c:pt>
                <c:pt idx="3">
                  <c:v>35.185000000000002</c:v>
                </c:pt>
                <c:pt idx="4">
                  <c:v>33.393999999999998</c:v>
                </c:pt>
                <c:pt idx="5">
                  <c:v>37.332000000000001</c:v>
                </c:pt>
                <c:pt idx="6">
                  <c:v>33.729999999999997</c:v>
                </c:pt>
                <c:pt idx="7">
                  <c:v>37.180999999999997</c:v>
                </c:pt>
                <c:pt idx="8">
                  <c:v>33.279000000000003</c:v>
                </c:pt>
                <c:pt idx="9">
                  <c:v>33.438000000000002</c:v>
                </c:pt>
                <c:pt idx="10">
                  <c:v>33.673000000000002</c:v>
                </c:pt>
                <c:pt idx="11">
                  <c:v>37.213000000000001</c:v>
                </c:pt>
                <c:pt idx="12">
                  <c:v>33.686999999999998</c:v>
                </c:pt>
                <c:pt idx="13">
                  <c:v>35.951000000000001</c:v>
                </c:pt>
                <c:pt idx="14">
                  <c:v>33.625</c:v>
                </c:pt>
                <c:pt idx="15">
                  <c:v>35.954000000000001</c:v>
                </c:pt>
                <c:pt idx="16">
                  <c:v>33.670999999999999</c:v>
                </c:pt>
                <c:pt idx="17">
                  <c:v>37.170999999999999</c:v>
                </c:pt>
                <c:pt idx="18">
                  <c:v>33.642000000000003</c:v>
                </c:pt>
                <c:pt idx="19">
                  <c:v>36.877000000000002</c:v>
                </c:pt>
                <c:pt idx="20">
                  <c:v>33.067</c:v>
                </c:pt>
                <c:pt idx="21">
                  <c:v>38.356999999999999</c:v>
                </c:pt>
                <c:pt idx="22">
                  <c:v>33.654000000000003</c:v>
                </c:pt>
                <c:pt idx="23">
                  <c:v>38.323999999999998</c:v>
                </c:pt>
                <c:pt idx="24">
                  <c:v>33.292999999999999</c:v>
                </c:pt>
                <c:pt idx="25">
                  <c:v>37.375</c:v>
                </c:pt>
                <c:pt idx="26">
                  <c:v>33.356000000000002</c:v>
                </c:pt>
                <c:pt idx="27">
                  <c:v>37.151000000000003</c:v>
                </c:pt>
                <c:pt idx="28">
                  <c:v>33.271000000000001</c:v>
                </c:pt>
                <c:pt idx="29">
                  <c:v>34.451999999999998</c:v>
                </c:pt>
                <c:pt idx="30">
                  <c:v>33.299999999999997</c:v>
                </c:pt>
                <c:pt idx="31">
                  <c:v>38.212000000000003</c:v>
                </c:pt>
                <c:pt idx="32">
                  <c:v>33.375999999999998</c:v>
                </c:pt>
                <c:pt idx="33">
                  <c:v>37.820999999999998</c:v>
                </c:pt>
                <c:pt idx="34">
                  <c:v>33.241</c:v>
                </c:pt>
                <c:pt idx="35">
                  <c:v>36.615000000000002</c:v>
                </c:pt>
                <c:pt idx="36">
                  <c:v>33.639000000000003</c:v>
                </c:pt>
                <c:pt idx="37">
                  <c:v>37.228000000000002</c:v>
                </c:pt>
                <c:pt idx="38">
                  <c:v>33.652999999999999</c:v>
                </c:pt>
                <c:pt idx="39">
                  <c:v>37.706000000000003</c:v>
                </c:pt>
                <c:pt idx="40">
                  <c:v>33.637</c:v>
                </c:pt>
                <c:pt idx="41">
                  <c:v>34.423999999999999</c:v>
                </c:pt>
                <c:pt idx="42">
                  <c:v>33.677</c:v>
                </c:pt>
                <c:pt idx="43">
                  <c:v>36.755000000000003</c:v>
                </c:pt>
                <c:pt idx="44">
                  <c:v>33.398000000000003</c:v>
                </c:pt>
                <c:pt idx="45">
                  <c:v>37.332999999999998</c:v>
                </c:pt>
                <c:pt idx="46">
                  <c:v>32.987000000000002</c:v>
                </c:pt>
                <c:pt idx="47">
                  <c:v>38.119</c:v>
                </c:pt>
                <c:pt idx="48">
                  <c:v>33.404000000000003</c:v>
                </c:pt>
                <c:pt idx="49">
                  <c:v>37.643999999999998</c:v>
                </c:pt>
                <c:pt idx="50">
                  <c:v>33.396000000000001</c:v>
                </c:pt>
                <c:pt idx="51">
                  <c:v>37.119999999999997</c:v>
                </c:pt>
                <c:pt idx="52">
                  <c:v>33.664999999999999</c:v>
                </c:pt>
                <c:pt idx="53">
                  <c:v>36.174999999999997</c:v>
                </c:pt>
                <c:pt idx="54">
                  <c:v>33.479999999999997</c:v>
                </c:pt>
                <c:pt idx="55">
                  <c:v>37.350999999999999</c:v>
                </c:pt>
                <c:pt idx="56">
                  <c:v>33.39</c:v>
                </c:pt>
                <c:pt idx="57">
                  <c:v>35.97</c:v>
                </c:pt>
                <c:pt idx="58">
                  <c:v>33.31</c:v>
                </c:pt>
                <c:pt idx="59">
                  <c:v>37.837000000000003</c:v>
                </c:pt>
                <c:pt idx="60">
                  <c:v>33.828000000000003</c:v>
                </c:pt>
                <c:pt idx="61">
                  <c:v>36.468000000000004</c:v>
                </c:pt>
                <c:pt idx="62">
                  <c:v>33.509</c:v>
                </c:pt>
                <c:pt idx="63">
                  <c:v>35.527999999999999</c:v>
                </c:pt>
                <c:pt idx="64">
                  <c:v>33.655999999999999</c:v>
                </c:pt>
                <c:pt idx="65">
                  <c:v>37.255000000000003</c:v>
                </c:pt>
                <c:pt idx="66">
                  <c:v>33.377000000000002</c:v>
                </c:pt>
                <c:pt idx="67">
                  <c:v>38.110999999999997</c:v>
                </c:pt>
                <c:pt idx="68">
                  <c:v>33.639000000000003</c:v>
                </c:pt>
                <c:pt idx="69">
                  <c:v>36.74</c:v>
                </c:pt>
                <c:pt idx="70">
                  <c:v>33.264000000000003</c:v>
                </c:pt>
                <c:pt idx="71">
                  <c:v>37.768999999999998</c:v>
                </c:pt>
                <c:pt idx="72">
                  <c:v>33.295000000000002</c:v>
                </c:pt>
                <c:pt idx="73">
                  <c:v>36.814999999999998</c:v>
                </c:pt>
                <c:pt idx="74">
                  <c:v>33.487000000000002</c:v>
                </c:pt>
                <c:pt idx="75">
                  <c:v>38.670999999999999</c:v>
                </c:pt>
                <c:pt idx="76">
                  <c:v>37.329000000000001</c:v>
                </c:pt>
                <c:pt idx="77">
                  <c:v>33.491</c:v>
                </c:pt>
                <c:pt idx="78">
                  <c:v>33.707000000000001</c:v>
                </c:pt>
                <c:pt idx="79">
                  <c:v>37.722000000000001</c:v>
                </c:pt>
                <c:pt idx="80">
                  <c:v>33.415999999999997</c:v>
                </c:pt>
                <c:pt idx="81">
                  <c:v>39.162999999999997</c:v>
                </c:pt>
                <c:pt idx="82">
                  <c:v>33.341999999999999</c:v>
                </c:pt>
                <c:pt idx="83">
                  <c:v>37.152999999999999</c:v>
                </c:pt>
                <c:pt idx="84">
                  <c:v>33.591999999999999</c:v>
                </c:pt>
                <c:pt idx="85">
                  <c:v>37.271999999999998</c:v>
                </c:pt>
                <c:pt idx="86">
                  <c:v>33.575000000000003</c:v>
                </c:pt>
                <c:pt idx="87">
                  <c:v>38.008000000000003</c:v>
                </c:pt>
                <c:pt idx="88">
                  <c:v>33.517000000000003</c:v>
                </c:pt>
                <c:pt idx="89">
                  <c:v>39.274000000000001</c:v>
                </c:pt>
                <c:pt idx="90">
                  <c:v>33.216000000000001</c:v>
                </c:pt>
                <c:pt idx="91">
                  <c:v>37.890999999999998</c:v>
                </c:pt>
                <c:pt idx="92">
                  <c:v>33.716000000000001</c:v>
                </c:pt>
                <c:pt idx="93">
                  <c:v>34.25</c:v>
                </c:pt>
                <c:pt idx="94">
                  <c:v>33.859000000000002</c:v>
                </c:pt>
                <c:pt idx="95">
                  <c:v>37.804000000000002</c:v>
                </c:pt>
                <c:pt idx="96">
                  <c:v>33.673999999999999</c:v>
                </c:pt>
                <c:pt idx="97">
                  <c:v>35.451999999999998</c:v>
                </c:pt>
                <c:pt idx="98">
                  <c:v>33.546999999999997</c:v>
                </c:pt>
                <c:pt idx="99">
                  <c:v>35.158999999999999</c:v>
                </c:pt>
                <c:pt idx="100">
                  <c:v>32.677</c:v>
                </c:pt>
                <c:pt idx="101">
                  <c:v>35</c:v>
                </c:pt>
                <c:pt idx="102">
                  <c:v>33.411000000000001</c:v>
                </c:pt>
                <c:pt idx="103">
                  <c:v>35.128999999999998</c:v>
                </c:pt>
                <c:pt idx="104">
                  <c:v>33.667000000000002</c:v>
                </c:pt>
                <c:pt idx="105">
                  <c:v>34.957999999999998</c:v>
                </c:pt>
                <c:pt idx="106">
                  <c:v>33.639000000000003</c:v>
                </c:pt>
                <c:pt idx="107">
                  <c:v>39.273000000000003</c:v>
                </c:pt>
                <c:pt idx="108">
                  <c:v>33.555</c:v>
                </c:pt>
                <c:pt idx="109">
                  <c:v>36.591999999999999</c:v>
                </c:pt>
                <c:pt idx="110">
                  <c:v>31.498000000000001</c:v>
                </c:pt>
                <c:pt idx="111">
                  <c:v>39.014000000000003</c:v>
                </c:pt>
                <c:pt idx="112">
                  <c:v>33.173000000000002</c:v>
                </c:pt>
                <c:pt idx="113">
                  <c:v>39.143999999999998</c:v>
                </c:pt>
                <c:pt idx="114">
                  <c:v>33.293999999999997</c:v>
                </c:pt>
                <c:pt idx="115">
                  <c:v>37.908999999999999</c:v>
                </c:pt>
                <c:pt idx="116">
                  <c:v>33.347000000000001</c:v>
                </c:pt>
                <c:pt idx="117">
                  <c:v>37.744</c:v>
                </c:pt>
                <c:pt idx="118">
                  <c:v>33.284999999999997</c:v>
                </c:pt>
                <c:pt idx="119">
                  <c:v>38.722000000000001</c:v>
                </c:pt>
                <c:pt idx="120">
                  <c:v>33.543999999999997</c:v>
                </c:pt>
                <c:pt idx="121">
                  <c:v>39.325000000000003</c:v>
                </c:pt>
                <c:pt idx="122">
                  <c:v>33.204999999999998</c:v>
                </c:pt>
                <c:pt idx="123">
                  <c:v>38.363999999999997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9-43A2-976A-205BEAE0B77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('AMP5-4'!$T$4,'AMP5-4'!$T$4)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F9-43A2-976A-205BEAE0B77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('AMP5-4'!$T$5,'AMP5-4'!$T$5)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F9-43A2-976A-205BEAE0B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2080"/>
        <c:axId val="543092472"/>
      </c:scatterChart>
      <c:valAx>
        <c:axId val="54309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2472"/>
        <c:crosses val="autoZero"/>
        <c:crossBetween val="midCat"/>
      </c:valAx>
      <c:valAx>
        <c:axId val="5430924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'AMP5-4'!$U$9:$U$132</c:f>
              <c:numCache>
                <c:formatCode>General</c:formatCode>
                <c:ptCount val="124"/>
                <c:pt idx="0">
                  <c:v>34.06</c:v>
                </c:pt>
                <c:pt idx="1">
                  <c:v>36.280999999999999</c:v>
                </c:pt>
                <c:pt idx="2">
                  <c:v>34.113999999999997</c:v>
                </c:pt>
                <c:pt idx="3">
                  <c:v>37.442999999999998</c:v>
                </c:pt>
                <c:pt idx="4">
                  <c:v>34.031999999999996</c:v>
                </c:pt>
                <c:pt idx="5">
                  <c:v>38.061999999999998</c:v>
                </c:pt>
                <c:pt idx="6">
                  <c:v>34.006</c:v>
                </c:pt>
                <c:pt idx="7">
                  <c:v>38.735999999999997</c:v>
                </c:pt>
                <c:pt idx="8">
                  <c:v>34.279000000000003</c:v>
                </c:pt>
                <c:pt idx="9">
                  <c:v>33.962000000000003</c:v>
                </c:pt>
                <c:pt idx="10">
                  <c:v>33.755000000000003</c:v>
                </c:pt>
                <c:pt idx="11">
                  <c:v>37.909999999999997</c:v>
                </c:pt>
                <c:pt idx="12">
                  <c:v>34.011000000000003</c:v>
                </c:pt>
                <c:pt idx="13">
                  <c:v>36.697000000000003</c:v>
                </c:pt>
                <c:pt idx="14">
                  <c:v>34.213000000000001</c:v>
                </c:pt>
                <c:pt idx="15">
                  <c:v>38.067</c:v>
                </c:pt>
                <c:pt idx="16">
                  <c:v>34.03</c:v>
                </c:pt>
                <c:pt idx="17">
                  <c:v>38.101999999999997</c:v>
                </c:pt>
                <c:pt idx="18">
                  <c:v>33.914000000000001</c:v>
                </c:pt>
                <c:pt idx="19">
                  <c:v>38.944000000000003</c:v>
                </c:pt>
                <c:pt idx="20">
                  <c:v>33.932000000000002</c:v>
                </c:pt>
                <c:pt idx="21">
                  <c:v>39.701000000000001</c:v>
                </c:pt>
                <c:pt idx="22">
                  <c:v>33.542000000000002</c:v>
                </c:pt>
                <c:pt idx="23">
                  <c:v>39.787999999999997</c:v>
                </c:pt>
                <c:pt idx="24">
                  <c:v>33.585999999999999</c:v>
                </c:pt>
                <c:pt idx="25">
                  <c:v>38.767000000000003</c:v>
                </c:pt>
                <c:pt idx="26">
                  <c:v>33.637999999999998</c:v>
                </c:pt>
                <c:pt idx="27">
                  <c:v>38.456000000000003</c:v>
                </c:pt>
                <c:pt idx="28">
                  <c:v>33.633000000000003</c:v>
                </c:pt>
                <c:pt idx="29">
                  <c:v>36.012</c:v>
                </c:pt>
                <c:pt idx="30">
                  <c:v>33.956000000000003</c:v>
                </c:pt>
                <c:pt idx="31">
                  <c:v>38.469000000000001</c:v>
                </c:pt>
                <c:pt idx="32">
                  <c:v>33.939</c:v>
                </c:pt>
                <c:pt idx="33">
                  <c:v>39.015000000000001</c:v>
                </c:pt>
                <c:pt idx="34">
                  <c:v>34.274999999999999</c:v>
                </c:pt>
                <c:pt idx="35">
                  <c:v>38.384999999999998</c:v>
                </c:pt>
                <c:pt idx="36">
                  <c:v>34.395000000000003</c:v>
                </c:pt>
                <c:pt idx="37">
                  <c:v>37.786000000000001</c:v>
                </c:pt>
                <c:pt idx="38">
                  <c:v>34.064999999999998</c:v>
                </c:pt>
                <c:pt idx="39">
                  <c:v>38.914999999999999</c:v>
                </c:pt>
                <c:pt idx="40">
                  <c:v>34.264000000000003</c:v>
                </c:pt>
                <c:pt idx="41">
                  <c:v>39.271999999999998</c:v>
                </c:pt>
                <c:pt idx="42">
                  <c:v>34.158999999999999</c:v>
                </c:pt>
                <c:pt idx="43">
                  <c:v>36.124000000000002</c:v>
                </c:pt>
                <c:pt idx="44">
                  <c:v>34.314999999999998</c:v>
                </c:pt>
                <c:pt idx="45">
                  <c:v>36.71</c:v>
                </c:pt>
                <c:pt idx="46">
                  <c:v>34.081000000000003</c:v>
                </c:pt>
                <c:pt idx="47">
                  <c:v>37.823999999999998</c:v>
                </c:pt>
                <c:pt idx="48">
                  <c:v>34.040999999999997</c:v>
                </c:pt>
                <c:pt idx="49">
                  <c:v>39.435000000000002</c:v>
                </c:pt>
                <c:pt idx="50">
                  <c:v>33.926000000000002</c:v>
                </c:pt>
                <c:pt idx="51">
                  <c:v>37.618000000000002</c:v>
                </c:pt>
                <c:pt idx="52">
                  <c:v>33.701000000000001</c:v>
                </c:pt>
                <c:pt idx="53">
                  <c:v>36.08</c:v>
                </c:pt>
                <c:pt idx="54">
                  <c:v>33.884</c:v>
                </c:pt>
                <c:pt idx="55">
                  <c:v>38.045000000000002</c:v>
                </c:pt>
                <c:pt idx="56">
                  <c:v>33.872999999999998</c:v>
                </c:pt>
                <c:pt idx="57">
                  <c:v>37.084000000000003</c:v>
                </c:pt>
                <c:pt idx="58">
                  <c:v>34.067999999999998</c:v>
                </c:pt>
                <c:pt idx="59">
                  <c:v>38.125999999999998</c:v>
                </c:pt>
                <c:pt idx="60">
                  <c:v>33.936999999999998</c:v>
                </c:pt>
                <c:pt idx="61">
                  <c:v>36.414999999999999</c:v>
                </c:pt>
                <c:pt idx="62">
                  <c:v>34.139000000000003</c:v>
                </c:pt>
                <c:pt idx="63">
                  <c:v>36.622</c:v>
                </c:pt>
                <c:pt idx="64">
                  <c:v>33.906999999999996</c:v>
                </c:pt>
                <c:pt idx="65">
                  <c:v>37.805999999999997</c:v>
                </c:pt>
                <c:pt idx="66">
                  <c:v>34.325000000000003</c:v>
                </c:pt>
                <c:pt idx="67">
                  <c:v>37.630000000000003</c:v>
                </c:pt>
                <c:pt idx="68">
                  <c:v>33.996000000000002</c:v>
                </c:pt>
                <c:pt idx="69">
                  <c:v>37.478999999999999</c:v>
                </c:pt>
                <c:pt idx="70">
                  <c:v>34.08</c:v>
                </c:pt>
                <c:pt idx="71">
                  <c:v>38.682000000000002</c:v>
                </c:pt>
                <c:pt idx="72">
                  <c:v>34.024999999999999</c:v>
                </c:pt>
                <c:pt idx="73">
                  <c:v>36.561</c:v>
                </c:pt>
                <c:pt idx="74">
                  <c:v>33.841999999999999</c:v>
                </c:pt>
                <c:pt idx="75">
                  <c:v>37.923000000000002</c:v>
                </c:pt>
                <c:pt idx="76">
                  <c:v>37.887999999999998</c:v>
                </c:pt>
                <c:pt idx="77">
                  <c:v>33.843000000000004</c:v>
                </c:pt>
                <c:pt idx="78">
                  <c:v>34.121000000000002</c:v>
                </c:pt>
                <c:pt idx="79">
                  <c:v>39.426000000000002</c:v>
                </c:pt>
                <c:pt idx="80">
                  <c:v>33.847000000000001</c:v>
                </c:pt>
                <c:pt idx="81">
                  <c:v>41.506999999999998</c:v>
                </c:pt>
                <c:pt idx="82">
                  <c:v>34.287999999999997</c:v>
                </c:pt>
                <c:pt idx="83">
                  <c:v>38.671999999999997</c:v>
                </c:pt>
                <c:pt idx="84">
                  <c:v>34.226999999999997</c:v>
                </c:pt>
                <c:pt idx="85">
                  <c:v>36.606000000000002</c:v>
                </c:pt>
                <c:pt idx="86">
                  <c:v>33.921999999999997</c:v>
                </c:pt>
                <c:pt idx="87">
                  <c:v>38.438000000000002</c:v>
                </c:pt>
                <c:pt idx="88">
                  <c:v>33.997999999999998</c:v>
                </c:pt>
                <c:pt idx="89">
                  <c:v>41.344000000000001</c:v>
                </c:pt>
                <c:pt idx="90">
                  <c:v>34.396000000000001</c:v>
                </c:pt>
                <c:pt idx="91">
                  <c:v>38.003</c:v>
                </c:pt>
                <c:pt idx="92">
                  <c:v>34.079000000000001</c:v>
                </c:pt>
                <c:pt idx="93">
                  <c:v>37.762999999999998</c:v>
                </c:pt>
                <c:pt idx="94">
                  <c:v>33.75</c:v>
                </c:pt>
                <c:pt idx="95">
                  <c:v>38.417999999999999</c:v>
                </c:pt>
                <c:pt idx="96">
                  <c:v>33.972999999999999</c:v>
                </c:pt>
                <c:pt idx="97">
                  <c:v>36.664000000000001</c:v>
                </c:pt>
                <c:pt idx="98">
                  <c:v>33.945</c:v>
                </c:pt>
                <c:pt idx="99">
                  <c:v>35.738999999999997</c:v>
                </c:pt>
                <c:pt idx="100">
                  <c:v>34.732999999999997</c:v>
                </c:pt>
                <c:pt idx="101">
                  <c:v>35.944000000000003</c:v>
                </c:pt>
                <c:pt idx="102">
                  <c:v>34.796999999999997</c:v>
                </c:pt>
                <c:pt idx="103">
                  <c:v>36.881</c:v>
                </c:pt>
                <c:pt idx="104">
                  <c:v>34.262999999999998</c:v>
                </c:pt>
                <c:pt idx="105">
                  <c:v>37.841000000000001</c:v>
                </c:pt>
                <c:pt idx="106">
                  <c:v>34.210999999999999</c:v>
                </c:pt>
                <c:pt idx="107">
                  <c:v>39.648000000000003</c:v>
                </c:pt>
                <c:pt idx="108">
                  <c:v>34.201000000000001</c:v>
                </c:pt>
                <c:pt idx="109">
                  <c:v>36.125</c:v>
                </c:pt>
                <c:pt idx="110">
                  <c:v>35.551000000000002</c:v>
                </c:pt>
                <c:pt idx="111">
                  <c:v>37.655999999999999</c:v>
                </c:pt>
                <c:pt idx="112">
                  <c:v>35.26</c:v>
                </c:pt>
                <c:pt idx="113">
                  <c:v>38.869999999999997</c:v>
                </c:pt>
                <c:pt idx="114">
                  <c:v>34.408999999999999</c:v>
                </c:pt>
                <c:pt idx="115">
                  <c:v>38.356999999999999</c:v>
                </c:pt>
                <c:pt idx="116">
                  <c:v>34.161000000000001</c:v>
                </c:pt>
                <c:pt idx="117">
                  <c:v>39.999000000000002</c:v>
                </c:pt>
                <c:pt idx="118">
                  <c:v>34.002000000000002</c:v>
                </c:pt>
                <c:pt idx="119">
                  <c:v>39.390999999999998</c:v>
                </c:pt>
                <c:pt idx="120">
                  <c:v>33.970999999999997</c:v>
                </c:pt>
                <c:pt idx="121">
                  <c:v>40.118000000000002</c:v>
                </c:pt>
                <c:pt idx="122">
                  <c:v>34.274000000000001</c:v>
                </c:pt>
                <c:pt idx="123">
                  <c:v>39.247999999999998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7-4713-B5CD-3BB3491B2EC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('AMP5-4'!$U$4,'AMP5-4'!$U$4)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7-4713-B5CD-3BB3491B2EC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('AMP5-4'!$U$5,'AMP5-4'!$U$5)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C7-4713-B5CD-3BB3491B2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3256"/>
        <c:axId val="543093648"/>
      </c:scatterChart>
      <c:valAx>
        <c:axId val="54309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3648"/>
        <c:crosses val="autoZero"/>
        <c:crossBetween val="midCat"/>
      </c:valAx>
      <c:valAx>
        <c:axId val="543093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'AMP5-4'!$AB$9:$AB$132</c:f>
              <c:numCache>
                <c:formatCode>General</c:formatCode>
                <c:ptCount val="124"/>
                <c:pt idx="0">
                  <c:v>7.6999999999999999E-2</c:v>
                </c:pt>
                <c:pt idx="1">
                  <c:v>0.106</c:v>
                </c:pt>
                <c:pt idx="2">
                  <c:v>7.0999999999999994E-2</c:v>
                </c:pt>
                <c:pt idx="3">
                  <c:v>-7.6999999999999999E-2</c:v>
                </c:pt>
                <c:pt idx="4">
                  <c:v>-2.3E-2</c:v>
                </c:pt>
                <c:pt idx="5">
                  <c:v>8.0000000000000002E-3</c:v>
                </c:pt>
                <c:pt idx="6">
                  <c:v>0.115</c:v>
                </c:pt>
                <c:pt idx="7">
                  <c:v>-0.08</c:v>
                </c:pt>
                <c:pt idx="8">
                  <c:v>7.0000000000000001E-3</c:v>
                </c:pt>
                <c:pt idx="9">
                  <c:v>3.1E-2</c:v>
                </c:pt>
                <c:pt idx="10">
                  <c:v>5.2999999999999999E-2</c:v>
                </c:pt>
                <c:pt idx="11">
                  <c:v>4.2999999999999997E-2</c:v>
                </c:pt>
                <c:pt idx="12">
                  <c:v>-1E-3</c:v>
                </c:pt>
                <c:pt idx="13">
                  <c:v>-1.2999999999999999E-2</c:v>
                </c:pt>
                <c:pt idx="14">
                  <c:v>7.1999999999999995E-2</c:v>
                </c:pt>
                <c:pt idx="15">
                  <c:v>0.10199999999999999</c:v>
                </c:pt>
                <c:pt idx="16">
                  <c:v>-8.9999999999999993E-3</c:v>
                </c:pt>
                <c:pt idx="17">
                  <c:v>2.8000000000000001E-2</c:v>
                </c:pt>
                <c:pt idx="18">
                  <c:v>-0.22800000000000001</c:v>
                </c:pt>
                <c:pt idx="19">
                  <c:v>-9.2999999999999999E-2</c:v>
                </c:pt>
                <c:pt idx="20">
                  <c:v>-2E-3</c:v>
                </c:pt>
                <c:pt idx="21">
                  <c:v>0.108</c:v>
                </c:pt>
                <c:pt idx="22">
                  <c:v>-1.6E-2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-0.08</c:v>
                </c:pt>
                <c:pt idx="26">
                  <c:v>-4.2000000000000003E-2</c:v>
                </c:pt>
                <c:pt idx="27">
                  <c:v>-2.9000000000000001E-2</c:v>
                </c:pt>
                <c:pt idx="28">
                  <c:v>-0.10100000000000001</c:v>
                </c:pt>
                <c:pt idx="29">
                  <c:v>-0.38400000000000001</c:v>
                </c:pt>
                <c:pt idx="30">
                  <c:v>-0.19800000000000001</c:v>
                </c:pt>
                <c:pt idx="31">
                  <c:v>-0.35699999999999998</c:v>
                </c:pt>
                <c:pt idx="32">
                  <c:v>-0.312</c:v>
                </c:pt>
                <c:pt idx="33">
                  <c:v>-0.32700000000000001</c:v>
                </c:pt>
                <c:pt idx="34">
                  <c:v>-0.41099999999999998</c:v>
                </c:pt>
                <c:pt idx="35">
                  <c:v>-0.61899999999999999</c:v>
                </c:pt>
                <c:pt idx="36">
                  <c:v>3.9E-2</c:v>
                </c:pt>
                <c:pt idx="37">
                  <c:v>2.5000000000000001E-2</c:v>
                </c:pt>
                <c:pt idx="38">
                  <c:v>8.8999999999999996E-2</c:v>
                </c:pt>
                <c:pt idx="39">
                  <c:v>0.32500000000000001</c:v>
                </c:pt>
                <c:pt idx="40">
                  <c:v>-8.7999999999999995E-2</c:v>
                </c:pt>
                <c:pt idx="41">
                  <c:v>0.19500000000000001</c:v>
                </c:pt>
                <c:pt idx="42">
                  <c:v>0.01</c:v>
                </c:pt>
                <c:pt idx="43">
                  <c:v>0.317</c:v>
                </c:pt>
                <c:pt idx="44">
                  <c:v>-2.8000000000000001E-2</c:v>
                </c:pt>
                <c:pt idx="45">
                  <c:v>0.251</c:v>
                </c:pt>
                <c:pt idx="46">
                  <c:v>-8.0000000000000002E-3</c:v>
                </c:pt>
                <c:pt idx="47">
                  <c:v>0.28799999999999998</c:v>
                </c:pt>
                <c:pt idx="48">
                  <c:v>1.7999999999999999E-2</c:v>
                </c:pt>
                <c:pt idx="49">
                  <c:v>0.248</c:v>
                </c:pt>
                <c:pt idx="50">
                  <c:v>1.4999999999999999E-2</c:v>
                </c:pt>
                <c:pt idx="51">
                  <c:v>0.23599999999999999</c:v>
                </c:pt>
                <c:pt idx="52">
                  <c:v>-4.3999999999999997E-2</c:v>
                </c:pt>
                <c:pt idx="53">
                  <c:v>0.14399999999999999</c:v>
                </c:pt>
                <c:pt idx="54">
                  <c:v>-2.1999999999999999E-2</c:v>
                </c:pt>
                <c:pt idx="55">
                  <c:v>0.16400000000000001</c:v>
                </c:pt>
                <c:pt idx="56">
                  <c:v>-6.9000000000000006E-2</c:v>
                </c:pt>
                <c:pt idx="57">
                  <c:v>0.16600000000000001</c:v>
                </c:pt>
                <c:pt idx="58">
                  <c:v>-8.6999999999999994E-2</c:v>
                </c:pt>
                <c:pt idx="59">
                  <c:v>0.17599999999999999</c:v>
                </c:pt>
                <c:pt idx="60">
                  <c:v>-0.191</c:v>
                </c:pt>
                <c:pt idx="61">
                  <c:v>0.106</c:v>
                </c:pt>
                <c:pt idx="62">
                  <c:v>-3.1E-2</c:v>
                </c:pt>
                <c:pt idx="63">
                  <c:v>0.19700000000000001</c:v>
                </c:pt>
                <c:pt idx="64">
                  <c:v>-6.0999999999999999E-2</c:v>
                </c:pt>
                <c:pt idx="65">
                  <c:v>0.22700000000000001</c:v>
                </c:pt>
                <c:pt idx="66">
                  <c:v>-0.05</c:v>
                </c:pt>
                <c:pt idx="67">
                  <c:v>0.184</c:v>
                </c:pt>
                <c:pt idx="68">
                  <c:v>-0.14299999999999999</c:v>
                </c:pt>
                <c:pt idx="69">
                  <c:v>0.14699999999999999</c:v>
                </c:pt>
                <c:pt idx="70">
                  <c:v>-9.9000000000000005E-2</c:v>
                </c:pt>
                <c:pt idx="71">
                  <c:v>0.14099999999999999</c:v>
                </c:pt>
                <c:pt idx="72">
                  <c:v>-0.22</c:v>
                </c:pt>
                <c:pt idx="73">
                  <c:v>-8.9999999999999993E-3</c:v>
                </c:pt>
                <c:pt idx="74">
                  <c:v>0</c:v>
                </c:pt>
                <c:pt idx="75">
                  <c:v>0.34399999999999997</c:v>
                </c:pt>
                <c:pt idx="76">
                  <c:v>0.378</c:v>
                </c:pt>
                <c:pt idx="77">
                  <c:v>8.3000000000000004E-2</c:v>
                </c:pt>
                <c:pt idx="78">
                  <c:v>0.11</c:v>
                </c:pt>
                <c:pt idx="79">
                  <c:v>0.22800000000000001</c:v>
                </c:pt>
                <c:pt idx="80">
                  <c:v>0.13700000000000001</c:v>
                </c:pt>
                <c:pt idx="81">
                  <c:v>0.34399999999999997</c:v>
                </c:pt>
                <c:pt idx="82">
                  <c:v>-6.7000000000000004E-2</c:v>
                </c:pt>
                <c:pt idx="83">
                  <c:v>0.104</c:v>
                </c:pt>
                <c:pt idx="84">
                  <c:v>-2.9000000000000001E-2</c:v>
                </c:pt>
                <c:pt idx="85">
                  <c:v>0.22500000000000001</c:v>
                </c:pt>
                <c:pt idx="86">
                  <c:v>-8.9999999999999993E-3</c:v>
                </c:pt>
                <c:pt idx="87">
                  <c:v>0.16</c:v>
                </c:pt>
                <c:pt idx="88">
                  <c:v>-2.4E-2</c:v>
                </c:pt>
                <c:pt idx="89">
                  <c:v>0.10199999999999999</c:v>
                </c:pt>
                <c:pt idx="90">
                  <c:v>-9.7000000000000003E-2</c:v>
                </c:pt>
                <c:pt idx="91">
                  <c:v>6.7000000000000004E-2</c:v>
                </c:pt>
                <c:pt idx="92">
                  <c:v>-5.1999999999999998E-2</c:v>
                </c:pt>
                <c:pt idx="93">
                  <c:v>-1.0999999999999999E-2</c:v>
                </c:pt>
                <c:pt idx="94">
                  <c:v>-7.2999999999999995E-2</c:v>
                </c:pt>
                <c:pt idx="95">
                  <c:v>3.0000000000000001E-3</c:v>
                </c:pt>
                <c:pt idx="96">
                  <c:v>2E-3</c:v>
                </c:pt>
                <c:pt idx="97">
                  <c:v>3.3000000000000002E-2</c:v>
                </c:pt>
                <c:pt idx="98">
                  <c:v>-0.10299999999999999</c:v>
                </c:pt>
                <c:pt idx="99">
                  <c:v>3.6999999999999998E-2</c:v>
                </c:pt>
                <c:pt idx="100">
                  <c:v>-4.0000000000000001E-3</c:v>
                </c:pt>
                <c:pt idx="101">
                  <c:v>5.8000000000000003E-2</c:v>
                </c:pt>
                <c:pt idx="102">
                  <c:v>1.4999999999999999E-2</c:v>
                </c:pt>
                <c:pt idx="103">
                  <c:v>0.191</c:v>
                </c:pt>
                <c:pt idx="104">
                  <c:v>-0.16500000000000001</c:v>
                </c:pt>
                <c:pt idx="105">
                  <c:v>-3.7999999999999999E-2</c:v>
                </c:pt>
                <c:pt idx="106">
                  <c:v>-7.0000000000000001E-3</c:v>
                </c:pt>
                <c:pt idx="107">
                  <c:v>-7.9000000000000001E-2</c:v>
                </c:pt>
                <c:pt idx="108">
                  <c:v>-0.05</c:v>
                </c:pt>
                <c:pt idx="109">
                  <c:v>-2.1999999999999999E-2</c:v>
                </c:pt>
                <c:pt idx="110">
                  <c:v>-0.215</c:v>
                </c:pt>
                <c:pt idx="111">
                  <c:v>-4.1000000000000002E-2</c:v>
                </c:pt>
                <c:pt idx="112">
                  <c:v>-0.05</c:v>
                </c:pt>
                <c:pt idx="113">
                  <c:v>-5.8999999999999997E-2</c:v>
                </c:pt>
                <c:pt idx="114">
                  <c:v>0.11700000000000001</c:v>
                </c:pt>
                <c:pt idx="115">
                  <c:v>0.27700000000000002</c:v>
                </c:pt>
                <c:pt idx="116">
                  <c:v>0.14699999999999999</c:v>
                </c:pt>
                <c:pt idx="117">
                  <c:v>0.219</c:v>
                </c:pt>
                <c:pt idx="118">
                  <c:v>0.126</c:v>
                </c:pt>
                <c:pt idx="119">
                  <c:v>0.18</c:v>
                </c:pt>
                <c:pt idx="120">
                  <c:v>0.11799999999999999</c:v>
                </c:pt>
                <c:pt idx="121">
                  <c:v>0.16600000000000001</c:v>
                </c:pt>
                <c:pt idx="122">
                  <c:v>7.8E-2</c:v>
                </c:pt>
                <c:pt idx="123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8-4863-A20F-F4A78A6507D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('AMP5-4'!$AB$4,'AMP5-4'!$AB$4)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28-4863-A20F-F4A78A6507D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('AMP5-4'!$AB$5,'AMP5-4'!$AB$5)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28-4863-A20F-F4A78A65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4432"/>
        <c:axId val="543094824"/>
      </c:scatterChart>
      <c:valAx>
        <c:axId val="54309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4824"/>
        <c:crosses val="autoZero"/>
        <c:crossBetween val="midCat"/>
      </c:valAx>
      <c:valAx>
        <c:axId val="543094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'AMP5-4'!$AC$9:$AC$132</c:f>
              <c:numCache>
                <c:formatCode>General</c:formatCode>
                <c:ptCount val="124"/>
                <c:pt idx="0">
                  <c:v>8.1000000000000003E-2</c:v>
                </c:pt>
                <c:pt idx="1">
                  <c:v>3.7999999999999999E-2</c:v>
                </c:pt>
                <c:pt idx="2">
                  <c:v>8.5999999999999993E-2</c:v>
                </c:pt>
                <c:pt idx="3">
                  <c:v>-0.13600000000000001</c:v>
                </c:pt>
                <c:pt idx="4">
                  <c:v>1E-3</c:v>
                </c:pt>
                <c:pt idx="5">
                  <c:v>-5.8000000000000003E-2</c:v>
                </c:pt>
                <c:pt idx="6">
                  <c:v>0.121</c:v>
                </c:pt>
                <c:pt idx="7">
                  <c:v>-0.14599999999999999</c:v>
                </c:pt>
                <c:pt idx="8">
                  <c:v>3.5999999999999997E-2</c:v>
                </c:pt>
                <c:pt idx="9">
                  <c:v>-3.2000000000000001E-2</c:v>
                </c:pt>
                <c:pt idx="10">
                  <c:v>8.2000000000000003E-2</c:v>
                </c:pt>
                <c:pt idx="11">
                  <c:v>-8.0000000000000002E-3</c:v>
                </c:pt>
                <c:pt idx="12">
                  <c:v>1.4999999999999999E-2</c:v>
                </c:pt>
                <c:pt idx="13">
                  <c:v>-7.5999999999999998E-2</c:v>
                </c:pt>
                <c:pt idx="14">
                  <c:v>8.6999999999999994E-2</c:v>
                </c:pt>
                <c:pt idx="15">
                  <c:v>4.1000000000000002E-2</c:v>
                </c:pt>
                <c:pt idx="16">
                  <c:v>1.9E-2</c:v>
                </c:pt>
                <c:pt idx="17">
                  <c:v>-5.6000000000000001E-2</c:v>
                </c:pt>
                <c:pt idx="18">
                  <c:v>-0.2</c:v>
                </c:pt>
                <c:pt idx="19">
                  <c:v>-0.16400000000000001</c:v>
                </c:pt>
                <c:pt idx="20">
                  <c:v>2.5000000000000001E-2</c:v>
                </c:pt>
                <c:pt idx="21">
                  <c:v>5.5E-2</c:v>
                </c:pt>
                <c:pt idx="22">
                  <c:v>1E-3</c:v>
                </c:pt>
                <c:pt idx="23">
                  <c:v>-6.6000000000000003E-2</c:v>
                </c:pt>
                <c:pt idx="24">
                  <c:v>5.7000000000000002E-2</c:v>
                </c:pt>
                <c:pt idx="25">
                  <c:v>-0.13500000000000001</c:v>
                </c:pt>
                <c:pt idx="26">
                  <c:v>1.4E-2</c:v>
                </c:pt>
                <c:pt idx="27">
                  <c:v>-6.6000000000000003E-2</c:v>
                </c:pt>
                <c:pt idx="28">
                  <c:v>-5.8999999999999997E-2</c:v>
                </c:pt>
                <c:pt idx="29">
                  <c:v>-0.436</c:v>
                </c:pt>
                <c:pt idx="30">
                  <c:v>-0.154</c:v>
                </c:pt>
                <c:pt idx="31">
                  <c:v>-0.42099999999999999</c:v>
                </c:pt>
                <c:pt idx="32">
                  <c:v>-0.24</c:v>
                </c:pt>
                <c:pt idx="33">
                  <c:v>-0.38</c:v>
                </c:pt>
                <c:pt idx="34">
                  <c:v>-0.35099999999999998</c:v>
                </c:pt>
                <c:pt idx="35">
                  <c:v>-0.56699999999999995</c:v>
                </c:pt>
                <c:pt idx="36">
                  <c:v>4.3999999999999997E-2</c:v>
                </c:pt>
                <c:pt idx="37">
                  <c:v>-7.9000000000000001E-2</c:v>
                </c:pt>
                <c:pt idx="38">
                  <c:v>0.09</c:v>
                </c:pt>
                <c:pt idx="39">
                  <c:v>0.26900000000000002</c:v>
                </c:pt>
                <c:pt idx="40">
                  <c:v>-9.1999999999999998E-2</c:v>
                </c:pt>
                <c:pt idx="41">
                  <c:v>0.14199999999999999</c:v>
                </c:pt>
                <c:pt idx="42">
                  <c:v>0.03</c:v>
                </c:pt>
                <c:pt idx="43">
                  <c:v>0.27200000000000002</c:v>
                </c:pt>
                <c:pt idx="44">
                  <c:v>0</c:v>
                </c:pt>
                <c:pt idx="45">
                  <c:v>0.20200000000000001</c:v>
                </c:pt>
                <c:pt idx="46">
                  <c:v>1.4E-2</c:v>
                </c:pt>
                <c:pt idx="47">
                  <c:v>0.24099999999999999</c:v>
                </c:pt>
                <c:pt idx="48">
                  <c:v>5.5E-2</c:v>
                </c:pt>
                <c:pt idx="49">
                  <c:v>0.21299999999999999</c:v>
                </c:pt>
                <c:pt idx="50">
                  <c:v>3.5999999999999997E-2</c:v>
                </c:pt>
                <c:pt idx="51">
                  <c:v>0.20100000000000001</c:v>
                </c:pt>
                <c:pt idx="52">
                  <c:v>-2.3E-2</c:v>
                </c:pt>
                <c:pt idx="53">
                  <c:v>0.105</c:v>
                </c:pt>
                <c:pt idx="54">
                  <c:v>-1.9E-2</c:v>
                </c:pt>
                <c:pt idx="55">
                  <c:v>0.124</c:v>
                </c:pt>
                <c:pt idx="56">
                  <c:v>-4.7E-2</c:v>
                </c:pt>
                <c:pt idx="57">
                  <c:v>0.13</c:v>
                </c:pt>
                <c:pt idx="58">
                  <c:v>-6.6000000000000003E-2</c:v>
                </c:pt>
                <c:pt idx="59">
                  <c:v>0.13400000000000001</c:v>
                </c:pt>
                <c:pt idx="60">
                  <c:v>-0.182</c:v>
                </c:pt>
                <c:pt idx="61">
                  <c:v>5.8999999999999997E-2</c:v>
                </c:pt>
                <c:pt idx="62">
                  <c:v>-3.0000000000000001E-3</c:v>
                </c:pt>
                <c:pt idx="63">
                  <c:v>0.16700000000000001</c:v>
                </c:pt>
                <c:pt idx="64">
                  <c:v>-3.3000000000000002E-2</c:v>
                </c:pt>
                <c:pt idx="65">
                  <c:v>0.19500000000000001</c:v>
                </c:pt>
                <c:pt idx="66">
                  <c:v>-2.7E-2</c:v>
                </c:pt>
                <c:pt idx="67">
                  <c:v>0.13500000000000001</c:v>
                </c:pt>
                <c:pt idx="68">
                  <c:v>-9.7000000000000003E-2</c:v>
                </c:pt>
                <c:pt idx="69">
                  <c:v>0.123</c:v>
                </c:pt>
                <c:pt idx="70">
                  <c:v>-5.8999999999999997E-2</c:v>
                </c:pt>
                <c:pt idx="71">
                  <c:v>0.115</c:v>
                </c:pt>
                <c:pt idx="72">
                  <c:v>-0.17599999999999999</c:v>
                </c:pt>
                <c:pt idx="73">
                  <c:v>-3.3000000000000002E-2</c:v>
                </c:pt>
                <c:pt idx="74">
                  <c:v>7.0000000000000007E-2</c:v>
                </c:pt>
                <c:pt idx="75">
                  <c:v>0.32100000000000001</c:v>
                </c:pt>
                <c:pt idx="76">
                  <c:v>0.35399999999999998</c:v>
                </c:pt>
                <c:pt idx="77">
                  <c:v>7.2999999999999995E-2</c:v>
                </c:pt>
                <c:pt idx="78">
                  <c:v>0.115</c:v>
                </c:pt>
                <c:pt idx="79">
                  <c:v>0.20399999999999999</c:v>
                </c:pt>
                <c:pt idx="80">
                  <c:v>0.14399999999999999</c:v>
                </c:pt>
                <c:pt idx="81">
                  <c:v>0.30599999999999999</c:v>
                </c:pt>
                <c:pt idx="82">
                  <c:v>-4.4999999999999998E-2</c:v>
                </c:pt>
                <c:pt idx="83">
                  <c:v>6.5000000000000002E-2</c:v>
                </c:pt>
                <c:pt idx="84">
                  <c:v>-1E-3</c:v>
                </c:pt>
                <c:pt idx="85">
                  <c:v>0.20200000000000001</c:v>
                </c:pt>
                <c:pt idx="86">
                  <c:v>1E-3</c:v>
                </c:pt>
                <c:pt idx="87">
                  <c:v>0.14499999999999999</c:v>
                </c:pt>
                <c:pt idx="88">
                  <c:v>-2.1999999999999999E-2</c:v>
                </c:pt>
                <c:pt idx="89">
                  <c:v>0.08</c:v>
                </c:pt>
                <c:pt idx="90">
                  <c:v>-8.1000000000000003E-2</c:v>
                </c:pt>
                <c:pt idx="91">
                  <c:v>5.2999999999999999E-2</c:v>
                </c:pt>
                <c:pt idx="92">
                  <c:v>-2.4E-2</c:v>
                </c:pt>
                <c:pt idx="93">
                  <c:v>-1.7000000000000001E-2</c:v>
                </c:pt>
                <c:pt idx="94">
                  <c:v>-4.7E-2</c:v>
                </c:pt>
                <c:pt idx="95">
                  <c:v>-7.0000000000000001E-3</c:v>
                </c:pt>
                <c:pt idx="96">
                  <c:v>3.0000000000000001E-3</c:v>
                </c:pt>
                <c:pt idx="97">
                  <c:v>2.5999999999999999E-2</c:v>
                </c:pt>
                <c:pt idx="98">
                  <c:v>-9.2999999999999999E-2</c:v>
                </c:pt>
                <c:pt idx="99">
                  <c:v>2.7E-2</c:v>
                </c:pt>
                <c:pt idx="100">
                  <c:v>1.4E-2</c:v>
                </c:pt>
                <c:pt idx="101">
                  <c:v>4.2999999999999997E-2</c:v>
                </c:pt>
                <c:pt idx="102">
                  <c:v>5.0999999999999997E-2</c:v>
                </c:pt>
                <c:pt idx="103">
                  <c:v>0.183</c:v>
                </c:pt>
                <c:pt idx="104">
                  <c:v>-0.17399999999999999</c:v>
                </c:pt>
                <c:pt idx="105">
                  <c:v>-3.5000000000000003E-2</c:v>
                </c:pt>
                <c:pt idx="106">
                  <c:v>2.8000000000000001E-2</c:v>
                </c:pt>
                <c:pt idx="107">
                  <c:v>-9.5000000000000001E-2</c:v>
                </c:pt>
                <c:pt idx="108">
                  <c:v>-0.02</c:v>
                </c:pt>
                <c:pt idx="109">
                  <c:v>-2.8000000000000001E-2</c:v>
                </c:pt>
                <c:pt idx="110">
                  <c:v>-0.191</c:v>
                </c:pt>
                <c:pt idx="111">
                  <c:v>-3.6999999999999998E-2</c:v>
                </c:pt>
                <c:pt idx="112">
                  <c:v>-1.4E-2</c:v>
                </c:pt>
                <c:pt idx="113">
                  <c:v>-5.1999999999999998E-2</c:v>
                </c:pt>
                <c:pt idx="114">
                  <c:v>0.127</c:v>
                </c:pt>
                <c:pt idx="115">
                  <c:v>0.215</c:v>
                </c:pt>
                <c:pt idx="116">
                  <c:v>0.153</c:v>
                </c:pt>
                <c:pt idx="117">
                  <c:v>0.2</c:v>
                </c:pt>
                <c:pt idx="118">
                  <c:v>0.14199999999999999</c:v>
                </c:pt>
                <c:pt idx="119">
                  <c:v>0.16500000000000001</c:v>
                </c:pt>
                <c:pt idx="120">
                  <c:v>0.14399999999999999</c:v>
                </c:pt>
                <c:pt idx="121">
                  <c:v>0.218</c:v>
                </c:pt>
                <c:pt idx="122">
                  <c:v>9.7000000000000003E-2</c:v>
                </c:pt>
                <c:pt idx="123">
                  <c:v>0.10100000000000001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3C-47F6-9136-225FC773DB5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('AMP5-4'!$AC$4,'AMP5-4'!$AC$4)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3C-47F6-9136-225FC773DB5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('AMP5-4'!$AC$5,'AMP5-4'!$AC$5)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3C-47F6-9136-225FC773D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5608"/>
        <c:axId val="543096000"/>
      </c:scatterChart>
      <c:valAx>
        <c:axId val="54309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6000"/>
        <c:crosses val="autoZero"/>
        <c:crossBetween val="midCat"/>
      </c:valAx>
      <c:valAx>
        <c:axId val="543096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'AMP5-4'!$AD$9:$AD$132</c:f>
              <c:numCache>
                <c:formatCode>General</c:formatCode>
                <c:ptCount val="124"/>
                <c:pt idx="0">
                  <c:v>8.5000000000000006E-2</c:v>
                </c:pt>
                <c:pt idx="1">
                  <c:v>-4.1000000000000002E-2</c:v>
                </c:pt>
                <c:pt idx="2">
                  <c:v>8.5000000000000006E-2</c:v>
                </c:pt>
                <c:pt idx="3">
                  <c:v>-5.8999999999999997E-2</c:v>
                </c:pt>
                <c:pt idx="4">
                  <c:v>6.4000000000000001E-2</c:v>
                </c:pt>
                <c:pt idx="5">
                  <c:v>-4.8000000000000001E-2</c:v>
                </c:pt>
                <c:pt idx="6">
                  <c:v>3.1E-2</c:v>
                </c:pt>
                <c:pt idx="7">
                  <c:v>-4.4999999999999998E-2</c:v>
                </c:pt>
                <c:pt idx="8">
                  <c:v>6.8000000000000005E-2</c:v>
                </c:pt>
                <c:pt idx="9">
                  <c:v>-4.8000000000000001E-2</c:v>
                </c:pt>
                <c:pt idx="10">
                  <c:v>8.0000000000000002E-3</c:v>
                </c:pt>
                <c:pt idx="11">
                  <c:v>7.0000000000000001E-3</c:v>
                </c:pt>
                <c:pt idx="12">
                  <c:v>-1.0999999999999999E-2</c:v>
                </c:pt>
                <c:pt idx="13">
                  <c:v>-4.0000000000000001E-3</c:v>
                </c:pt>
                <c:pt idx="14">
                  <c:v>4.0000000000000001E-3</c:v>
                </c:pt>
                <c:pt idx="15">
                  <c:v>0.13100000000000001</c:v>
                </c:pt>
                <c:pt idx="16">
                  <c:v>0.02</c:v>
                </c:pt>
                <c:pt idx="17">
                  <c:v>6.5000000000000002E-2</c:v>
                </c:pt>
                <c:pt idx="18">
                  <c:v>-0.17599999999999999</c:v>
                </c:pt>
                <c:pt idx="19">
                  <c:v>-7.3999999999999996E-2</c:v>
                </c:pt>
                <c:pt idx="20">
                  <c:v>-0.114</c:v>
                </c:pt>
                <c:pt idx="21">
                  <c:v>0.16900000000000001</c:v>
                </c:pt>
                <c:pt idx="22">
                  <c:v>-0.17599999999999999</c:v>
                </c:pt>
                <c:pt idx="23">
                  <c:v>0.20300000000000001</c:v>
                </c:pt>
                <c:pt idx="24">
                  <c:v>-0.04</c:v>
                </c:pt>
                <c:pt idx="25">
                  <c:v>0.16200000000000001</c:v>
                </c:pt>
                <c:pt idx="26">
                  <c:v>-0.16300000000000001</c:v>
                </c:pt>
                <c:pt idx="27">
                  <c:v>0.193</c:v>
                </c:pt>
                <c:pt idx="28">
                  <c:v>3.4000000000000002E-2</c:v>
                </c:pt>
                <c:pt idx="29">
                  <c:v>0.17399999999999999</c:v>
                </c:pt>
                <c:pt idx="30">
                  <c:v>3.6999999999999998E-2</c:v>
                </c:pt>
                <c:pt idx="31">
                  <c:v>2.5999999999999999E-2</c:v>
                </c:pt>
                <c:pt idx="32">
                  <c:v>-0.15</c:v>
                </c:pt>
                <c:pt idx="33">
                  <c:v>1.4999999999999999E-2</c:v>
                </c:pt>
                <c:pt idx="34">
                  <c:v>0.23899999999999999</c:v>
                </c:pt>
                <c:pt idx="35">
                  <c:v>-0.39700000000000002</c:v>
                </c:pt>
                <c:pt idx="36">
                  <c:v>1.4999999999999999E-2</c:v>
                </c:pt>
                <c:pt idx="37">
                  <c:v>0.6</c:v>
                </c:pt>
                <c:pt idx="38">
                  <c:v>4.2999999999999997E-2</c:v>
                </c:pt>
                <c:pt idx="39">
                  <c:v>0.28199999999999997</c:v>
                </c:pt>
                <c:pt idx="40">
                  <c:v>5.1999999999999998E-2</c:v>
                </c:pt>
                <c:pt idx="41">
                  <c:v>0.193</c:v>
                </c:pt>
                <c:pt idx="42">
                  <c:v>3.1E-2</c:v>
                </c:pt>
                <c:pt idx="43">
                  <c:v>0.42799999999999999</c:v>
                </c:pt>
                <c:pt idx="44">
                  <c:v>5.8999999999999997E-2</c:v>
                </c:pt>
                <c:pt idx="45">
                  <c:v>0.32500000000000001</c:v>
                </c:pt>
                <c:pt idx="46">
                  <c:v>-1.2E-2</c:v>
                </c:pt>
                <c:pt idx="47">
                  <c:v>0.33200000000000002</c:v>
                </c:pt>
                <c:pt idx="48">
                  <c:v>-0.01</c:v>
                </c:pt>
                <c:pt idx="49">
                  <c:v>0.29199999999999998</c:v>
                </c:pt>
                <c:pt idx="50">
                  <c:v>-8.0000000000000002E-3</c:v>
                </c:pt>
                <c:pt idx="51">
                  <c:v>0.38300000000000001</c:v>
                </c:pt>
                <c:pt idx="52">
                  <c:v>0.04</c:v>
                </c:pt>
                <c:pt idx="53">
                  <c:v>0.217</c:v>
                </c:pt>
                <c:pt idx="54">
                  <c:v>2.1000000000000001E-2</c:v>
                </c:pt>
                <c:pt idx="55">
                  <c:v>0.35499999999999998</c:v>
                </c:pt>
                <c:pt idx="56">
                  <c:v>-4.5999999999999999E-2</c:v>
                </c:pt>
                <c:pt idx="57">
                  <c:v>0.318</c:v>
                </c:pt>
                <c:pt idx="58">
                  <c:v>-2.1000000000000001E-2</c:v>
                </c:pt>
                <c:pt idx="59">
                  <c:v>0.309</c:v>
                </c:pt>
                <c:pt idx="60">
                  <c:v>5.7000000000000002E-2</c:v>
                </c:pt>
                <c:pt idx="61">
                  <c:v>0.38700000000000001</c:v>
                </c:pt>
                <c:pt idx="62">
                  <c:v>0.01</c:v>
                </c:pt>
                <c:pt idx="63">
                  <c:v>0.434</c:v>
                </c:pt>
                <c:pt idx="64">
                  <c:v>-8.2000000000000003E-2</c:v>
                </c:pt>
                <c:pt idx="65">
                  <c:v>0.30599999999999999</c:v>
                </c:pt>
                <c:pt idx="66">
                  <c:v>-3.0000000000000001E-3</c:v>
                </c:pt>
                <c:pt idx="67">
                  <c:v>0.33300000000000002</c:v>
                </c:pt>
                <c:pt idx="68">
                  <c:v>-2.3E-2</c:v>
                </c:pt>
                <c:pt idx="69">
                  <c:v>0.30599999999999999</c:v>
                </c:pt>
                <c:pt idx="70">
                  <c:v>2.5999999999999999E-2</c:v>
                </c:pt>
                <c:pt idx="71">
                  <c:v>0.29299999999999998</c:v>
                </c:pt>
                <c:pt idx="72">
                  <c:v>-1.4999999999999999E-2</c:v>
                </c:pt>
                <c:pt idx="73">
                  <c:v>0.17199999999999999</c:v>
                </c:pt>
                <c:pt idx="74">
                  <c:v>0.17699999999999999</c:v>
                </c:pt>
                <c:pt idx="75">
                  <c:v>0.19700000000000001</c:v>
                </c:pt>
                <c:pt idx="76">
                  <c:v>0.22</c:v>
                </c:pt>
                <c:pt idx="77">
                  <c:v>7.4999999999999997E-2</c:v>
                </c:pt>
                <c:pt idx="78">
                  <c:v>0.20399999999999999</c:v>
                </c:pt>
                <c:pt idx="79">
                  <c:v>0.186</c:v>
                </c:pt>
                <c:pt idx="80">
                  <c:v>0.24399999999999999</c:v>
                </c:pt>
                <c:pt idx="81">
                  <c:v>0.223</c:v>
                </c:pt>
                <c:pt idx="82">
                  <c:v>0.17599999999999999</c:v>
                </c:pt>
                <c:pt idx="83">
                  <c:v>2.4E-2</c:v>
                </c:pt>
                <c:pt idx="84">
                  <c:v>0.17199999999999999</c:v>
                </c:pt>
                <c:pt idx="85">
                  <c:v>0.13600000000000001</c:v>
                </c:pt>
                <c:pt idx="86">
                  <c:v>7.5999999999999998E-2</c:v>
                </c:pt>
                <c:pt idx="87">
                  <c:v>1.4999999999999999E-2</c:v>
                </c:pt>
                <c:pt idx="88">
                  <c:v>0.10199999999999999</c:v>
                </c:pt>
                <c:pt idx="89">
                  <c:v>2.1000000000000001E-2</c:v>
                </c:pt>
                <c:pt idx="90">
                  <c:v>2.7E-2</c:v>
                </c:pt>
                <c:pt idx="91">
                  <c:v>0.13300000000000001</c:v>
                </c:pt>
                <c:pt idx="92">
                  <c:v>0.2</c:v>
                </c:pt>
                <c:pt idx="93">
                  <c:v>7.6999999999999999E-2</c:v>
                </c:pt>
                <c:pt idx="94">
                  <c:v>1.9E-2</c:v>
                </c:pt>
                <c:pt idx="95">
                  <c:v>-1.4999999999999999E-2</c:v>
                </c:pt>
                <c:pt idx="96">
                  <c:v>0.23799999999999999</c:v>
                </c:pt>
                <c:pt idx="97">
                  <c:v>0.05</c:v>
                </c:pt>
                <c:pt idx="98">
                  <c:v>0.112</c:v>
                </c:pt>
                <c:pt idx="99">
                  <c:v>5.1999999999999998E-2</c:v>
                </c:pt>
                <c:pt idx="100">
                  <c:v>0.12</c:v>
                </c:pt>
                <c:pt idx="101">
                  <c:v>4.3999999999999997E-2</c:v>
                </c:pt>
                <c:pt idx="102">
                  <c:v>0.253</c:v>
                </c:pt>
                <c:pt idx="103">
                  <c:v>0.112</c:v>
                </c:pt>
                <c:pt idx="104">
                  <c:v>0.23699999999999999</c:v>
                </c:pt>
                <c:pt idx="105">
                  <c:v>-4.0000000000000001E-3</c:v>
                </c:pt>
                <c:pt idx="106">
                  <c:v>0.33400000000000002</c:v>
                </c:pt>
                <c:pt idx="107">
                  <c:v>-4.9000000000000002E-2</c:v>
                </c:pt>
                <c:pt idx="108">
                  <c:v>0.26800000000000002</c:v>
                </c:pt>
                <c:pt idx="109">
                  <c:v>-9.5000000000000001E-2</c:v>
                </c:pt>
                <c:pt idx="110">
                  <c:v>-1.7999999999999999E-2</c:v>
                </c:pt>
                <c:pt idx="111">
                  <c:v>-0.14499999999999999</c:v>
                </c:pt>
                <c:pt idx="112">
                  <c:v>0.434</c:v>
                </c:pt>
                <c:pt idx="113">
                  <c:v>-0.125</c:v>
                </c:pt>
                <c:pt idx="114">
                  <c:v>0.17100000000000001</c:v>
                </c:pt>
                <c:pt idx="115">
                  <c:v>0.125</c:v>
                </c:pt>
                <c:pt idx="116">
                  <c:v>0.214</c:v>
                </c:pt>
                <c:pt idx="117">
                  <c:v>0.111</c:v>
                </c:pt>
                <c:pt idx="118">
                  <c:v>0.14199999999999999</c:v>
                </c:pt>
                <c:pt idx="119">
                  <c:v>0.17199999999999999</c:v>
                </c:pt>
                <c:pt idx="120">
                  <c:v>9.8000000000000004E-2</c:v>
                </c:pt>
                <c:pt idx="121">
                  <c:v>0.18</c:v>
                </c:pt>
                <c:pt idx="122">
                  <c:v>0.215</c:v>
                </c:pt>
                <c:pt idx="123">
                  <c:v>0.11799999999999999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7-4D36-8E5D-F794C6CB6BC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('AMP5-4'!$AD$4,'AMP5-4'!$AD$4)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77-4D36-8E5D-F794C6CB6BC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('AMP5-4'!$AD$5,'AMP5-4'!$AD$5)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77-4D36-8E5D-F794C6CB6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6784"/>
        <c:axId val="543097176"/>
      </c:scatterChart>
      <c:valAx>
        <c:axId val="54309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7176"/>
        <c:crosses val="autoZero"/>
        <c:crossBetween val="midCat"/>
      </c:valAx>
      <c:valAx>
        <c:axId val="5430971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'AMP5-4'!$AE$9:$AE$132</c:f>
              <c:numCache>
                <c:formatCode>General</c:formatCode>
                <c:ptCount val="124"/>
                <c:pt idx="0">
                  <c:v>-3.9E-2</c:v>
                </c:pt>
                <c:pt idx="1">
                  <c:v>-0.379</c:v>
                </c:pt>
                <c:pt idx="2">
                  <c:v>-3.7999999999999999E-2</c:v>
                </c:pt>
                <c:pt idx="3">
                  <c:v>-0.40200000000000002</c:v>
                </c:pt>
                <c:pt idx="4">
                  <c:v>-2.8000000000000001E-2</c:v>
                </c:pt>
                <c:pt idx="5">
                  <c:v>-0.42099999999999999</c:v>
                </c:pt>
                <c:pt idx="6">
                  <c:v>-8.5000000000000006E-2</c:v>
                </c:pt>
                <c:pt idx="7">
                  <c:v>-0.39900000000000002</c:v>
                </c:pt>
                <c:pt idx="8">
                  <c:v>-4.8000000000000001E-2</c:v>
                </c:pt>
                <c:pt idx="9">
                  <c:v>-0.38200000000000001</c:v>
                </c:pt>
                <c:pt idx="10">
                  <c:v>-7.1999999999999995E-2</c:v>
                </c:pt>
                <c:pt idx="11">
                  <c:v>-0.318</c:v>
                </c:pt>
                <c:pt idx="12">
                  <c:v>-0.113</c:v>
                </c:pt>
                <c:pt idx="13">
                  <c:v>-0.32200000000000001</c:v>
                </c:pt>
                <c:pt idx="14">
                  <c:v>-3.9E-2</c:v>
                </c:pt>
                <c:pt idx="15">
                  <c:v>-0.22700000000000001</c:v>
                </c:pt>
                <c:pt idx="16">
                  <c:v>-0.10100000000000001</c:v>
                </c:pt>
                <c:pt idx="17">
                  <c:v>-0.312</c:v>
                </c:pt>
                <c:pt idx="18">
                  <c:v>-0.18</c:v>
                </c:pt>
                <c:pt idx="19">
                  <c:v>-0.40300000000000002</c:v>
                </c:pt>
                <c:pt idx="20">
                  <c:v>-0.16800000000000001</c:v>
                </c:pt>
                <c:pt idx="21">
                  <c:v>-0.14399999999999999</c:v>
                </c:pt>
                <c:pt idx="22">
                  <c:v>-0.27600000000000002</c:v>
                </c:pt>
                <c:pt idx="23">
                  <c:v>-5.6000000000000001E-2</c:v>
                </c:pt>
                <c:pt idx="24">
                  <c:v>-0.246</c:v>
                </c:pt>
                <c:pt idx="25">
                  <c:v>-0.13700000000000001</c:v>
                </c:pt>
                <c:pt idx="26">
                  <c:v>-0.216</c:v>
                </c:pt>
                <c:pt idx="27">
                  <c:v>2.1000000000000001E-2</c:v>
                </c:pt>
                <c:pt idx="28">
                  <c:v>-5.6000000000000001E-2</c:v>
                </c:pt>
                <c:pt idx="29">
                  <c:v>-7.6999999999999999E-2</c:v>
                </c:pt>
                <c:pt idx="30">
                  <c:v>-0.1</c:v>
                </c:pt>
                <c:pt idx="31">
                  <c:v>-0.33100000000000002</c:v>
                </c:pt>
                <c:pt idx="32">
                  <c:v>-0.38200000000000001</c:v>
                </c:pt>
                <c:pt idx="33">
                  <c:v>-0.249</c:v>
                </c:pt>
                <c:pt idx="34">
                  <c:v>0.109</c:v>
                </c:pt>
                <c:pt idx="35">
                  <c:v>-0.751</c:v>
                </c:pt>
                <c:pt idx="36">
                  <c:v>-0.161</c:v>
                </c:pt>
                <c:pt idx="37">
                  <c:v>0.17299999999999999</c:v>
                </c:pt>
                <c:pt idx="38">
                  <c:v>-0.11799999999999999</c:v>
                </c:pt>
                <c:pt idx="39">
                  <c:v>-5.7000000000000002E-2</c:v>
                </c:pt>
                <c:pt idx="40">
                  <c:v>-9.0999999999999998E-2</c:v>
                </c:pt>
                <c:pt idx="41">
                  <c:v>-0.08</c:v>
                </c:pt>
                <c:pt idx="42">
                  <c:v>-0.122</c:v>
                </c:pt>
                <c:pt idx="43">
                  <c:v>0.115</c:v>
                </c:pt>
                <c:pt idx="44">
                  <c:v>-8.2000000000000003E-2</c:v>
                </c:pt>
                <c:pt idx="45">
                  <c:v>1.7000000000000001E-2</c:v>
                </c:pt>
                <c:pt idx="46">
                  <c:v>-0.161</c:v>
                </c:pt>
                <c:pt idx="47">
                  <c:v>-3.0000000000000001E-3</c:v>
                </c:pt>
                <c:pt idx="48">
                  <c:v>-0.15</c:v>
                </c:pt>
                <c:pt idx="49">
                  <c:v>-2.5000000000000001E-2</c:v>
                </c:pt>
                <c:pt idx="50">
                  <c:v>-0.14499999999999999</c:v>
                </c:pt>
                <c:pt idx="51">
                  <c:v>7.5999999999999998E-2</c:v>
                </c:pt>
                <c:pt idx="52">
                  <c:v>-0.121</c:v>
                </c:pt>
                <c:pt idx="53">
                  <c:v>-5.2999999999999999E-2</c:v>
                </c:pt>
                <c:pt idx="54">
                  <c:v>-0.111</c:v>
                </c:pt>
                <c:pt idx="55">
                  <c:v>8.4000000000000005E-2</c:v>
                </c:pt>
                <c:pt idx="56">
                  <c:v>-0.19400000000000001</c:v>
                </c:pt>
                <c:pt idx="57">
                  <c:v>3.9E-2</c:v>
                </c:pt>
                <c:pt idx="58">
                  <c:v>-0.19900000000000001</c:v>
                </c:pt>
                <c:pt idx="59">
                  <c:v>0.03</c:v>
                </c:pt>
                <c:pt idx="60">
                  <c:v>-0.16200000000000001</c:v>
                </c:pt>
                <c:pt idx="61">
                  <c:v>0.11799999999999999</c:v>
                </c:pt>
                <c:pt idx="62">
                  <c:v>-0.104</c:v>
                </c:pt>
                <c:pt idx="63">
                  <c:v>0.13600000000000001</c:v>
                </c:pt>
                <c:pt idx="64">
                  <c:v>-0.17100000000000001</c:v>
                </c:pt>
                <c:pt idx="65">
                  <c:v>2E-3</c:v>
                </c:pt>
                <c:pt idx="66">
                  <c:v>-0.184</c:v>
                </c:pt>
                <c:pt idx="67">
                  <c:v>0.105</c:v>
                </c:pt>
                <c:pt idx="68">
                  <c:v>-0.20899999999999999</c:v>
                </c:pt>
                <c:pt idx="69">
                  <c:v>1.2999999999999999E-2</c:v>
                </c:pt>
                <c:pt idx="70">
                  <c:v>-0.20899999999999999</c:v>
                </c:pt>
                <c:pt idx="71">
                  <c:v>-8.2000000000000003E-2</c:v>
                </c:pt>
                <c:pt idx="72">
                  <c:v>-0.21299999999999999</c:v>
                </c:pt>
                <c:pt idx="73">
                  <c:v>-0.156</c:v>
                </c:pt>
                <c:pt idx="74">
                  <c:v>5.0000000000000001E-3</c:v>
                </c:pt>
                <c:pt idx="75">
                  <c:v>-9.4E-2</c:v>
                </c:pt>
                <c:pt idx="76">
                  <c:v>-0.104</c:v>
                </c:pt>
                <c:pt idx="77">
                  <c:v>-0.10100000000000001</c:v>
                </c:pt>
                <c:pt idx="78">
                  <c:v>2.5000000000000001E-2</c:v>
                </c:pt>
                <c:pt idx="79">
                  <c:v>-0.108</c:v>
                </c:pt>
                <c:pt idx="80">
                  <c:v>0.112</c:v>
                </c:pt>
                <c:pt idx="81">
                  <c:v>-9.9000000000000005E-2</c:v>
                </c:pt>
                <c:pt idx="82">
                  <c:v>4.0000000000000001E-3</c:v>
                </c:pt>
                <c:pt idx="83">
                  <c:v>-0.28699999999999998</c:v>
                </c:pt>
                <c:pt idx="84">
                  <c:v>-7.4999999999999997E-2</c:v>
                </c:pt>
                <c:pt idx="85">
                  <c:v>-0.13900000000000001</c:v>
                </c:pt>
                <c:pt idx="86">
                  <c:v>-8.3000000000000004E-2</c:v>
                </c:pt>
                <c:pt idx="87">
                  <c:v>-0.29099999999999998</c:v>
                </c:pt>
                <c:pt idx="88">
                  <c:v>-6.5000000000000002E-2</c:v>
                </c:pt>
                <c:pt idx="89">
                  <c:v>-0.28699999999999998</c:v>
                </c:pt>
                <c:pt idx="90">
                  <c:v>-0.13100000000000001</c:v>
                </c:pt>
                <c:pt idx="91">
                  <c:v>-0.151</c:v>
                </c:pt>
                <c:pt idx="92">
                  <c:v>3.2000000000000001E-2</c:v>
                </c:pt>
                <c:pt idx="93">
                  <c:v>-0.17399999999999999</c:v>
                </c:pt>
                <c:pt idx="94">
                  <c:v>-0.157</c:v>
                </c:pt>
                <c:pt idx="95">
                  <c:v>-0.27800000000000002</c:v>
                </c:pt>
                <c:pt idx="96">
                  <c:v>4.7E-2</c:v>
                </c:pt>
                <c:pt idx="97">
                  <c:v>-0.22900000000000001</c:v>
                </c:pt>
                <c:pt idx="98">
                  <c:v>-6.5000000000000002E-2</c:v>
                </c:pt>
                <c:pt idx="99">
                  <c:v>-0.21199999999999999</c:v>
                </c:pt>
                <c:pt idx="100">
                  <c:v>-0.06</c:v>
                </c:pt>
                <c:pt idx="101">
                  <c:v>-0.308</c:v>
                </c:pt>
                <c:pt idx="102">
                  <c:v>0.06</c:v>
                </c:pt>
                <c:pt idx="103">
                  <c:v>-0.22500000000000001</c:v>
                </c:pt>
                <c:pt idx="104">
                  <c:v>6.3E-2</c:v>
                </c:pt>
                <c:pt idx="105">
                  <c:v>-0.312</c:v>
                </c:pt>
                <c:pt idx="106">
                  <c:v>0.14699999999999999</c:v>
                </c:pt>
                <c:pt idx="107">
                  <c:v>-0.32800000000000001</c:v>
                </c:pt>
                <c:pt idx="108">
                  <c:v>8.6999999999999994E-2</c:v>
                </c:pt>
                <c:pt idx="109">
                  <c:v>-0.36899999999999999</c:v>
                </c:pt>
                <c:pt idx="110">
                  <c:v>-0.20899999999999999</c:v>
                </c:pt>
                <c:pt idx="111">
                  <c:v>-0.433</c:v>
                </c:pt>
                <c:pt idx="112">
                  <c:v>0.22900000000000001</c:v>
                </c:pt>
                <c:pt idx="113">
                  <c:v>-0.43099999999999999</c:v>
                </c:pt>
                <c:pt idx="114">
                  <c:v>3.7999999999999999E-2</c:v>
                </c:pt>
                <c:pt idx="115">
                  <c:v>-0.192</c:v>
                </c:pt>
                <c:pt idx="116">
                  <c:v>0.11700000000000001</c:v>
                </c:pt>
                <c:pt idx="117">
                  <c:v>-0.183</c:v>
                </c:pt>
                <c:pt idx="118">
                  <c:v>7.5999999999999998E-2</c:v>
                </c:pt>
                <c:pt idx="119">
                  <c:v>-0.16</c:v>
                </c:pt>
                <c:pt idx="120">
                  <c:v>3.7999999999999999E-2</c:v>
                </c:pt>
                <c:pt idx="121">
                  <c:v>0.161</c:v>
                </c:pt>
                <c:pt idx="122">
                  <c:v>6.3E-2</c:v>
                </c:pt>
                <c:pt idx="123">
                  <c:v>-0.13700000000000001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D-4D5E-ACCF-2A594925467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('AMP5-4'!$AE$4,'AMP5-4'!$AE$4)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8D-4D5E-ACCF-2A594925467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('AMP5-4'!$AE$5,'AMP5-4'!$AE$5)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8D-4D5E-ACCF-2A5949254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8352"/>
        <c:axId val="543098744"/>
      </c:scatterChart>
      <c:valAx>
        <c:axId val="5430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8744"/>
        <c:crosses val="autoZero"/>
        <c:crossBetween val="midCat"/>
      </c:valAx>
      <c:valAx>
        <c:axId val="5430987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'AMP5-4'!$AF$9:$AF$132</c:f>
              <c:numCache>
                <c:formatCode>General</c:formatCode>
                <c:ptCount val="124"/>
                <c:pt idx="0">
                  <c:v>0.183</c:v>
                </c:pt>
                <c:pt idx="1">
                  <c:v>0.1</c:v>
                </c:pt>
                <c:pt idx="2">
                  <c:v>4.7E-2</c:v>
                </c:pt>
                <c:pt idx="3">
                  <c:v>-0.16300000000000001</c:v>
                </c:pt>
                <c:pt idx="4">
                  <c:v>0.03</c:v>
                </c:pt>
                <c:pt idx="5">
                  <c:v>-3.0000000000000001E-3</c:v>
                </c:pt>
                <c:pt idx="6">
                  <c:v>7.6999999999999999E-2</c:v>
                </c:pt>
                <c:pt idx="7">
                  <c:v>-0.13300000000000001</c:v>
                </c:pt>
                <c:pt idx="8">
                  <c:v>6.7000000000000004E-2</c:v>
                </c:pt>
                <c:pt idx="9">
                  <c:v>-3.4000000000000002E-2</c:v>
                </c:pt>
                <c:pt idx="10">
                  <c:v>0.13500000000000001</c:v>
                </c:pt>
                <c:pt idx="11">
                  <c:v>2.9000000000000001E-2</c:v>
                </c:pt>
                <c:pt idx="12">
                  <c:v>6.0999999999999999E-2</c:v>
                </c:pt>
                <c:pt idx="13">
                  <c:v>-0.03</c:v>
                </c:pt>
                <c:pt idx="14">
                  <c:v>0.13200000000000001</c:v>
                </c:pt>
                <c:pt idx="15">
                  <c:v>0.14000000000000001</c:v>
                </c:pt>
                <c:pt idx="16">
                  <c:v>7.4999999999999997E-2</c:v>
                </c:pt>
                <c:pt idx="17">
                  <c:v>3.1E-2</c:v>
                </c:pt>
                <c:pt idx="18">
                  <c:v>-3.3000000000000002E-2</c:v>
                </c:pt>
                <c:pt idx="19">
                  <c:v>6.0000000000000001E-3</c:v>
                </c:pt>
                <c:pt idx="20">
                  <c:v>6.3E-2</c:v>
                </c:pt>
                <c:pt idx="21">
                  <c:v>9.9000000000000005E-2</c:v>
                </c:pt>
                <c:pt idx="22">
                  <c:v>5.5E-2</c:v>
                </c:pt>
                <c:pt idx="23">
                  <c:v>-0.06</c:v>
                </c:pt>
                <c:pt idx="24">
                  <c:v>-8.9999999999999993E-3</c:v>
                </c:pt>
                <c:pt idx="25">
                  <c:v>-3.6999999999999998E-2</c:v>
                </c:pt>
                <c:pt idx="26">
                  <c:v>0.11</c:v>
                </c:pt>
                <c:pt idx="27">
                  <c:v>-0.13300000000000001</c:v>
                </c:pt>
                <c:pt idx="28">
                  <c:v>-9.6000000000000002E-2</c:v>
                </c:pt>
                <c:pt idx="29">
                  <c:v>-0.28999999999999998</c:v>
                </c:pt>
                <c:pt idx="30">
                  <c:v>-0.36499999999999999</c:v>
                </c:pt>
                <c:pt idx="31">
                  <c:v>-0.20300000000000001</c:v>
                </c:pt>
                <c:pt idx="32">
                  <c:v>-0.126</c:v>
                </c:pt>
                <c:pt idx="33">
                  <c:v>-0.41199999999999998</c:v>
                </c:pt>
                <c:pt idx="34">
                  <c:v>-0.315</c:v>
                </c:pt>
                <c:pt idx="35">
                  <c:v>-0.54100000000000004</c:v>
                </c:pt>
                <c:pt idx="36">
                  <c:v>0.22</c:v>
                </c:pt>
                <c:pt idx="37">
                  <c:v>-0.65400000000000003</c:v>
                </c:pt>
                <c:pt idx="38">
                  <c:v>0.16900000000000001</c:v>
                </c:pt>
                <c:pt idx="39">
                  <c:v>0.112</c:v>
                </c:pt>
                <c:pt idx="40">
                  <c:v>-5.8000000000000003E-2</c:v>
                </c:pt>
                <c:pt idx="41">
                  <c:v>-2.5000000000000001E-2</c:v>
                </c:pt>
                <c:pt idx="42">
                  <c:v>9.5000000000000001E-2</c:v>
                </c:pt>
                <c:pt idx="43">
                  <c:v>0.14699999999999999</c:v>
                </c:pt>
                <c:pt idx="44">
                  <c:v>2.7E-2</c:v>
                </c:pt>
                <c:pt idx="45">
                  <c:v>7.1999999999999995E-2</c:v>
                </c:pt>
                <c:pt idx="46">
                  <c:v>5.2999999999999999E-2</c:v>
                </c:pt>
                <c:pt idx="47">
                  <c:v>0.104</c:v>
                </c:pt>
                <c:pt idx="48">
                  <c:v>7.2999999999999995E-2</c:v>
                </c:pt>
                <c:pt idx="49">
                  <c:v>6.0999999999999999E-2</c:v>
                </c:pt>
                <c:pt idx="50">
                  <c:v>9.6000000000000002E-2</c:v>
                </c:pt>
                <c:pt idx="51">
                  <c:v>7.6999999999999999E-2</c:v>
                </c:pt>
                <c:pt idx="52">
                  <c:v>-8.3000000000000004E-2</c:v>
                </c:pt>
                <c:pt idx="53">
                  <c:v>-2.3E-2</c:v>
                </c:pt>
                <c:pt idx="54">
                  <c:v>1.4E-2</c:v>
                </c:pt>
                <c:pt idx="55">
                  <c:v>-2.5000000000000001E-2</c:v>
                </c:pt>
                <c:pt idx="56">
                  <c:v>8.9999999999999993E-3</c:v>
                </c:pt>
                <c:pt idx="57">
                  <c:v>1.7999999999999999E-2</c:v>
                </c:pt>
                <c:pt idx="58">
                  <c:v>2.5000000000000001E-2</c:v>
                </c:pt>
                <c:pt idx="59">
                  <c:v>1.4999999999999999E-2</c:v>
                </c:pt>
                <c:pt idx="60">
                  <c:v>-0.157</c:v>
                </c:pt>
                <c:pt idx="61">
                  <c:v>-3.5000000000000003E-2</c:v>
                </c:pt>
                <c:pt idx="62">
                  <c:v>4.4999999999999998E-2</c:v>
                </c:pt>
                <c:pt idx="63">
                  <c:v>-1.2999999999999999E-2</c:v>
                </c:pt>
                <c:pt idx="64">
                  <c:v>1.2999999999999999E-2</c:v>
                </c:pt>
                <c:pt idx="65">
                  <c:v>-1.9E-2</c:v>
                </c:pt>
                <c:pt idx="66">
                  <c:v>0.04</c:v>
                </c:pt>
                <c:pt idx="67">
                  <c:v>-4.5999999999999999E-2</c:v>
                </c:pt>
                <c:pt idx="68">
                  <c:v>1.6E-2</c:v>
                </c:pt>
                <c:pt idx="69">
                  <c:v>-5.6000000000000001E-2</c:v>
                </c:pt>
                <c:pt idx="70">
                  <c:v>-3.5000000000000003E-2</c:v>
                </c:pt>
                <c:pt idx="71">
                  <c:v>-8.5999999999999993E-2</c:v>
                </c:pt>
                <c:pt idx="72">
                  <c:v>-0.16400000000000001</c:v>
                </c:pt>
                <c:pt idx="73">
                  <c:v>-0.17499999999999999</c:v>
                </c:pt>
                <c:pt idx="74">
                  <c:v>8.3000000000000004E-2</c:v>
                </c:pt>
                <c:pt idx="75">
                  <c:v>5.8999999999999997E-2</c:v>
                </c:pt>
                <c:pt idx="76">
                  <c:v>0.16400000000000001</c:v>
                </c:pt>
                <c:pt idx="77">
                  <c:v>0.13500000000000001</c:v>
                </c:pt>
                <c:pt idx="78">
                  <c:v>0.153</c:v>
                </c:pt>
                <c:pt idx="79">
                  <c:v>0.245</c:v>
                </c:pt>
                <c:pt idx="80">
                  <c:v>0.13700000000000001</c:v>
                </c:pt>
                <c:pt idx="81">
                  <c:v>0.27400000000000002</c:v>
                </c:pt>
                <c:pt idx="82">
                  <c:v>-0.10299999999999999</c:v>
                </c:pt>
                <c:pt idx="83">
                  <c:v>4.3999999999999997E-2</c:v>
                </c:pt>
                <c:pt idx="84">
                  <c:v>9.4E-2</c:v>
                </c:pt>
                <c:pt idx="85">
                  <c:v>0.28299999999999997</c:v>
                </c:pt>
                <c:pt idx="86">
                  <c:v>7.3999999999999996E-2</c:v>
                </c:pt>
                <c:pt idx="87">
                  <c:v>0.252</c:v>
                </c:pt>
                <c:pt idx="88">
                  <c:v>6.8000000000000005E-2</c:v>
                </c:pt>
                <c:pt idx="89">
                  <c:v>7.0999999999999994E-2</c:v>
                </c:pt>
                <c:pt idx="90">
                  <c:v>2.1000000000000001E-2</c:v>
                </c:pt>
                <c:pt idx="91">
                  <c:v>6.5000000000000002E-2</c:v>
                </c:pt>
                <c:pt idx="92">
                  <c:v>-7.6999999999999999E-2</c:v>
                </c:pt>
                <c:pt idx="93">
                  <c:v>0.104</c:v>
                </c:pt>
                <c:pt idx="94">
                  <c:v>8.9999999999999993E-3</c:v>
                </c:pt>
                <c:pt idx="95">
                  <c:v>-1.4999999999999999E-2</c:v>
                </c:pt>
                <c:pt idx="96">
                  <c:v>3.0000000000000001E-3</c:v>
                </c:pt>
                <c:pt idx="97">
                  <c:v>0.13900000000000001</c:v>
                </c:pt>
                <c:pt idx="98">
                  <c:v>0.03</c:v>
                </c:pt>
                <c:pt idx="99">
                  <c:v>-2E-3</c:v>
                </c:pt>
                <c:pt idx="100">
                  <c:v>7.0000000000000007E-2</c:v>
                </c:pt>
                <c:pt idx="101">
                  <c:v>0.10199999999999999</c:v>
                </c:pt>
                <c:pt idx="102">
                  <c:v>0.11899999999999999</c:v>
                </c:pt>
                <c:pt idx="103">
                  <c:v>0.30399999999999999</c:v>
                </c:pt>
                <c:pt idx="104">
                  <c:v>-3.4000000000000002E-2</c:v>
                </c:pt>
                <c:pt idx="105">
                  <c:v>-5.6000000000000001E-2</c:v>
                </c:pt>
                <c:pt idx="106">
                  <c:v>-0.01</c:v>
                </c:pt>
                <c:pt idx="107">
                  <c:v>-4.8000000000000001E-2</c:v>
                </c:pt>
                <c:pt idx="108">
                  <c:v>3.5999999999999997E-2</c:v>
                </c:pt>
                <c:pt idx="109">
                  <c:v>-2E-3</c:v>
                </c:pt>
                <c:pt idx="110">
                  <c:v>-0.312</c:v>
                </c:pt>
                <c:pt idx="111">
                  <c:v>4.3999999999999997E-2</c:v>
                </c:pt>
                <c:pt idx="112">
                  <c:v>-0.113</c:v>
                </c:pt>
                <c:pt idx="113">
                  <c:v>0.157</c:v>
                </c:pt>
                <c:pt idx="114">
                  <c:v>0.189</c:v>
                </c:pt>
                <c:pt idx="115">
                  <c:v>0.374</c:v>
                </c:pt>
                <c:pt idx="116">
                  <c:v>0.214</c:v>
                </c:pt>
                <c:pt idx="117">
                  <c:v>0.27400000000000002</c:v>
                </c:pt>
                <c:pt idx="118">
                  <c:v>0.20300000000000001</c:v>
                </c:pt>
                <c:pt idx="119">
                  <c:v>0.26500000000000001</c:v>
                </c:pt>
                <c:pt idx="120">
                  <c:v>9.7000000000000003E-2</c:v>
                </c:pt>
                <c:pt idx="121">
                  <c:v>0.23699999999999999</c:v>
                </c:pt>
                <c:pt idx="122">
                  <c:v>0.13800000000000001</c:v>
                </c:pt>
                <c:pt idx="123">
                  <c:v>0.16800000000000001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19-41AA-9490-B2D7D5B4072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('AMP5-4'!$AF$4,'AMP5-4'!$AF$4)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19-41AA-9490-B2D7D5B4072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('AMP5-4'!$AF$5,'AMP5-4'!$AF$5)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19-41AA-9490-B2D7D5B40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099136"/>
        <c:axId val="543099528"/>
      </c:scatterChart>
      <c:valAx>
        <c:axId val="54309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9528"/>
        <c:crosses val="autoZero"/>
        <c:crossBetween val="midCat"/>
      </c:valAx>
      <c:valAx>
        <c:axId val="5430995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9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'AMP5-4'!$AG$9:$AG$132</c:f>
              <c:numCache>
                <c:formatCode>General</c:formatCode>
                <c:ptCount val="124"/>
                <c:pt idx="0">
                  <c:v>0.129</c:v>
                </c:pt>
                <c:pt idx="1">
                  <c:v>4.3999999999999997E-2</c:v>
                </c:pt>
                <c:pt idx="2">
                  <c:v>-5.0000000000000001E-3</c:v>
                </c:pt>
                <c:pt idx="3">
                  <c:v>-0.216</c:v>
                </c:pt>
                <c:pt idx="4">
                  <c:v>-0.01</c:v>
                </c:pt>
                <c:pt idx="5">
                  <c:v>-4.8000000000000001E-2</c:v>
                </c:pt>
                <c:pt idx="6">
                  <c:v>2.1999999999999999E-2</c:v>
                </c:pt>
                <c:pt idx="7">
                  <c:v>-0.19500000000000001</c:v>
                </c:pt>
                <c:pt idx="8">
                  <c:v>5.8000000000000003E-2</c:v>
                </c:pt>
                <c:pt idx="9">
                  <c:v>-5.1999999999999998E-2</c:v>
                </c:pt>
                <c:pt idx="10">
                  <c:v>8.2000000000000003E-2</c:v>
                </c:pt>
                <c:pt idx="11">
                  <c:v>-1.9E-2</c:v>
                </c:pt>
                <c:pt idx="12">
                  <c:v>3.5000000000000003E-2</c:v>
                </c:pt>
                <c:pt idx="13">
                  <c:v>-8.5999999999999993E-2</c:v>
                </c:pt>
                <c:pt idx="14">
                  <c:v>9.9000000000000005E-2</c:v>
                </c:pt>
                <c:pt idx="15">
                  <c:v>8.7999999999999995E-2</c:v>
                </c:pt>
                <c:pt idx="16">
                  <c:v>4.1000000000000002E-2</c:v>
                </c:pt>
                <c:pt idx="17">
                  <c:v>-1.0999999999999999E-2</c:v>
                </c:pt>
                <c:pt idx="18">
                  <c:v>-4.8000000000000001E-2</c:v>
                </c:pt>
                <c:pt idx="19">
                  <c:v>-5.0999999999999997E-2</c:v>
                </c:pt>
                <c:pt idx="20">
                  <c:v>-6.0000000000000001E-3</c:v>
                </c:pt>
                <c:pt idx="21">
                  <c:v>0.04</c:v>
                </c:pt>
                <c:pt idx="22">
                  <c:v>-6.0000000000000001E-3</c:v>
                </c:pt>
                <c:pt idx="23">
                  <c:v>-0.122</c:v>
                </c:pt>
                <c:pt idx="24">
                  <c:v>-0.12</c:v>
                </c:pt>
                <c:pt idx="25">
                  <c:v>-0.09</c:v>
                </c:pt>
                <c:pt idx="26">
                  <c:v>5.7000000000000002E-2</c:v>
                </c:pt>
                <c:pt idx="27">
                  <c:v>-0.192</c:v>
                </c:pt>
                <c:pt idx="28">
                  <c:v>-0.20799999999999999</c:v>
                </c:pt>
                <c:pt idx="29">
                  <c:v>-0.32500000000000001</c:v>
                </c:pt>
                <c:pt idx="30">
                  <c:v>-0.435</c:v>
                </c:pt>
                <c:pt idx="31">
                  <c:v>-0.26800000000000002</c:v>
                </c:pt>
                <c:pt idx="32">
                  <c:v>-0.224</c:v>
                </c:pt>
                <c:pt idx="33">
                  <c:v>-0.47499999999999998</c:v>
                </c:pt>
                <c:pt idx="34">
                  <c:v>-0.41099999999999998</c:v>
                </c:pt>
                <c:pt idx="35">
                  <c:v>-0.65500000000000003</c:v>
                </c:pt>
                <c:pt idx="36">
                  <c:v>0.184</c:v>
                </c:pt>
                <c:pt idx="37">
                  <c:v>-0.73399999999999999</c:v>
                </c:pt>
                <c:pt idx="38">
                  <c:v>0.13700000000000001</c:v>
                </c:pt>
                <c:pt idx="39">
                  <c:v>5.1999999999999998E-2</c:v>
                </c:pt>
                <c:pt idx="40">
                  <c:v>-7.2999999999999995E-2</c:v>
                </c:pt>
                <c:pt idx="41">
                  <c:v>-0.08</c:v>
                </c:pt>
                <c:pt idx="42">
                  <c:v>7.0000000000000007E-2</c:v>
                </c:pt>
                <c:pt idx="43">
                  <c:v>8.6999999999999994E-2</c:v>
                </c:pt>
                <c:pt idx="44">
                  <c:v>-6.0000000000000001E-3</c:v>
                </c:pt>
                <c:pt idx="45">
                  <c:v>6.0000000000000001E-3</c:v>
                </c:pt>
                <c:pt idx="46">
                  <c:v>6.0000000000000001E-3</c:v>
                </c:pt>
                <c:pt idx="47">
                  <c:v>2.5999999999999999E-2</c:v>
                </c:pt>
                <c:pt idx="48">
                  <c:v>3.2000000000000001E-2</c:v>
                </c:pt>
                <c:pt idx="49">
                  <c:v>-1E-3</c:v>
                </c:pt>
                <c:pt idx="50">
                  <c:v>3.9E-2</c:v>
                </c:pt>
                <c:pt idx="51">
                  <c:v>1.6E-2</c:v>
                </c:pt>
                <c:pt idx="52">
                  <c:v>-4.5999999999999999E-2</c:v>
                </c:pt>
                <c:pt idx="53">
                  <c:v>-7.5999999999999998E-2</c:v>
                </c:pt>
                <c:pt idx="54">
                  <c:v>-4.1000000000000002E-2</c:v>
                </c:pt>
                <c:pt idx="55">
                  <c:v>-0.08</c:v>
                </c:pt>
                <c:pt idx="56">
                  <c:v>-2.9000000000000001E-2</c:v>
                </c:pt>
                <c:pt idx="57">
                  <c:v>-4.4999999999999998E-2</c:v>
                </c:pt>
                <c:pt idx="58">
                  <c:v>-2.5000000000000001E-2</c:v>
                </c:pt>
                <c:pt idx="59">
                  <c:v>-3.9E-2</c:v>
                </c:pt>
                <c:pt idx="60">
                  <c:v>-0.20300000000000001</c:v>
                </c:pt>
                <c:pt idx="61">
                  <c:v>-0.10100000000000001</c:v>
                </c:pt>
                <c:pt idx="62">
                  <c:v>-1.2999999999999999E-2</c:v>
                </c:pt>
                <c:pt idx="63">
                  <c:v>-9.0999999999999998E-2</c:v>
                </c:pt>
                <c:pt idx="64">
                  <c:v>-3.7999999999999999E-2</c:v>
                </c:pt>
                <c:pt idx="65">
                  <c:v>-8.2000000000000003E-2</c:v>
                </c:pt>
                <c:pt idx="66">
                  <c:v>-0.02</c:v>
                </c:pt>
                <c:pt idx="67">
                  <c:v>-0.124</c:v>
                </c:pt>
                <c:pt idx="68">
                  <c:v>-4.2000000000000003E-2</c:v>
                </c:pt>
                <c:pt idx="69">
                  <c:v>-0.12</c:v>
                </c:pt>
                <c:pt idx="70">
                  <c:v>-6.8000000000000005E-2</c:v>
                </c:pt>
                <c:pt idx="71">
                  <c:v>-0.14599999999999999</c:v>
                </c:pt>
                <c:pt idx="72">
                  <c:v>-0.19600000000000001</c:v>
                </c:pt>
                <c:pt idx="73">
                  <c:v>-0.23100000000000001</c:v>
                </c:pt>
                <c:pt idx="74">
                  <c:v>4.2000000000000003E-2</c:v>
                </c:pt>
                <c:pt idx="75">
                  <c:v>2.5999999999999999E-2</c:v>
                </c:pt>
                <c:pt idx="76">
                  <c:v>0.113</c:v>
                </c:pt>
                <c:pt idx="77">
                  <c:v>0.106</c:v>
                </c:pt>
                <c:pt idx="78">
                  <c:v>9.5000000000000001E-2</c:v>
                </c:pt>
                <c:pt idx="79">
                  <c:v>0.187</c:v>
                </c:pt>
                <c:pt idx="80">
                  <c:v>7.9000000000000001E-2</c:v>
                </c:pt>
                <c:pt idx="81">
                  <c:v>0.20300000000000001</c:v>
                </c:pt>
                <c:pt idx="82">
                  <c:v>-5.8999999999999997E-2</c:v>
                </c:pt>
                <c:pt idx="83">
                  <c:v>-2.4E-2</c:v>
                </c:pt>
                <c:pt idx="84">
                  <c:v>3.5000000000000003E-2</c:v>
                </c:pt>
                <c:pt idx="85">
                  <c:v>0.23499999999999999</c:v>
                </c:pt>
                <c:pt idx="86">
                  <c:v>2.5000000000000001E-2</c:v>
                </c:pt>
                <c:pt idx="87">
                  <c:v>0.19</c:v>
                </c:pt>
                <c:pt idx="88">
                  <c:v>3.1E-2</c:v>
                </c:pt>
                <c:pt idx="89">
                  <c:v>0</c:v>
                </c:pt>
                <c:pt idx="90">
                  <c:v>-4.2000000000000003E-2</c:v>
                </c:pt>
                <c:pt idx="91">
                  <c:v>-1E-3</c:v>
                </c:pt>
                <c:pt idx="92">
                  <c:v>-0.13400000000000001</c:v>
                </c:pt>
                <c:pt idx="93">
                  <c:v>3.4000000000000002E-2</c:v>
                </c:pt>
                <c:pt idx="94">
                  <c:v>-6.4000000000000001E-2</c:v>
                </c:pt>
                <c:pt idx="95">
                  <c:v>-9.5000000000000001E-2</c:v>
                </c:pt>
                <c:pt idx="96">
                  <c:v>-4.8000000000000001E-2</c:v>
                </c:pt>
                <c:pt idx="97">
                  <c:v>5.1999999999999998E-2</c:v>
                </c:pt>
                <c:pt idx="98">
                  <c:v>-1.7999999999999999E-2</c:v>
                </c:pt>
                <c:pt idx="99">
                  <c:v>-7.5999999999999998E-2</c:v>
                </c:pt>
                <c:pt idx="100">
                  <c:v>-1E-3</c:v>
                </c:pt>
                <c:pt idx="101">
                  <c:v>0.01</c:v>
                </c:pt>
                <c:pt idx="102">
                  <c:v>2.5000000000000001E-2</c:v>
                </c:pt>
                <c:pt idx="103">
                  <c:v>0.216</c:v>
                </c:pt>
                <c:pt idx="104">
                  <c:v>-8.5000000000000006E-2</c:v>
                </c:pt>
                <c:pt idx="105">
                  <c:v>-0.13700000000000001</c:v>
                </c:pt>
                <c:pt idx="106">
                  <c:v>-6.7000000000000004E-2</c:v>
                </c:pt>
                <c:pt idx="107">
                  <c:v>-0.121</c:v>
                </c:pt>
                <c:pt idx="108">
                  <c:v>-5.7000000000000002E-2</c:v>
                </c:pt>
                <c:pt idx="109">
                  <c:v>-9.6000000000000002E-2</c:v>
                </c:pt>
                <c:pt idx="110">
                  <c:v>-0.38400000000000001</c:v>
                </c:pt>
                <c:pt idx="111">
                  <c:v>-0.02</c:v>
                </c:pt>
                <c:pt idx="112">
                  <c:v>-0.17599999999999999</c:v>
                </c:pt>
                <c:pt idx="113">
                  <c:v>8.1000000000000003E-2</c:v>
                </c:pt>
                <c:pt idx="114">
                  <c:v>0.14699999999999999</c:v>
                </c:pt>
                <c:pt idx="115">
                  <c:v>0.32300000000000001</c:v>
                </c:pt>
                <c:pt idx="116">
                  <c:v>0.17799999999999999</c:v>
                </c:pt>
                <c:pt idx="117">
                  <c:v>0.27300000000000002</c:v>
                </c:pt>
                <c:pt idx="118">
                  <c:v>0.16300000000000001</c:v>
                </c:pt>
                <c:pt idx="119">
                  <c:v>0.218</c:v>
                </c:pt>
                <c:pt idx="120">
                  <c:v>4.4999999999999998E-2</c:v>
                </c:pt>
                <c:pt idx="121">
                  <c:v>0.191</c:v>
                </c:pt>
                <c:pt idx="122">
                  <c:v>8.4000000000000005E-2</c:v>
                </c:pt>
                <c:pt idx="123">
                  <c:v>0.127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F-457D-9E95-1C1D32E41BD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('AMP5-4'!$AG$4,'AMP5-4'!$AG$4)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8F-457D-9E95-1C1D32E41BD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('AMP5-4'!$AG$5,'AMP5-4'!$AG$5)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8F-457D-9E95-1C1D32E41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0312"/>
        <c:axId val="543100704"/>
      </c:scatterChart>
      <c:valAx>
        <c:axId val="543100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0704"/>
        <c:crosses val="autoZero"/>
        <c:crossBetween val="midCat"/>
      </c:valAx>
      <c:valAx>
        <c:axId val="5431007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0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'AMP5-4'!$AH$9:$AH$132</c:f>
              <c:numCache>
                <c:formatCode>General</c:formatCode>
                <c:ptCount val="124"/>
                <c:pt idx="0">
                  <c:v>-2.1000000000000001E-2</c:v>
                </c:pt>
                <c:pt idx="1">
                  <c:v>-7.2999999999999995E-2</c:v>
                </c:pt>
                <c:pt idx="2">
                  <c:v>-6.9000000000000006E-2</c:v>
                </c:pt>
                <c:pt idx="3">
                  <c:v>-0.20300000000000001</c:v>
                </c:pt>
                <c:pt idx="4">
                  <c:v>-6.8000000000000005E-2</c:v>
                </c:pt>
                <c:pt idx="5">
                  <c:v>-9.5000000000000001E-2</c:v>
                </c:pt>
                <c:pt idx="6">
                  <c:v>-0.126</c:v>
                </c:pt>
                <c:pt idx="7">
                  <c:v>-0.17</c:v>
                </c:pt>
                <c:pt idx="8">
                  <c:v>-4.1000000000000002E-2</c:v>
                </c:pt>
                <c:pt idx="9">
                  <c:v>-0.16900000000000001</c:v>
                </c:pt>
                <c:pt idx="10">
                  <c:v>-6.3E-2</c:v>
                </c:pt>
                <c:pt idx="11">
                  <c:v>-9.6000000000000002E-2</c:v>
                </c:pt>
                <c:pt idx="12">
                  <c:v>-8.5000000000000006E-2</c:v>
                </c:pt>
                <c:pt idx="13">
                  <c:v>-9.1999999999999998E-2</c:v>
                </c:pt>
                <c:pt idx="14">
                  <c:v>-0.105</c:v>
                </c:pt>
                <c:pt idx="15">
                  <c:v>0.04</c:v>
                </c:pt>
                <c:pt idx="16">
                  <c:v>-8.6999999999999994E-2</c:v>
                </c:pt>
                <c:pt idx="17">
                  <c:v>-6.4000000000000001E-2</c:v>
                </c:pt>
                <c:pt idx="18">
                  <c:v>0.90800000000000003</c:v>
                </c:pt>
                <c:pt idx="19">
                  <c:v>-0.159</c:v>
                </c:pt>
                <c:pt idx="20">
                  <c:v>-0.19900000000000001</c:v>
                </c:pt>
                <c:pt idx="21">
                  <c:v>-6.5000000000000002E-2</c:v>
                </c:pt>
                <c:pt idx="22">
                  <c:v>-0.27800000000000002</c:v>
                </c:pt>
                <c:pt idx="23">
                  <c:v>-3.3000000000000002E-2</c:v>
                </c:pt>
                <c:pt idx="24">
                  <c:v>-0.27</c:v>
                </c:pt>
                <c:pt idx="25">
                  <c:v>-2.9000000000000001E-2</c:v>
                </c:pt>
                <c:pt idx="26">
                  <c:v>-0.22600000000000001</c:v>
                </c:pt>
                <c:pt idx="27">
                  <c:v>-0.14000000000000001</c:v>
                </c:pt>
                <c:pt idx="28">
                  <c:v>-0.17199999999999999</c:v>
                </c:pt>
                <c:pt idx="29">
                  <c:v>0.104</c:v>
                </c:pt>
                <c:pt idx="30">
                  <c:v>-0.35199999999999998</c:v>
                </c:pt>
                <c:pt idx="31">
                  <c:v>0.155</c:v>
                </c:pt>
                <c:pt idx="32">
                  <c:v>-0.35299999999999998</c:v>
                </c:pt>
                <c:pt idx="33">
                  <c:v>-1.9E-2</c:v>
                </c:pt>
                <c:pt idx="34">
                  <c:v>0.111</c:v>
                </c:pt>
                <c:pt idx="35">
                  <c:v>-0.52400000000000002</c:v>
                </c:pt>
                <c:pt idx="36">
                  <c:v>5.0999999999999997E-2</c:v>
                </c:pt>
                <c:pt idx="37">
                  <c:v>-0.72599999999999998</c:v>
                </c:pt>
                <c:pt idx="38">
                  <c:v>6.6000000000000003E-2</c:v>
                </c:pt>
                <c:pt idx="39">
                  <c:v>-1.4E-2</c:v>
                </c:pt>
                <c:pt idx="40">
                  <c:v>-2.7E-2</c:v>
                </c:pt>
                <c:pt idx="41">
                  <c:v>-0.10299999999999999</c:v>
                </c:pt>
                <c:pt idx="42">
                  <c:v>-5.0000000000000001E-3</c:v>
                </c:pt>
                <c:pt idx="43">
                  <c:v>0.16</c:v>
                </c:pt>
                <c:pt idx="44">
                  <c:v>-1.0999999999999999E-2</c:v>
                </c:pt>
                <c:pt idx="45">
                  <c:v>6.6000000000000003E-2</c:v>
                </c:pt>
                <c:pt idx="46">
                  <c:v>-7.2999999999999995E-2</c:v>
                </c:pt>
                <c:pt idx="47">
                  <c:v>1.2999999999999999E-2</c:v>
                </c:pt>
                <c:pt idx="48">
                  <c:v>-5.7000000000000002E-2</c:v>
                </c:pt>
                <c:pt idx="49">
                  <c:v>-7.9000000000000001E-2</c:v>
                </c:pt>
                <c:pt idx="50">
                  <c:v>-0.04</c:v>
                </c:pt>
                <c:pt idx="51">
                  <c:v>3.1E-2</c:v>
                </c:pt>
                <c:pt idx="52">
                  <c:v>-3.2000000000000001E-2</c:v>
                </c:pt>
                <c:pt idx="53">
                  <c:v>-8.8999999999999996E-2</c:v>
                </c:pt>
                <c:pt idx="54">
                  <c:v>-5.7000000000000002E-2</c:v>
                </c:pt>
                <c:pt idx="55">
                  <c:v>1.2999999999999999E-2</c:v>
                </c:pt>
                <c:pt idx="56">
                  <c:v>-0.121</c:v>
                </c:pt>
                <c:pt idx="57">
                  <c:v>2E-3</c:v>
                </c:pt>
                <c:pt idx="58">
                  <c:v>-0.03</c:v>
                </c:pt>
                <c:pt idx="59">
                  <c:v>-8.0000000000000002E-3</c:v>
                </c:pt>
                <c:pt idx="60">
                  <c:v>-3.0000000000000001E-3</c:v>
                </c:pt>
                <c:pt idx="61">
                  <c:v>0.113</c:v>
                </c:pt>
                <c:pt idx="62">
                  <c:v>-7.0000000000000007E-2</c:v>
                </c:pt>
                <c:pt idx="63">
                  <c:v>3.1E-2</c:v>
                </c:pt>
                <c:pt idx="64">
                  <c:v>-0.11</c:v>
                </c:pt>
                <c:pt idx="65">
                  <c:v>-0.10100000000000001</c:v>
                </c:pt>
                <c:pt idx="66">
                  <c:v>-0.06</c:v>
                </c:pt>
                <c:pt idx="67">
                  <c:v>-7.0000000000000007E-2</c:v>
                </c:pt>
                <c:pt idx="68">
                  <c:v>-4.7E-2</c:v>
                </c:pt>
                <c:pt idx="69">
                  <c:v>-3.3000000000000002E-2</c:v>
                </c:pt>
                <c:pt idx="70">
                  <c:v>-7.9000000000000001E-2</c:v>
                </c:pt>
                <c:pt idx="71">
                  <c:v>-2.1000000000000001E-2</c:v>
                </c:pt>
                <c:pt idx="72">
                  <c:v>-0.152</c:v>
                </c:pt>
                <c:pt idx="73">
                  <c:v>-7.8E-2</c:v>
                </c:pt>
                <c:pt idx="74">
                  <c:v>6.4000000000000001E-2</c:v>
                </c:pt>
                <c:pt idx="75">
                  <c:v>-0.158</c:v>
                </c:pt>
                <c:pt idx="76">
                  <c:v>-7.5999999999999998E-2</c:v>
                </c:pt>
                <c:pt idx="77">
                  <c:v>0.02</c:v>
                </c:pt>
                <c:pt idx="78">
                  <c:v>3.5000000000000003E-2</c:v>
                </c:pt>
                <c:pt idx="79">
                  <c:v>5.3999999999999999E-2</c:v>
                </c:pt>
                <c:pt idx="80">
                  <c:v>-2.1999999999999999E-2</c:v>
                </c:pt>
                <c:pt idx="81">
                  <c:v>6.8000000000000005E-2</c:v>
                </c:pt>
                <c:pt idx="82">
                  <c:v>6.2E-2</c:v>
                </c:pt>
                <c:pt idx="83">
                  <c:v>-0.18099999999999999</c:v>
                </c:pt>
                <c:pt idx="84">
                  <c:v>7.8E-2</c:v>
                </c:pt>
                <c:pt idx="85">
                  <c:v>1.4E-2</c:v>
                </c:pt>
                <c:pt idx="86">
                  <c:v>-6.6000000000000003E-2</c:v>
                </c:pt>
                <c:pt idx="87">
                  <c:v>-7.6999999999999999E-2</c:v>
                </c:pt>
                <c:pt idx="88">
                  <c:v>-1.2E-2</c:v>
                </c:pt>
                <c:pt idx="89">
                  <c:v>-0.14499999999999999</c:v>
                </c:pt>
                <c:pt idx="90">
                  <c:v>-8.1000000000000003E-2</c:v>
                </c:pt>
                <c:pt idx="91">
                  <c:v>-3.0000000000000001E-3</c:v>
                </c:pt>
                <c:pt idx="92">
                  <c:v>5.0000000000000001E-3</c:v>
                </c:pt>
                <c:pt idx="93">
                  <c:v>2.8000000000000001E-2</c:v>
                </c:pt>
                <c:pt idx="94">
                  <c:v>-0.14699999999999999</c:v>
                </c:pt>
                <c:pt idx="95">
                  <c:v>-0.19400000000000001</c:v>
                </c:pt>
                <c:pt idx="96">
                  <c:v>8.2000000000000003E-2</c:v>
                </c:pt>
                <c:pt idx="97">
                  <c:v>-4.5999999999999999E-2</c:v>
                </c:pt>
                <c:pt idx="98">
                  <c:v>5.0000000000000001E-3</c:v>
                </c:pt>
                <c:pt idx="99">
                  <c:v>-9.4E-2</c:v>
                </c:pt>
                <c:pt idx="100">
                  <c:v>-5.3999999999999999E-2</c:v>
                </c:pt>
                <c:pt idx="101">
                  <c:v>-2.9000000000000001E-2</c:v>
                </c:pt>
                <c:pt idx="102">
                  <c:v>0.113</c:v>
                </c:pt>
                <c:pt idx="103">
                  <c:v>0.11700000000000001</c:v>
                </c:pt>
                <c:pt idx="104">
                  <c:v>6.8000000000000005E-2</c:v>
                </c:pt>
                <c:pt idx="105">
                  <c:v>-4.4999999999999998E-2</c:v>
                </c:pt>
                <c:pt idx="106">
                  <c:v>0.09</c:v>
                </c:pt>
                <c:pt idx="107">
                  <c:v>-9.7000000000000003E-2</c:v>
                </c:pt>
                <c:pt idx="108">
                  <c:v>8.2000000000000003E-2</c:v>
                </c:pt>
                <c:pt idx="109">
                  <c:v>-0.155</c:v>
                </c:pt>
                <c:pt idx="110">
                  <c:v>-0.27500000000000002</c:v>
                </c:pt>
                <c:pt idx="111">
                  <c:v>-0.11600000000000001</c:v>
                </c:pt>
                <c:pt idx="112">
                  <c:v>0.17599999999999999</c:v>
                </c:pt>
                <c:pt idx="113">
                  <c:v>6.7000000000000004E-2</c:v>
                </c:pt>
                <c:pt idx="114">
                  <c:v>6.3E-2</c:v>
                </c:pt>
                <c:pt idx="115">
                  <c:v>6.4000000000000001E-2</c:v>
                </c:pt>
                <c:pt idx="116">
                  <c:v>0.125</c:v>
                </c:pt>
                <c:pt idx="117">
                  <c:v>6.6000000000000003E-2</c:v>
                </c:pt>
                <c:pt idx="118">
                  <c:v>0.111</c:v>
                </c:pt>
                <c:pt idx="119">
                  <c:v>2.1000000000000001E-2</c:v>
                </c:pt>
                <c:pt idx="120">
                  <c:v>6.4000000000000001E-2</c:v>
                </c:pt>
                <c:pt idx="121">
                  <c:v>0.104</c:v>
                </c:pt>
                <c:pt idx="122">
                  <c:v>9.7000000000000003E-2</c:v>
                </c:pt>
                <c:pt idx="123">
                  <c:v>-3.2000000000000001E-2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37-48BA-B579-3A7318533C7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('AMP5-4'!$AH$4,'AMP5-4'!$AH$4)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37-48BA-B579-3A7318533C7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('AMP5-4'!$AH$5,'AMP5-4'!$AH$5)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37-48BA-B579-3A7318533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1488"/>
        <c:axId val="543101880"/>
      </c:scatterChart>
      <c:valAx>
        <c:axId val="54310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1880"/>
        <c:crosses val="autoZero"/>
        <c:crossBetween val="midCat"/>
      </c:valAx>
      <c:valAx>
        <c:axId val="5431018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1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'AMP5-4'!$AI$8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'AMP5-4'!$C$9:$C$132</c:f>
              <c:numCache>
                <c:formatCode>m/d/yy\ h:mm;@</c:formatCode>
                <c:ptCount val="124"/>
                <c:pt idx="0">
                  <c:v>43698.528321759259</c:v>
                </c:pt>
                <c:pt idx="1">
                  <c:v>43698.530324074076</c:v>
                </c:pt>
                <c:pt idx="2">
                  <c:v>43698.629363425927</c:v>
                </c:pt>
                <c:pt idx="3">
                  <c:v>43698.631678240738</c:v>
                </c:pt>
                <c:pt idx="4">
                  <c:v>43698.805555555555</c:v>
                </c:pt>
                <c:pt idx="5">
                  <c:v>43698.807627314818</c:v>
                </c:pt>
                <c:pt idx="6">
                  <c:v>43698.826840277776</c:v>
                </c:pt>
                <c:pt idx="7">
                  <c:v>43698.828993055555</c:v>
                </c:pt>
                <c:pt idx="8">
                  <c:v>43698.879872685182</c:v>
                </c:pt>
                <c:pt idx="9">
                  <c:v>43698.882557870369</c:v>
                </c:pt>
                <c:pt idx="10">
                  <c:v>43698.97457175926</c:v>
                </c:pt>
                <c:pt idx="11">
                  <c:v>43698.97760416667</c:v>
                </c:pt>
                <c:pt idx="12">
                  <c:v>43699.051006944443</c:v>
                </c:pt>
                <c:pt idx="13">
                  <c:v>43699.054224537038</c:v>
                </c:pt>
                <c:pt idx="14">
                  <c:v>43699.368854166663</c:v>
                </c:pt>
                <c:pt idx="15">
                  <c:v>43699.370868055557</c:v>
                </c:pt>
                <c:pt idx="16">
                  <c:v>43699.445868055554</c:v>
                </c:pt>
                <c:pt idx="17">
                  <c:v>43699.447974537034</c:v>
                </c:pt>
                <c:pt idx="18">
                  <c:v>43699.607442129629</c:v>
                </c:pt>
                <c:pt idx="19">
                  <c:v>43699.609988425924</c:v>
                </c:pt>
                <c:pt idx="20">
                  <c:v>43699.690509259257</c:v>
                </c:pt>
                <c:pt idx="21">
                  <c:v>43699.692615740743</c:v>
                </c:pt>
                <c:pt idx="22">
                  <c:v>43699.762384259258</c:v>
                </c:pt>
                <c:pt idx="23">
                  <c:v>43699.77480324074</c:v>
                </c:pt>
                <c:pt idx="24">
                  <c:v>43699.841446759259</c:v>
                </c:pt>
                <c:pt idx="25">
                  <c:v>43699.843449074076</c:v>
                </c:pt>
                <c:pt idx="26">
                  <c:v>43699.927303240744</c:v>
                </c:pt>
                <c:pt idx="27">
                  <c:v>43699.929814814815</c:v>
                </c:pt>
                <c:pt idx="28">
                  <c:v>43700.011944444443</c:v>
                </c:pt>
                <c:pt idx="29">
                  <c:v>43700.01425925926</c:v>
                </c:pt>
                <c:pt idx="30">
                  <c:v>43700.312013888892</c:v>
                </c:pt>
                <c:pt idx="31">
                  <c:v>43700.314270833333</c:v>
                </c:pt>
                <c:pt idx="32">
                  <c:v>43700.398356481484</c:v>
                </c:pt>
                <c:pt idx="33">
                  <c:v>43700.402199074073</c:v>
                </c:pt>
                <c:pt idx="34">
                  <c:v>43700.480393518519</c:v>
                </c:pt>
                <c:pt idx="35">
                  <c:v>43700.483356481483</c:v>
                </c:pt>
                <c:pt idx="36">
                  <c:v>43703.86824074074</c:v>
                </c:pt>
                <c:pt idx="37">
                  <c:v>43703.870324074072</c:v>
                </c:pt>
                <c:pt idx="38">
                  <c:v>43703.968275462961</c:v>
                </c:pt>
                <c:pt idx="39">
                  <c:v>43703.970046296294</c:v>
                </c:pt>
                <c:pt idx="40">
                  <c:v>43704.05709490741</c:v>
                </c:pt>
                <c:pt idx="41">
                  <c:v>43704.05872685185</c:v>
                </c:pt>
                <c:pt idx="42">
                  <c:v>43704.339375000003</c:v>
                </c:pt>
                <c:pt idx="43">
                  <c:v>43704.341597222221</c:v>
                </c:pt>
                <c:pt idx="44">
                  <c:v>43704.410787037035</c:v>
                </c:pt>
                <c:pt idx="45">
                  <c:v>43704.412881944445</c:v>
                </c:pt>
                <c:pt idx="46">
                  <c:v>43704.51489583333</c:v>
                </c:pt>
                <c:pt idx="47">
                  <c:v>43704.516909722224</c:v>
                </c:pt>
                <c:pt idx="48">
                  <c:v>43704.603159722225</c:v>
                </c:pt>
                <c:pt idx="49">
                  <c:v>43704.60527777778</c:v>
                </c:pt>
                <c:pt idx="50">
                  <c:v>43704.683182870373</c:v>
                </c:pt>
                <c:pt idx="51">
                  <c:v>43704.684988425928</c:v>
                </c:pt>
                <c:pt idx="52">
                  <c:v>43704.774027777778</c:v>
                </c:pt>
                <c:pt idx="53">
                  <c:v>43704.775601851848</c:v>
                </c:pt>
                <c:pt idx="54">
                  <c:v>43704.854641203703</c:v>
                </c:pt>
                <c:pt idx="55">
                  <c:v>43704.856354166666</c:v>
                </c:pt>
                <c:pt idx="56">
                  <c:v>43704.922581018516</c:v>
                </c:pt>
                <c:pt idx="57">
                  <c:v>43704.924074074072</c:v>
                </c:pt>
                <c:pt idx="58">
                  <c:v>43705.028263888889</c:v>
                </c:pt>
                <c:pt idx="59">
                  <c:v>43705.029803240737</c:v>
                </c:pt>
                <c:pt idx="60">
                  <c:v>43705.343530092592</c:v>
                </c:pt>
                <c:pt idx="61">
                  <c:v>43705.345601851855</c:v>
                </c:pt>
                <c:pt idx="62">
                  <c:v>43705.435763888891</c:v>
                </c:pt>
                <c:pt idx="63">
                  <c:v>43705.437928240739</c:v>
                </c:pt>
                <c:pt idx="64">
                  <c:v>43705.528171296297</c:v>
                </c:pt>
                <c:pt idx="65">
                  <c:v>43705.530231481483</c:v>
                </c:pt>
                <c:pt idx="66">
                  <c:v>43705.626666666663</c:v>
                </c:pt>
                <c:pt idx="67">
                  <c:v>43705.62871527778</c:v>
                </c:pt>
                <c:pt idx="68">
                  <c:v>43705.723263888889</c:v>
                </c:pt>
                <c:pt idx="69">
                  <c:v>43705.724803240744</c:v>
                </c:pt>
                <c:pt idx="70">
                  <c:v>43705.827326388891</c:v>
                </c:pt>
                <c:pt idx="71">
                  <c:v>43705.82885416667</c:v>
                </c:pt>
                <c:pt idx="72">
                  <c:v>43705.96402777778</c:v>
                </c:pt>
                <c:pt idx="73">
                  <c:v>43705.965891203705</c:v>
                </c:pt>
                <c:pt idx="74">
                  <c:v>43706.00271990741</c:v>
                </c:pt>
                <c:pt idx="75">
                  <c:v>43706.004212962966</c:v>
                </c:pt>
                <c:pt idx="76">
                  <c:v>43706.056284722225</c:v>
                </c:pt>
                <c:pt idx="77">
                  <c:v>43706.059074074074</c:v>
                </c:pt>
                <c:pt idx="78">
                  <c:v>43706.362337962964</c:v>
                </c:pt>
                <c:pt idx="79">
                  <c:v>43706.364432870374</c:v>
                </c:pt>
                <c:pt idx="80">
                  <c:v>43706.470937500002</c:v>
                </c:pt>
                <c:pt idx="81">
                  <c:v>43706.472986111112</c:v>
                </c:pt>
                <c:pt idx="82">
                  <c:v>43706.593842592592</c:v>
                </c:pt>
                <c:pt idx="83">
                  <c:v>43706.596377314818</c:v>
                </c:pt>
                <c:pt idx="84">
                  <c:v>43706.744988425926</c:v>
                </c:pt>
                <c:pt idx="85">
                  <c:v>43706.747013888889</c:v>
                </c:pt>
                <c:pt idx="86">
                  <c:v>43706.828506944446</c:v>
                </c:pt>
                <c:pt idx="87">
                  <c:v>43706.830555555556</c:v>
                </c:pt>
                <c:pt idx="88">
                  <c:v>43706.938206018516</c:v>
                </c:pt>
                <c:pt idx="89">
                  <c:v>43706.940787037034</c:v>
                </c:pt>
                <c:pt idx="90">
                  <c:v>43706.994895833333</c:v>
                </c:pt>
                <c:pt idx="91">
                  <c:v>43706.996944444443</c:v>
                </c:pt>
                <c:pt idx="92">
                  <c:v>43707.352662037039</c:v>
                </c:pt>
                <c:pt idx="93">
                  <c:v>43707.362870370373</c:v>
                </c:pt>
                <c:pt idx="94">
                  <c:v>43707.366631944446</c:v>
                </c:pt>
                <c:pt idx="95">
                  <c:v>43707.370173611111</c:v>
                </c:pt>
                <c:pt idx="96">
                  <c:v>43707.491249999999</c:v>
                </c:pt>
                <c:pt idx="97">
                  <c:v>43707.49359953704</c:v>
                </c:pt>
                <c:pt idx="98">
                  <c:v>43707.598356481481</c:v>
                </c:pt>
                <c:pt idx="99">
                  <c:v>43707.600636574076</c:v>
                </c:pt>
                <c:pt idx="100">
                  <c:v>43707.661539351851</c:v>
                </c:pt>
                <c:pt idx="101">
                  <c:v>43707.663761574076</c:v>
                </c:pt>
                <c:pt idx="102">
                  <c:v>43708.325960648152</c:v>
                </c:pt>
                <c:pt idx="103">
                  <c:v>43708.328182870369</c:v>
                </c:pt>
                <c:pt idx="104">
                  <c:v>43708.434791666667</c:v>
                </c:pt>
                <c:pt idx="105">
                  <c:v>43708.43712962963</c:v>
                </c:pt>
                <c:pt idx="106">
                  <c:v>43708.48505787037</c:v>
                </c:pt>
                <c:pt idx="107">
                  <c:v>43708.488738425927</c:v>
                </c:pt>
                <c:pt idx="108">
                  <c:v>43708.604548611111</c:v>
                </c:pt>
                <c:pt idx="109">
                  <c:v>43708.607175925928</c:v>
                </c:pt>
                <c:pt idx="110">
                  <c:v>43708.651597222219</c:v>
                </c:pt>
                <c:pt idx="111">
                  <c:v>43708.654398148145</c:v>
                </c:pt>
                <c:pt idx="112">
                  <c:v>43711.441863425927</c:v>
                </c:pt>
                <c:pt idx="113">
                  <c:v>43711.445347222223</c:v>
                </c:pt>
                <c:pt idx="114">
                  <c:v>43711.53806712963</c:v>
                </c:pt>
                <c:pt idx="115">
                  <c:v>43711.54011574074</c:v>
                </c:pt>
                <c:pt idx="116">
                  <c:v>43711.680659722224</c:v>
                </c:pt>
                <c:pt idx="117">
                  <c:v>43711.683692129627</c:v>
                </c:pt>
                <c:pt idx="118">
                  <c:v>43711.761840277781</c:v>
                </c:pt>
                <c:pt idx="119">
                  <c:v>43711.763888888891</c:v>
                </c:pt>
                <c:pt idx="120">
                  <c:v>43711.81627314815</c:v>
                </c:pt>
                <c:pt idx="121">
                  <c:v>43711.81832175926</c:v>
                </c:pt>
                <c:pt idx="122">
                  <c:v>43711.820439814815</c:v>
                </c:pt>
                <c:pt idx="123">
                  <c:v>43711.822476851848</c:v>
                </c:pt>
              </c:numCache>
            </c:numRef>
          </c:xVal>
          <c:yVal>
            <c:numRef>
              <c:f>'AMP5-4'!$AI$9:$AI$132</c:f>
              <c:numCache>
                <c:formatCode>General</c:formatCode>
                <c:ptCount val="124"/>
                <c:pt idx="0">
                  <c:v>0.06</c:v>
                </c:pt>
                <c:pt idx="1">
                  <c:v>-2.3E-2</c:v>
                </c:pt>
                <c:pt idx="2">
                  <c:v>-0.02</c:v>
                </c:pt>
                <c:pt idx="3">
                  <c:v>-0.16900000000000001</c:v>
                </c:pt>
                <c:pt idx="4">
                  <c:v>-2.3E-2</c:v>
                </c:pt>
                <c:pt idx="5">
                  <c:v>-3.5000000000000003E-2</c:v>
                </c:pt>
                <c:pt idx="6">
                  <c:v>-0.11899999999999999</c:v>
                </c:pt>
                <c:pt idx="7">
                  <c:v>-0.114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-7.1999999999999995E-2</c:v>
                </c:pt>
                <c:pt idx="11">
                  <c:v>-5.0000000000000001E-3</c:v>
                </c:pt>
                <c:pt idx="12">
                  <c:v>-6.9000000000000006E-2</c:v>
                </c:pt>
                <c:pt idx="13">
                  <c:v>-3.9E-2</c:v>
                </c:pt>
                <c:pt idx="14">
                  <c:v>-8.1000000000000003E-2</c:v>
                </c:pt>
                <c:pt idx="15">
                  <c:v>0.128</c:v>
                </c:pt>
                <c:pt idx="16">
                  <c:v>-5.1999999999999998E-2</c:v>
                </c:pt>
                <c:pt idx="17">
                  <c:v>4.2000000000000003E-2</c:v>
                </c:pt>
                <c:pt idx="18">
                  <c:v>0.17</c:v>
                </c:pt>
                <c:pt idx="19">
                  <c:v>-5.2999999999999999E-2</c:v>
                </c:pt>
                <c:pt idx="20">
                  <c:v>-0.223</c:v>
                </c:pt>
                <c:pt idx="21">
                  <c:v>0.108</c:v>
                </c:pt>
                <c:pt idx="22">
                  <c:v>-0.26700000000000002</c:v>
                </c:pt>
                <c:pt idx="23">
                  <c:v>7.8E-2</c:v>
                </c:pt>
                <c:pt idx="24">
                  <c:v>-0.27600000000000002</c:v>
                </c:pt>
                <c:pt idx="25">
                  <c:v>6.4000000000000001E-2</c:v>
                </c:pt>
                <c:pt idx="26">
                  <c:v>-0.17</c:v>
                </c:pt>
                <c:pt idx="27">
                  <c:v>-0.05</c:v>
                </c:pt>
                <c:pt idx="28">
                  <c:v>-0.14099999999999999</c:v>
                </c:pt>
                <c:pt idx="29">
                  <c:v>0.13200000000000001</c:v>
                </c:pt>
                <c:pt idx="30">
                  <c:v>-0.154</c:v>
                </c:pt>
                <c:pt idx="31">
                  <c:v>1.2E-2</c:v>
                </c:pt>
                <c:pt idx="32">
                  <c:v>-0.14399999999999999</c:v>
                </c:pt>
                <c:pt idx="33">
                  <c:v>-0.24199999999999999</c:v>
                </c:pt>
                <c:pt idx="34">
                  <c:v>0.112</c:v>
                </c:pt>
                <c:pt idx="35">
                  <c:v>-0.623</c:v>
                </c:pt>
                <c:pt idx="36">
                  <c:v>0.13300000000000001</c:v>
                </c:pt>
                <c:pt idx="37">
                  <c:v>-0.38400000000000001</c:v>
                </c:pt>
                <c:pt idx="38">
                  <c:v>9.7000000000000003E-2</c:v>
                </c:pt>
                <c:pt idx="39">
                  <c:v>0.04</c:v>
                </c:pt>
                <c:pt idx="40">
                  <c:v>1.9E-2</c:v>
                </c:pt>
                <c:pt idx="41">
                  <c:v>-7.3999999999999996E-2</c:v>
                </c:pt>
                <c:pt idx="42">
                  <c:v>5.7000000000000002E-2</c:v>
                </c:pt>
                <c:pt idx="43">
                  <c:v>0.20599999999999999</c:v>
                </c:pt>
                <c:pt idx="44">
                  <c:v>5.5E-2</c:v>
                </c:pt>
                <c:pt idx="45">
                  <c:v>7.2999999999999995E-2</c:v>
                </c:pt>
                <c:pt idx="46">
                  <c:v>-2.1999999999999999E-2</c:v>
                </c:pt>
                <c:pt idx="47">
                  <c:v>7.2999999999999995E-2</c:v>
                </c:pt>
                <c:pt idx="48">
                  <c:v>-1.2E-2</c:v>
                </c:pt>
                <c:pt idx="49">
                  <c:v>1.7999999999999999E-2</c:v>
                </c:pt>
                <c:pt idx="50">
                  <c:v>-4.0000000000000001E-3</c:v>
                </c:pt>
                <c:pt idx="51">
                  <c:v>0.126</c:v>
                </c:pt>
                <c:pt idx="52">
                  <c:v>3.0000000000000001E-3</c:v>
                </c:pt>
                <c:pt idx="53">
                  <c:v>-5.7000000000000002E-2</c:v>
                </c:pt>
                <c:pt idx="54">
                  <c:v>-1.6E-2</c:v>
                </c:pt>
                <c:pt idx="55">
                  <c:v>3.5999999999999997E-2</c:v>
                </c:pt>
                <c:pt idx="56">
                  <c:v>-5.1999999999999998E-2</c:v>
                </c:pt>
                <c:pt idx="57">
                  <c:v>3.3000000000000002E-2</c:v>
                </c:pt>
                <c:pt idx="58">
                  <c:v>0.02</c:v>
                </c:pt>
                <c:pt idx="59">
                  <c:v>2.7E-2</c:v>
                </c:pt>
                <c:pt idx="60">
                  <c:v>4.0000000000000001E-3</c:v>
                </c:pt>
                <c:pt idx="61">
                  <c:v>7.6999999999999999E-2</c:v>
                </c:pt>
                <c:pt idx="62">
                  <c:v>3.0000000000000001E-3</c:v>
                </c:pt>
                <c:pt idx="63">
                  <c:v>5.0999999999999997E-2</c:v>
                </c:pt>
                <c:pt idx="64">
                  <c:v>-0.05</c:v>
                </c:pt>
                <c:pt idx="65">
                  <c:v>-9.2999999999999999E-2</c:v>
                </c:pt>
                <c:pt idx="66">
                  <c:v>0.02</c:v>
                </c:pt>
                <c:pt idx="67">
                  <c:v>-0.08</c:v>
                </c:pt>
                <c:pt idx="68">
                  <c:v>4.7E-2</c:v>
                </c:pt>
                <c:pt idx="69">
                  <c:v>-7.4999999999999997E-2</c:v>
                </c:pt>
                <c:pt idx="70">
                  <c:v>5.8999999999999997E-2</c:v>
                </c:pt>
                <c:pt idx="71">
                  <c:v>-8.3000000000000004E-2</c:v>
                </c:pt>
                <c:pt idx="72">
                  <c:v>-1.4E-2</c:v>
                </c:pt>
                <c:pt idx="73">
                  <c:v>-0.159</c:v>
                </c:pt>
                <c:pt idx="74">
                  <c:v>0.16300000000000001</c:v>
                </c:pt>
                <c:pt idx="75">
                  <c:v>-8.5000000000000006E-2</c:v>
                </c:pt>
                <c:pt idx="76">
                  <c:v>-1.4999999999999999E-2</c:v>
                </c:pt>
                <c:pt idx="77">
                  <c:v>0.114</c:v>
                </c:pt>
                <c:pt idx="78">
                  <c:v>0.13300000000000001</c:v>
                </c:pt>
                <c:pt idx="79">
                  <c:v>7.5999999999999998E-2</c:v>
                </c:pt>
                <c:pt idx="80">
                  <c:v>0.112</c:v>
                </c:pt>
                <c:pt idx="81">
                  <c:v>7.0999999999999994E-2</c:v>
                </c:pt>
                <c:pt idx="82">
                  <c:v>0.105</c:v>
                </c:pt>
                <c:pt idx="83">
                  <c:v>-0.19900000000000001</c:v>
                </c:pt>
                <c:pt idx="84">
                  <c:v>0.151</c:v>
                </c:pt>
                <c:pt idx="85">
                  <c:v>0.06</c:v>
                </c:pt>
                <c:pt idx="86">
                  <c:v>2.1999999999999999E-2</c:v>
                </c:pt>
                <c:pt idx="87">
                  <c:v>-6.4000000000000001E-2</c:v>
                </c:pt>
                <c:pt idx="88">
                  <c:v>8.8999999999999996E-2</c:v>
                </c:pt>
                <c:pt idx="89">
                  <c:v>-0.17499999999999999</c:v>
                </c:pt>
                <c:pt idx="90">
                  <c:v>1.0999999999999999E-2</c:v>
                </c:pt>
                <c:pt idx="91">
                  <c:v>-3.7999999999999999E-2</c:v>
                </c:pt>
                <c:pt idx="92">
                  <c:v>4.2999999999999997E-2</c:v>
                </c:pt>
                <c:pt idx="93">
                  <c:v>-7.0000000000000001E-3</c:v>
                </c:pt>
                <c:pt idx="94">
                  <c:v>-7.3999999999999996E-2</c:v>
                </c:pt>
                <c:pt idx="95">
                  <c:v>-0.222</c:v>
                </c:pt>
                <c:pt idx="96">
                  <c:v>0.107</c:v>
                </c:pt>
                <c:pt idx="97">
                  <c:v>-7.8E-2</c:v>
                </c:pt>
                <c:pt idx="98">
                  <c:v>9.6000000000000002E-2</c:v>
                </c:pt>
                <c:pt idx="99">
                  <c:v>-0.182</c:v>
                </c:pt>
                <c:pt idx="100">
                  <c:v>4.8000000000000001E-2</c:v>
                </c:pt>
                <c:pt idx="101">
                  <c:v>-0.124</c:v>
                </c:pt>
                <c:pt idx="102">
                  <c:v>0.20399999999999999</c:v>
                </c:pt>
                <c:pt idx="103">
                  <c:v>5.3999999999999999E-2</c:v>
                </c:pt>
                <c:pt idx="104">
                  <c:v>0.188</c:v>
                </c:pt>
                <c:pt idx="105">
                  <c:v>-0.253</c:v>
                </c:pt>
                <c:pt idx="106">
                  <c:v>0.20599999999999999</c:v>
                </c:pt>
                <c:pt idx="107">
                  <c:v>-0.20899999999999999</c:v>
                </c:pt>
                <c:pt idx="108">
                  <c:v>0.13</c:v>
                </c:pt>
                <c:pt idx="109">
                  <c:v>-0.26900000000000002</c:v>
                </c:pt>
                <c:pt idx="110">
                  <c:v>-0.17799999999999999</c:v>
                </c:pt>
                <c:pt idx="111">
                  <c:v>-0.23100000000000001</c:v>
                </c:pt>
                <c:pt idx="112">
                  <c:v>0.36199999999999999</c:v>
                </c:pt>
                <c:pt idx="113">
                  <c:v>-6.6000000000000003E-2</c:v>
                </c:pt>
                <c:pt idx="114">
                  <c:v>0.158</c:v>
                </c:pt>
                <c:pt idx="115">
                  <c:v>0.128</c:v>
                </c:pt>
                <c:pt idx="116">
                  <c:v>0.22500000000000001</c:v>
                </c:pt>
                <c:pt idx="117">
                  <c:v>0.10299999999999999</c:v>
                </c:pt>
                <c:pt idx="118">
                  <c:v>0.11799999999999999</c:v>
                </c:pt>
                <c:pt idx="119">
                  <c:v>0.112</c:v>
                </c:pt>
                <c:pt idx="120">
                  <c:v>0.14599999999999999</c:v>
                </c:pt>
                <c:pt idx="121">
                  <c:v>0.19400000000000001</c:v>
                </c:pt>
                <c:pt idx="122">
                  <c:v>0.14799999999999999</c:v>
                </c:pt>
                <c:pt idx="123">
                  <c:v>5.8000000000000003E-2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88E-8464-D5F47C9BA06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('AMP5-4'!$AI$4,'AMP5-4'!$AI$4)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88E-8464-D5F47C9BA06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('AMP5-4'!$C$1,'AMP5-4'!$C$2)</c:f>
              <c:numCache>
                <c:formatCode>m/d/yy\ h:mm;@</c:formatCode>
                <c:ptCount val="2"/>
                <c:pt idx="0">
                  <c:v>43698.528321759259</c:v>
                </c:pt>
                <c:pt idx="1">
                  <c:v>43711.822476851848</c:v>
                </c:pt>
              </c:numCache>
            </c:numRef>
          </c:xVal>
          <c:yVal>
            <c:numRef>
              <c:f>('AMP5-4'!$AI$5,'AMP5-4'!$AI$5)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0C-488E-8464-D5F47C9BA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2664"/>
        <c:axId val="543103056"/>
      </c:scatterChart>
      <c:valAx>
        <c:axId val="54310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3056"/>
        <c:crosses val="autoZero"/>
        <c:crossBetween val="midCat"/>
      </c:valAx>
      <c:valAx>
        <c:axId val="5431030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'AMP6-2'!$F$9:$F$60</c:f>
              <c:numCache>
                <c:formatCode>General</c:formatCode>
                <c:ptCount val="52"/>
                <c:pt idx="0">
                  <c:v>41.29</c:v>
                </c:pt>
                <c:pt idx="2">
                  <c:v>41.381999999999998</c:v>
                </c:pt>
                <c:pt idx="4">
                  <c:v>41.3</c:v>
                </c:pt>
                <c:pt idx="6">
                  <c:v>41.401000000000003</c:v>
                </c:pt>
                <c:pt idx="8">
                  <c:v>41.244999999999997</c:v>
                </c:pt>
                <c:pt idx="10">
                  <c:v>41.261000000000003</c:v>
                </c:pt>
                <c:pt idx="12">
                  <c:v>41.384</c:v>
                </c:pt>
                <c:pt idx="14">
                  <c:v>41.115000000000002</c:v>
                </c:pt>
                <c:pt idx="16">
                  <c:v>41.274999999999999</c:v>
                </c:pt>
                <c:pt idx="18">
                  <c:v>41.478000000000002</c:v>
                </c:pt>
                <c:pt idx="20">
                  <c:v>41.55</c:v>
                </c:pt>
                <c:pt idx="22">
                  <c:v>41.536000000000001</c:v>
                </c:pt>
                <c:pt idx="24">
                  <c:v>41.164999999999999</c:v>
                </c:pt>
                <c:pt idx="26">
                  <c:v>41.511000000000003</c:v>
                </c:pt>
                <c:pt idx="28">
                  <c:v>41.866</c:v>
                </c:pt>
                <c:pt idx="30">
                  <c:v>41.750999999999998</c:v>
                </c:pt>
                <c:pt idx="32">
                  <c:v>41.427999999999997</c:v>
                </c:pt>
                <c:pt idx="34">
                  <c:v>41.512</c:v>
                </c:pt>
                <c:pt idx="36">
                  <c:v>41.537999999999997</c:v>
                </c:pt>
                <c:pt idx="38">
                  <c:v>41.668999999999997</c:v>
                </c:pt>
                <c:pt idx="41">
                  <c:v>41.497</c:v>
                </c:pt>
                <c:pt idx="42">
                  <c:v>41.398000000000003</c:v>
                </c:pt>
                <c:pt idx="44">
                  <c:v>41.381</c:v>
                </c:pt>
                <c:pt idx="46">
                  <c:v>41.371000000000002</c:v>
                </c:pt>
                <c:pt idx="48">
                  <c:v>41.305999999999997</c:v>
                </c:pt>
                <c:pt idx="50">
                  <c:v>41.247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3-49DA-AF2C-CC2A79590572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4E3-49DA-AF2C-CC2A79590572}"/>
              </c:ext>
            </c:extLst>
          </c:dPt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('AMP6-2'!$F$4,'AMP6-2'!$F$4)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E3-49DA-AF2C-CC2A79590572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4E3-49DA-AF2C-CC2A79590572}"/>
              </c:ext>
            </c:extLst>
          </c:dPt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('AMP6-2'!$F$5,'AMP6-2'!$F$5)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4E3-49DA-AF2C-CC2A79590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4624"/>
        <c:axId val="543105016"/>
      </c:scatterChart>
      <c:valAx>
        <c:axId val="54310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5016"/>
        <c:crosses val="autoZero"/>
        <c:crossBetween val="midCat"/>
      </c:valAx>
      <c:valAx>
        <c:axId val="5431050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'AMP6-2'!$G$9:$G$60</c:f>
              <c:numCache>
                <c:formatCode>General</c:formatCode>
                <c:ptCount val="52"/>
                <c:pt idx="0">
                  <c:v>41.234999999999999</c:v>
                </c:pt>
                <c:pt idx="2">
                  <c:v>41.384999999999998</c:v>
                </c:pt>
                <c:pt idx="4">
                  <c:v>41.052999999999997</c:v>
                </c:pt>
                <c:pt idx="6">
                  <c:v>41.293999999999997</c:v>
                </c:pt>
                <c:pt idx="8">
                  <c:v>41.195999999999998</c:v>
                </c:pt>
                <c:pt idx="10">
                  <c:v>41.118000000000002</c:v>
                </c:pt>
                <c:pt idx="12">
                  <c:v>41.290999999999997</c:v>
                </c:pt>
                <c:pt idx="14">
                  <c:v>41.055</c:v>
                </c:pt>
                <c:pt idx="16">
                  <c:v>41.174999999999997</c:v>
                </c:pt>
                <c:pt idx="18">
                  <c:v>41.392000000000003</c:v>
                </c:pt>
                <c:pt idx="20">
                  <c:v>41.588999999999999</c:v>
                </c:pt>
                <c:pt idx="22">
                  <c:v>41.609000000000002</c:v>
                </c:pt>
                <c:pt idx="24">
                  <c:v>41.228999999999999</c:v>
                </c:pt>
                <c:pt idx="26">
                  <c:v>41.886000000000003</c:v>
                </c:pt>
                <c:pt idx="28">
                  <c:v>42.206000000000003</c:v>
                </c:pt>
                <c:pt idx="30">
                  <c:v>42.109000000000002</c:v>
                </c:pt>
                <c:pt idx="32">
                  <c:v>41.814</c:v>
                </c:pt>
                <c:pt idx="34">
                  <c:v>41.875999999999998</c:v>
                </c:pt>
                <c:pt idx="36">
                  <c:v>41.898000000000003</c:v>
                </c:pt>
                <c:pt idx="38">
                  <c:v>42.091000000000001</c:v>
                </c:pt>
                <c:pt idx="41">
                  <c:v>41.893000000000001</c:v>
                </c:pt>
                <c:pt idx="42">
                  <c:v>41.905000000000001</c:v>
                </c:pt>
                <c:pt idx="44">
                  <c:v>41.942999999999998</c:v>
                </c:pt>
                <c:pt idx="46">
                  <c:v>41.811</c:v>
                </c:pt>
                <c:pt idx="48">
                  <c:v>41.656999999999996</c:v>
                </c:pt>
                <c:pt idx="50">
                  <c:v>41.689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9-496E-90E9-1C36E01A5E4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('AMP6-2'!$G$4,'AMP6-2'!$G$4)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B9-496E-90E9-1C36E01A5E4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('AMP6-2'!$G$5,'AMP6-2'!$G$5)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B9-496E-90E9-1C36E01A5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5800"/>
        <c:axId val="543106192"/>
      </c:scatterChart>
      <c:valAx>
        <c:axId val="543105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6192"/>
        <c:crosses val="autoZero"/>
        <c:crossBetween val="midCat"/>
      </c:valAx>
      <c:valAx>
        <c:axId val="5431061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5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'AMP6-2'!$H$9:$H$60</c:f>
              <c:numCache>
                <c:formatCode>General</c:formatCode>
                <c:ptCount val="52"/>
                <c:pt idx="0">
                  <c:v>155.82499999999999</c:v>
                </c:pt>
                <c:pt idx="1">
                  <c:v>155.626</c:v>
                </c:pt>
                <c:pt idx="2">
                  <c:v>155.68899999999999</c:v>
                </c:pt>
                <c:pt idx="3">
                  <c:v>155.57499999999999</c:v>
                </c:pt>
                <c:pt idx="4">
                  <c:v>155.84299999999999</c:v>
                </c:pt>
                <c:pt idx="5">
                  <c:v>155.69999999999999</c:v>
                </c:pt>
                <c:pt idx="6">
                  <c:v>155.804</c:v>
                </c:pt>
                <c:pt idx="7">
                  <c:v>155.625</c:v>
                </c:pt>
                <c:pt idx="8">
                  <c:v>155.81</c:v>
                </c:pt>
                <c:pt idx="9">
                  <c:v>155.65700000000001</c:v>
                </c:pt>
                <c:pt idx="10">
                  <c:v>155.83600000000001</c:v>
                </c:pt>
                <c:pt idx="11">
                  <c:v>155.69399999999999</c:v>
                </c:pt>
                <c:pt idx="12">
                  <c:v>155.83699999999999</c:v>
                </c:pt>
                <c:pt idx="13">
                  <c:v>155.666</c:v>
                </c:pt>
                <c:pt idx="14">
                  <c:v>155.83600000000001</c:v>
                </c:pt>
                <c:pt idx="15">
                  <c:v>155.661</c:v>
                </c:pt>
                <c:pt idx="16">
                  <c:v>155.86199999999999</c:v>
                </c:pt>
                <c:pt idx="17">
                  <c:v>155.71799999999999</c:v>
                </c:pt>
                <c:pt idx="18">
                  <c:v>155.62100000000001</c:v>
                </c:pt>
                <c:pt idx="19">
                  <c:v>155.41200000000001</c:v>
                </c:pt>
                <c:pt idx="20">
                  <c:v>155.67400000000001</c:v>
                </c:pt>
                <c:pt idx="21">
                  <c:v>155.453</c:v>
                </c:pt>
                <c:pt idx="22">
                  <c:v>155.672</c:v>
                </c:pt>
                <c:pt idx="23">
                  <c:v>155.44</c:v>
                </c:pt>
                <c:pt idx="24">
                  <c:v>155.452</c:v>
                </c:pt>
                <c:pt idx="25">
                  <c:v>155.11099999999999</c:v>
                </c:pt>
                <c:pt idx="26">
                  <c:v>155.45699999999999</c:v>
                </c:pt>
                <c:pt idx="27">
                  <c:v>155.17099999999999</c:v>
                </c:pt>
                <c:pt idx="28">
                  <c:v>155.44900000000001</c:v>
                </c:pt>
                <c:pt idx="29">
                  <c:v>155.13200000000001</c:v>
                </c:pt>
                <c:pt idx="30">
                  <c:v>155.47200000000001</c:v>
                </c:pt>
                <c:pt idx="31">
                  <c:v>155.21299999999999</c:v>
                </c:pt>
                <c:pt idx="32">
                  <c:v>155.68799999999999</c:v>
                </c:pt>
                <c:pt idx="33">
                  <c:v>155.61199999999999</c:v>
                </c:pt>
                <c:pt idx="34">
                  <c:v>155.72800000000001</c:v>
                </c:pt>
                <c:pt idx="35">
                  <c:v>155.61099999999999</c:v>
                </c:pt>
                <c:pt idx="36">
                  <c:v>155.71799999999999</c:v>
                </c:pt>
                <c:pt idx="37">
                  <c:v>155.62899999999999</c:v>
                </c:pt>
                <c:pt idx="38">
                  <c:v>155.74100000000001</c:v>
                </c:pt>
                <c:pt idx="39">
                  <c:v>155.58000000000001</c:v>
                </c:pt>
                <c:pt idx="40">
                  <c:v>155.77699999999999</c:v>
                </c:pt>
                <c:pt idx="41">
                  <c:v>155.80500000000001</c:v>
                </c:pt>
                <c:pt idx="42">
                  <c:v>155.80500000000001</c:v>
                </c:pt>
                <c:pt idx="43">
                  <c:v>155.88</c:v>
                </c:pt>
                <c:pt idx="44">
                  <c:v>155.869</c:v>
                </c:pt>
                <c:pt idx="45">
                  <c:v>155.80199999999999</c:v>
                </c:pt>
                <c:pt idx="46">
                  <c:v>155.87299999999999</c:v>
                </c:pt>
                <c:pt idx="47">
                  <c:v>155.80000000000001</c:v>
                </c:pt>
                <c:pt idx="48">
                  <c:v>155.738</c:v>
                </c:pt>
                <c:pt idx="49">
                  <c:v>155.75800000000001</c:v>
                </c:pt>
                <c:pt idx="50">
                  <c:v>155.79400000000001</c:v>
                </c:pt>
                <c:pt idx="51">
                  <c:v>155.75700000000001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1-4EF1-8B07-A1E02147624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('AMP6-2'!$H$4,'AMP6-2'!$H$4)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1-4EF1-8B07-A1E02147624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('AMP6-2'!$H$5,'AMP6-2'!$H$5)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C1-4EF1-8B07-A1E02147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6976"/>
        <c:axId val="543107368"/>
      </c:scatterChart>
      <c:valAx>
        <c:axId val="54310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7368"/>
        <c:crosses val="autoZero"/>
        <c:crossBetween val="midCat"/>
      </c:valAx>
      <c:valAx>
        <c:axId val="5431073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'AMP6-2'!$I$9:$I$60</c:f>
              <c:numCache>
                <c:formatCode>General</c:formatCode>
                <c:ptCount val="52"/>
                <c:pt idx="0">
                  <c:v>155.739</c:v>
                </c:pt>
                <c:pt idx="1">
                  <c:v>155.59899999999999</c:v>
                </c:pt>
                <c:pt idx="2">
                  <c:v>155.589</c:v>
                </c:pt>
                <c:pt idx="3">
                  <c:v>155.59100000000001</c:v>
                </c:pt>
                <c:pt idx="4">
                  <c:v>155.73099999999999</c:v>
                </c:pt>
                <c:pt idx="5">
                  <c:v>155.67500000000001</c:v>
                </c:pt>
                <c:pt idx="6">
                  <c:v>155.70599999999999</c:v>
                </c:pt>
                <c:pt idx="7">
                  <c:v>155.62</c:v>
                </c:pt>
                <c:pt idx="8">
                  <c:v>155.71</c:v>
                </c:pt>
                <c:pt idx="9">
                  <c:v>155.64699999999999</c:v>
                </c:pt>
                <c:pt idx="10">
                  <c:v>155.74600000000001</c:v>
                </c:pt>
                <c:pt idx="11">
                  <c:v>155.68899999999999</c:v>
                </c:pt>
                <c:pt idx="12">
                  <c:v>155.697</c:v>
                </c:pt>
                <c:pt idx="13">
                  <c:v>155.62</c:v>
                </c:pt>
                <c:pt idx="14">
                  <c:v>155.756</c:v>
                </c:pt>
                <c:pt idx="15">
                  <c:v>155.69900000000001</c:v>
                </c:pt>
                <c:pt idx="16">
                  <c:v>155.71600000000001</c:v>
                </c:pt>
                <c:pt idx="17">
                  <c:v>155.69800000000001</c:v>
                </c:pt>
                <c:pt idx="18">
                  <c:v>155.52500000000001</c:v>
                </c:pt>
                <c:pt idx="19">
                  <c:v>155.321</c:v>
                </c:pt>
                <c:pt idx="20">
                  <c:v>155.59100000000001</c:v>
                </c:pt>
                <c:pt idx="21">
                  <c:v>155.38800000000001</c:v>
                </c:pt>
                <c:pt idx="22">
                  <c:v>155.58000000000001</c:v>
                </c:pt>
                <c:pt idx="23">
                  <c:v>155.36600000000001</c:v>
                </c:pt>
                <c:pt idx="24">
                  <c:v>155.161</c:v>
                </c:pt>
                <c:pt idx="25">
                  <c:v>154.929</c:v>
                </c:pt>
                <c:pt idx="26">
                  <c:v>155.102</c:v>
                </c:pt>
                <c:pt idx="27">
                  <c:v>154.99700000000001</c:v>
                </c:pt>
                <c:pt idx="28">
                  <c:v>155.12100000000001</c:v>
                </c:pt>
                <c:pt idx="29">
                  <c:v>155.02699999999999</c:v>
                </c:pt>
                <c:pt idx="30">
                  <c:v>155.10599999999999</c:v>
                </c:pt>
                <c:pt idx="31">
                  <c:v>155.01</c:v>
                </c:pt>
                <c:pt idx="32">
                  <c:v>155.34100000000001</c:v>
                </c:pt>
                <c:pt idx="33">
                  <c:v>155.404</c:v>
                </c:pt>
                <c:pt idx="34">
                  <c:v>155.35499999999999</c:v>
                </c:pt>
                <c:pt idx="35">
                  <c:v>155.417</c:v>
                </c:pt>
                <c:pt idx="36">
                  <c:v>155.38399999999999</c:v>
                </c:pt>
                <c:pt idx="37">
                  <c:v>155.429</c:v>
                </c:pt>
                <c:pt idx="38">
                  <c:v>155.39699999999999</c:v>
                </c:pt>
                <c:pt idx="39">
                  <c:v>155.41900000000001</c:v>
                </c:pt>
                <c:pt idx="40">
                  <c:v>155.59</c:v>
                </c:pt>
                <c:pt idx="41">
                  <c:v>155.57400000000001</c:v>
                </c:pt>
                <c:pt idx="42">
                  <c:v>155.47900000000001</c:v>
                </c:pt>
                <c:pt idx="43">
                  <c:v>155.68600000000001</c:v>
                </c:pt>
                <c:pt idx="44">
                  <c:v>155.56399999999999</c:v>
                </c:pt>
                <c:pt idx="45">
                  <c:v>155.67699999999999</c:v>
                </c:pt>
                <c:pt idx="46">
                  <c:v>155.54900000000001</c:v>
                </c:pt>
                <c:pt idx="47">
                  <c:v>155.67099999999999</c:v>
                </c:pt>
                <c:pt idx="48">
                  <c:v>155.476</c:v>
                </c:pt>
                <c:pt idx="49">
                  <c:v>155.57900000000001</c:v>
                </c:pt>
                <c:pt idx="50">
                  <c:v>155.41900000000001</c:v>
                </c:pt>
                <c:pt idx="51">
                  <c:v>155.54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8-45CC-9F0E-E714746D4AE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('AMP6-2'!$I$4,'AMP6-2'!$I$4)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8-45CC-9F0E-E714746D4AE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('AMP6-2'!$I$5,'AMP6-2'!$I$5)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8-45CC-9F0E-E714746D4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8152"/>
        <c:axId val="543108544"/>
      </c:scatterChart>
      <c:valAx>
        <c:axId val="543108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8544"/>
        <c:crosses val="autoZero"/>
        <c:crossBetween val="midCat"/>
      </c:valAx>
      <c:valAx>
        <c:axId val="5431085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8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'AMP6-2'!$J$9:$J$60</c:f>
              <c:numCache>
                <c:formatCode>General</c:formatCode>
                <c:ptCount val="52"/>
                <c:pt idx="1">
                  <c:v>168.512</c:v>
                </c:pt>
                <c:pt idx="3">
                  <c:v>168.42599999999999</c:v>
                </c:pt>
                <c:pt idx="5">
                  <c:v>168.506</c:v>
                </c:pt>
                <c:pt idx="7">
                  <c:v>168.48599999999999</c:v>
                </c:pt>
                <c:pt idx="9">
                  <c:v>168.41200000000001</c:v>
                </c:pt>
                <c:pt idx="11">
                  <c:v>168.51300000000001</c:v>
                </c:pt>
                <c:pt idx="13">
                  <c:v>168.571</c:v>
                </c:pt>
                <c:pt idx="15">
                  <c:v>168.28100000000001</c:v>
                </c:pt>
                <c:pt idx="17">
                  <c:v>168.55199999999999</c:v>
                </c:pt>
                <c:pt idx="19">
                  <c:v>168.36199999999999</c:v>
                </c:pt>
                <c:pt idx="21">
                  <c:v>168.511</c:v>
                </c:pt>
                <c:pt idx="23">
                  <c:v>168.524</c:v>
                </c:pt>
                <c:pt idx="25">
                  <c:v>168.35300000000001</c:v>
                </c:pt>
                <c:pt idx="27">
                  <c:v>168.65299999999999</c:v>
                </c:pt>
                <c:pt idx="29">
                  <c:v>169.00700000000001</c:v>
                </c:pt>
                <c:pt idx="31">
                  <c:v>168.928</c:v>
                </c:pt>
                <c:pt idx="33">
                  <c:v>168.74</c:v>
                </c:pt>
                <c:pt idx="35">
                  <c:v>168.87100000000001</c:v>
                </c:pt>
                <c:pt idx="37">
                  <c:v>168.91300000000001</c:v>
                </c:pt>
                <c:pt idx="39">
                  <c:v>169.01</c:v>
                </c:pt>
                <c:pt idx="40">
                  <c:v>168.84100000000001</c:v>
                </c:pt>
                <c:pt idx="43">
                  <c:v>168.76</c:v>
                </c:pt>
                <c:pt idx="45">
                  <c:v>168.86500000000001</c:v>
                </c:pt>
                <c:pt idx="47">
                  <c:v>168.76400000000001</c:v>
                </c:pt>
                <c:pt idx="49">
                  <c:v>168.624</c:v>
                </c:pt>
                <c:pt idx="51">
                  <c:v>168.57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5-4B19-8483-6E7248C9F81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('AMP6-2'!$J$4,'AMP6-2'!$J$4)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E5-4B19-8483-6E7248C9F81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('AMP6-2'!$J$5,'AMP6-2'!$J$5)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E5-4B19-8483-6E7248C9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09328"/>
        <c:axId val="543109720"/>
      </c:scatterChart>
      <c:valAx>
        <c:axId val="54310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9720"/>
        <c:crosses val="autoZero"/>
        <c:crossBetween val="midCat"/>
      </c:valAx>
      <c:valAx>
        <c:axId val="5431097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0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'AMP6-2'!$K$9:$K$60</c:f>
              <c:numCache>
                <c:formatCode>General</c:formatCode>
                <c:ptCount val="52"/>
                <c:pt idx="1">
                  <c:v>168.56299999999999</c:v>
                </c:pt>
                <c:pt idx="3">
                  <c:v>168.333</c:v>
                </c:pt>
                <c:pt idx="5">
                  <c:v>168.464</c:v>
                </c:pt>
                <c:pt idx="7">
                  <c:v>168.459</c:v>
                </c:pt>
                <c:pt idx="9">
                  <c:v>168.37100000000001</c:v>
                </c:pt>
                <c:pt idx="11">
                  <c:v>168.53100000000001</c:v>
                </c:pt>
                <c:pt idx="13">
                  <c:v>168.52699999999999</c:v>
                </c:pt>
                <c:pt idx="15">
                  <c:v>168.262</c:v>
                </c:pt>
                <c:pt idx="17">
                  <c:v>168.53399999999999</c:v>
                </c:pt>
                <c:pt idx="19">
                  <c:v>168.108</c:v>
                </c:pt>
                <c:pt idx="21">
                  <c:v>168.709</c:v>
                </c:pt>
                <c:pt idx="23">
                  <c:v>168.625</c:v>
                </c:pt>
                <c:pt idx="25">
                  <c:v>168.46100000000001</c:v>
                </c:pt>
                <c:pt idx="27">
                  <c:v>169.05500000000001</c:v>
                </c:pt>
                <c:pt idx="29">
                  <c:v>169.25899999999999</c:v>
                </c:pt>
                <c:pt idx="31">
                  <c:v>169.285</c:v>
                </c:pt>
                <c:pt idx="33">
                  <c:v>169.084</c:v>
                </c:pt>
                <c:pt idx="35">
                  <c:v>169.202</c:v>
                </c:pt>
                <c:pt idx="37">
                  <c:v>169.255</c:v>
                </c:pt>
                <c:pt idx="39">
                  <c:v>169.358</c:v>
                </c:pt>
                <c:pt idx="40">
                  <c:v>169.13300000000001</c:v>
                </c:pt>
                <c:pt idx="43">
                  <c:v>168.98699999999999</c:v>
                </c:pt>
                <c:pt idx="45">
                  <c:v>169.18799999999999</c:v>
                </c:pt>
                <c:pt idx="47">
                  <c:v>169.18199999999999</c:v>
                </c:pt>
                <c:pt idx="49">
                  <c:v>168.92</c:v>
                </c:pt>
                <c:pt idx="51">
                  <c:v>168.762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07-409B-BDC0-AE43C437AEB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('AMP6-2'!$K$4,'AMP6-2'!$K$4)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07-409B-BDC0-AE43C437AEB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('AMP6-2'!$K$5,'AMP6-2'!$K$5)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07-409B-BDC0-AE43C437A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0504"/>
        <c:axId val="543110896"/>
      </c:scatterChart>
      <c:valAx>
        <c:axId val="543110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0896"/>
        <c:crosses val="autoZero"/>
        <c:crossBetween val="midCat"/>
      </c:valAx>
      <c:valAx>
        <c:axId val="5431108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0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'AMP6-2'!$L$9:$L$60</c:f>
              <c:numCache>
                <c:formatCode>General</c:formatCode>
                <c:ptCount val="52"/>
                <c:pt idx="0">
                  <c:v>155.779</c:v>
                </c:pt>
                <c:pt idx="1">
                  <c:v>155.66999999999999</c:v>
                </c:pt>
                <c:pt idx="2">
                  <c:v>155.66999999999999</c:v>
                </c:pt>
                <c:pt idx="3">
                  <c:v>155.596</c:v>
                </c:pt>
                <c:pt idx="4">
                  <c:v>155.82400000000001</c:v>
                </c:pt>
                <c:pt idx="5">
                  <c:v>155.697</c:v>
                </c:pt>
                <c:pt idx="6">
                  <c:v>155.73699999999999</c:v>
                </c:pt>
                <c:pt idx="7">
                  <c:v>155.65899999999999</c:v>
                </c:pt>
                <c:pt idx="8">
                  <c:v>155.75700000000001</c:v>
                </c:pt>
                <c:pt idx="9">
                  <c:v>155.71100000000001</c:v>
                </c:pt>
                <c:pt idx="10">
                  <c:v>155.81800000000001</c:v>
                </c:pt>
                <c:pt idx="11">
                  <c:v>155.73500000000001</c:v>
                </c:pt>
                <c:pt idx="12">
                  <c:v>155.79</c:v>
                </c:pt>
                <c:pt idx="13">
                  <c:v>155.69</c:v>
                </c:pt>
                <c:pt idx="14">
                  <c:v>155.81899999999999</c:v>
                </c:pt>
                <c:pt idx="15">
                  <c:v>155.69499999999999</c:v>
                </c:pt>
                <c:pt idx="16">
                  <c:v>155.85300000000001</c:v>
                </c:pt>
                <c:pt idx="17">
                  <c:v>155.75200000000001</c:v>
                </c:pt>
                <c:pt idx="18">
                  <c:v>155.6</c:v>
                </c:pt>
                <c:pt idx="19">
                  <c:v>155.43199999999999</c:v>
                </c:pt>
                <c:pt idx="20">
                  <c:v>155.65799999999999</c:v>
                </c:pt>
                <c:pt idx="21">
                  <c:v>155.49600000000001</c:v>
                </c:pt>
                <c:pt idx="22">
                  <c:v>155.65899999999999</c:v>
                </c:pt>
                <c:pt idx="23">
                  <c:v>155.5</c:v>
                </c:pt>
                <c:pt idx="24">
                  <c:v>155.904</c:v>
                </c:pt>
                <c:pt idx="25">
                  <c:v>155.56299999999999</c:v>
                </c:pt>
                <c:pt idx="26">
                  <c:v>155.94</c:v>
                </c:pt>
                <c:pt idx="27">
                  <c:v>155.57499999999999</c:v>
                </c:pt>
                <c:pt idx="28">
                  <c:v>155.90899999999999</c:v>
                </c:pt>
                <c:pt idx="29">
                  <c:v>155.614</c:v>
                </c:pt>
                <c:pt idx="30">
                  <c:v>155.94399999999999</c:v>
                </c:pt>
                <c:pt idx="31">
                  <c:v>155.673</c:v>
                </c:pt>
                <c:pt idx="32">
                  <c:v>155.89099999999999</c:v>
                </c:pt>
                <c:pt idx="33">
                  <c:v>155.74100000000001</c:v>
                </c:pt>
                <c:pt idx="34">
                  <c:v>155.90199999999999</c:v>
                </c:pt>
                <c:pt idx="35">
                  <c:v>155.839</c:v>
                </c:pt>
                <c:pt idx="36">
                  <c:v>155.88200000000001</c:v>
                </c:pt>
                <c:pt idx="37">
                  <c:v>155.80199999999999</c:v>
                </c:pt>
                <c:pt idx="38">
                  <c:v>155.93799999999999</c:v>
                </c:pt>
                <c:pt idx="39">
                  <c:v>155.79900000000001</c:v>
                </c:pt>
                <c:pt idx="40">
                  <c:v>155.88900000000001</c:v>
                </c:pt>
                <c:pt idx="41">
                  <c:v>155.90600000000001</c:v>
                </c:pt>
                <c:pt idx="42">
                  <c:v>155.94300000000001</c:v>
                </c:pt>
                <c:pt idx="43">
                  <c:v>155.946</c:v>
                </c:pt>
                <c:pt idx="44">
                  <c:v>155.93600000000001</c:v>
                </c:pt>
                <c:pt idx="45">
                  <c:v>155.92699999999999</c:v>
                </c:pt>
                <c:pt idx="46">
                  <c:v>155.92500000000001</c:v>
                </c:pt>
                <c:pt idx="47">
                  <c:v>155.95599999999999</c:v>
                </c:pt>
                <c:pt idx="48">
                  <c:v>155.80600000000001</c:v>
                </c:pt>
                <c:pt idx="49">
                  <c:v>155.88999999999999</c:v>
                </c:pt>
                <c:pt idx="50">
                  <c:v>155.83500000000001</c:v>
                </c:pt>
                <c:pt idx="51">
                  <c:v>155.86799999999999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DD-4D64-807A-8405C9B222D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('AMP6-2'!$L$4,'AMP6-2'!$L$4)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DD-4D64-807A-8405C9B222D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('AMP6-2'!$L$5,'AMP6-2'!$L$5)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DD-4D64-807A-8405C9B22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1680"/>
        <c:axId val="543112072"/>
      </c:scatterChart>
      <c:valAx>
        <c:axId val="54311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2072"/>
        <c:crosses val="autoZero"/>
        <c:crossBetween val="midCat"/>
      </c:valAx>
      <c:valAx>
        <c:axId val="5431120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'AMP6-2'!$M$9:$M$60</c:f>
              <c:numCache>
                <c:formatCode>General</c:formatCode>
                <c:ptCount val="52"/>
                <c:pt idx="0">
                  <c:v>155.517</c:v>
                </c:pt>
                <c:pt idx="1">
                  <c:v>155.572</c:v>
                </c:pt>
                <c:pt idx="2">
                  <c:v>155.357</c:v>
                </c:pt>
                <c:pt idx="3">
                  <c:v>155.50800000000001</c:v>
                </c:pt>
                <c:pt idx="4">
                  <c:v>155.535</c:v>
                </c:pt>
                <c:pt idx="5">
                  <c:v>155.642</c:v>
                </c:pt>
                <c:pt idx="6">
                  <c:v>155.46199999999999</c:v>
                </c:pt>
                <c:pt idx="7">
                  <c:v>155.60300000000001</c:v>
                </c:pt>
                <c:pt idx="8">
                  <c:v>155.495</c:v>
                </c:pt>
                <c:pt idx="9">
                  <c:v>155.65</c:v>
                </c:pt>
                <c:pt idx="10">
                  <c:v>155.55799999999999</c:v>
                </c:pt>
                <c:pt idx="11">
                  <c:v>155.70699999999999</c:v>
                </c:pt>
                <c:pt idx="12">
                  <c:v>155.483</c:v>
                </c:pt>
                <c:pt idx="13">
                  <c:v>155.57599999999999</c:v>
                </c:pt>
                <c:pt idx="14">
                  <c:v>155.553</c:v>
                </c:pt>
                <c:pt idx="15">
                  <c:v>155.65</c:v>
                </c:pt>
                <c:pt idx="16">
                  <c:v>155.50399999999999</c:v>
                </c:pt>
                <c:pt idx="17">
                  <c:v>155.71100000000001</c:v>
                </c:pt>
                <c:pt idx="18">
                  <c:v>155.333</c:v>
                </c:pt>
                <c:pt idx="19">
                  <c:v>155.29499999999999</c:v>
                </c:pt>
                <c:pt idx="20">
                  <c:v>155.43700000000001</c:v>
                </c:pt>
                <c:pt idx="21">
                  <c:v>155.36699999999999</c:v>
                </c:pt>
                <c:pt idx="22">
                  <c:v>155.43600000000001</c:v>
                </c:pt>
                <c:pt idx="23">
                  <c:v>155.34899999999999</c:v>
                </c:pt>
                <c:pt idx="24">
                  <c:v>155.60599999999999</c:v>
                </c:pt>
                <c:pt idx="25">
                  <c:v>155.51499999999999</c:v>
                </c:pt>
                <c:pt idx="26">
                  <c:v>155.57300000000001</c:v>
                </c:pt>
                <c:pt idx="27">
                  <c:v>155.57900000000001</c:v>
                </c:pt>
                <c:pt idx="28">
                  <c:v>155.58000000000001</c:v>
                </c:pt>
                <c:pt idx="29">
                  <c:v>155.577</c:v>
                </c:pt>
                <c:pt idx="30">
                  <c:v>155.59299999999999</c:v>
                </c:pt>
                <c:pt idx="31">
                  <c:v>155.61600000000001</c:v>
                </c:pt>
                <c:pt idx="32">
                  <c:v>155.67500000000001</c:v>
                </c:pt>
                <c:pt idx="33">
                  <c:v>155.61799999999999</c:v>
                </c:pt>
                <c:pt idx="34">
                  <c:v>155.72399999999999</c:v>
                </c:pt>
                <c:pt idx="35">
                  <c:v>155.69999999999999</c:v>
                </c:pt>
                <c:pt idx="36">
                  <c:v>155.73500000000001</c:v>
                </c:pt>
                <c:pt idx="37">
                  <c:v>155.70099999999999</c:v>
                </c:pt>
                <c:pt idx="38">
                  <c:v>155.73099999999999</c:v>
                </c:pt>
                <c:pt idx="39">
                  <c:v>155.70500000000001</c:v>
                </c:pt>
                <c:pt idx="40">
                  <c:v>155.74700000000001</c:v>
                </c:pt>
                <c:pt idx="41">
                  <c:v>155.74</c:v>
                </c:pt>
                <c:pt idx="42">
                  <c:v>155.63499999999999</c:v>
                </c:pt>
                <c:pt idx="43">
                  <c:v>155.88399999999999</c:v>
                </c:pt>
                <c:pt idx="44">
                  <c:v>155.697</c:v>
                </c:pt>
                <c:pt idx="45">
                  <c:v>155.88499999999999</c:v>
                </c:pt>
                <c:pt idx="46">
                  <c:v>155.684</c:v>
                </c:pt>
                <c:pt idx="47">
                  <c:v>155.90600000000001</c:v>
                </c:pt>
                <c:pt idx="48">
                  <c:v>155.63999999999999</c:v>
                </c:pt>
                <c:pt idx="49">
                  <c:v>155.77199999999999</c:v>
                </c:pt>
                <c:pt idx="50">
                  <c:v>155.554</c:v>
                </c:pt>
                <c:pt idx="51">
                  <c:v>155.70699999999999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D-4611-AABF-CEFD9DC699B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('AMP6-2'!$M$4,'AMP6-2'!$M$4)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D-4611-AABF-CEFD9DC699B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('AMP6-2'!$M$5,'AMP6-2'!$M$5)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DD-4611-AABF-CEFD9DC69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2856"/>
        <c:axId val="543113248"/>
      </c:scatterChart>
      <c:valAx>
        <c:axId val="54311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3248"/>
        <c:crosses val="autoZero"/>
        <c:crossBetween val="midCat"/>
      </c:valAx>
      <c:valAx>
        <c:axId val="5431132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'AMP6-2'!$N$9:$N$60</c:f>
              <c:numCache>
                <c:formatCode>General</c:formatCode>
                <c:ptCount val="52"/>
                <c:pt idx="0">
                  <c:v>27.385999999999999</c:v>
                </c:pt>
                <c:pt idx="1">
                  <c:v>27.524000000000001</c:v>
                </c:pt>
                <c:pt idx="2">
                  <c:v>27.484999999999999</c:v>
                </c:pt>
                <c:pt idx="3">
                  <c:v>27.57</c:v>
                </c:pt>
                <c:pt idx="4">
                  <c:v>27.352</c:v>
                </c:pt>
                <c:pt idx="5">
                  <c:v>27.497</c:v>
                </c:pt>
                <c:pt idx="6">
                  <c:v>27.434000000000001</c:v>
                </c:pt>
                <c:pt idx="7">
                  <c:v>27.513000000000002</c:v>
                </c:pt>
                <c:pt idx="8">
                  <c:v>27.407</c:v>
                </c:pt>
                <c:pt idx="9">
                  <c:v>27.509</c:v>
                </c:pt>
                <c:pt idx="10">
                  <c:v>27.373999999999999</c:v>
                </c:pt>
                <c:pt idx="11">
                  <c:v>27.454999999999998</c:v>
                </c:pt>
                <c:pt idx="12">
                  <c:v>27.4</c:v>
                </c:pt>
                <c:pt idx="13">
                  <c:v>27.498999999999999</c:v>
                </c:pt>
                <c:pt idx="14">
                  <c:v>27.355</c:v>
                </c:pt>
                <c:pt idx="15">
                  <c:v>27.501000000000001</c:v>
                </c:pt>
                <c:pt idx="16">
                  <c:v>27.326000000000001</c:v>
                </c:pt>
                <c:pt idx="17">
                  <c:v>27.452000000000002</c:v>
                </c:pt>
                <c:pt idx="18">
                  <c:v>27.57</c:v>
                </c:pt>
                <c:pt idx="19">
                  <c:v>27.742999999999999</c:v>
                </c:pt>
                <c:pt idx="20">
                  <c:v>27.51</c:v>
                </c:pt>
                <c:pt idx="21">
                  <c:v>27.690999999999999</c:v>
                </c:pt>
                <c:pt idx="22">
                  <c:v>27.527000000000001</c:v>
                </c:pt>
                <c:pt idx="23">
                  <c:v>27.704999999999998</c:v>
                </c:pt>
                <c:pt idx="24">
                  <c:v>27.344999999999999</c:v>
                </c:pt>
                <c:pt idx="25">
                  <c:v>27.716999999999999</c:v>
                </c:pt>
                <c:pt idx="26">
                  <c:v>27.274999999999999</c:v>
                </c:pt>
                <c:pt idx="27">
                  <c:v>27.756</c:v>
                </c:pt>
                <c:pt idx="28">
                  <c:v>27.384</c:v>
                </c:pt>
                <c:pt idx="29">
                  <c:v>27.646000000000001</c:v>
                </c:pt>
                <c:pt idx="30">
                  <c:v>27.318000000000001</c:v>
                </c:pt>
                <c:pt idx="31">
                  <c:v>27.602</c:v>
                </c:pt>
                <c:pt idx="32">
                  <c:v>27.268999999999998</c:v>
                </c:pt>
                <c:pt idx="33">
                  <c:v>27.459</c:v>
                </c:pt>
                <c:pt idx="34">
                  <c:v>27.288</c:v>
                </c:pt>
                <c:pt idx="35">
                  <c:v>27.361000000000001</c:v>
                </c:pt>
                <c:pt idx="36">
                  <c:v>27.291</c:v>
                </c:pt>
                <c:pt idx="37">
                  <c:v>27.381</c:v>
                </c:pt>
                <c:pt idx="38">
                  <c:v>27.245999999999999</c:v>
                </c:pt>
                <c:pt idx="39">
                  <c:v>27.402999999999999</c:v>
                </c:pt>
                <c:pt idx="40">
                  <c:v>27.437000000000001</c:v>
                </c:pt>
                <c:pt idx="41">
                  <c:v>27.359000000000002</c:v>
                </c:pt>
                <c:pt idx="42">
                  <c:v>27.364000000000001</c:v>
                </c:pt>
                <c:pt idx="43">
                  <c:v>27.337</c:v>
                </c:pt>
                <c:pt idx="44">
                  <c:v>27.358000000000001</c:v>
                </c:pt>
                <c:pt idx="45">
                  <c:v>27.361999999999998</c:v>
                </c:pt>
                <c:pt idx="46">
                  <c:v>27.338000000000001</c:v>
                </c:pt>
                <c:pt idx="47">
                  <c:v>27.324999999999999</c:v>
                </c:pt>
                <c:pt idx="48">
                  <c:v>27.449000000000002</c:v>
                </c:pt>
                <c:pt idx="49">
                  <c:v>27.428999999999998</c:v>
                </c:pt>
                <c:pt idx="50">
                  <c:v>27.431999999999999</c:v>
                </c:pt>
                <c:pt idx="51">
                  <c:v>27.425999999999998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89-400C-9A57-694111B0082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('AMP6-2'!$N$4,'AMP6-2'!$N$4)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89-400C-9A57-694111B0082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('AMP6-2'!$N$5,'AMP6-2'!$N$5)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89-400C-9A57-694111B00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4032"/>
        <c:axId val="543114424"/>
      </c:scatterChart>
      <c:valAx>
        <c:axId val="5431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4424"/>
        <c:crosses val="autoZero"/>
        <c:crossBetween val="midCat"/>
      </c:valAx>
      <c:valAx>
        <c:axId val="5431144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'AMP6-2'!$O$9:$O$60</c:f>
              <c:numCache>
                <c:formatCode>General</c:formatCode>
                <c:ptCount val="52"/>
                <c:pt idx="0">
                  <c:v>27.608000000000001</c:v>
                </c:pt>
                <c:pt idx="1">
                  <c:v>27.651</c:v>
                </c:pt>
                <c:pt idx="2">
                  <c:v>27.707000000000001</c:v>
                </c:pt>
                <c:pt idx="3">
                  <c:v>27.675000000000001</c:v>
                </c:pt>
                <c:pt idx="4">
                  <c:v>27.547000000000001</c:v>
                </c:pt>
                <c:pt idx="5">
                  <c:v>27.597000000000001</c:v>
                </c:pt>
                <c:pt idx="6">
                  <c:v>27.65</c:v>
                </c:pt>
                <c:pt idx="7">
                  <c:v>27.594999999999999</c:v>
                </c:pt>
                <c:pt idx="8">
                  <c:v>27.606000000000002</c:v>
                </c:pt>
                <c:pt idx="9">
                  <c:v>27.605</c:v>
                </c:pt>
                <c:pt idx="10">
                  <c:v>27.552</c:v>
                </c:pt>
                <c:pt idx="11">
                  <c:v>27.515999999999998</c:v>
                </c:pt>
                <c:pt idx="12">
                  <c:v>27.611999999999998</c:v>
                </c:pt>
                <c:pt idx="13">
                  <c:v>27.658999999999999</c:v>
                </c:pt>
                <c:pt idx="14">
                  <c:v>27.527000000000001</c:v>
                </c:pt>
                <c:pt idx="15">
                  <c:v>27.582000000000001</c:v>
                </c:pt>
                <c:pt idx="16">
                  <c:v>27.617999999999999</c:v>
                </c:pt>
                <c:pt idx="17">
                  <c:v>27.538</c:v>
                </c:pt>
                <c:pt idx="18">
                  <c:v>27.72</c:v>
                </c:pt>
                <c:pt idx="19">
                  <c:v>27.916</c:v>
                </c:pt>
                <c:pt idx="20">
                  <c:v>27.65</c:v>
                </c:pt>
                <c:pt idx="21">
                  <c:v>27.835999999999999</c:v>
                </c:pt>
                <c:pt idx="22">
                  <c:v>27.667000000000002</c:v>
                </c:pt>
                <c:pt idx="23">
                  <c:v>27.88</c:v>
                </c:pt>
                <c:pt idx="24">
                  <c:v>27.472999999999999</c:v>
                </c:pt>
                <c:pt idx="25">
                  <c:v>27.695</c:v>
                </c:pt>
                <c:pt idx="26">
                  <c:v>27.524000000000001</c:v>
                </c:pt>
                <c:pt idx="27">
                  <c:v>27.718</c:v>
                </c:pt>
                <c:pt idx="28">
                  <c:v>27.577999999999999</c:v>
                </c:pt>
                <c:pt idx="29">
                  <c:v>27.663</c:v>
                </c:pt>
                <c:pt idx="30">
                  <c:v>27.536000000000001</c:v>
                </c:pt>
                <c:pt idx="31">
                  <c:v>27.625</c:v>
                </c:pt>
                <c:pt idx="32">
                  <c:v>27.417999999999999</c:v>
                </c:pt>
                <c:pt idx="33">
                  <c:v>27.606999999999999</c:v>
                </c:pt>
                <c:pt idx="34">
                  <c:v>27.408000000000001</c:v>
                </c:pt>
                <c:pt idx="35">
                  <c:v>27.545999999999999</c:v>
                </c:pt>
                <c:pt idx="36">
                  <c:v>27.398</c:v>
                </c:pt>
                <c:pt idx="37">
                  <c:v>27.539000000000001</c:v>
                </c:pt>
                <c:pt idx="38">
                  <c:v>27.372</c:v>
                </c:pt>
                <c:pt idx="39">
                  <c:v>27.545000000000002</c:v>
                </c:pt>
                <c:pt idx="40">
                  <c:v>27.611000000000001</c:v>
                </c:pt>
                <c:pt idx="41">
                  <c:v>27.448</c:v>
                </c:pt>
                <c:pt idx="42">
                  <c:v>27.582000000000001</c:v>
                </c:pt>
                <c:pt idx="43">
                  <c:v>27.47</c:v>
                </c:pt>
                <c:pt idx="44">
                  <c:v>27.527000000000001</c:v>
                </c:pt>
                <c:pt idx="45">
                  <c:v>27.486999999999998</c:v>
                </c:pt>
                <c:pt idx="46">
                  <c:v>27.466999999999999</c:v>
                </c:pt>
                <c:pt idx="47">
                  <c:v>27.446999999999999</c:v>
                </c:pt>
                <c:pt idx="48">
                  <c:v>27.553000000000001</c:v>
                </c:pt>
                <c:pt idx="49">
                  <c:v>27.556999999999999</c:v>
                </c:pt>
                <c:pt idx="50">
                  <c:v>27.629000000000001</c:v>
                </c:pt>
                <c:pt idx="51">
                  <c:v>27.613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9-4FCF-A462-A85806D76C1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('AMP6-2'!$O$4,'AMP6-2'!$O$4)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9-4FCF-A462-A85806D76C1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('AMP6-2'!$O$5,'AMP6-2'!$O$5)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9-4FCF-A462-A85806D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5208"/>
        <c:axId val="543115600"/>
      </c:scatterChart>
      <c:valAx>
        <c:axId val="54311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5600"/>
        <c:crosses val="autoZero"/>
        <c:crossBetween val="midCat"/>
      </c:valAx>
      <c:valAx>
        <c:axId val="5431156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'AMP6-2'!$R$9:$R$60</c:f>
              <c:numCache>
                <c:formatCode>General</c:formatCode>
                <c:ptCount val="52"/>
                <c:pt idx="0">
                  <c:v>17.242999999999999</c:v>
                </c:pt>
                <c:pt idx="1">
                  <c:v>17.283999999999999</c:v>
                </c:pt>
                <c:pt idx="2">
                  <c:v>17.245999999999999</c:v>
                </c:pt>
                <c:pt idx="3">
                  <c:v>17.242999999999999</c:v>
                </c:pt>
                <c:pt idx="4">
                  <c:v>17.231999999999999</c:v>
                </c:pt>
                <c:pt idx="5">
                  <c:v>17.268999999999998</c:v>
                </c:pt>
                <c:pt idx="6">
                  <c:v>17.207999999999998</c:v>
                </c:pt>
                <c:pt idx="7">
                  <c:v>17.276</c:v>
                </c:pt>
                <c:pt idx="8">
                  <c:v>17.254000000000001</c:v>
                </c:pt>
                <c:pt idx="9">
                  <c:v>17.282</c:v>
                </c:pt>
                <c:pt idx="10">
                  <c:v>17.242000000000001</c:v>
                </c:pt>
                <c:pt idx="11">
                  <c:v>17.263000000000002</c:v>
                </c:pt>
                <c:pt idx="12">
                  <c:v>17.222000000000001</c:v>
                </c:pt>
                <c:pt idx="13">
                  <c:v>17.257999999999999</c:v>
                </c:pt>
                <c:pt idx="14">
                  <c:v>17.228999999999999</c:v>
                </c:pt>
                <c:pt idx="15">
                  <c:v>17.254000000000001</c:v>
                </c:pt>
                <c:pt idx="16">
                  <c:v>17.260999999999999</c:v>
                </c:pt>
                <c:pt idx="17">
                  <c:v>17.29</c:v>
                </c:pt>
                <c:pt idx="18">
                  <c:v>17.268000000000001</c:v>
                </c:pt>
                <c:pt idx="19">
                  <c:v>17.273</c:v>
                </c:pt>
                <c:pt idx="20">
                  <c:v>17.242000000000001</c:v>
                </c:pt>
                <c:pt idx="21">
                  <c:v>17.253</c:v>
                </c:pt>
                <c:pt idx="22">
                  <c:v>17.257999999999999</c:v>
                </c:pt>
                <c:pt idx="23">
                  <c:v>17.245999999999999</c:v>
                </c:pt>
                <c:pt idx="24">
                  <c:v>17.225000000000001</c:v>
                </c:pt>
                <c:pt idx="25">
                  <c:v>17.228999999999999</c:v>
                </c:pt>
                <c:pt idx="26">
                  <c:v>17.198</c:v>
                </c:pt>
                <c:pt idx="27">
                  <c:v>17.238</c:v>
                </c:pt>
                <c:pt idx="28">
                  <c:v>17.209</c:v>
                </c:pt>
                <c:pt idx="29">
                  <c:v>17.218</c:v>
                </c:pt>
                <c:pt idx="30">
                  <c:v>17.202999999999999</c:v>
                </c:pt>
                <c:pt idx="31">
                  <c:v>17.238</c:v>
                </c:pt>
                <c:pt idx="32">
                  <c:v>17.181000000000001</c:v>
                </c:pt>
                <c:pt idx="33">
                  <c:v>17.276</c:v>
                </c:pt>
                <c:pt idx="34">
                  <c:v>17.209</c:v>
                </c:pt>
                <c:pt idx="35">
                  <c:v>17.251999999999999</c:v>
                </c:pt>
                <c:pt idx="36">
                  <c:v>17.222999999999999</c:v>
                </c:pt>
                <c:pt idx="37">
                  <c:v>17.257000000000001</c:v>
                </c:pt>
                <c:pt idx="38">
                  <c:v>17.207999999999998</c:v>
                </c:pt>
                <c:pt idx="39">
                  <c:v>17.271999999999998</c:v>
                </c:pt>
                <c:pt idx="40">
                  <c:v>17.210999999999999</c:v>
                </c:pt>
                <c:pt idx="41">
                  <c:v>17.216000000000001</c:v>
                </c:pt>
                <c:pt idx="42">
                  <c:v>17.210999999999999</c:v>
                </c:pt>
                <c:pt idx="43">
                  <c:v>17.193999999999999</c:v>
                </c:pt>
                <c:pt idx="44">
                  <c:v>17.212</c:v>
                </c:pt>
                <c:pt idx="45">
                  <c:v>17.183</c:v>
                </c:pt>
                <c:pt idx="46">
                  <c:v>17.231999999999999</c:v>
                </c:pt>
                <c:pt idx="47">
                  <c:v>17.196000000000002</c:v>
                </c:pt>
                <c:pt idx="48">
                  <c:v>17.271999999999998</c:v>
                </c:pt>
                <c:pt idx="49">
                  <c:v>17.195</c:v>
                </c:pt>
                <c:pt idx="50">
                  <c:v>17.241</c:v>
                </c:pt>
                <c:pt idx="51">
                  <c:v>17.189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B-4F35-B79A-8FC34388CE9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('AMP6-2'!$R$4,'AMP6-2'!$R$4)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7B-4F35-B79A-8FC34388CE9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('AMP6-2'!$R$5,'AMP6-2'!$R$5)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7B-4F35-B79A-8FC34388C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6384"/>
        <c:axId val="543116776"/>
      </c:scatterChart>
      <c:valAx>
        <c:axId val="54311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6776"/>
        <c:crosses val="autoZero"/>
        <c:crossBetween val="midCat"/>
      </c:valAx>
      <c:valAx>
        <c:axId val="5431167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'AMP6-2'!$S$9:$S$60</c:f>
              <c:numCache>
                <c:formatCode>General</c:formatCode>
                <c:ptCount val="52"/>
                <c:pt idx="0">
                  <c:v>17.382000000000001</c:v>
                </c:pt>
                <c:pt idx="1">
                  <c:v>17.228999999999999</c:v>
                </c:pt>
                <c:pt idx="2">
                  <c:v>17.341000000000001</c:v>
                </c:pt>
                <c:pt idx="3">
                  <c:v>17.375</c:v>
                </c:pt>
                <c:pt idx="4">
                  <c:v>17.329999999999998</c:v>
                </c:pt>
                <c:pt idx="5">
                  <c:v>17.204000000000001</c:v>
                </c:pt>
                <c:pt idx="6">
                  <c:v>17.387</c:v>
                </c:pt>
                <c:pt idx="7">
                  <c:v>17.189</c:v>
                </c:pt>
                <c:pt idx="8">
                  <c:v>17.311</c:v>
                </c:pt>
                <c:pt idx="9">
                  <c:v>17.260000000000002</c:v>
                </c:pt>
                <c:pt idx="10">
                  <c:v>17.396000000000001</c:v>
                </c:pt>
                <c:pt idx="11">
                  <c:v>17.178000000000001</c:v>
                </c:pt>
                <c:pt idx="12">
                  <c:v>17.370999999999999</c:v>
                </c:pt>
                <c:pt idx="13">
                  <c:v>17.128</c:v>
                </c:pt>
                <c:pt idx="14">
                  <c:v>17.335000000000001</c:v>
                </c:pt>
                <c:pt idx="15">
                  <c:v>17.201000000000001</c:v>
                </c:pt>
                <c:pt idx="16">
                  <c:v>17.337</c:v>
                </c:pt>
                <c:pt idx="17">
                  <c:v>17.202000000000002</c:v>
                </c:pt>
                <c:pt idx="18">
                  <c:v>17.486999999999998</c:v>
                </c:pt>
                <c:pt idx="19">
                  <c:v>17.259</c:v>
                </c:pt>
                <c:pt idx="20">
                  <c:v>17.375</c:v>
                </c:pt>
                <c:pt idx="21">
                  <c:v>17.358000000000001</c:v>
                </c:pt>
                <c:pt idx="22">
                  <c:v>17.36</c:v>
                </c:pt>
                <c:pt idx="23">
                  <c:v>17.233000000000001</c:v>
                </c:pt>
                <c:pt idx="24">
                  <c:v>17.265000000000001</c:v>
                </c:pt>
                <c:pt idx="25">
                  <c:v>17.184000000000001</c:v>
                </c:pt>
                <c:pt idx="26">
                  <c:v>17.265999999999998</c:v>
                </c:pt>
                <c:pt idx="27">
                  <c:v>16.956</c:v>
                </c:pt>
                <c:pt idx="28">
                  <c:v>17.381</c:v>
                </c:pt>
                <c:pt idx="29">
                  <c:v>17.187999999999999</c:v>
                </c:pt>
                <c:pt idx="30">
                  <c:v>17.248999999999999</c:v>
                </c:pt>
                <c:pt idx="31">
                  <c:v>17.23</c:v>
                </c:pt>
                <c:pt idx="32">
                  <c:v>17.238</c:v>
                </c:pt>
                <c:pt idx="33">
                  <c:v>17.445</c:v>
                </c:pt>
                <c:pt idx="34">
                  <c:v>17.175000000000001</c:v>
                </c:pt>
                <c:pt idx="35">
                  <c:v>17.417000000000002</c:v>
                </c:pt>
                <c:pt idx="36">
                  <c:v>17.146000000000001</c:v>
                </c:pt>
                <c:pt idx="37">
                  <c:v>17.43</c:v>
                </c:pt>
                <c:pt idx="38">
                  <c:v>17.081</c:v>
                </c:pt>
                <c:pt idx="39">
                  <c:v>17.337</c:v>
                </c:pt>
                <c:pt idx="40">
                  <c:v>17.117999999999999</c:v>
                </c:pt>
                <c:pt idx="41">
                  <c:v>17.277999999999999</c:v>
                </c:pt>
                <c:pt idx="42">
                  <c:v>17.195</c:v>
                </c:pt>
                <c:pt idx="43">
                  <c:v>17.067</c:v>
                </c:pt>
                <c:pt idx="44">
                  <c:v>17.231999999999999</c:v>
                </c:pt>
                <c:pt idx="45">
                  <c:v>17.158999999999999</c:v>
                </c:pt>
                <c:pt idx="46">
                  <c:v>17.084</c:v>
                </c:pt>
                <c:pt idx="47">
                  <c:v>17.132000000000001</c:v>
                </c:pt>
                <c:pt idx="48">
                  <c:v>17.222999999999999</c:v>
                </c:pt>
                <c:pt idx="49">
                  <c:v>17.146000000000001</c:v>
                </c:pt>
                <c:pt idx="50">
                  <c:v>17.202000000000002</c:v>
                </c:pt>
                <c:pt idx="51">
                  <c:v>17.155000000000001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AB-45E1-A16E-FFE120B6861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('AMP6-2'!$S$4,'AMP6-2'!$S$4)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AB-45E1-A16E-FFE120B6861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('AMP6-2'!$S$5,'AMP6-2'!$S$5)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AB-45E1-A16E-FFE120B68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7560"/>
        <c:axId val="543117952"/>
      </c:scatterChart>
      <c:valAx>
        <c:axId val="54311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7952"/>
        <c:crosses val="autoZero"/>
        <c:crossBetween val="midCat"/>
      </c:valAx>
      <c:valAx>
        <c:axId val="5431179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'AMP6-2'!$T$9:$T$60</c:f>
              <c:numCache>
                <c:formatCode>General</c:formatCode>
                <c:ptCount val="52"/>
                <c:pt idx="0">
                  <c:v>34.521999999999998</c:v>
                </c:pt>
                <c:pt idx="1">
                  <c:v>35.442</c:v>
                </c:pt>
                <c:pt idx="2">
                  <c:v>34.841999999999999</c:v>
                </c:pt>
                <c:pt idx="3">
                  <c:v>35.484000000000002</c:v>
                </c:pt>
                <c:pt idx="4">
                  <c:v>34.752000000000002</c:v>
                </c:pt>
                <c:pt idx="5">
                  <c:v>37.277999999999999</c:v>
                </c:pt>
                <c:pt idx="6">
                  <c:v>34.701000000000001</c:v>
                </c:pt>
                <c:pt idx="7">
                  <c:v>35.841000000000001</c:v>
                </c:pt>
                <c:pt idx="8">
                  <c:v>34.259</c:v>
                </c:pt>
                <c:pt idx="9">
                  <c:v>35.420999999999999</c:v>
                </c:pt>
                <c:pt idx="10">
                  <c:v>34.567</c:v>
                </c:pt>
                <c:pt idx="11">
                  <c:v>37.432000000000002</c:v>
                </c:pt>
                <c:pt idx="12">
                  <c:v>34.396999999999998</c:v>
                </c:pt>
                <c:pt idx="13">
                  <c:v>36.856000000000002</c:v>
                </c:pt>
                <c:pt idx="14">
                  <c:v>34.716999999999999</c:v>
                </c:pt>
                <c:pt idx="15">
                  <c:v>34.014000000000003</c:v>
                </c:pt>
                <c:pt idx="16">
                  <c:v>34.680999999999997</c:v>
                </c:pt>
                <c:pt idx="17">
                  <c:v>36.701999999999998</c:v>
                </c:pt>
                <c:pt idx="18">
                  <c:v>34.765000000000001</c:v>
                </c:pt>
                <c:pt idx="19">
                  <c:v>38.499000000000002</c:v>
                </c:pt>
                <c:pt idx="20">
                  <c:v>34.674999999999997</c:v>
                </c:pt>
                <c:pt idx="21">
                  <c:v>37.823999999999998</c:v>
                </c:pt>
                <c:pt idx="22">
                  <c:v>34.65</c:v>
                </c:pt>
                <c:pt idx="23">
                  <c:v>38.14</c:v>
                </c:pt>
                <c:pt idx="24">
                  <c:v>35.088999999999999</c:v>
                </c:pt>
                <c:pt idx="25">
                  <c:v>36.094000000000001</c:v>
                </c:pt>
                <c:pt idx="26">
                  <c:v>34.613999999999997</c:v>
                </c:pt>
                <c:pt idx="27">
                  <c:v>35.585000000000001</c:v>
                </c:pt>
                <c:pt idx="28">
                  <c:v>34.987000000000002</c:v>
                </c:pt>
                <c:pt idx="29">
                  <c:v>38.435000000000002</c:v>
                </c:pt>
                <c:pt idx="30">
                  <c:v>34.466999999999999</c:v>
                </c:pt>
                <c:pt idx="31">
                  <c:v>38.832000000000001</c:v>
                </c:pt>
                <c:pt idx="32">
                  <c:v>34.860999999999997</c:v>
                </c:pt>
                <c:pt idx="33">
                  <c:v>37.148000000000003</c:v>
                </c:pt>
                <c:pt idx="34">
                  <c:v>34.853000000000002</c:v>
                </c:pt>
                <c:pt idx="35">
                  <c:v>37.581000000000003</c:v>
                </c:pt>
                <c:pt idx="36">
                  <c:v>34.627000000000002</c:v>
                </c:pt>
                <c:pt idx="37">
                  <c:v>35.540999999999997</c:v>
                </c:pt>
                <c:pt idx="38">
                  <c:v>34.706000000000003</c:v>
                </c:pt>
                <c:pt idx="39">
                  <c:v>35.887</c:v>
                </c:pt>
                <c:pt idx="40">
                  <c:v>37.773000000000003</c:v>
                </c:pt>
                <c:pt idx="41">
                  <c:v>34.819000000000003</c:v>
                </c:pt>
                <c:pt idx="42">
                  <c:v>34.945</c:v>
                </c:pt>
                <c:pt idx="43">
                  <c:v>37.606000000000002</c:v>
                </c:pt>
                <c:pt idx="44">
                  <c:v>34.634</c:v>
                </c:pt>
                <c:pt idx="45">
                  <c:v>38.198</c:v>
                </c:pt>
                <c:pt idx="46">
                  <c:v>34.768000000000001</c:v>
                </c:pt>
                <c:pt idx="47">
                  <c:v>36.411000000000001</c:v>
                </c:pt>
                <c:pt idx="48">
                  <c:v>34.61</c:v>
                </c:pt>
                <c:pt idx="49">
                  <c:v>36.088999999999999</c:v>
                </c:pt>
                <c:pt idx="50">
                  <c:v>34.652000000000001</c:v>
                </c:pt>
                <c:pt idx="51">
                  <c:v>35.889000000000003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2-43FB-9F44-7CC20A93003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('AMP6-2'!$T$4,'AMP6-2'!$T$4)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2-43FB-9F44-7CC20A93003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('AMP6-2'!$T$5,'AMP6-2'!$T$5)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2-43FB-9F44-7CC20A930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8736"/>
        <c:axId val="543119128"/>
      </c:scatterChart>
      <c:valAx>
        <c:axId val="54311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9128"/>
        <c:crosses val="autoZero"/>
        <c:crossBetween val="midCat"/>
      </c:valAx>
      <c:valAx>
        <c:axId val="5431191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'AMP6-2'!$U$9:$U$60</c:f>
              <c:numCache>
                <c:formatCode>General</c:formatCode>
                <c:ptCount val="52"/>
                <c:pt idx="0">
                  <c:v>34.957999999999998</c:v>
                </c:pt>
                <c:pt idx="1">
                  <c:v>37.875</c:v>
                </c:pt>
                <c:pt idx="2">
                  <c:v>35.045000000000002</c:v>
                </c:pt>
                <c:pt idx="3">
                  <c:v>36.552999999999997</c:v>
                </c:pt>
                <c:pt idx="4">
                  <c:v>34.843000000000004</c:v>
                </c:pt>
                <c:pt idx="5">
                  <c:v>37.802999999999997</c:v>
                </c:pt>
                <c:pt idx="6">
                  <c:v>34.895000000000003</c:v>
                </c:pt>
                <c:pt idx="7">
                  <c:v>36.618000000000002</c:v>
                </c:pt>
                <c:pt idx="8">
                  <c:v>35.338999999999999</c:v>
                </c:pt>
                <c:pt idx="9">
                  <c:v>36.299999999999997</c:v>
                </c:pt>
                <c:pt idx="10">
                  <c:v>34.832999999999998</c:v>
                </c:pt>
                <c:pt idx="11">
                  <c:v>38.834000000000003</c:v>
                </c:pt>
                <c:pt idx="12">
                  <c:v>35.048999999999999</c:v>
                </c:pt>
                <c:pt idx="13">
                  <c:v>37.225000000000001</c:v>
                </c:pt>
                <c:pt idx="14">
                  <c:v>35.097999999999999</c:v>
                </c:pt>
                <c:pt idx="15">
                  <c:v>38.779000000000003</c:v>
                </c:pt>
                <c:pt idx="16">
                  <c:v>34.869999999999997</c:v>
                </c:pt>
                <c:pt idx="17">
                  <c:v>38.573</c:v>
                </c:pt>
                <c:pt idx="18">
                  <c:v>34.744999999999997</c:v>
                </c:pt>
                <c:pt idx="19">
                  <c:v>40.228999999999999</c:v>
                </c:pt>
                <c:pt idx="20">
                  <c:v>34.890999999999998</c:v>
                </c:pt>
                <c:pt idx="21">
                  <c:v>39.139000000000003</c:v>
                </c:pt>
                <c:pt idx="22">
                  <c:v>34.837000000000003</c:v>
                </c:pt>
                <c:pt idx="23">
                  <c:v>38.497</c:v>
                </c:pt>
                <c:pt idx="24">
                  <c:v>34.713000000000001</c:v>
                </c:pt>
                <c:pt idx="25">
                  <c:v>37.215000000000003</c:v>
                </c:pt>
                <c:pt idx="26">
                  <c:v>34.982999999999997</c:v>
                </c:pt>
                <c:pt idx="27">
                  <c:v>36.847999999999999</c:v>
                </c:pt>
                <c:pt idx="28">
                  <c:v>34.384999999999998</c:v>
                </c:pt>
                <c:pt idx="29">
                  <c:v>38.417000000000002</c:v>
                </c:pt>
                <c:pt idx="30">
                  <c:v>35.158000000000001</c:v>
                </c:pt>
                <c:pt idx="31">
                  <c:v>38.161000000000001</c:v>
                </c:pt>
                <c:pt idx="32">
                  <c:v>34.9</c:v>
                </c:pt>
                <c:pt idx="33">
                  <c:v>37.088999999999999</c:v>
                </c:pt>
                <c:pt idx="34">
                  <c:v>34.762999999999998</c:v>
                </c:pt>
                <c:pt idx="35">
                  <c:v>37.518000000000001</c:v>
                </c:pt>
                <c:pt idx="36">
                  <c:v>34.948</c:v>
                </c:pt>
                <c:pt idx="37">
                  <c:v>36.795999999999999</c:v>
                </c:pt>
                <c:pt idx="38">
                  <c:v>34.969000000000001</c:v>
                </c:pt>
                <c:pt idx="39">
                  <c:v>37.331000000000003</c:v>
                </c:pt>
                <c:pt idx="40">
                  <c:v>38.844000000000001</c:v>
                </c:pt>
                <c:pt idx="41">
                  <c:v>35.140999999999998</c:v>
                </c:pt>
                <c:pt idx="42">
                  <c:v>35.039000000000001</c:v>
                </c:pt>
                <c:pt idx="43">
                  <c:v>37.738</c:v>
                </c:pt>
                <c:pt idx="44">
                  <c:v>34.844999999999999</c:v>
                </c:pt>
                <c:pt idx="45">
                  <c:v>39.118000000000002</c:v>
                </c:pt>
                <c:pt idx="46">
                  <c:v>35.021999999999998</c:v>
                </c:pt>
                <c:pt idx="47">
                  <c:v>36.944000000000003</c:v>
                </c:pt>
                <c:pt idx="48">
                  <c:v>35.036999999999999</c:v>
                </c:pt>
                <c:pt idx="49">
                  <c:v>40.375</c:v>
                </c:pt>
                <c:pt idx="50">
                  <c:v>35.277999999999999</c:v>
                </c:pt>
                <c:pt idx="51">
                  <c:v>37.823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8-4889-BD3E-503E9B95D14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('AMP6-2'!$U$4,'AMP6-2'!$U$4)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8-4889-BD3E-503E9B95D14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('AMP6-2'!$U$5,'AMP6-2'!$U$5)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28-4889-BD3E-503E9B95D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19912"/>
        <c:axId val="543120304"/>
      </c:scatterChart>
      <c:valAx>
        <c:axId val="543119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20304"/>
        <c:crosses val="autoZero"/>
        <c:crossBetween val="midCat"/>
      </c:valAx>
      <c:valAx>
        <c:axId val="5431203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19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'AMP6-2'!$AB$9:$AB$60</c:f>
              <c:numCache>
                <c:formatCode>General</c:formatCode>
                <c:ptCount val="52"/>
                <c:pt idx="0">
                  <c:v>0.20899999999999999</c:v>
                </c:pt>
                <c:pt idx="1">
                  <c:v>9.0999999999999998E-2</c:v>
                </c:pt>
                <c:pt idx="2">
                  <c:v>0.253</c:v>
                </c:pt>
                <c:pt idx="3">
                  <c:v>0.11</c:v>
                </c:pt>
                <c:pt idx="4">
                  <c:v>0.17599999999999999</c:v>
                </c:pt>
                <c:pt idx="5">
                  <c:v>-6.3E-2</c:v>
                </c:pt>
                <c:pt idx="6">
                  <c:v>0.22500000000000001</c:v>
                </c:pt>
                <c:pt idx="7">
                  <c:v>3.5000000000000003E-2</c:v>
                </c:pt>
                <c:pt idx="8">
                  <c:v>0.16400000000000001</c:v>
                </c:pt>
                <c:pt idx="9">
                  <c:v>0.04</c:v>
                </c:pt>
                <c:pt idx="10">
                  <c:v>0.107</c:v>
                </c:pt>
                <c:pt idx="11">
                  <c:v>-7.0999999999999994E-2</c:v>
                </c:pt>
                <c:pt idx="12">
                  <c:v>0.21199999999999999</c:v>
                </c:pt>
                <c:pt idx="13">
                  <c:v>9.9000000000000005E-2</c:v>
                </c:pt>
                <c:pt idx="14">
                  <c:v>0.11899999999999999</c:v>
                </c:pt>
                <c:pt idx="15">
                  <c:v>-3.4000000000000002E-2</c:v>
                </c:pt>
                <c:pt idx="16">
                  <c:v>0.109</c:v>
                </c:pt>
                <c:pt idx="17">
                  <c:v>-1.2E-2</c:v>
                </c:pt>
                <c:pt idx="18">
                  <c:v>0.55100000000000005</c:v>
                </c:pt>
                <c:pt idx="19">
                  <c:v>0.41899999999999998</c:v>
                </c:pt>
                <c:pt idx="20">
                  <c:v>0.45300000000000001</c:v>
                </c:pt>
                <c:pt idx="21">
                  <c:v>0.32800000000000001</c:v>
                </c:pt>
                <c:pt idx="22">
                  <c:v>0.36699999999999999</c:v>
                </c:pt>
                <c:pt idx="23">
                  <c:v>0.17799999999999999</c:v>
                </c:pt>
                <c:pt idx="24">
                  <c:v>0.106</c:v>
                </c:pt>
                <c:pt idx="25">
                  <c:v>0.30099999999999999</c:v>
                </c:pt>
                <c:pt idx="26">
                  <c:v>0.154</c:v>
                </c:pt>
                <c:pt idx="27">
                  <c:v>0.247</c:v>
                </c:pt>
                <c:pt idx="28">
                  <c:v>0.17100000000000001</c:v>
                </c:pt>
                <c:pt idx="29">
                  <c:v>0.17100000000000001</c:v>
                </c:pt>
                <c:pt idx="30">
                  <c:v>0.13500000000000001</c:v>
                </c:pt>
                <c:pt idx="31">
                  <c:v>0.19900000000000001</c:v>
                </c:pt>
                <c:pt idx="32">
                  <c:v>2.1999999999999999E-2</c:v>
                </c:pt>
                <c:pt idx="33">
                  <c:v>4.2999999999999997E-2</c:v>
                </c:pt>
                <c:pt idx="34">
                  <c:v>0.26900000000000002</c:v>
                </c:pt>
                <c:pt idx="35">
                  <c:v>-3.3000000000000002E-2</c:v>
                </c:pt>
                <c:pt idx="36">
                  <c:v>8.9999999999999993E-3</c:v>
                </c:pt>
                <c:pt idx="37">
                  <c:v>2.5000000000000001E-2</c:v>
                </c:pt>
                <c:pt idx="38">
                  <c:v>-8.7999999999999995E-2</c:v>
                </c:pt>
                <c:pt idx="39">
                  <c:v>-5.7000000000000002E-2</c:v>
                </c:pt>
                <c:pt idx="40">
                  <c:v>0.06</c:v>
                </c:pt>
                <c:pt idx="41">
                  <c:v>-0.14899999999999999</c:v>
                </c:pt>
                <c:pt idx="42">
                  <c:v>-7.6999999999999999E-2</c:v>
                </c:pt>
                <c:pt idx="43">
                  <c:v>-6.9000000000000006E-2</c:v>
                </c:pt>
                <c:pt idx="44">
                  <c:v>-0.13500000000000001</c:v>
                </c:pt>
                <c:pt idx="45">
                  <c:v>-5.6000000000000001E-2</c:v>
                </c:pt>
                <c:pt idx="46">
                  <c:v>-0.14799999999999999</c:v>
                </c:pt>
                <c:pt idx="47">
                  <c:v>-0.111</c:v>
                </c:pt>
                <c:pt idx="48">
                  <c:v>-0.19</c:v>
                </c:pt>
                <c:pt idx="49">
                  <c:v>-1.0999999999999999E-2</c:v>
                </c:pt>
                <c:pt idx="50">
                  <c:v>-2.9000000000000001E-2</c:v>
                </c:pt>
                <c:pt idx="51">
                  <c:v>0.107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A-4659-9D70-10DE0012CDF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('AMP6-2'!$AB$4,'AMP6-2'!$AB$4)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5A-4659-9D70-10DE0012CDF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('AMP6-2'!$AB$5,'AMP6-2'!$AB$5)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5A-4659-9D70-10DE0012C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21088"/>
        <c:axId val="543121480"/>
      </c:scatterChart>
      <c:valAx>
        <c:axId val="54312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21480"/>
        <c:crosses val="autoZero"/>
        <c:crossBetween val="midCat"/>
      </c:valAx>
      <c:valAx>
        <c:axId val="543121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21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'AMP6-2'!$AC$9:$AC$60</c:f>
              <c:numCache>
                <c:formatCode>General</c:formatCode>
                <c:ptCount val="52"/>
                <c:pt idx="0">
                  <c:v>0.22500000000000001</c:v>
                </c:pt>
                <c:pt idx="1">
                  <c:v>0.126</c:v>
                </c:pt>
                <c:pt idx="2">
                  <c:v>0.26800000000000002</c:v>
                </c:pt>
                <c:pt idx="3">
                  <c:v>0.152</c:v>
                </c:pt>
                <c:pt idx="4">
                  <c:v>0.19700000000000001</c:v>
                </c:pt>
                <c:pt idx="5">
                  <c:v>-1.9E-2</c:v>
                </c:pt>
                <c:pt idx="6">
                  <c:v>0.255</c:v>
                </c:pt>
                <c:pt idx="7">
                  <c:v>0.08</c:v>
                </c:pt>
                <c:pt idx="8">
                  <c:v>0.19</c:v>
                </c:pt>
                <c:pt idx="9">
                  <c:v>8.6999999999999994E-2</c:v>
                </c:pt>
                <c:pt idx="10">
                  <c:v>0.14299999999999999</c:v>
                </c:pt>
                <c:pt idx="11">
                  <c:v>-2.5000000000000001E-2</c:v>
                </c:pt>
                <c:pt idx="12">
                  <c:v>0.23799999999999999</c:v>
                </c:pt>
                <c:pt idx="13">
                  <c:v>0.14599999999999999</c:v>
                </c:pt>
                <c:pt idx="14">
                  <c:v>0.14000000000000001</c:v>
                </c:pt>
                <c:pt idx="15">
                  <c:v>4.0000000000000001E-3</c:v>
                </c:pt>
                <c:pt idx="16">
                  <c:v>0.14899999999999999</c:v>
                </c:pt>
                <c:pt idx="17">
                  <c:v>1.6E-2</c:v>
                </c:pt>
                <c:pt idx="18">
                  <c:v>0.56699999999999995</c:v>
                </c:pt>
                <c:pt idx="19">
                  <c:v>0.48899999999999999</c:v>
                </c:pt>
                <c:pt idx="20">
                  <c:v>0.47099999999999997</c:v>
                </c:pt>
                <c:pt idx="21">
                  <c:v>0.39500000000000002</c:v>
                </c:pt>
                <c:pt idx="22">
                  <c:v>0.38600000000000001</c:v>
                </c:pt>
                <c:pt idx="23">
                  <c:v>0.252</c:v>
                </c:pt>
                <c:pt idx="24">
                  <c:v>0.13800000000000001</c:v>
                </c:pt>
                <c:pt idx="25">
                  <c:v>0.374</c:v>
                </c:pt>
                <c:pt idx="26">
                  <c:v>0.17799999999999999</c:v>
                </c:pt>
                <c:pt idx="27">
                  <c:v>0.32100000000000001</c:v>
                </c:pt>
                <c:pt idx="28">
                  <c:v>0.20399999999999999</c:v>
                </c:pt>
                <c:pt idx="29">
                  <c:v>0.24399999999999999</c:v>
                </c:pt>
                <c:pt idx="30">
                  <c:v>0.16900000000000001</c:v>
                </c:pt>
                <c:pt idx="31">
                  <c:v>0.28199999999999997</c:v>
                </c:pt>
                <c:pt idx="32">
                  <c:v>4.4999999999999998E-2</c:v>
                </c:pt>
                <c:pt idx="33">
                  <c:v>0.124</c:v>
                </c:pt>
                <c:pt idx="34">
                  <c:v>0.29599999999999999</c:v>
                </c:pt>
                <c:pt idx="35">
                  <c:v>4.9000000000000002E-2</c:v>
                </c:pt>
                <c:pt idx="36">
                  <c:v>2.5000000000000001E-2</c:v>
                </c:pt>
                <c:pt idx="37">
                  <c:v>0.105</c:v>
                </c:pt>
                <c:pt idx="38">
                  <c:v>-6.6000000000000003E-2</c:v>
                </c:pt>
                <c:pt idx="39">
                  <c:v>5.0999999999999997E-2</c:v>
                </c:pt>
                <c:pt idx="40">
                  <c:v>0.14499999999999999</c:v>
                </c:pt>
                <c:pt idx="41">
                  <c:v>-0.11700000000000001</c:v>
                </c:pt>
                <c:pt idx="42">
                  <c:v>-3.3000000000000002E-2</c:v>
                </c:pt>
                <c:pt idx="43">
                  <c:v>2.1000000000000001E-2</c:v>
                </c:pt>
                <c:pt idx="44">
                  <c:v>-9.9000000000000005E-2</c:v>
                </c:pt>
                <c:pt idx="45">
                  <c:v>3.2000000000000001E-2</c:v>
                </c:pt>
                <c:pt idx="46">
                  <c:v>-0.115</c:v>
                </c:pt>
                <c:pt idx="47">
                  <c:v>-3.7999999999999999E-2</c:v>
                </c:pt>
                <c:pt idx="48">
                  <c:v>-0.17599999999999999</c:v>
                </c:pt>
                <c:pt idx="49">
                  <c:v>7.5999999999999998E-2</c:v>
                </c:pt>
                <c:pt idx="50">
                  <c:v>-5.0000000000000001E-3</c:v>
                </c:pt>
                <c:pt idx="51">
                  <c:v>0.191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E6-485D-BB6A-97FCD0086BA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('AMP6-2'!$AC$4,'AMP6-2'!$AC$4)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E6-485D-BB6A-97FCD0086BA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('AMP6-2'!$AC$5,'AMP6-2'!$AC$5)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E6-485D-BB6A-97FCD0086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122264"/>
        <c:axId val="543122656"/>
      </c:scatterChart>
      <c:valAx>
        <c:axId val="543122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22656"/>
        <c:crosses val="autoZero"/>
        <c:crossBetween val="midCat"/>
      </c:valAx>
      <c:valAx>
        <c:axId val="543122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22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'AMP6-2'!$AD$9:$AD$60</c:f>
              <c:numCache>
                <c:formatCode>General</c:formatCode>
                <c:ptCount val="52"/>
                <c:pt idx="0">
                  <c:v>3.6999999999999998E-2</c:v>
                </c:pt>
                <c:pt idx="1">
                  <c:v>-7.2999999999999995E-2</c:v>
                </c:pt>
                <c:pt idx="2">
                  <c:v>7.1999999999999995E-2</c:v>
                </c:pt>
                <c:pt idx="3">
                  <c:v>-0.183</c:v>
                </c:pt>
                <c:pt idx="4">
                  <c:v>8.1000000000000003E-2</c:v>
                </c:pt>
                <c:pt idx="5">
                  <c:v>-0.17599999999999999</c:v>
                </c:pt>
                <c:pt idx="6">
                  <c:v>1.7000000000000001E-2</c:v>
                </c:pt>
                <c:pt idx="7">
                  <c:v>-0.14099999999999999</c:v>
                </c:pt>
                <c:pt idx="8">
                  <c:v>8.5999999999999993E-2</c:v>
                </c:pt>
                <c:pt idx="9">
                  <c:v>-0.19</c:v>
                </c:pt>
                <c:pt idx="10">
                  <c:v>-1.0999999999999999E-2</c:v>
                </c:pt>
                <c:pt idx="11">
                  <c:v>-0.2</c:v>
                </c:pt>
                <c:pt idx="12">
                  <c:v>0.106</c:v>
                </c:pt>
                <c:pt idx="13">
                  <c:v>-9.1999999999999998E-2</c:v>
                </c:pt>
                <c:pt idx="14">
                  <c:v>1E-3</c:v>
                </c:pt>
                <c:pt idx="15">
                  <c:v>-0.2</c:v>
                </c:pt>
                <c:pt idx="16">
                  <c:v>7.9000000000000001E-2</c:v>
                </c:pt>
                <c:pt idx="17">
                  <c:v>-0.11700000000000001</c:v>
                </c:pt>
                <c:pt idx="18">
                  <c:v>0.34300000000000003</c:v>
                </c:pt>
                <c:pt idx="19">
                  <c:v>0.30399999999999999</c:v>
                </c:pt>
                <c:pt idx="20">
                  <c:v>0.31</c:v>
                </c:pt>
                <c:pt idx="21">
                  <c:v>0.126</c:v>
                </c:pt>
                <c:pt idx="22">
                  <c:v>0.248</c:v>
                </c:pt>
                <c:pt idx="23">
                  <c:v>7.2999999999999995E-2</c:v>
                </c:pt>
                <c:pt idx="24">
                  <c:v>4.9000000000000002E-2</c:v>
                </c:pt>
                <c:pt idx="25">
                  <c:v>0.28100000000000003</c:v>
                </c:pt>
                <c:pt idx="26">
                  <c:v>6.5000000000000002E-2</c:v>
                </c:pt>
                <c:pt idx="27">
                  <c:v>0.43</c:v>
                </c:pt>
                <c:pt idx="28">
                  <c:v>-6.0000000000000001E-3</c:v>
                </c:pt>
                <c:pt idx="29">
                  <c:v>0.17</c:v>
                </c:pt>
                <c:pt idx="30">
                  <c:v>8.4000000000000005E-2</c:v>
                </c:pt>
                <c:pt idx="31">
                  <c:v>0.18</c:v>
                </c:pt>
                <c:pt idx="32">
                  <c:v>0.01</c:v>
                </c:pt>
                <c:pt idx="33">
                  <c:v>0.04</c:v>
                </c:pt>
                <c:pt idx="34">
                  <c:v>0.379</c:v>
                </c:pt>
                <c:pt idx="35">
                  <c:v>-9.9000000000000005E-2</c:v>
                </c:pt>
                <c:pt idx="36">
                  <c:v>9.0999999999999998E-2</c:v>
                </c:pt>
                <c:pt idx="37">
                  <c:v>-0.13300000000000001</c:v>
                </c:pt>
                <c:pt idx="38">
                  <c:v>7.2999999999999995E-2</c:v>
                </c:pt>
                <c:pt idx="39">
                  <c:v>-7.6999999999999999E-2</c:v>
                </c:pt>
                <c:pt idx="40">
                  <c:v>-4.2000000000000003E-2</c:v>
                </c:pt>
                <c:pt idx="41">
                  <c:v>-7.5999999999999998E-2</c:v>
                </c:pt>
                <c:pt idx="42">
                  <c:v>6.9000000000000006E-2</c:v>
                </c:pt>
                <c:pt idx="43">
                  <c:v>-0.128</c:v>
                </c:pt>
                <c:pt idx="44">
                  <c:v>-5.1999999999999998E-2</c:v>
                </c:pt>
                <c:pt idx="45">
                  <c:v>-0.193</c:v>
                </c:pt>
                <c:pt idx="46">
                  <c:v>0.10199999999999999</c:v>
                </c:pt>
                <c:pt idx="47">
                  <c:v>-0.21099999999999999</c:v>
                </c:pt>
                <c:pt idx="48">
                  <c:v>-9.4E-2</c:v>
                </c:pt>
                <c:pt idx="49">
                  <c:v>-0.128</c:v>
                </c:pt>
                <c:pt idx="50">
                  <c:v>0.112</c:v>
                </c:pt>
                <c:pt idx="51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B-4E98-BACB-F69881279EB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('AMP6-2'!$AD$4,'AMP6-2'!$AD$4)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3B-4E98-BACB-F69881279EB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('AMP6-2'!$AD$5,'AMP6-2'!$AD$5)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3B-4E98-BACB-F69881279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1248"/>
        <c:axId val="557531640"/>
      </c:scatterChart>
      <c:valAx>
        <c:axId val="55753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1640"/>
        <c:crosses val="autoZero"/>
        <c:crossBetween val="midCat"/>
      </c:valAx>
      <c:valAx>
        <c:axId val="5575316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'AMP6-2'!$AE$9:$AE$60</c:f>
              <c:numCache>
                <c:formatCode>General</c:formatCode>
                <c:ptCount val="52"/>
                <c:pt idx="0">
                  <c:v>-6.7000000000000004E-2</c:v>
                </c:pt>
                <c:pt idx="1">
                  <c:v>4.0000000000000001E-3</c:v>
                </c:pt>
                <c:pt idx="2">
                  <c:v>0.307</c:v>
                </c:pt>
                <c:pt idx="3">
                  <c:v>-0.05</c:v>
                </c:pt>
                <c:pt idx="4">
                  <c:v>0.01</c:v>
                </c:pt>
                <c:pt idx="5">
                  <c:v>-0.186</c:v>
                </c:pt>
                <c:pt idx="6">
                  <c:v>-1.4999999999999999E-2</c:v>
                </c:pt>
                <c:pt idx="7">
                  <c:v>-3.9E-2</c:v>
                </c:pt>
                <c:pt idx="8">
                  <c:v>2.5999999999999999E-2</c:v>
                </c:pt>
                <c:pt idx="9">
                  <c:v>-0.113</c:v>
                </c:pt>
                <c:pt idx="10">
                  <c:v>-4.9000000000000002E-2</c:v>
                </c:pt>
                <c:pt idx="11">
                  <c:v>-0.16300000000000001</c:v>
                </c:pt>
                <c:pt idx="12">
                  <c:v>4.0000000000000001E-3</c:v>
                </c:pt>
                <c:pt idx="13">
                  <c:v>-8.0000000000000002E-3</c:v>
                </c:pt>
                <c:pt idx="14">
                  <c:v>-0.11899999999999999</c:v>
                </c:pt>
                <c:pt idx="15">
                  <c:v>-8.6999999999999994E-2</c:v>
                </c:pt>
                <c:pt idx="16">
                  <c:v>0.11</c:v>
                </c:pt>
                <c:pt idx="17">
                  <c:v>-8.5999999999999993E-2</c:v>
                </c:pt>
                <c:pt idx="18">
                  <c:v>0.17699999999999999</c:v>
                </c:pt>
                <c:pt idx="19">
                  <c:v>0.42099999999999999</c:v>
                </c:pt>
                <c:pt idx="20">
                  <c:v>0.253</c:v>
                </c:pt>
                <c:pt idx="21">
                  <c:v>0.27300000000000002</c:v>
                </c:pt>
                <c:pt idx="22">
                  <c:v>0.11899999999999999</c:v>
                </c:pt>
                <c:pt idx="23">
                  <c:v>0.20899999999999999</c:v>
                </c:pt>
                <c:pt idx="24">
                  <c:v>-2E-3</c:v>
                </c:pt>
                <c:pt idx="25">
                  <c:v>0.47199999999999998</c:v>
                </c:pt>
                <c:pt idx="26">
                  <c:v>4.0000000000000001E-3</c:v>
                </c:pt>
                <c:pt idx="27">
                  <c:v>0.63500000000000001</c:v>
                </c:pt>
                <c:pt idx="28">
                  <c:v>-1.4999999999999999E-2</c:v>
                </c:pt>
                <c:pt idx="29">
                  <c:v>0.311</c:v>
                </c:pt>
                <c:pt idx="30">
                  <c:v>5.5E-2</c:v>
                </c:pt>
                <c:pt idx="31">
                  <c:v>0.308</c:v>
                </c:pt>
                <c:pt idx="32">
                  <c:v>-5.6000000000000001E-2</c:v>
                </c:pt>
                <c:pt idx="33">
                  <c:v>0.17</c:v>
                </c:pt>
                <c:pt idx="34">
                  <c:v>0.373</c:v>
                </c:pt>
                <c:pt idx="35">
                  <c:v>1.2999999999999999E-2</c:v>
                </c:pt>
                <c:pt idx="36">
                  <c:v>1.4E-2</c:v>
                </c:pt>
                <c:pt idx="37">
                  <c:v>4.2999999999999997E-2</c:v>
                </c:pt>
                <c:pt idx="38">
                  <c:v>1.7999999999999999E-2</c:v>
                </c:pt>
                <c:pt idx="39">
                  <c:v>0.1</c:v>
                </c:pt>
                <c:pt idx="40">
                  <c:v>0.16600000000000001</c:v>
                </c:pt>
                <c:pt idx="41">
                  <c:v>-0.13900000000000001</c:v>
                </c:pt>
                <c:pt idx="42">
                  <c:v>3.5000000000000003E-2</c:v>
                </c:pt>
                <c:pt idx="43">
                  <c:v>-4.1000000000000002E-2</c:v>
                </c:pt>
                <c:pt idx="44">
                  <c:v>-9.1999999999999998E-2</c:v>
                </c:pt>
                <c:pt idx="45">
                  <c:v>-0.05</c:v>
                </c:pt>
                <c:pt idx="46">
                  <c:v>0.11799999999999999</c:v>
                </c:pt>
                <c:pt idx="47">
                  <c:v>-0.11799999999999999</c:v>
                </c:pt>
                <c:pt idx="48">
                  <c:v>-0.14099999999999999</c:v>
                </c:pt>
                <c:pt idx="49">
                  <c:v>2.5999999999999999E-2</c:v>
                </c:pt>
                <c:pt idx="50">
                  <c:v>0.111</c:v>
                </c:pt>
                <c:pt idx="51">
                  <c:v>0.155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6-4CAF-9CFE-A827ED39764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('AMP6-2'!$AE$4,'AMP6-2'!$AE$4)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6-4CAF-9CFE-A827ED39764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('AMP6-2'!$AE$5,'AMP6-2'!$AE$5)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6-4CAF-9CFE-A827ED397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2816"/>
        <c:axId val="557533208"/>
      </c:scatterChart>
      <c:valAx>
        <c:axId val="55753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3208"/>
        <c:crosses val="autoZero"/>
        <c:crossBetween val="midCat"/>
      </c:valAx>
      <c:valAx>
        <c:axId val="5575332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'AMP6-2'!$AF$9:$AF$60</c:f>
              <c:numCache>
                <c:formatCode>General</c:formatCode>
                <c:ptCount val="52"/>
                <c:pt idx="0">
                  <c:v>0.442</c:v>
                </c:pt>
                <c:pt idx="1">
                  <c:v>0.28399999999999997</c:v>
                </c:pt>
                <c:pt idx="2">
                  <c:v>0.45200000000000001</c:v>
                </c:pt>
                <c:pt idx="3">
                  <c:v>0.35799999999999998</c:v>
                </c:pt>
                <c:pt idx="4">
                  <c:v>0.36299999999999999</c:v>
                </c:pt>
                <c:pt idx="5">
                  <c:v>0.14899999999999999</c:v>
                </c:pt>
                <c:pt idx="6">
                  <c:v>0.44900000000000001</c:v>
                </c:pt>
                <c:pt idx="7">
                  <c:v>0.26900000000000002</c:v>
                </c:pt>
                <c:pt idx="8">
                  <c:v>0.375</c:v>
                </c:pt>
                <c:pt idx="9">
                  <c:v>0.24199999999999999</c:v>
                </c:pt>
                <c:pt idx="10">
                  <c:v>0.32500000000000001</c:v>
                </c:pt>
                <c:pt idx="11">
                  <c:v>0.19600000000000001</c:v>
                </c:pt>
                <c:pt idx="12">
                  <c:v>0.39800000000000002</c:v>
                </c:pt>
                <c:pt idx="13">
                  <c:v>0.26900000000000002</c:v>
                </c:pt>
                <c:pt idx="14">
                  <c:v>0.30499999999999999</c:v>
                </c:pt>
                <c:pt idx="15">
                  <c:v>0.16400000000000001</c:v>
                </c:pt>
                <c:pt idx="16">
                  <c:v>0.33</c:v>
                </c:pt>
                <c:pt idx="17">
                  <c:v>0.22700000000000001</c:v>
                </c:pt>
                <c:pt idx="18">
                  <c:v>0.88400000000000001</c:v>
                </c:pt>
                <c:pt idx="19">
                  <c:v>0.73099999999999998</c:v>
                </c:pt>
                <c:pt idx="20">
                  <c:v>0.79400000000000004</c:v>
                </c:pt>
                <c:pt idx="21">
                  <c:v>0.60499999999999998</c:v>
                </c:pt>
                <c:pt idx="22">
                  <c:v>0.52400000000000002</c:v>
                </c:pt>
                <c:pt idx="23">
                  <c:v>0.32900000000000001</c:v>
                </c:pt>
                <c:pt idx="24">
                  <c:v>0.38500000000000001</c:v>
                </c:pt>
                <c:pt idx="25">
                  <c:v>0.39200000000000002</c:v>
                </c:pt>
                <c:pt idx="26">
                  <c:v>0.41899999999999998</c:v>
                </c:pt>
                <c:pt idx="27">
                  <c:v>0.186</c:v>
                </c:pt>
                <c:pt idx="28">
                  <c:v>0.315</c:v>
                </c:pt>
                <c:pt idx="29">
                  <c:v>0.52900000000000003</c:v>
                </c:pt>
                <c:pt idx="30">
                  <c:v>0.41099999999999998</c:v>
                </c:pt>
                <c:pt idx="31">
                  <c:v>0.33200000000000002</c:v>
                </c:pt>
                <c:pt idx="32">
                  <c:v>0.216</c:v>
                </c:pt>
                <c:pt idx="33">
                  <c:v>3.1E-2</c:v>
                </c:pt>
                <c:pt idx="34">
                  <c:v>0.58599999999999997</c:v>
                </c:pt>
                <c:pt idx="35">
                  <c:v>4.2999999999999997E-2</c:v>
                </c:pt>
                <c:pt idx="36">
                  <c:v>0.187</c:v>
                </c:pt>
                <c:pt idx="37">
                  <c:v>8.4000000000000005E-2</c:v>
                </c:pt>
                <c:pt idx="38">
                  <c:v>0.1</c:v>
                </c:pt>
                <c:pt idx="39">
                  <c:v>5.0999999999999997E-2</c:v>
                </c:pt>
                <c:pt idx="40">
                  <c:v>0.14099999999999999</c:v>
                </c:pt>
                <c:pt idx="41">
                  <c:v>6.0999999999999999E-2</c:v>
                </c:pt>
                <c:pt idx="42">
                  <c:v>4.2999999999999997E-2</c:v>
                </c:pt>
                <c:pt idx="43">
                  <c:v>0.112</c:v>
                </c:pt>
                <c:pt idx="44">
                  <c:v>-1.7000000000000001E-2</c:v>
                </c:pt>
                <c:pt idx="45">
                  <c:v>0.108</c:v>
                </c:pt>
                <c:pt idx="46">
                  <c:v>-4.7E-2</c:v>
                </c:pt>
                <c:pt idx="47">
                  <c:v>2.5999999999999999E-2</c:v>
                </c:pt>
                <c:pt idx="48">
                  <c:v>-6.4000000000000001E-2</c:v>
                </c:pt>
                <c:pt idx="49">
                  <c:v>8.5999999999999993E-2</c:v>
                </c:pt>
                <c:pt idx="50">
                  <c:v>0.11799999999999999</c:v>
                </c:pt>
                <c:pt idx="51">
                  <c:v>0.248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8-4671-BFD4-51B5530FA61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('AMP6-2'!$AF$4,'AMP6-2'!$AF$4)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48-4671-BFD4-51B5530FA61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('AMP6-2'!$AF$5,'AMP6-2'!$AF$5)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48-4671-BFD4-51B5530FA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3600"/>
        <c:axId val="557533992"/>
      </c:scatterChart>
      <c:valAx>
        <c:axId val="55753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3992"/>
        <c:crosses val="autoZero"/>
        <c:crossBetween val="midCat"/>
      </c:valAx>
      <c:valAx>
        <c:axId val="5575339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'AMP6-2'!$AG$9:$AG$60</c:f>
              <c:numCache>
                <c:formatCode>General</c:formatCode>
                <c:ptCount val="52"/>
                <c:pt idx="0">
                  <c:v>0.40799999999999997</c:v>
                </c:pt>
                <c:pt idx="1">
                  <c:v>0.214</c:v>
                </c:pt>
                <c:pt idx="2">
                  <c:v>0.42299999999999999</c:v>
                </c:pt>
                <c:pt idx="3">
                  <c:v>0.29499999999999998</c:v>
                </c:pt>
                <c:pt idx="4">
                  <c:v>0.33700000000000002</c:v>
                </c:pt>
                <c:pt idx="5">
                  <c:v>0.09</c:v>
                </c:pt>
                <c:pt idx="6">
                  <c:v>0.4</c:v>
                </c:pt>
                <c:pt idx="7">
                  <c:v>0.20899999999999999</c:v>
                </c:pt>
                <c:pt idx="8">
                  <c:v>0.34100000000000003</c:v>
                </c:pt>
                <c:pt idx="9">
                  <c:v>0.17199999999999999</c:v>
                </c:pt>
                <c:pt idx="10">
                  <c:v>0.26</c:v>
                </c:pt>
                <c:pt idx="11">
                  <c:v>0.129</c:v>
                </c:pt>
                <c:pt idx="12">
                  <c:v>0.34499999999999997</c:v>
                </c:pt>
                <c:pt idx="13">
                  <c:v>0.20100000000000001</c:v>
                </c:pt>
                <c:pt idx="14">
                  <c:v>0.28299999999999997</c:v>
                </c:pt>
                <c:pt idx="15">
                  <c:v>0.105</c:v>
                </c:pt>
                <c:pt idx="16">
                  <c:v>0.29499999999999998</c:v>
                </c:pt>
                <c:pt idx="17">
                  <c:v>0.17299999999999999</c:v>
                </c:pt>
                <c:pt idx="18">
                  <c:v>0.86299999999999999</c:v>
                </c:pt>
                <c:pt idx="19">
                  <c:v>0.67200000000000004</c:v>
                </c:pt>
                <c:pt idx="20">
                  <c:v>0.77700000000000002</c:v>
                </c:pt>
                <c:pt idx="21">
                  <c:v>0.55400000000000005</c:v>
                </c:pt>
                <c:pt idx="22">
                  <c:v>0.499</c:v>
                </c:pt>
                <c:pt idx="23">
                  <c:v>0.27200000000000002</c:v>
                </c:pt>
                <c:pt idx="24">
                  <c:v>0.35299999999999998</c:v>
                </c:pt>
                <c:pt idx="25">
                  <c:v>0.31900000000000001</c:v>
                </c:pt>
                <c:pt idx="26">
                  <c:v>0.374</c:v>
                </c:pt>
                <c:pt idx="27">
                  <c:v>0.108</c:v>
                </c:pt>
                <c:pt idx="28">
                  <c:v>0.27400000000000002</c:v>
                </c:pt>
                <c:pt idx="29">
                  <c:v>0.24399999999999999</c:v>
                </c:pt>
                <c:pt idx="30">
                  <c:v>0.36499999999999999</c:v>
                </c:pt>
                <c:pt idx="31">
                  <c:v>0.25700000000000001</c:v>
                </c:pt>
                <c:pt idx="32">
                  <c:v>0.16900000000000001</c:v>
                </c:pt>
                <c:pt idx="33">
                  <c:v>-4.7E-2</c:v>
                </c:pt>
                <c:pt idx="34">
                  <c:v>0.53700000000000003</c:v>
                </c:pt>
                <c:pt idx="35">
                  <c:v>-4.2999999999999997E-2</c:v>
                </c:pt>
                <c:pt idx="36">
                  <c:v>0.13300000000000001</c:v>
                </c:pt>
                <c:pt idx="37">
                  <c:v>1E-3</c:v>
                </c:pt>
                <c:pt idx="38">
                  <c:v>5.5E-2</c:v>
                </c:pt>
                <c:pt idx="39">
                  <c:v>-1.6E-2</c:v>
                </c:pt>
                <c:pt idx="40">
                  <c:v>7.3999999999999996E-2</c:v>
                </c:pt>
                <c:pt idx="41">
                  <c:v>2.4E-2</c:v>
                </c:pt>
                <c:pt idx="42">
                  <c:v>-7.0000000000000001E-3</c:v>
                </c:pt>
                <c:pt idx="43">
                  <c:v>2.9000000000000001E-2</c:v>
                </c:pt>
                <c:pt idx="44">
                  <c:v>-6.9000000000000006E-2</c:v>
                </c:pt>
                <c:pt idx="45">
                  <c:v>3.5999999999999997E-2</c:v>
                </c:pt>
                <c:pt idx="46">
                  <c:v>-0.112</c:v>
                </c:pt>
                <c:pt idx="47">
                  <c:v>-5.6000000000000001E-2</c:v>
                </c:pt>
                <c:pt idx="48">
                  <c:v>-9.8000000000000004E-2</c:v>
                </c:pt>
                <c:pt idx="49">
                  <c:v>0.02</c:v>
                </c:pt>
                <c:pt idx="50">
                  <c:v>0.08</c:v>
                </c:pt>
                <c:pt idx="51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4-4566-9B45-E9E4DF28A1B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('AMP6-2'!$AG$4,'AMP6-2'!$AG$4)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54-4566-9B45-E9E4DF28A1B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('AMP6-2'!$AG$5,'AMP6-2'!$AG$5)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54-4566-9B45-E9E4DF28A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4776"/>
        <c:axId val="557535168"/>
      </c:scatterChart>
      <c:valAx>
        <c:axId val="557534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5168"/>
        <c:crosses val="autoZero"/>
        <c:crossBetween val="midCat"/>
      </c:valAx>
      <c:valAx>
        <c:axId val="5575351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'AMP6-2'!$AH$9:$AH$60</c:f>
              <c:numCache>
                <c:formatCode>General</c:formatCode>
                <c:ptCount val="52"/>
                <c:pt idx="0">
                  <c:v>0.14899999999999999</c:v>
                </c:pt>
                <c:pt idx="1">
                  <c:v>5.6000000000000001E-2</c:v>
                </c:pt>
                <c:pt idx="2">
                  <c:v>0.22700000000000001</c:v>
                </c:pt>
                <c:pt idx="3">
                  <c:v>9.5000000000000001E-2</c:v>
                </c:pt>
                <c:pt idx="4">
                  <c:v>0.14599999999999999</c:v>
                </c:pt>
                <c:pt idx="5">
                  <c:v>1.6E-2</c:v>
                </c:pt>
                <c:pt idx="6">
                  <c:v>0.13100000000000001</c:v>
                </c:pt>
                <c:pt idx="7">
                  <c:v>4.8000000000000001E-2</c:v>
                </c:pt>
                <c:pt idx="8">
                  <c:v>0.19</c:v>
                </c:pt>
                <c:pt idx="9">
                  <c:v>-6.5000000000000002E-2</c:v>
                </c:pt>
                <c:pt idx="10">
                  <c:v>6.5000000000000002E-2</c:v>
                </c:pt>
                <c:pt idx="11">
                  <c:v>-5.6000000000000001E-2</c:v>
                </c:pt>
                <c:pt idx="12">
                  <c:v>0.221</c:v>
                </c:pt>
                <c:pt idx="13">
                  <c:v>0</c:v>
                </c:pt>
                <c:pt idx="14">
                  <c:v>0.108</c:v>
                </c:pt>
                <c:pt idx="15">
                  <c:v>-8.5000000000000006E-2</c:v>
                </c:pt>
                <c:pt idx="16">
                  <c:v>0.184</c:v>
                </c:pt>
                <c:pt idx="17">
                  <c:v>4.8000000000000001E-2</c:v>
                </c:pt>
                <c:pt idx="18">
                  <c:v>0.48799999999999999</c:v>
                </c:pt>
                <c:pt idx="19">
                  <c:v>0.44400000000000001</c:v>
                </c:pt>
                <c:pt idx="20">
                  <c:v>0.52600000000000002</c:v>
                </c:pt>
                <c:pt idx="21">
                  <c:v>0.26400000000000001</c:v>
                </c:pt>
                <c:pt idx="22">
                  <c:v>0.29499999999999998</c:v>
                </c:pt>
                <c:pt idx="23">
                  <c:v>6.0999999999999999E-2</c:v>
                </c:pt>
                <c:pt idx="24">
                  <c:v>0.14699999999999999</c:v>
                </c:pt>
                <c:pt idx="25">
                  <c:v>0.19500000000000001</c:v>
                </c:pt>
                <c:pt idx="26">
                  <c:v>0.114</c:v>
                </c:pt>
                <c:pt idx="27">
                  <c:v>0.28100000000000003</c:v>
                </c:pt>
                <c:pt idx="28">
                  <c:v>-3.5000000000000003E-2</c:v>
                </c:pt>
                <c:pt idx="29">
                  <c:v>0.30599999999999999</c:v>
                </c:pt>
                <c:pt idx="30">
                  <c:v>0.16400000000000001</c:v>
                </c:pt>
                <c:pt idx="31">
                  <c:v>0.106</c:v>
                </c:pt>
                <c:pt idx="32">
                  <c:v>-0.106</c:v>
                </c:pt>
                <c:pt idx="33">
                  <c:v>-7.4999999999999997E-2</c:v>
                </c:pt>
                <c:pt idx="34">
                  <c:v>0.35899999999999999</c:v>
                </c:pt>
                <c:pt idx="35">
                  <c:v>-0.21099999999999999</c:v>
                </c:pt>
                <c:pt idx="36">
                  <c:v>-5.6000000000000001E-2</c:v>
                </c:pt>
                <c:pt idx="37">
                  <c:v>-0.24</c:v>
                </c:pt>
                <c:pt idx="38">
                  <c:v>-0.122</c:v>
                </c:pt>
                <c:pt idx="39">
                  <c:v>-0.11</c:v>
                </c:pt>
                <c:pt idx="40">
                  <c:v>-5.2999999999999999E-2</c:v>
                </c:pt>
                <c:pt idx="41">
                  <c:v>-9.8000000000000004E-2</c:v>
                </c:pt>
                <c:pt idx="42">
                  <c:v>1.4E-2</c:v>
                </c:pt>
                <c:pt idx="43">
                  <c:v>-7.5999999999999998E-2</c:v>
                </c:pt>
                <c:pt idx="44">
                  <c:v>-9.8000000000000004E-2</c:v>
                </c:pt>
                <c:pt idx="45">
                  <c:v>-0.14499999999999999</c:v>
                </c:pt>
                <c:pt idx="46">
                  <c:v>3.3000000000000002E-2</c:v>
                </c:pt>
                <c:pt idx="47">
                  <c:v>-0.16700000000000001</c:v>
                </c:pt>
                <c:pt idx="48">
                  <c:v>6.8000000000000005E-2</c:v>
                </c:pt>
                <c:pt idx="49">
                  <c:v>-0.14799999999999999</c:v>
                </c:pt>
                <c:pt idx="50">
                  <c:v>0.112</c:v>
                </c:pt>
                <c:pt idx="51">
                  <c:v>9.9000000000000005E-2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1-4483-86BA-169D1D7DC56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('AMP6-2'!$AH$4,'AMP6-2'!$AH$4)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1-4483-86BA-169D1D7DC56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('AMP6-2'!$AH$5,'AMP6-2'!$AH$5)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C1-4483-86BA-169D1D7DC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5952"/>
        <c:axId val="557536344"/>
      </c:scatterChart>
      <c:valAx>
        <c:axId val="55753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6344"/>
        <c:crosses val="autoZero"/>
        <c:crossBetween val="midCat"/>
      </c:valAx>
      <c:valAx>
        <c:axId val="5575363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'AMP6-2'!$AI$8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'AMP6-2'!$C$9:$C$60</c:f>
              <c:numCache>
                <c:formatCode>m/d/yy\ h:mm;@</c:formatCode>
                <c:ptCount val="52"/>
                <c:pt idx="0">
                  <c:v>43698.536458333336</c:v>
                </c:pt>
                <c:pt idx="1">
                  <c:v>43698.538483796299</c:v>
                </c:pt>
                <c:pt idx="2">
                  <c:v>43698.633784722224</c:v>
                </c:pt>
                <c:pt idx="3">
                  <c:v>43698.635868055557</c:v>
                </c:pt>
                <c:pt idx="4">
                  <c:v>43698.809710648151</c:v>
                </c:pt>
                <c:pt idx="5">
                  <c:v>43698.811736111114</c:v>
                </c:pt>
                <c:pt idx="6">
                  <c:v>43698.844641203701</c:v>
                </c:pt>
                <c:pt idx="7">
                  <c:v>43698.846712962964</c:v>
                </c:pt>
                <c:pt idx="8">
                  <c:v>43698.893078703702</c:v>
                </c:pt>
                <c:pt idx="9">
                  <c:v>43698.895370370374</c:v>
                </c:pt>
                <c:pt idx="10">
                  <c:v>43698.99013888889</c:v>
                </c:pt>
                <c:pt idx="11">
                  <c:v>43698.992766203701</c:v>
                </c:pt>
                <c:pt idx="12">
                  <c:v>43699.057986111111</c:v>
                </c:pt>
                <c:pt idx="13">
                  <c:v>43699.060902777775</c:v>
                </c:pt>
                <c:pt idx="14">
                  <c:v>43699.346631944441</c:v>
                </c:pt>
                <c:pt idx="15">
                  <c:v>43699.348726851851</c:v>
                </c:pt>
                <c:pt idx="16">
                  <c:v>43699.43241898148</c:v>
                </c:pt>
                <c:pt idx="17">
                  <c:v>43699.434710648151</c:v>
                </c:pt>
                <c:pt idx="18">
                  <c:v>43699.555694444447</c:v>
                </c:pt>
                <c:pt idx="19">
                  <c:v>43699.559745370374</c:v>
                </c:pt>
                <c:pt idx="20">
                  <c:v>43699.635208333333</c:v>
                </c:pt>
                <c:pt idx="21">
                  <c:v>43699.637858796297</c:v>
                </c:pt>
                <c:pt idx="22">
                  <c:v>43699.716365740744</c:v>
                </c:pt>
                <c:pt idx="23">
                  <c:v>43699.718449074076</c:v>
                </c:pt>
                <c:pt idx="24">
                  <c:v>43705.74009259259</c:v>
                </c:pt>
                <c:pt idx="25">
                  <c:v>43705.741655092592</c:v>
                </c:pt>
                <c:pt idx="26">
                  <c:v>43705.805150462962</c:v>
                </c:pt>
                <c:pt idx="27">
                  <c:v>43705.812314814815</c:v>
                </c:pt>
                <c:pt idx="28">
                  <c:v>43705.884502314817</c:v>
                </c:pt>
                <c:pt idx="29">
                  <c:v>43705.886157407411</c:v>
                </c:pt>
                <c:pt idx="30">
                  <c:v>43705.9924537037</c:v>
                </c:pt>
                <c:pt idx="31">
                  <c:v>43705.994131944448</c:v>
                </c:pt>
                <c:pt idx="32">
                  <c:v>43706.366574074076</c:v>
                </c:pt>
                <c:pt idx="33">
                  <c:v>43706.369502314818</c:v>
                </c:pt>
                <c:pt idx="34">
                  <c:v>43706.445439814815</c:v>
                </c:pt>
                <c:pt idx="35">
                  <c:v>43706.448194444441</c:v>
                </c:pt>
                <c:pt idx="36">
                  <c:v>43706.749085648145</c:v>
                </c:pt>
                <c:pt idx="37">
                  <c:v>43706.751284722224</c:v>
                </c:pt>
                <c:pt idx="38">
                  <c:v>43706.857928240737</c:v>
                </c:pt>
                <c:pt idx="39">
                  <c:v>43706.865127314813</c:v>
                </c:pt>
                <c:pt idx="40">
                  <c:v>43711.346238425926</c:v>
                </c:pt>
                <c:pt idx="41">
                  <c:v>43711.348368055558</c:v>
                </c:pt>
                <c:pt idx="42">
                  <c:v>43711.447476851848</c:v>
                </c:pt>
                <c:pt idx="43">
                  <c:v>43711.450428240743</c:v>
                </c:pt>
                <c:pt idx="44">
                  <c:v>43711.831423611111</c:v>
                </c:pt>
                <c:pt idx="45">
                  <c:v>43711.833495370367</c:v>
                </c:pt>
                <c:pt idx="46">
                  <c:v>43711.946886574071</c:v>
                </c:pt>
                <c:pt idx="47">
                  <c:v>43711.949050925927</c:v>
                </c:pt>
                <c:pt idx="48">
                  <c:v>43712.062893518516</c:v>
                </c:pt>
                <c:pt idx="49">
                  <c:v>43712.064930555556</c:v>
                </c:pt>
                <c:pt idx="50">
                  <c:v>43712.329560185186</c:v>
                </c:pt>
                <c:pt idx="51">
                  <c:v>43712.331712962965</c:v>
                </c:pt>
              </c:numCache>
            </c:numRef>
          </c:xVal>
          <c:yVal>
            <c:numRef>
              <c:f>'AMP6-2'!$AI$9:$AI$60</c:f>
              <c:numCache>
                <c:formatCode>General</c:formatCode>
                <c:ptCount val="52"/>
                <c:pt idx="0">
                  <c:v>0.17100000000000001</c:v>
                </c:pt>
                <c:pt idx="1">
                  <c:v>0.105</c:v>
                </c:pt>
                <c:pt idx="2">
                  <c:v>0.308</c:v>
                </c:pt>
                <c:pt idx="3">
                  <c:v>0.13500000000000001</c:v>
                </c:pt>
                <c:pt idx="4">
                  <c:v>0.13300000000000001</c:v>
                </c:pt>
                <c:pt idx="5">
                  <c:v>-2.7E-2</c:v>
                </c:pt>
                <c:pt idx="6">
                  <c:v>0.126</c:v>
                </c:pt>
                <c:pt idx="7">
                  <c:v>0.104</c:v>
                </c:pt>
                <c:pt idx="8">
                  <c:v>0.19800000000000001</c:v>
                </c:pt>
                <c:pt idx="9">
                  <c:v>-2E-3</c:v>
                </c:pt>
                <c:pt idx="10">
                  <c:v>-3.0000000000000001E-3</c:v>
                </c:pt>
                <c:pt idx="11">
                  <c:v>-3.0000000000000001E-3</c:v>
                </c:pt>
                <c:pt idx="12">
                  <c:v>0.13900000000000001</c:v>
                </c:pt>
                <c:pt idx="13">
                  <c:v>7.0000000000000007E-2</c:v>
                </c:pt>
                <c:pt idx="14">
                  <c:v>0.08</c:v>
                </c:pt>
                <c:pt idx="15">
                  <c:v>2.8000000000000001E-2</c:v>
                </c:pt>
                <c:pt idx="16">
                  <c:v>0.16400000000000001</c:v>
                </c:pt>
                <c:pt idx="17">
                  <c:v>0.113</c:v>
                </c:pt>
                <c:pt idx="18">
                  <c:v>0.56499999999999995</c:v>
                </c:pt>
                <c:pt idx="19">
                  <c:v>0.52500000000000002</c:v>
                </c:pt>
                <c:pt idx="20">
                  <c:v>0.57599999999999996</c:v>
                </c:pt>
                <c:pt idx="21">
                  <c:v>0.32900000000000001</c:v>
                </c:pt>
                <c:pt idx="22">
                  <c:v>0.315</c:v>
                </c:pt>
                <c:pt idx="23">
                  <c:v>0.13100000000000001</c:v>
                </c:pt>
                <c:pt idx="24">
                  <c:v>0.188</c:v>
                </c:pt>
                <c:pt idx="25">
                  <c:v>0.28799999999999998</c:v>
                </c:pt>
                <c:pt idx="26">
                  <c:v>0.188</c:v>
                </c:pt>
                <c:pt idx="27">
                  <c:v>0.34</c:v>
                </c:pt>
                <c:pt idx="28">
                  <c:v>-1.7999999999999999E-2</c:v>
                </c:pt>
                <c:pt idx="29">
                  <c:v>0.182</c:v>
                </c:pt>
                <c:pt idx="30">
                  <c:v>0.18</c:v>
                </c:pt>
                <c:pt idx="31">
                  <c:v>0.184</c:v>
                </c:pt>
                <c:pt idx="32">
                  <c:v>-8.5999999999999993E-2</c:v>
                </c:pt>
                <c:pt idx="33">
                  <c:v>-0.10100000000000001</c:v>
                </c:pt>
                <c:pt idx="34">
                  <c:v>0.38800000000000001</c:v>
                </c:pt>
                <c:pt idx="35">
                  <c:v>-0.17799999999999999</c:v>
                </c:pt>
                <c:pt idx="36">
                  <c:v>-3.6999999999999998E-2</c:v>
                </c:pt>
                <c:pt idx="37">
                  <c:v>-0.16400000000000001</c:v>
                </c:pt>
                <c:pt idx="38">
                  <c:v>-7.1999999999999995E-2</c:v>
                </c:pt>
                <c:pt idx="39">
                  <c:v>-7.3999999999999996E-2</c:v>
                </c:pt>
                <c:pt idx="40">
                  <c:v>1.4E-2</c:v>
                </c:pt>
                <c:pt idx="41">
                  <c:v>-4.8000000000000001E-2</c:v>
                </c:pt>
                <c:pt idx="42">
                  <c:v>0.02</c:v>
                </c:pt>
                <c:pt idx="43">
                  <c:v>-5.0999999999999997E-2</c:v>
                </c:pt>
                <c:pt idx="44">
                  <c:v>-0.10299999999999999</c:v>
                </c:pt>
                <c:pt idx="45">
                  <c:v>-0.10299999999999999</c:v>
                </c:pt>
                <c:pt idx="46">
                  <c:v>2.1000000000000001E-2</c:v>
                </c:pt>
                <c:pt idx="47">
                  <c:v>-0.14099999999999999</c:v>
                </c:pt>
                <c:pt idx="48">
                  <c:v>-4.5999999999999999E-2</c:v>
                </c:pt>
                <c:pt idx="49">
                  <c:v>-0.10299999999999999</c:v>
                </c:pt>
                <c:pt idx="50">
                  <c:v>0.16200000000000001</c:v>
                </c:pt>
                <c:pt idx="51">
                  <c:v>0.11700000000000001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8-424F-A031-362E2AFEDFE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('AMP6-2'!$AI$4,'AMP6-2'!$AI$4)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78-424F-A031-362E2AFEDFE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('AMP6-2'!$C$1,'AMP6-2'!$C$2)</c:f>
              <c:numCache>
                <c:formatCode>m/d/yy\ h:mm;@</c:formatCode>
                <c:ptCount val="2"/>
                <c:pt idx="0">
                  <c:v>43698.536458333336</c:v>
                </c:pt>
                <c:pt idx="1">
                  <c:v>43712.331712962965</c:v>
                </c:pt>
              </c:numCache>
            </c:numRef>
          </c:xVal>
          <c:yVal>
            <c:numRef>
              <c:f>('AMP6-2'!$AI$5,'AMP6-2'!$AI$5)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78-424F-A031-362E2AFED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7128"/>
        <c:axId val="557537520"/>
      </c:scatterChart>
      <c:valAx>
        <c:axId val="557537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7520"/>
        <c:crosses val="autoZero"/>
        <c:crossBetween val="midCat"/>
      </c:valAx>
      <c:valAx>
        <c:axId val="557537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7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'AMP6-4'!$F$9:$F$60</c:f>
              <c:numCache>
                <c:formatCode>General</c:formatCode>
                <c:ptCount val="52"/>
                <c:pt idx="0">
                  <c:v>41.442</c:v>
                </c:pt>
                <c:pt idx="2">
                  <c:v>41.302999999999997</c:v>
                </c:pt>
                <c:pt idx="4">
                  <c:v>41.405000000000001</c:v>
                </c:pt>
                <c:pt idx="6">
                  <c:v>41.360999999999997</c:v>
                </c:pt>
                <c:pt idx="8">
                  <c:v>41.317</c:v>
                </c:pt>
                <c:pt idx="10">
                  <c:v>41.3</c:v>
                </c:pt>
                <c:pt idx="12">
                  <c:v>41.448999999999998</c:v>
                </c:pt>
                <c:pt idx="14">
                  <c:v>41.143999999999998</c:v>
                </c:pt>
                <c:pt idx="16">
                  <c:v>41.234999999999999</c:v>
                </c:pt>
                <c:pt idx="18">
                  <c:v>41.533000000000001</c:v>
                </c:pt>
                <c:pt idx="20">
                  <c:v>41.290999999999997</c:v>
                </c:pt>
                <c:pt idx="22">
                  <c:v>40.731999999999999</c:v>
                </c:pt>
                <c:pt idx="24">
                  <c:v>41.247999999999998</c:v>
                </c:pt>
                <c:pt idx="26">
                  <c:v>41.128</c:v>
                </c:pt>
                <c:pt idx="28">
                  <c:v>41.17</c:v>
                </c:pt>
                <c:pt idx="30">
                  <c:v>41.015999999999998</c:v>
                </c:pt>
                <c:pt idx="32">
                  <c:v>41.048000000000002</c:v>
                </c:pt>
                <c:pt idx="34">
                  <c:v>40.991</c:v>
                </c:pt>
                <c:pt idx="36">
                  <c:v>41.091999999999999</c:v>
                </c:pt>
                <c:pt idx="38">
                  <c:v>41.002000000000002</c:v>
                </c:pt>
                <c:pt idx="40">
                  <c:v>41.042999999999999</c:v>
                </c:pt>
                <c:pt idx="42">
                  <c:v>40.957999999999998</c:v>
                </c:pt>
                <c:pt idx="44">
                  <c:v>41.106999999999999</c:v>
                </c:pt>
                <c:pt idx="46">
                  <c:v>40.905000000000001</c:v>
                </c:pt>
                <c:pt idx="48">
                  <c:v>41.128999999999998</c:v>
                </c:pt>
                <c:pt idx="50">
                  <c:v>41.121000000000002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6C-4D33-90AB-76F6C4E54AC8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736C-4D33-90AB-76F6C4E54AC8}"/>
              </c:ext>
            </c:extLst>
          </c:dPt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('AMP6-4'!$F$4,'AMP6-4'!$F$4)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6C-4D33-90AB-76F6C4E54AC8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6C-4D33-90AB-76F6C4E54AC8}"/>
              </c:ext>
            </c:extLst>
          </c:dPt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('AMP6-4'!$F$5,'AMP6-4'!$F$5)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36C-4D33-90AB-76F6C4E54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9088"/>
        <c:axId val="557539480"/>
      </c:scatterChart>
      <c:valAx>
        <c:axId val="55753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9480"/>
        <c:crosses val="autoZero"/>
        <c:crossBetween val="midCat"/>
      </c:valAx>
      <c:valAx>
        <c:axId val="557539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'AMP6-4'!$G$9:$G$60</c:f>
              <c:numCache>
                <c:formatCode>General</c:formatCode>
                <c:ptCount val="52"/>
                <c:pt idx="0">
                  <c:v>41.524000000000001</c:v>
                </c:pt>
                <c:pt idx="2">
                  <c:v>41.496000000000002</c:v>
                </c:pt>
                <c:pt idx="4">
                  <c:v>41.609000000000002</c:v>
                </c:pt>
                <c:pt idx="6">
                  <c:v>41.594999999999999</c:v>
                </c:pt>
                <c:pt idx="8">
                  <c:v>41.573999999999998</c:v>
                </c:pt>
                <c:pt idx="10">
                  <c:v>41.466000000000001</c:v>
                </c:pt>
                <c:pt idx="12">
                  <c:v>41.618000000000002</c:v>
                </c:pt>
                <c:pt idx="14">
                  <c:v>41.264000000000003</c:v>
                </c:pt>
                <c:pt idx="16">
                  <c:v>41.494999999999997</c:v>
                </c:pt>
                <c:pt idx="18">
                  <c:v>41.555999999999997</c:v>
                </c:pt>
                <c:pt idx="20">
                  <c:v>41.35</c:v>
                </c:pt>
                <c:pt idx="22">
                  <c:v>40.869999999999997</c:v>
                </c:pt>
                <c:pt idx="24">
                  <c:v>41.622</c:v>
                </c:pt>
                <c:pt idx="26">
                  <c:v>41.411999999999999</c:v>
                </c:pt>
                <c:pt idx="28">
                  <c:v>41.552999999999997</c:v>
                </c:pt>
                <c:pt idx="30">
                  <c:v>41.347999999999999</c:v>
                </c:pt>
                <c:pt idx="32">
                  <c:v>41.192</c:v>
                </c:pt>
                <c:pt idx="34">
                  <c:v>41.037999999999997</c:v>
                </c:pt>
                <c:pt idx="36">
                  <c:v>41.213999999999999</c:v>
                </c:pt>
                <c:pt idx="38">
                  <c:v>41.237000000000002</c:v>
                </c:pt>
                <c:pt idx="40">
                  <c:v>41.28</c:v>
                </c:pt>
                <c:pt idx="42">
                  <c:v>40.353999999999999</c:v>
                </c:pt>
                <c:pt idx="44">
                  <c:v>41.331000000000003</c:v>
                </c:pt>
                <c:pt idx="46">
                  <c:v>41.238999999999997</c:v>
                </c:pt>
                <c:pt idx="48">
                  <c:v>41.331000000000003</c:v>
                </c:pt>
                <c:pt idx="50">
                  <c:v>41.335000000000001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8C-4F27-9A43-AC65C544CD4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('AMP6-4'!$G$4,'AMP6-4'!$G$4)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8C-4F27-9A43-AC65C544CD4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('AMP6-4'!$G$5,'AMP6-4'!$G$5)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8C-4F27-9A43-AC65C544C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0264"/>
        <c:axId val="557540656"/>
      </c:scatterChart>
      <c:valAx>
        <c:axId val="557540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0656"/>
        <c:crosses val="autoZero"/>
        <c:crossBetween val="midCat"/>
      </c:valAx>
      <c:valAx>
        <c:axId val="557540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'AMP6-4'!$H$9:$H$60</c:f>
              <c:numCache>
                <c:formatCode>General</c:formatCode>
                <c:ptCount val="52"/>
                <c:pt idx="0">
                  <c:v>155.86500000000001</c:v>
                </c:pt>
                <c:pt idx="1">
                  <c:v>155.95099999999999</c:v>
                </c:pt>
                <c:pt idx="2">
                  <c:v>155.86600000000001</c:v>
                </c:pt>
                <c:pt idx="3">
                  <c:v>155.95400000000001</c:v>
                </c:pt>
                <c:pt idx="4">
                  <c:v>155.905</c:v>
                </c:pt>
                <c:pt idx="5">
                  <c:v>155.959</c:v>
                </c:pt>
                <c:pt idx="6">
                  <c:v>155.88499999999999</c:v>
                </c:pt>
                <c:pt idx="7">
                  <c:v>155.96100000000001</c:v>
                </c:pt>
                <c:pt idx="8">
                  <c:v>155.92400000000001</c:v>
                </c:pt>
                <c:pt idx="9">
                  <c:v>155.96600000000001</c:v>
                </c:pt>
                <c:pt idx="10">
                  <c:v>155.81899999999999</c:v>
                </c:pt>
                <c:pt idx="11">
                  <c:v>155.94300000000001</c:v>
                </c:pt>
                <c:pt idx="12">
                  <c:v>155.90899999999999</c:v>
                </c:pt>
                <c:pt idx="13">
                  <c:v>155.923</c:v>
                </c:pt>
                <c:pt idx="14">
                  <c:v>155.97499999999999</c:v>
                </c:pt>
                <c:pt idx="15">
                  <c:v>156.03100000000001</c:v>
                </c:pt>
                <c:pt idx="16">
                  <c:v>155.96299999999999</c:v>
                </c:pt>
                <c:pt idx="17">
                  <c:v>156.00200000000001</c:v>
                </c:pt>
                <c:pt idx="18">
                  <c:v>155.64599999999999</c:v>
                </c:pt>
                <c:pt idx="19">
                  <c:v>155.78800000000001</c:v>
                </c:pt>
                <c:pt idx="20">
                  <c:v>155.75399999999999</c:v>
                </c:pt>
                <c:pt idx="21">
                  <c:v>155.90199999999999</c:v>
                </c:pt>
                <c:pt idx="22">
                  <c:v>155.583</c:v>
                </c:pt>
                <c:pt idx="23">
                  <c:v>155.946</c:v>
                </c:pt>
                <c:pt idx="24">
                  <c:v>155.49199999999999</c:v>
                </c:pt>
                <c:pt idx="25">
                  <c:v>155.82599999999999</c:v>
                </c:pt>
                <c:pt idx="26">
                  <c:v>155.547</c:v>
                </c:pt>
                <c:pt idx="27">
                  <c:v>155.892</c:v>
                </c:pt>
                <c:pt idx="28">
                  <c:v>155.511</c:v>
                </c:pt>
                <c:pt idx="29">
                  <c:v>155.89699999999999</c:v>
                </c:pt>
                <c:pt idx="30">
                  <c:v>155.6</c:v>
                </c:pt>
                <c:pt idx="31">
                  <c:v>155.82300000000001</c:v>
                </c:pt>
                <c:pt idx="32">
                  <c:v>155.60400000000001</c:v>
                </c:pt>
                <c:pt idx="33">
                  <c:v>155.798</c:v>
                </c:pt>
                <c:pt idx="34">
                  <c:v>155.571</c:v>
                </c:pt>
                <c:pt idx="35">
                  <c:v>155.74600000000001</c:v>
                </c:pt>
                <c:pt idx="36">
                  <c:v>155.51599999999999</c:v>
                </c:pt>
                <c:pt idx="37">
                  <c:v>155.89500000000001</c:v>
                </c:pt>
                <c:pt idx="38">
                  <c:v>155.56800000000001</c:v>
                </c:pt>
                <c:pt idx="39">
                  <c:v>155.798</c:v>
                </c:pt>
                <c:pt idx="40">
                  <c:v>155.56399999999999</c:v>
                </c:pt>
                <c:pt idx="41">
                  <c:v>155.78399999999999</c:v>
                </c:pt>
                <c:pt idx="42">
                  <c:v>155.55099999999999</c:v>
                </c:pt>
                <c:pt idx="43">
                  <c:v>155.816</c:v>
                </c:pt>
                <c:pt idx="44">
                  <c:v>155.59200000000001</c:v>
                </c:pt>
                <c:pt idx="45">
                  <c:v>155.81399999999999</c:v>
                </c:pt>
                <c:pt idx="46">
                  <c:v>155.62799999999999</c:v>
                </c:pt>
                <c:pt idx="47">
                  <c:v>155.929</c:v>
                </c:pt>
                <c:pt idx="48">
                  <c:v>155.434</c:v>
                </c:pt>
                <c:pt idx="49">
                  <c:v>155.68100000000001</c:v>
                </c:pt>
                <c:pt idx="50">
                  <c:v>155.44800000000001</c:v>
                </c:pt>
                <c:pt idx="51">
                  <c:v>155.68899999999999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F-43A9-8ED8-003091A1A6C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('AMP6-4'!$H$4,'AMP6-4'!$H$4)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F-43A9-8ED8-003091A1A6C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('AMP6-4'!$H$5,'AMP6-4'!$H$5)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4F-43A9-8ED8-003091A1A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1440"/>
        <c:axId val="557541832"/>
      </c:scatterChart>
      <c:valAx>
        <c:axId val="55754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1832"/>
        <c:crosses val="autoZero"/>
        <c:crossBetween val="midCat"/>
      </c:valAx>
      <c:valAx>
        <c:axId val="5575418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'AMP6-4'!$I$9:$I$60</c:f>
              <c:numCache>
                <c:formatCode>General</c:formatCode>
                <c:ptCount val="52"/>
                <c:pt idx="0">
                  <c:v>155.85</c:v>
                </c:pt>
                <c:pt idx="1">
                  <c:v>155.88399999999999</c:v>
                </c:pt>
                <c:pt idx="2">
                  <c:v>155.876</c:v>
                </c:pt>
                <c:pt idx="3">
                  <c:v>155.91399999999999</c:v>
                </c:pt>
                <c:pt idx="4">
                  <c:v>155.922</c:v>
                </c:pt>
                <c:pt idx="5">
                  <c:v>155.87200000000001</c:v>
                </c:pt>
                <c:pt idx="6">
                  <c:v>155.875</c:v>
                </c:pt>
                <c:pt idx="7">
                  <c:v>155.96100000000001</c:v>
                </c:pt>
                <c:pt idx="8">
                  <c:v>155.91800000000001</c:v>
                </c:pt>
                <c:pt idx="9">
                  <c:v>155.917</c:v>
                </c:pt>
                <c:pt idx="10">
                  <c:v>155.9</c:v>
                </c:pt>
                <c:pt idx="11">
                  <c:v>155.91800000000001</c:v>
                </c:pt>
                <c:pt idx="12">
                  <c:v>155.911</c:v>
                </c:pt>
                <c:pt idx="13">
                  <c:v>155.898</c:v>
                </c:pt>
                <c:pt idx="14">
                  <c:v>155.999</c:v>
                </c:pt>
                <c:pt idx="15">
                  <c:v>155.976</c:v>
                </c:pt>
                <c:pt idx="16">
                  <c:v>155.98699999999999</c:v>
                </c:pt>
                <c:pt idx="17">
                  <c:v>155.91900000000001</c:v>
                </c:pt>
                <c:pt idx="18">
                  <c:v>155.6</c:v>
                </c:pt>
                <c:pt idx="19">
                  <c:v>155.84800000000001</c:v>
                </c:pt>
                <c:pt idx="20">
                  <c:v>155.696</c:v>
                </c:pt>
                <c:pt idx="21">
                  <c:v>155.90199999999999</c:v>
                </c:pt>
                <c:pt idx="22">
                  <c:v>155.13200000000001</c:v>
                </c:pt>
                <c:pt idx="23">
                  <c:v>155.85499999999999</c:v>
                </c:pt>
                <c:pt idx="24">
                  <c:v>154.99199999999999</c:v>
                </c:pt>
                <c:pt idx="25">
                  <c:v>155.87299999999999</c:v>
                </c:pt>
                <c:pt idx="26">
                  <c:v>155.089</c:v>
                </c:pt>
                <c:pt idx="27">
                  <c:v>155.82</c:v>
                </c:pt>
                <c:pt idx="28">
                  <c:v>155.07400000000001</c:v>
                </c:pt>
                <c:pt idx="29">
                  <c:v>155.80699999999999</c:v>
                </c:pt>
                <c:pt idx="30">
                  <c:v>155.22399999999999</c:v>
                </c:pt>
                <c:pt idx="31">
                  <c:v>155.76599999999999</c:v>
                </c:pt>
                <c:pt idx="32">
                  <c:v>155.23400000000001</c:v>
                </c:pt>
                <c:pt idx="33">
                  <c:v>155.72999999999999</c:v>
                </c:pt>
                <c:pt idx="34">
                  <c:v>155.178</c:v>
                </c:pt>
                <c:pt idx="35">
                  <c:v>155.72399999999999</c:v>
                </c:pt>
                <c:pt idx="36">
                  <c:v>155.173</c:v>
                </c:pt>
                <c:pt idx="37">
                  <c:v>155.86500000000001</c:v>
                </c:pt>
                <c:pt idx="38">
                  <c:v>155.203</c:v>
                </c:pt>
                <c:pt idx="39">
                  <c:v>155.73099999999999</c:v>
                </c:pt>
                <c:pt idx="40">
                  <c:v>155.21100000000001</c:v>
                </c:pt>
                <c:pt idx="41">
                  <c:v>155.721</c:v>
                </c:pt>
                <c:pt idx="42">
                  <c:v>155.22200000000001</c:v>
                </c:pt>
                <c:pt idx="43">
                  <c:v>155.76400000000001</c:v>
                </c:pt>
                <c:pt idx="44">
                  <c:v>155.148</c:v>
                </c:pt>
                <c:pt idx="45">
                  <c:v>155.76</c:v>
                </c:pt>
                <c:pt idx="46">
                  <c:v>155.208</c:v>
                </c:pt>
                <c:pt idx="47">
                  <c:v>155.81399999999999</c:v>
                </c:pt>
                <c:pt idx="48">
                  <c:v>155.041</c:v>
                </c:pt>
                <c:pt idx="49">
                  <c:v>155.59299999999999</c:v>
                </c:pt>
                <c:pt idx="50">
                  <c:v>155.089</c:v>
                </c:pt>
                <c:pt idx="51">
                  <c:v>155.61099999999999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4-4396-9EFB-394DD36EE1A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('AMP6-4'!$I$4,'AMP6-4'!$I$4)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4-4396-9EFB-394DD36EE1A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('AMP6-4'!$I$5,'AMP6-4'!$I$5)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4-4396-9EFB-394DD36E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2616"/>
        <c:axId val="557543008"/>
      </c:scatterChart>
      <c:valAx>
        <c:axId val="557542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3008"/>
        <c:crosses val="autoZero"/>
        <c:crossBetween val="midCat"/>
      </c:valAx>
      <c:valAx>
        <c:axId val="5575430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'AMP6-4'!$J$9:$J$60</c:f>
              <c:numCache>
                <c:formatCode>General</c:formatCode>
                <c:ptCount val="52"/>
                <c:pt idx="1">
                  <c:v>168.88399999999999</c:v>
                </c:pt>
                <c:pt idx="3">
                  <c:v>168.755</c:v>
                </c:pt>
                <c:pt idx="5">
                  <c:v>168.88900000000001</c:v>
                </c:pt>
                <c:pt idx="7">
                  <c:v>168.93600000000001</c:v>
                </c:pt>
                <c:pt idx="9">
                  <c:v>168.815</c:v>
                </c:pt>
                <c:pt idx="11">
                  <c:v>168.82400000000001</c:v>
                </c:pt>
                <c:pt idx="13">
                  <c:v>168.965</c:v>
                </c:pt>
                <c:pt idx="15">
                  <c:v>168.679</c:v>
                </c:pt>
                <c:pt idx="17">
                  <c:v>168.78399999999999</c:v>
                </c:pt>
                <c:pt idx="19">
                  <c:v>168.83</c:v>
                </c:pt>
                <c:pt idx="21">
                  <c:v>168.66399999999999</c:v>
                </c:pt>
                <c:pt idx="23">
                  <c:v>168.29599999999999</c:v>
                </c:pt>
                <c:pt idx="25">
                  <c:v>169.10400000000001</c:v>
                </c:pt>
                <c:pt idx="27">
                  <c:v>168.935</c:v>
                </c:pt>
                <c:pt idx="29">
                  <c:v>168.947</c:v>
                </c:pt>
                <c:pt idx="31">
                  <c:v>168.964</c:v>
                </c:pt>
                <c:pt idx="33">
                  <c:v>168.91800000000001</c:v>
                </c:pt>
                <c:pt idx="35">
                  <c:v>168.80699999999999</c:v>
                </c:pt>
                <c:pt idx="37">
                  <c:v>168.81299999999999</c:v>
                </c:pt>
                <c:pt idx="39">
                  <c:v>168.87299999999999</c:v>
                </c:pt>
                <c:pt idx="41">
                  <c:v>168.92400000000001</c:v>
                </c:pt>
                <c:pt idx="43">
                  <c:v>168.84399999999999</c:v>
                </c:pt>
                <c:pt idx="45">
                  <c:v>168.995</c:v>
                </c:pt>
                <c:pt idx="47">
                  <c:v>168.821</c:v>
                </c:pt>
                <c:pt idx="49">
                  <c:v>168.80500000000001</c:v>
                </c:pt>
                <c:pt idx="51">
                  <c:v>168.81399999999999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A-4DF8-AC2A-0793F4DDD31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('AMP6-4'!$J$4,'AMP6-4'!$J$4)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0A-4DF8-AC2A-0793F4DDD31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('AMP6-4'!$J$5,'AMP6-4'!$J$5)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0A-4DF8-AC2A-0793F4DDD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3792"/>
        <c:axId val="557544184"/>
      </c:scatterChart>
      <c:valAx>
        <c:axId val="5575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4184"/>
        <c:crosses val="autoZero"/>
        <c:crossBetween val="midCat"/>
      </c:valAx>
      <c:valAx>
        <c:axId val="5575441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'AMP6-4'!$K$9:$K$60</c:f>
              <c:numCache>
                <c:formatCode>General</c:formatCode>
                <c:ptCount val="52"/>
                <c:pt idx="1">
                  <c:v>168.98500000000001</c:v>
                </c:pt>
                <c:pt idx="3">
                  <c:v>168.86199999999999</c:v>
                </c:pt>
                <c:pt idx="5">
                  <c:v>169.08099999999999</c:v>
                </c:pt>
                <c:pt idx="7">
                  <c:v>169.07</c:v>
                </c:pt>
                <c:pt idx="9">
                  <c:v>168.828</c:v>
                </c:pt>
                <c:pt idx="11">
                  <c:v>168.887</c:v>
                </c:pt>
                <c:pt idx="13">
                  <c:v>169.11099999999999</c:v>
                </c:pt>
                <c:pt idx="15">
                  <c:v>168.91200000000001</c:v>
                </c:pt>
                <c:pt idx="17">
                  <c:v>168.92500000000001</c:v>
                </c:pt>
                <c:pt idx="19">
                  <c:v>168.77099999999999</c:v>
                </c:pt>
                <c:pt idx="21">
                  <c:v>168.68100000000001</c:v>
                </c:pt>
                <c:pt idx="23">
                  <c:v>168.60900000000001</c:v>
                </c:pt>
                <c:pt idx="25">
                  <c:v>169.24199999999999</c:v>
                </c:pt>
                <c:pt idx="27">
                  <c:v>169.166</c:v>
                </c:pt>
                <c:pt idx="29">
                  <c:v>169.18600000000001</c:v>
                </c:pt>
                <c:pt idx="31">
                  <c:v>169.16499999999999</c:v>
                </c:pt>
                <c:pt idx="33">
                  <c:v>169.11199999999999</c:v>
                </c:pt>
                <c:pt idx="35">
                  <c:v>169.05099999999999</c:v>
                </c:pt>
                <c:pt idx="37">
                  <c:v>168.86199999999999</c:v>
                </c:pt>
                <c:pt idx="39">
                  <c:v>168.958</c:v>
                </c:pt>
                <c:pt idx="41">
                  <c:v>169.05799999999999</c:v>
                </c:pt>
                <c:pt idx="43">
                  <c:v>168.958</c:v>
                </c:pt>
                <c:pt idx="45">
                  <c:v>169.15199999999999</c:v>
                </c:pt>
                <c:pt idx="47">
                  <c:v>168.95</c:v>
                </c:pt>
                <c:pt idx="49">
                  <c:v>168.93600000000001</c:v>
                </c:pt>
                <c:pt idx="51">
                  <c:v>168.94499999999999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C-4CC3-9AFF-89DA7EDC445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('AMP6-4'!$K$4,'AMP6-4'!$K$4)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AC-4CC3-9AFF-89DA7EDC445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('AMP6-4'!$K$5,'AMP6-4'!$K$5)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AC-4CC3-9AFF-89DA7EDC4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4968"/>
        <c:axId val="557545360"/>
      </c:scatterChart>
      <c:valAx>
        <c:axId val="55754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5360"/>
        <c:crosses val="autoZero"/>
        <c:crossBetween val="midCat"/>
      </c:valAx>
      <c:valAx>
        <c:axId val="5575453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'AMP6-4'!$L$9:$L$60</c:f>
              <c:numCache>
                <c:formatCode>General</c:formatCode>
                <c:ptCount val="52"/>
                <c:pt idx="0">
                  <c:v>155.78200000000001</c:v>
                </c:pt>
                <c:pt idx="1">
                  <c:v>155.83000000000001</c:v>
                </c:pt>
                <c:pt idx="2">
                  <c:v>155.744</c:v>
                </c:pt>
                <c:pt idx="3">
                  <c:v>155.79</c:v>
                </c:pt>
                <c:pt idx="4">
                  <c:v>155.83799999999999</c:v>
                </c:pt>
                <c:pt idx="5">
                  <c:v>155.904</c:v>
                </c:pt>
                <c:pt idx="6">
                  <c:v>155.79499999999999</c:v>
                </c:pt>
                <c:pt idx="7">
                  <c:v>155.84399999999999</c:v>
                </c:pt>
                <c:pt idx="8">
                  <c:v>155.83600000000001</c:v>
                </c:pt>
                <c:pt idx="9">
                  <c:v>155.804</c:v>
                </c:pt>
                <c:pt idx="10">
                  <c:v>155.768</c:v>
                </c:pt>
                <c:pt idx="11">
                  <c:v>155.828</c:v>
                </c:pt>
                <c:pt idx="12">
                  <c:v>155.82300000000001</c:v>
                </c:pt>
                <c:pt idx="13">
                  <c:v>155.81800000000001</c:v>
                </c:pt>
                <c:pt idx="14">
                  <c:v>155.846</c:v>
                </c:pt>
                <c:pt idx="15">
                  <c:v>155.904</c:v>
                </c:pt>
                <c:pt idx="16">
                  <c:v>155.851</c:v>
                </c:pt>
                <c:pt idx="17">
                  <c:v>155.88200000000001</c:v>
                </c:pt>
                <c:pt idx="18">
                  <c:v>155.55600000000001</c:v>
                </c:pt>
                <c:pt idx="19">
                  <c:v>155.74299999999999</c:v>
                </c:pt>
                <c:pt idx="20">
                  <c:v>155.66999999999999</c:v>
                </c:pt>
                <c:pt idx="21">
                  <c:v>155.79499999999999</c:v>
                </c:pt>
                <c:pt idx="22">
                  <c:v>155.892</c:v>
                </c:pt>
                <c:pt idx="23">
                  <c:v>156.28</c:v>
                </c:pt>
                <c:pt idx="24">
                  <c:v>155.76300000000001</c:v>
                </c:pt>
                <c:pt idx="25">
                  <c:v>156.202</c:v>
                </c:pt>
                <c:pt idx="26">
                  <c:v>155.82</c:v>
                </c:pt>
                <c:pt idx="27">
                  <c:v>156.20099999999999</c:v>
                </c:pt>
                <c:pt idx="28">
                  <c:v>155.79400000000001</c:v>
                </c:pt>
                <c:pt idx="29">
                  <c:v>156.184</c:v>
                </c:pt>
                <c:pt idx="30">
                  <c:v>155.959</c:v>
                </c:pt>
                <c:pt idx="31">
                  <c:v>156.20500000000001</c:v>
                </c:pt>
                <c:pt idx="32">
                  <c:v>155.94399999999999</c:v>
                </c:pt>
                <c:pt idx="33">
                  <c:v>156.17699999999999</c:v>
                </c:pt>
                <c:pt idx="34">
                  <c:v>155.91300000000001</c:v>
                </c:pt>
                <c:pt idx="35">
                  <c:v>156.13900000000001</c:v>
                </c:pt>
                <c:pt idx="36">
                  <c:v>155.88999999999999</c:v>
                </c:pt>
                <c:pt idx="37">
                  <c:v>156.048</c:v>
                </c:pt>
                <c:pt idx="38">
                  <c:v>155.946</c:v>
                </c:pt>
                <c:pt idx="39">
                  <c:v>156.185</c:v>
                </c:pt>
                <c:pt idx="40">
                  <c:v>155.934</c:v>
                </c:pt>
                <c:pt idx="41">
                  <c:v>156.179</c:v>
                </c:pt>
                <c:pt idx="42">
                  <c:v>155.95400000000001</c:v>
                </c:pt>
                <c:pt idx="43">
                  <c:v>156.22</c:v>
                </c:pt>
                <c:pt idx="44">
                  <c:v>155.97300000000001</c:v>
                </c:pt>
                <c:pt idx="45">
                  <c:v>156.214</c:v>
                </c:pt>
                <c:pt idx="46">
                  <c:v>156.06299999999999</c:v>
                </c:pt>
                <c:pt idx="47">
                  <c:v>156.29400000000001</c:v>
                </c:pt>
                <c:pt idx="48">
                  <c:v>155.81100000000001</c:v>
                </c:pt>
                <c:pt idx="49">
                  <c:v>156.017</c:v>
                </c:pt>
                <c:pt idx="50">
                  <c:v>155.81700000000001</c:v>
                </c:pt>
                <c:pt idx="51">
                  <c:v>156.077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F-436B-BCFA-51DFAEC6946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('AMP6-4'!$L$4,'AMP6-4'!$L$4)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F-436B-BCFA-51DFAEC6946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('AMP6-4'!$L$5,'AMP6-4'!$L$5)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F-436B-BCFA-51DFAEC69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6144"/>
        <c:axId val="557546536"/>
      </c:scatterChart>
      <c:valAx>
        <c:axId val="55754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6536"/>
        <c:crosses val="autoZero"/>
        <c:crossBetween val="midCat"/>
      </c:valAx>
      <c:valAx>
        <c:axId val="5575465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'AMP6-4'!$M$9:$M$60</c:f>
              <c:numCache>
                <c:formatCode>General</c:formatCode>
                <c:ptCount val="52"/>
                <c:pt idx="0">
                  <c:v>155.559</c:v>
                </c:pt>
                <c:pt idx="1">
                  <c:v>155.71600000000001</c:v>
                </c:pt>
                <c:pt idx="2">
                  <c:v>155.571</c:v>
                </c:pt>
                <c:pt idx="3">
                  <c:v>155.62799999999999</c:v>
                </c:pt>
                <c:pt idx="4">
                  <c:v>155.65199999999999</c:v>
                </c:pt>
                <c:pt idx="5">
                  <c:v>155.83600000000001</c:v>
                </c:pt>
                <c:pt idx="6">
                  <c:v>155.59</c:v>
                </c:pt>
                <c:pt idx="7">
                  <c:v>155.74700000000001</c:v>
                </c:pt>
                <c:pt idx="8">
                  <c:v>155.66200000000001</c:v>
                </c:pt>
                <c:pt idx="9">
                  <c:v>155.69200000000001</c:v>
                </c:pt>
                <c:pt idx="10">
                  <c:v>155.614</c:v>
                </c:pt>
                <c:pt idx="11">
                  <c:v>155.739</c:v>
                </c:pt>
                <c:pt idx="12">
                  <c:v>155.648</c:v>
                </c:pt>
                <c:pt idx="13">
                  <c:v>155.72200000000001</c:v>
                </c:pt>
                <c:pt idx="14">
                  <c:v>155.67099999999999</c:v>
                </c:pt>
                <c:pt idx="15">
                  <c:v>155.815</c:v>
                </c:pt>
                <c:pt idx="16">
                  <c:v>155.678</c:v>
                </c:pt>
                <c:pt idx="17">
                  <c:v>155.76499999999999</c:v>
                </c:pt>
                <c:pt idx="18">
                  <c:v>155.25</c:v>
                </c:pt>
                <c:pt idx="19">
                  <c:v>155.72900000000001</c:v>
                </c:pt>
                <c:pt idx="20">
                  <c:v>155.45400000000001</c:v>
                </c:pt>
                <c:pt idx="21">
                  <c:v>155.72300000000001</c:v>
                </c:pt>
                <c:pt idx="22">
                  <c:v>155.447</c:v>
                </c:pt>
                <c:pt idx="23">
                  <c:v>156.398</c:v>
                </c:pt>
                <c:pt idx="24">
                  <c:v>155.26</c:v>
                </c:pt>
                <c:pt idx="25">
                  <c:v>156.41</c:v>
                </c:pt>
                <c:pt idx="26">
                  <c:v>155.38399999999999</c:v>
                </c:pt>
                <c:pt idx="27">
                  <c:v>156.33600000000001</c:v>
                </c:pt>
                <c:pt idx="28">
                  <c:v>155.32400000000001</c:v>
                </c:pt>
                <c:pt idx="29">
                  <c:v>156.351</c:v>
                </c:pt>
                <c:pt idx="30">
                  <c:v>155.495</c:v>
                </c:pt>
                <c:pt idx="31">
                  <c:v>156.28399999999999</c:v>
                </c:pt>
                <c:pt idx="32">
                  <c:v>155.51900000000001</c:v>
                </c:pt>
                <c:pt idx="33">
                  <c:v>156.25299999999999</c:v>
                </c:pt>
                <c:pt idx="34">
                  <c:v>155.49299999999999</c:v>
                </c:pt>
                <c:pt idx="35">
                  <c:v>156.209</c:v>
                </c:pt>
                <c:pt idx="36">
                  <c:v>155.48500000000001</c:v>
                </c:pt>
                <c:pt idx="37">
                  <c:v>156.14500000000001</c:v>
                </c:pt>
                <c:pt idx="38">
                  <c:v>155.50700000000001</c:v>
                </c:pt>
                <c:pt idx="39">
                  <c:v>156.24700000000001</c:v>
                </c:pt>
                <c:pt idx="40">
                  <c:v>155.52000000000001</c:v>
                </c:pt>
                <c:pt idx="41">
                  <c:v>156.226</c:v>
                </c:pt>
                <c:pt idx="42">
                  <c:v>155.506</c:v>
                </c:pt>
                <c:pt idx="43">
                  <c:v>156.273</c:v>
                </c:pt>
                <c:pt idx="44">
                  <c:v>155.506</c:v>
                </c:pt>
                <c:pt idx="45">
                  <c:v>156.30500000000001</c:v>
                </c:pt>
                <c:pt idx="46">
                  <c:v>155.64599999999999</c:v>
                </c:pt>
                <c:pt idx="47">
                  <c:v>156.37100000000001</c:v>
                </c:pt>
                <c:pt idx="48">
                  <c:v>155.32499999999999</c:v>
                </c:pt>
                <c:pt idx="49">
                  <c:v>156.06</c:v>
                </c:pt>
                <c:pt idx="50">
                  <c:v>155.375</c:v>
                </c:pt>
                <c:pt idx="51">
                  <c:v>156.107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7-4721-B251-471A8D7D9F7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('AMP6-4'!$M$4,'AMP6-4'!$M$4)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97-4721-B251-471A8D7D9F7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('AMP6-4'!$M$5,'AMP6-4'!$M$5)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97-4721-B251-471A8D7D9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7320"/>
        <c:axId val="557547712"/>
      </c:scatterChart>
      <c:valAx>
        <c:axId val="55754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7712"/>
        <c:crosses val="autoZero"/>
        <c:crossBetween val="midCat"/>
      </c:valAx>
      <c:valAx>
        <c:axId val="5575477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'AMP6-4'!$N$9:$N$60</c:f>
              <c:numCache>
                <c:formatCode>General</c:formatCode>
                <c:ptCount val="52"/>
                <c:pt idx="0">
                  <c:v>27.427</c:v>
                </c:pt>
                <c:pt idx="1">
                  <c:v>27.404</c:v>
                </c:pt>
                <c:pt idx="2">
                  <c:v>27.439</c:v>
                </c:pt>
                <c:pt idx="3">
                  <c:v>27.414999999999999</c:v>
                </c:pt>
                <c:pt idx="4">
                  <c:v>27.372</c:v>
                </c:pt>
                <c:pt idx="5">
                  <c:v>27.364000000000001</c:v>
                </c:pt>
                <c:pt idx="6">
                  <c:v>27.393000000000001</c:v>
                </c:pt>
                <c:pt idx="7">
                  <c:v>27.402999999999999</c:v>
                </c:pt>
                <c:pt idx="8">
                  <c:v>27.367000000000001</c:v>
                </c:pt>
                <c:pt idx="9">
                  <c:v>27.436</c:v>
                </c:pt>
                <c:pt idx="10">
                  <c:v>27.39</c:v>
                </c:pt>
                <c:pt idx="11">
                  <c:v>27.402999999999999</c:v>
                </c:pt>
                <c:pt idx="12">
                  <c:v>27.373000000000001</c:v>
                </c:pt>
                <c:pt idx="13">
                  <c:v>27.396000000000001</c:v>
                </c:pt>
                <c:pt idx="14">
                  <c:v>27.367999999999999</c:v>
                </c:pt>
                <c:pt idx="15">
                  <c:v>27.288</c:v>
                </c:pt>
                <c:pt idx="16">
                  <c:v>27.344000000000001</c:v>
                </c:pt>
                <c:pt idx="17">
                  <c:v>27.341999999999999</c:v>
                </c:pt>
                <c:pt idx="18">
                  <c:v>27.675999999999998</c:v>
                </c:pt>
                <c:pt idx="19">
                  <c:v>27.509</c:v>
                </c:pt>
                <c:pt idx="20">
                  <c:v>27.539000000000001</c:v>
                </c:pt>
                <c:pt idx="21">
                  <c:v>27.425999999999998</c:v>
                </c:pt>
                <c:pt idx="22">
                  <c:v>27.327000000000002</c:v>
                </c:pt>
                <c:pt idx="23">
                  <c:v>26.94</c:v>
                </c:pt>
                <c:pt idx="24">
                  <c:v>27.437999999999999</c:v>
                </c:pt>
                <c:pt idx="25">
                  <c:v>27.013999999999999</c:v>
                </c:pt>
                <c:pt idx="26">
                  <c:v>27.361000000000001</c:v>
                </c:pt>
                <c:pt idx="27">
                  <c:v>27.006</c:v>
                </c:pt>
                <c:pt idx="28">
                  <c:v>27.419</c:v>
                </c:pt>
                <c:pt idx="29">
                  <c:v>26.992000000000001</c:v>
                </c:pt>
                <c:pt idx="30">
                  <c:v>27.202999999999999</c:v>
                </c:pt>
                <c:pt idx="31">
                  <c:v>27.015000000000001</c:v>
                </c:pt>
                <c:pt idx="32">
                  <c:v>27.265999999999998</c:v>
                </c:pt>
                <c:pt idx="33">
                  <c:v>26.969000000000001</c:v>
                </c:pt>
                <c:pt idx="34">
                  <c:v>27.266999999999999</c:v>
                </c:pt>
                <c:pt idx="35">
                  <c:v>27.056000000000001</c:v>
                </c:pt>
                <c:pt idx="36">
                  <c:v>27.279</c:v>
                </c:pt>
                <c:pt idx="37">
                  <c:v>27.143999999999998</c:v>
                </c:pt>
                <c:pt idx="38">
                  <c:v>27.218</c:v>
                </c:pt>
                <c:pt idx="39">
                  <c:v>27.021000000000001</c:v>
                </c:pt>
                <c:pt idx="40">
                  <c:v>27.23</c:v>
                </c:pt>
                <c:pt idx="41">
                  <c:v>27.021000000000001</c:v>
                </c:pt>
                <c:pt idx="42">
                  <c:v>27.202999999999999</c:v>
                </c:pt>
                <c:pt idx="43">
                  <c:v>26.96</c:v>
                </c:pt>
                <c:pt idx="44">
                  <c:v>27.196999999999999</c:v>
                </c:pt>
                <c:pt idx="45">
                  <c:v>26.968</c:v>
                </c:pt>
                <c:pt idx="46">
                  <c:v>27.184000000000001</c:v>
                </c:pt>
                <c:pt idx="47">
                  <c:v>26.814</c:v>
                </c:pt>
                <c:pt idx="48">
                  <c:v>27.356999999999999</c:v>
                </c:pt>
                <c:pt idx="49">
                  <c:v>27.164999999999999</c:v>
                </c:pt>
                <c:pt idx="50">
                  <c:v>27.363</c:v>
                </c:pt>
                <c:pt idx="51">
                  <c:v>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3-4637-ABDA-956C9C1DC1D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('AMP6-4'!$N$4,'AMP6-4'!$N$4)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33-4637-ABDA-956C9C1DC1D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('AMP6-4'!$N$5,'AMP6-4'!$N$5)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33-4637-ABDA-956C9C1DC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8496"/>
        <c:axId val="557548888"/>
      </c:scatterChart>
      <c:valAx>
        <c:axId val="55754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8888"/>
        <c:crosses val="autoZero"/>
        <c:crossBetween val="midCat"/>
      </c:valAx>
      <c:valAx>
        <c:axId val="5575488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'AMP6-4'!$O$9:$O$60</c:f>
              <c:numCache>
                <c:formatCode>General</c:formatCode>
                <c:ptCount val="52"/>
                <c:pt idx="0">
                  <c:v>27.564</c:v>
                </c:pt>
                <c:pt idx="1">
                  <c:v>27.597000000000001</c:v>
                </c:pt>
                <c:pt idx="2">
                  <c:v>27.495000000000001</c:v>
                </c:pt>
                <c:pt idx="3">
                  <c:v>27.652000000000001</c:v>
                </c:pt>
                <c:pt idx="4">
                  <c:v>27.504999999999999</c:v>
                </c:pt>
                <c:pt idx="5">
                  <c:v>27.512</c:v>
                </c:pt>
                <c:pt idx="6">
                  <c:v>27.545999999999999</c:v>
                </c:pt>
                <c:pt idx="7">
                  <c:v>27.617999999999999</c:v>
                </c:pt>
                <c:pt idx="8">
                  <c:v>27.49</c:v>
                </c:pt>
                <c:pt idx="9">
                  <c:v>27.646000000000001</c:v>
                </c:pt>
                <c:pt idx="10">
                  <c:v>27.477</c:v>
                </c:pt>
                <c:pt idx="11">
                  <c:v>27.603999999999999</c:v>
                </c:pt>
                <c:pt idx="12">
                  <c:v>27.439</c:v>
                </c:pt>
                <c:pt idx="13">
                  <c:v>27.581</c:v>
                </c:pt>
                <c:pt idx="14">
                  <c:v>27.42</c:v>
                </c:pt>
                <c:pt idx="15">
                  <c:v>27.486999999999998</c:v>
                </c:pt>
                <c:pt idx="16">
                  <c:v>27.443999999999999</c:v>
                </c:pt>
                <c:pt idx="17">
                  <c:v>27.561</c:v>
                </c:pt>
                <c:pt idx="18">
                  <c:v>27.914999999999999</c:v>
                </c:pt>
                <c:pt idx="19">
                  <c:v>27.588000000000001</c:v>
                </c:pt>
                <c:pt idx="20">
                  <c:v>27.658000000000001</c:v>
                </c:pt>
                <c:pt idx="21">
                  <c:v>27.558</c:v>
                </c:pt>
                <c:pt idx="22">
                  <c:v>27.683</c:v>
                </c:pt>
                <c:pt idx="23">
                  <c:v>26.882000000000001</c:v>
                </c:pt>
                <c:pt idx="24">
                  <c:v>27.850999999999999</c:v>
                </c:pt>
                <c:pt idx="25">
                  <c:v>26.859000000000002</c:v>
                </c:pt>
                <c:pt idx="26">
                  <c:v>27.742000000000001</c:v>
                </c:pt>
                <c:pt idx="27">
                  <c:v>26.92</c:v>
                </c:pt>
                <c:pt idx="28">
                  <c:v>27.797999999999998</c:v>
                </c:pt>
                <c:pt idx="29">
                  <c:v>26.914000000000001</c:v>
                </c:pt>
                <c:pt idx="30">
                  <c:v>27.533999999999999</c:v>
                </c:pt>
                <c:pt idx="31">
                  <c:v>26.928000000000001</c:v>
                </c:pt>
                <c:pt idx="32">
                  <c:v>27.53</c:v>
                </c:pt>
                <c:pt idx="33">
                  <c:v>26.914999999999999</c:v>
                </c:pt>
                <c:pt idx="34">
                  <c:v>27.573</c:v>
                </c:pt>
                <c:pt idx="35">
                  <c:v>26.97</c:v>
                </c:pt>
                <c:pt idx="36">
                  <c:v>27.561</c:v>
                </c:pt>
                <c:pt idx="37">
                  <c:v>27.062999999999999</c:v>
                </c:pt>
                <c:pt idx="38">
                  <c:v>27.516999999999999</c:v>
                </c:pt>
                <c:pt idx="39">
                  <c:v>26.963000000000001</c:v>
                </c:pt>
                <c:pt idx="40">
                  <c:v>27.501000000000001</c:v>
                </c:pt>
                <c:pt idx="41">
                  <c:v>26.966000000000001</c:v>
                </c:pt>
                <c:pt idx="42">
                  <c:v>27.5</c:v>
                </c:pt>
                <c:pt idx="43">
                  <c:v>26.931000000000001</c:v>
                </c:pt>
                <c:pt idx="44">
                  <c:v>27.492999999999999</c:v>
                </c:pt>
                <c:pt idx="45">
                  <c:v>26.908000000000001</c:v>
                </c:pt>
                <c:pt idx="46">
                  <c:v>27.512</c:v>
                </c:pt>
                <c:pt idx="47">
                  <c:v>26.834</c:v>
                </c:pt>
                <c:pt idx="48">
                  <c:v>27.681000000000001</c:v>
                </c:pt>
                <c:pt idx="49">
                  <c:v>27.088999999999999</c:v>
                </c:pt>
                <c:pt idx="50">
                  <c:v>27.643999999999998</c:v>
                </c:pt>
                <c:pt idx="51">
                  <c:v>27.062999999999999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0-4118-9243-1B7F5B44293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('AMP6-4'!$O$4,'AMP6-4'!$O$4)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A0-4118-9243-1B7F5B44293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('AMP6-4'!$O$5,'AMP6-4'!$O$5)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A0-4118-9243-1B7F5B442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9672"/>
        <c:axId val="557550064"/>
      </c:scatterChart>
      <c:valAx>
        <c:axId val="55754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0064"/>
        <c:crosses val="autoZero"/>
        <c:crossBetween val="midCat"/>
      </c:valAx>
      <c:valAx>
        <c:axId val="5575500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'AMP6-4'!$R$9:$R$60</c:f>
              <c:numCache>
                <c:formatCode>General</c:formatCode>
                <c:ptCount val="52"/>
                <c:pt idx="0">
                  <c:v>17.285</c:v>
                </c:pt>
                <c:pt idx="1">
                  <c:v>17.206</c:v>
                </c:pt>
                <c:pt idx="2">
                  <c:v>17.274999999999999</c:v>
                </c:pt>
                <c:pt idx="3">
                  <c:v>17.199000000000002</c:v>
                </c:pt>
                <c:pt idx="4">
                  <c:v>17.3</c:v>
                </c:pt>
                <c:pt idx="5">
                  <c:v>17.22</c:v>
                </c:pt>
                <c:pt idx="6">
                  <c:v>17.263999999999999</c:v>
                </c:pt>
                <c:pt idx="7">
                  <c:v>17.202999999999999</c:v>
                </c:pt>
                <c:pt idx="8">
                  <c:v>17.253</c:v>
                </c:pt>
                <c:pt idx="9">
                  <c:v>17.204000000000001</c:v>
                </c:pt>
                <c:pt idx="10">
                  <c:v>17.280999999999999</c:v>
                </c:pt>
                <c:pt idx="11">
                  <c:v>17.216999999999999</c:v>
                </c:pt>
                <c:pt idx="12">
                  <c:v>17.253</c:v>
                </c:pt>
                <c:pt idx="13">
                  <c:v>17.195</c:v>
                </c:pt>
                <c:pt idx="14">
                  <c:v>17.286000000000001</c:v>
                </c:pt>
                <c:pt idx="15">
                  <c:v>17.207000000000001</c:v>
                </c:pt>
                <c:pt idx="16">
                  <c:v>17.288</c:v>
                </c:pt>
                <c:pt idx="17">
                  <c:v>17.213999999999999</c:v>
                </c:pt>
                <c:pt idx="18">
                  <c:v>17.271000000000001</c:v>
                </c:pt>
                <c:pt idx="19">
                  <c:v>17.196000000000002</c:v>
                </c:pt>
                <c:pt idx="20">
                  <c:v>17.292000000000002</c:v>
                </c:pt>
                <c:pt idx="21">
                  <c:v>17.167000000000002</c:v>
                </c:pt>
                <c:pt idx="22">
                  <c:v>17.273</c:v>
                </c:pt>
                <c:pt idx="23">
                  <c:v>17.149999999999999</c:v>
                </c:pt>
                <c:pt idx="24">
                  <c:v>17.309999999999999</c:v>
                </c:pt>
                <c:pt idx="25">
                  <c:v>17.108000000000001</c:v>
                </c:pt>
                <c:pt idx="26">
                  <c:v>17.260000000000002</c:v>
                </c:pt>
                <c:pt idx="27">
                  <c:v>17.013999999999999</c:v>
                </c:pt>
                <c:pt idx="28">
                  <c:v>17.306000000000001</c:v>
                </c:pt>
                <c:pt idx="29">
                  <c:v>17.106000000000002</c:v>
                </c:pt>
                <c:pt idx="30">
                  <c:v>17.241</c:v>
                </c:pt>
                <c:pt idx="31">
                  <c:v>17.178999999999998</c:v>
                </c:pt>
                <c:pt idx="32">
                  <c:v>17.260000000000002</c:v>
                </c:pt>
                <c:pt idx="33">
                  <c:v>17.192</c:v>
                </c:pt>
                <c:pt idx="34">
                  <c:v>17.274999999999999</c:v>
                </c:pt>
                <c:pt idx="35">
                  <c:v>17.177</c:v>
                </c:pt>
                <c:pt idx="36">
                  <c:v>17.239999999999998</c:v>
                </c:pt>
                <c:pt idx="37">
                  <c:v>17.170999999999999</c:v>
                </c:pt>
                <c:pt idx="38">
                  <c:v>17.236999999999998</c:v>
                </c:pt>
                <c:pt idx="39">
                  <c:v>17.181999999999999</c:v>
                </c:pt>
                <c:pt idx="40">
                  <c:v>17.241</c:v>
                </c:pt>
                <c:pt idx="41">
                  <c:v>17.173999999999999</c:v>
                </c:pt>
                <c:pt idx="42">
                  <c:v>17.213999999999999</c:v>
                </c:pt>
                <c:pt idx="43">
                  <c:v>17.173999999999999</c:v>
                </c:pt>
                <c:pt idx="44">
                  <c:v>17.231000000000002</c:v>
                </c:pt>
                <c:pt idx="45">
                  <c:v>17.202999999999999</c:v>
                </c:pt>
                <c:pt idx="46">
                  <c:v>17.218</c:v>
                </c:pt>
                <c:pt idx="47">
                  <c:v>17.202999999999999</c:v>
                </c:pt>
                <c:pt idx="48">
                  <c:v>17.236999999999998</c:v>
                </c:pt>
                <c:pt idx="49">
                  <c:v>17.183</c:v>
                </c:pt>
                <c:pt idx="50">
                  <c:v>17.245999999999999</c:v>
                </c:pt>
                <c:pt idx="51">
                  <c:v>17.187999999999999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0-44D3-AB54-9247643FF3E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('AMP6-4'!$R$4,'AMP6-4'!$R$4)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0-44D3-AB54-9247643FF3E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('AMP6-4'!$R$5,'AMP6-4'!$R$5)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70-44D3-AB54-9247643FF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0848"/>
        <c:axId val="557551240"/>
      </c:scatterChart>
      <c:valAx>
        <c:axId val="55755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1240"/>
        <c:crosses val="autoZero"/>
        <c:crossBetween val="midCat"/>
      </c:valAx>
      <c:valAx>
        <c:axId val="5575512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'AMP6-4'!$S$9:$S$60</c:f>
              <c:numCache>
                <c:formatCode>General</c:formatCode>
                <c:ptCount val="52"/>
                <c:pt idx="0">
                  <c:v>17.303000000000001</c:v>
                </c:pt>
                <c:pt idx="1">
                  <c:v>17.251999999999999</c:v>
                </c:pt>
                <c:pt idx="2">
                  <c:v>17.29</c:v>
                </c:pt>
                <c:pt idx="3">
                  <c:v>17.295999999999999</c:v>
                </c:pt>
                <c:pt idx="4">
                  <c:v>17.206</c:v>
                </c:pt>
                <c:pt idx="5">
                  <c:v>17.135999999999999</c:v>
                </c:pt>
                <c:pt idx="6">
                  <c:v>17.295999999999999</c:v>
                </c:pt>
                <c:pt idx="7">
                  <c:v>17.297000000000001</c:v>
                </c:pt>
                <c:pt idx="8">
                  <c:v>17.222999999999999</c:v>
                </c:pt>
                <c:pt idx="9">
                  <c:v>17.321000000000002</c:v>
                </c:pt>
                <c:pt idx="10">
                  <c:v>17.32</c:v>
                </c:pt>
                <c:pt idx="11">
                  <c:v>17.363</c:v>
                </c:pt>
                <c:pt idx="12">
                  <c:v>17.212</c:v>
                </c:pt>
                <c:pt idx="13">
                  <c:v>17.309999999999999</c:v>
                </c:pt>
                <c:pt idx="14">
                  <c:v>17.247</c:v>
                </c:pt>
                <c:pt idx="15">
                  <c:v>17.288</c:v>
                </c:pt>
                <c:pt idx="16">
                  <c:v>17.210999999999999</c:v>
                </c:pt>
                <c:pt idx="17">
                  <c:v>17.355</c:v>
                </c:pt>
                <c:pt idx="18">
                  <c:v>17.417000000000002</c:v>
                </c:pt>
                <c:pt idx="19">
                  <c:v>17.227</c:v>
                </c:pt>
                <c:pt idx="20">
                  <c:v>17.327999999999999</c:v>
                </c:pt>
                <c:pt idx="21">
                  <c:v>17.271999999999998</c:v>
                </c:pt>
                <c:pt idx="22">
                  <c:v>17.346</c:v>
                </c:pt>
                <c:pt idx="23">
                  <c:v>16.989999999999998</c:v>
                </c:pt>
                <c:pt idx="24">
                  <c:v>17.308</c:v>
                </c:pt>
                <c:pt idx="25">
                  <c:v>16.931000000000001</c:v>
                </c:pt>
                <c:pt idx="26">
                  <c:v>17.346</c:v>
                </c:pt>
                <c:pt idx="27">
                  <c:v>17.001999999999999</c:v>
                </c:pt>
                <c:pt idx="28">
                  <c:v>17.361000000000001</c:v>
                </c:pt>
                <c:pt idx="29">
                  <c:v>17.016999999999999</c:v>
                </c:pt>
                <c:pt idx="30">
                  <c:v>17.244</c:v>
                </c:pt>
                <c:pt idx="31">
                  <c:v>17.045000000000002</c:v>
                </c:pt>
                <c:pt idx="32">
                  <c:v>17.231999999999999</c:v>
                </c:pt>
                <c:pt idx="33">
                  <c:v>17.055</c:v>
                </c:pt>
                <c:pt idx="34">
                  <c:v>17.158999999999999</c:v>
                </c:pt>
                <c:pt idx="35">
                  <c:v>17.125</c:v>
                </c:pt>
                <c:pt idx="36">
                  <c:v>17.215</c:v>
                </c:pt>
                <c:pt idx="37">
                  <c:v>17.059000000000001</c:v>
                </c:pt>
                <c:pt idx="38">
                  <c:v>17.236999999999998</c:v>
                </c:pt>
                <c:pt idx="39">
                  <c:v>17.045000000000002</c:v>
                </c:pt>
                <c:pt idx="40">
                  <c:v>17.245000000000001</c:v>
                </c:pt>
                <c:pt idx="41">
                  <c:v>17.138000000000002</c:v>
                </c:pt>
                <c:pt idx="42">
                  <c:v>17.297999999999998</c:v>
                </c:pt>
                <c:pt idx="43">
                  <c:v>17.111000000000001</c:v>
                </c:pt>
                <c:pt idx="44">
                  <c:v>17.364999999999998</c:v>
                </c:pt>
                <c:pt idx="45">
                  <c:v>16.972000000000001</c:v>
                </c:pt>
                <c:pt idx="46">
                  <c:v>17.292999999999999</c:v>
                </c:pt>
                <c:pt idx="47">
                  <c:v>16.559999999999999</c:v>
                </c:pt>
                <c:pt idx="48">
                  <c:v>17.315000000000001</c:v>
                </c:pt>
                <c:pt idx="49">
                  <c:v>17.087</c:v>
                </c:pt>
                <c:pt idx="50">
                  <c:v>17.363</c:v>
                </c:pt>
                <c:pt idx="51">
                  <c:v>17.052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905-8C70-2D5D7C89536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('AMP6-4'!$S$4,'AMP6-4'!$S$4)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905-8C70-2D5D7C89536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('AMP6-4'!$S$5,'AMP6-4'!$S$5)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905-8C70-2D5D7C895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2024"/>
        <c:axId val="557552416"/>
      </c:scatterChart>
      <c:valAx>
        <c:axId val="55755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2416"/>
        <c:crosses val="autoZero"/>
        <c:crossBetween val="midCat"/>
      </c:valAx>
      <c:valAx>
        <c:axId val="5575524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'AMP6-4'!$T$9:$T$60</c:f>
              <c:numCache>
                <c:formatCode>General</c:formatCode>
                <c:ptCount val="52"/>
                <c:pt idx="0">
                  <c:v>35.643999999999998</c:v>
                </c:pt>
                <c:pt idx="1">
                  <c:v>35.593000000000004</c:v>
                </c:pt>
                <c:pt idx="2">
                  <c:v>35.694000000000003</c:v>
                </c:pt>
                <c:pt idx="3">
                  <c:v>36.621000000000002</c:v>
                </c:pt>
                <c:pt idx="4">
                  <c:v>35.323999999999998</c:v>
                </c:pt>
                <c:pt idx="5">
                  <c:v>34.033000000000001</c:v>
                </c:pt>
                <c:pt idx="6">
                  <c:v>35.585999999999999</c:v>
                </c:pt>
                <c:pt idx="7">
                  <c:v>37.552</c:v>
                </c:pt>
                <c:pt idx="8">
                  <c:v>35.68</c:v>
                </c:pt>
                <c:pt idx="9">
                  <c:v>34.408999999999999</c:v>
                </c:pt>
                <c:pt idx="10">
                  <c:v>35.616</c:v>
                </c:pt>
                <c:pt idx="11">
                  <c:v>35.042999999999999</c:v>
                </c:pt>
                <c:pt idx="12">
                  <c:v>35.648000000000003</c:v>
                </c:pt>
                <c:pt idx="13">
                  <c:v>36.094000000000001</c:v>
                </c:pt>
                <c:pt idx="14">
                  <c:v>35.624000000000002</c:v>
                </c:pt>
                <c:pt idx="15">
                  <c:v>34.942999999999998</c:v>
                </c:pt>
                <c:pt idx="16">
                  <c:v>35.643999999999998</c:v>
                </c:pt>
                <c:pt idx="17">
                  <c:v>35.640999999999998</c:v>
                </c:pt>
                <c:pt idx="18">
                  <c:v>35.630000000000003</c:v>
                </c:pt>
                <c:pt idx="19">
                  <c:v>36.356000000000002</c:v>
                </c:pt>
                <c:pt idx="20">
                  <c:v>35.718000000000004</c:v>
                </c:pt>
                <c:pt idx="21">
                  <c:v>36.008000000000003</c:v>
                </c:pt>
                <c:pt idx="22">
                  <c:v>35.42</c:v>
                </c:pt>
                <c:pt idx="23">
                  <c:v>37.375</c:v>
                </c:pt>
                <c:pt idx="24">
                  <c:v>35.906999999999996</c:v>
                </c:pt>
                <c:pt idx="25">
                  <c:v>36.884</c:v>
                </c:pt>
                <c:pt idx="26">
                  <c:v>35.822000000000003</c:v>
                </c:pt>
                <c:pt idx="27">
                  <c:v>34.604999999999997</c:v>
                </c:pt>
                <c:pt idx="28">
                  <c:v>35.591999999999999</c:v>
                </c:pt>
                <c:pt idx="29">
                  <c:v>33.723999999999997</c:v>
                </c:pt>
                <c:pt idx="30">
                  <c:v>35.777999999999999</c:v>
                </c:pt>
                <c:pt idx="31">
                  <c:v>36.414000000000001</c:v>
                </c:pt>
                <c:pt idx="32">
                  <c:v>35.698999999999998</c:v>
                </c:pt>
                <c:pt idx="33">
                  <c:v>36.762999999999998</c:v>
                </c:pt>
                <c:pt idx="34">
                  <c:v>35.795999999999999</c:v>
                </c:pt>
                <c:pt idx="35">
                  <c:v>36.734000000000002</c:v>
                </c:pt>
                <c:pt idx="36">
                  <c:v>35.841000000000001</c:v>
                </c:pt>
                <c:pt idx="37">
                  <c:v>37.151000000000003</c:v>
                </c:pt>
                <c:pt idx="38">
                  <c:v>35.881999999999998</c:v>
                </c:pt>
                <c:pt idx="39">
                  <c:v>36.412999999999997</c:v>
                </c:pt>
                <c:pt idx="40">
                  <c:v>35.783000000000001</c:v>
                </c:pt>
                <c:pt idx="41">
                  <c:v>36.786999999999999</c:v>
                </c:pt>
                <c:pt idx="42">
                  <c:v>35.615000000000002</c:v>
                </c:pt>
                <c:pt idx="43">
                  <c:v>35.018000000000001</c:v>
                </c:pt>
                <c:pt idx="44">
                  <c:v>35.604999999999997</c:v>
                </c:pt>
                <c:pt idx="45">
                  <c:v>36.670999999999999</c:v>
                </c:pt>
                <c:pt idx="46">
                  <c:v>35.479999999999997</c:v>
                </c:pt>
                <c:pt idx="47">
                  <c:v>33.546999999999997</c:v>
                </c:pt>
                <c:pt idx="48">
                  <c:v>35.787999999999997</c:v>
                </c:pt>
                <c:pt idx="49">
                  <c:v>32.462000000000003</c:v>
                </c:pt>
                <c:pt idx="50">
                  <c:v>35.313000000000002</c:v>
                </c:pt>
                <c:pt idx="51">
                  <c:v>42.817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8-4ABB-8430-979C0DB919A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('AMP6-4'!$T$4,'AMP6-4'!$T$4)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08-4ABB-8430-979C0DB919A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('AMP6-4'!$T$5,'AMP6-4'!$T$5)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08-4ABB-8430-979C0DB91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3200"/>
        <c:axId val="557553592"/>
      </c:scatterChart>
      <c:valAx>
        <c:axId val="55755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3592"/>
        <c:crosses val="autoZero"/>
        <c:crossBetween val="midCat"/>
      </c:valAx>
      <c:valAx>
        <c:axId val="557553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'AMP6-4'!$U$9:$U$60</c:f>
              <c:numCache>
                <c:formatCode>General</c:formatCode>
                <c:ptCount val="52"/>
                <c:pt idx="0">
                  <c:v>36.247999999999998</c:v>
                </c:pt>
                <c:pt idx="1">
                  <c:v>36.151000000000003</c:v>
                </c:pt>
                <c:pt idx="2">
                  <c:v>36.380000000000003</c:v>
                </c:pt>
                <c:pt idx="3">
                  <c:v>35.936999999999998</c:v>
                </c:pt>
                <c:pt idx="4">
                  <c:v>36.680999999999997</c:v>
                </c:pt>
                <c:pt idx="5">
                  <c:v>36.241999999999997</c:v>
                </c:pt>
                <c:pt idx="6">
                  <c:v>36.277000000000001</c:v>
                </c:pt>
                <c:pt idx="7">
                  <c:v>37.398000000000003</c:v>
                </c:pt>
                <c:pt idx="8">
                  <c:v>36.25</c:v>
                </c:pt>
                <c:pt idx="9">
                  <c:v>35.332000000000001</c:v>
                </c:pt>
                <c:pt idx="10">
                  <c:v>36.289000000000001</c:v>
                </c:pt>
                <c:pt idx="11">
                  <c:v>36.186999999999998</c:v>
                </c:pt>
                <c:pt idx="12">
                  <c:v>36.283000000000001</c:v>
                </c:pt>
                <c:pt idx="13">
                  <c:v>36.343000000000004</c:v>
                </c:pt>
                <c:pt idx="14">
                  <c:v>36.308999999999997</c:v>
                </c:pt>
                <c:pt idx="15">
                  <c:v>35.671999999999997</c:v>
                </c:pt>
                <c:pt idx="16">
                  <c:v>36.335999999999999</c:v>
                </c:pt>
                <c:pt idx="17">
                  <c:v>34.65</c:v>
                </c:pt>
                <c:pt idx="18">
                  <c:v>36.578000000000003</c:v>
                </c:pt>
                <c:pt idx="19">
                  <c:v>37.598999999999997</c:v>
                </c:pt>
                <c:pt idx="20">
                  <c:v>36.572000000000003</c:v>
                </c:pt>
                <c:pt idx="21">
                  <c:v>37.808999999999997</c:v>
                </c:pt>
                <c:pt idx="22">
                  <c:v>36.786999999999999</c:v>
                </c:pt>
                <c:pt idx="23">
                  <c:v>37.668999999999997</c:v>
                </c:pt>
                <c:pt idx="24">
                  <c:v>36.173999999999999</c:v>
                </c:pt>
                <c:pt idx="25">
                  <c:v>37.185000000000002</c:v>
                </c:pt>
                <c:pt idx="26">
                  <c:v>36.119999999999997</c:v>
                </c:pt>
                <c:pt idx="27">
                  <c:v>36.313000000000002</c:v>
                </c:pt>
                <c:pt idx="28">
                  <c:v>36.350999999999999</c:v>
                </c:pt>
                <c:pt idx="29">
                  <c:v>35.588000000000001</c:v>
                </c:pt>
                <c:pt idx="30">
                  <c:v>36.438000000000002</c:v>
                </c:pt>
                <c:pt idx="31">
                  <c:v>37.950000000000003</c:v>
                </c:pt>
                <c:pt idx="32">
                  <c:v>36.258000000000003</c:v>
                </c:pt>
                <c:pt idx="33">
                  <c:v>37.073999999999998</c:v>
                </c:pt>
                <c:pt idx="34">
                  <c:v>36.47</c:v>
                </c:pt>
                <c:pt idx="35">
                  <c:v>36.619999999999997</c:v>
                </c:pt>
                <c:pt idx="36">
                  <c:v>36.393999999999998</c:v>
                </c:pt>
                <c:pt idx="37">
                  <c:v>36.738999999999997</c:v>
                </c:pt>
                <c:pt idx="38">
                  <c:v>36.593000000000004</c:v>
                </c:pt>
                <c:pt idx="39">
                  <c:v>35.801000000000002</c:v>
                </c:pt>
                <c:pt idx="40">
                  <c:v>36.704999999999998</c:v>
                </c:pt>
                <c:pt idx="41">
                  <c:v>37.981000000000002</c:v>
                </c:pt>
                <c:pt idx="42">
                  <c:v>36.335999999999999</c:v>
                </c:pt>
                <c:pt idx="43">
                  <c:v>37.445</c:v>
                </c:pt>
                <c:pt idx="44">
                  <c:v>36.28</c:v>
                </c:pt>
                <c:pt idx="45">
                  <c:v>36.96</c:v>
                </c:pt>
                <c:pt idx="46">
                  <c:v>36.256</c:v>
                </c:pt>
                <c:pt idx="47">
                  <c:v>37.445999999999998</c:v>
                </c:pt>
                <c:pt idx="48">
                  <c:v>36.334000000000003</c:v>
                </c:pt>
                <c:pt idx="49">
                  <c:v>33.631999999999998</c:v>
                </c:pt>
                <c:pt idx="50">
                  <c:v>37.090000000000003</c:v>
                </c:pt>
                <c:pt idx="51">
                  <c:v>40.345999999999997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6-45D7-BB0C-5A40137C183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('AMP6-4'!$U$4,'AMP6-4'!$U$4)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16-45D7-BB0C-5A40137C183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('AMP6-4'!$U$5,'AMP6-4'!$U$5)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16-45D7-BB0C-5A40137C1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4376"/>
        <c:axId val="557554768"/>
      </c:scatterChart>
      <c:valAx>
        <c:axId val="55755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4768"/>
        <c:crosses val="autoZero"/>
        <c:crossBetween val="midCat"/>
      </c:valAx>
      <c:valAx>
        <c:axId val="5575547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'AMP6-4'!$AB$9:$AB$60</c:f>
              <c:numCache>
                <c:formatCode>General</c:formatCode>
                <c:ptCount val="52"/>
                <c:pt idx="0">
                  <c:v>0.22700000000000001</c:v>
                </c:pt>
                <c:pt idx="1">
                  <c:v>0.12</c:v>
                </c:pt>
                <c:pt idx="2">
                  <c:v>0.25800000000000001</c:v>
                </c:pt>
                <c:pt idx="3">
                  <c:v>0.123</c:v>
                </c:pt>
                <c:pt idx="4">
                  <c:v>3.3000000000000002E-2</c:v>
                </c:pt>
                <c:pt idx="5">
                  <c:v>4.7E-2</c:v>
                </c:pt>
                <c:pt idx="6">
                  <c:v>0.21199999999999999</c:v>
                </c:pt>
                <c:pt idx="7">
                  <c:v>0.159</c:v>
                </c:pt>
                <c:pt idx="8">
                  <c:v>0.27600000000000002</c:v>
                </c:pt>
                <c:pt idx="9">
                  <c:v>9.7000000000000003E-2</c:v>
                </c:pt>
                <c:pt idx="10">
                  <c:v>0.21299999999999999</c:v>
                </c:pt>
                <c:pt idx="11">
                  <c:v>0.106</c:v>
                </c:pt>
                <c:pt idx="12">
                  <c:v>0.14699999999999999</c:v>
                </c:pt>
                <c:pt idx="13">
                  <c:v>0.108</c:v>
                </c:pt>
                <c:pt idx="14">
                  <c:v>0.11799999999999999</c:v>
                </c:pt>
                <c:pt idx="15">
                  <c:v>6.9000000000000006E-2</c:v>
                </c:pt>
                <c:pt idx="16">
                  <c:v>0.184</c:v>
                </c:pt>
                <c:pt idx="17">
                  <c:v>0.09</c:v>
                </c:pt>
                <c:pt idx="18">
                  <c:v>0.47099999999999997</c:v>
                </c:pt>
                <c:pt idx="19">
                  <c:v>0.22700000000000001</c:v>
                </c:pt>
                <c:pt idx="20">
                  <c:v>0.22600000000000001</c:v>
                </c:pt>
                <c:pt idx="21">
                  <c:v>0.14299999999999999</c:v>
                </c:pt>
                <c:pt idx="22">
                  <c:v>0.23200000000000001</c:v>
                </c:pt>
                <c:pt idx="23">
                  <c:v>0.17699999999999999</c:v>
                </c:pt>
                <c:pt idx="24">
                  <c:v>0.376</c:v>
                </c:pt>
                <c:pt idx="25">
                  <c:v>0.25800000000000001</c:v>
                </c:pt>
                <c:pt idx="26">
                  <c:v>0.36299999999999999</c:v>
                </c:pt>
                <c:pt idx="27">
                  <c:v>8.3000000000000004E-2</c:v>
                </c:pt>
                <c:pt idx="28">
                  <c:v>0.42699999999999999</c:v>
                </c:pt>
                <c:pt idx="29">
                  <c:v>0.122</c:v>
                </c:pt>
                <c:pt idx="30">
                  <c:v>0.10100000000000001</c:v>
                </c:pt>
                <c:pt idx="31">
                  <c:v>8.1000000000000003E-2</c:v>
                </c:pt>
                <c:pt idx="32">
                  <c:v>0.12</c:v>
                </c:pt>
                <c:pt idx="33">
                  <c:v>-5.0000000000000001E-3</c:v>
                </c:pt>
                <c:pt idx="34">
                  <c:v>0.16600000000000001</c:v>
                </c:pt>
                <c:pt idx="35">
                  <c:v>8.6999999999999994E-2</c:v>
                </c:pt>
                <c:pt idx="36">
                  <c:v>0.182</c:v>
                </c:pt>
                <c:pt idx="37">
                  <c:v>0.01</c:v>
                </c:pt>
                <c:pt idx="38">
                  <c:v>0.13500000000000001</c:v>
                </c:pt>
                <c:pt idx="39">
                  <c:v>0.13500000000000001</c:v>
                </c:pt>
                <c:pt idx="40">
                  <c:v>0.122</c:v>
                </c:pt>
                <c:pt idx="41">
                  <c:v>7.9000000000000001E-2</c:v>
                </c:pt>
                <c:pt idx="42">
                  <c:v>0.14799999999999999</c:v>
                </c:pt>
                <c:pt idx="43">
                  <c:v>0.01</c:v>
                </c:pt>
                <c:pt idx="44">
                  <c:v>0.08</c:v>
                </c:pt>
                <c:pt idx="45">
                  <c:v>8.9999999999999993E-3</c:v>
                </c:pt>
                <c:pt idx="46">
                  <c:v>0.122</c:v>
                </c:pt>
                <c:pt idx="47">
                  <c:v>-0.08</c:v>
                </c:pt>
                <c:pt idx="48">
                  <c:v>0.315</c:v>
                </c:pt>
                <c:pt idx="49">
                  <c:v>0.14299999999999999</c:v>
                </c:pt>
                <c:pt idx="50">
                  <c:v>0.30599999999999999</c:v>
                </c:pt>
                <c:pt idx="51">
                  <c:v>0.214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3-4E2C-B1CC-5DB9289C770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('AMP6-4'!$AB$4,'AMP6-4'!$AB$4)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B3-4E2C-B1CC-5DB9289C770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('AMP6-4'!$AB$5,'AMP6-4'!$AB$5)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B3-4E2C-B1CC-5DB9289C7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5552"/>
        <c:axId val="557555944"/>
      </c:scatterChart>
      <c:valAx>
        <c:axId val="55755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5944"/>
        <c:crosses val="autoZero"/>
        <c:crossBetween val="midCat"/>
      </c:valAx>
      <c:valAx>
        <c:axId val="5575559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'AMP6-4'!$AC$9:$AC$60</c:f>
              <c:numCache>
                <c:formatCode>General</c:formatCode>
                <c:ptCount val="52"/>
                <c:pt idx="0">
                  <c:v>0.252</c:v>
                </c:pt>
                <c:pt idx="1">
                  <c:v>9.2999999999999999E-2</c:v>
                </c:pt>
                <c:pt idx="2">
                  <c:v>0.29299999999999998</c:v>
                </c:pt>
                <c:pt idx="3">
                  <c:v>7.9000000000000001E-2</c:v>
                </c:pt>
                <c:pt idx="4">
                  <c:v>5.1999999999999998E-2</c:v>
                </c:pt>
                <c:pt idx="5">
                  <c:v>3.0000000000000001E-3</c:v>
                </c:pt>
                <c:pt idx="6">
                  <c:v>0.23300000000000001</c:v>
                </c:pt>
                <c:pt idx="7">
                  <c:v>0.123</c:v>
                </c:pt>
                <c:pt idx="8">
                  <c:v>0.3</c:v>
                </c:pt>
                <c:pt idx="9">
                  <c:v>0.06</c:v>
                </c:pt>
                <c:pt idx="10">
                  <c:v>0.23699999999999999</c:v>
                </c:pt>
                <c:pt idx="11">
                  <c:v>6.7000000000000004E-2</c:v>
                </c:pt>
                <c:pt idx="12">
                  <c:v>0.17399999999999999</c:v>
                </c:pt>
                <c:pt idx="13">
                  <c:v>7.2999999999999995E-2</c:v>
                </c:pt>
                <c:pt idx="14">
                  <c:v>0.14199999999999999</c:v>
                </c:pt>
                <c:pt idx="15">
                  <c:v>5.6000000000000001E-2</c:v>
                </c:pt>
                <c:pt idx="16">
                  <c:v>0.20300000000000001</c:v>
                </c:pt>
                <c:pt idx="17">
                  <c:v>6.0999999999999999E-2</c:v>
                </c:pt>
                <c:pt idx="18">
                  <c:v>0.496</c:v>
                </c:pt>
                <c:pt idx="19">
                  <c:v>0.155</c:v>
                </c:pt>
                <c:pt idx="20">
                  <c:v>0.26300000000000001</c:v>
                </c:pt>
                <c:pt idx="21">
                  <c:v>5.7000000000000002E-2</c:v>
                </c:pt>
                <c:pt idx="22">
                  <c:v>0.23799999999999999</c:v>
                </c:pt>
                <c:pt idx="23">
                  <c:v>0.1</c:v>
                </c:pt>
                <c:pt idx="24">
                  <c:v>0.39900000000000002</c:v>
                </c:pt>
                <c:pt idx="25">
                  <c:v>0.186</c:v>
                </c:pt>
                <c:pt idx="26">
                  <c:v>0.39300000000000002</c:v>
                </c:pt>
                <c:pt idx="27">
                  <c:v>8.0000000000000002E-3</c:v>
                </c:pt>
                <c:pt idx="28">
                  <c:v>0.46</c:v>
                </c:pt>
                <c:pt idx="29">
                  <c:v>4.3999999999999997E-2</c:v>
                </c:pt>
                <c:pt idx="30">
                  <c:v>0.129</c:v>
                </c:pt>
                <c:pt idx="31">
                  <c:v>1.2999999999999999E-2</c:v>
                </c:pt>
                <c:pt idx="32">
                  <c:v>0.151</c:v>
                </c:pt>
                <c:pt idx="33">
                  <c:v>-6.8000000000000005E-2</c:v>
                </c:pt>
                <c:pt idx="34">
                  <c:v>0.20200000000000001</c:v>
                </c:pt>
                <c:pt idx="35">
                  <c:v>2.5999999999999999E-2</c:v>
                </c:pt>
                <c:pt idx="36">
                  <c:v>0.215</c:v>
                </c:pt>
                <c:pt idx="37">
                  <c:v>-4.2000000000000003E-2</c:v>
                </c:pt>
                <c:pt idx="38">
                  <c:v>0.184</c:v>
                </c:pt>
                <c:pt idx="39">
                  <c:v>5.2999999999999999E-2</c:v>
                </c:pt>
                <c:pt idx="40">
                  <c:v>0.17</c:v>
                </c:pt>
                <c:pt idx="41">
                  <c:v>2.3E-2</c:v>
                </c:pt>
                <c:pt idx="42">
                  <c:v>0.19600000000000001</c:v>
                </c:pt>
                <c:pt idx="43">
                  <c:v>-0.05</c:v>
                </c:pt>
                <c:pt idx="44">
                  <c:v>0.128</c:v>
                </c:pt>
                <c:pt idx="45">
                  <c:v>-5.6000000000000001E-2</c:v>
                </c:pt>
                <c:pt idx="46">
                  <c:v>0.158</c:v>
                </c:pt>
                <c:pt idx="47">
                  <c:v>-0.15</c:v>
                </c:pt>
                <c:pt idx="48">
                  <c:v>0.30299999999999999</c:v>
                </c:pt>
                <c:pt idx="49">
                  <c:v>6.5000000000000002E-2</c:v>
                </c:pt>
                <c:pt idx="50">
                  <c:v>0.34200000000000003</c:v>
                </c:pt>
                <c:pt idx="51">
                  <c:v>0.13300000000000001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C-453C-91B8-8540CCD132B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('AMP6-4'!$AC$4,'AMP6-4'!$AC$4)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DC-453C-91B8-8540CCD132B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('AMP6-4'!$AC$5,'AMP6-4'!$AC$5)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DC-453C-91B8-8540CCD13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6728"/>
        <c:axId val="557557120"/>
      </c:scatterChart>
      <c:valAx>
        <c:axId val="557556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7120"/>
        <c:crosses val="autoZero"/>
        <c:crossBetween val="midCat"/>
      </c:valAx>
      <c:valAx>
        <c:axId val="557557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'AMP6-4'!$AD$9:$AD$60</c:f>
              <c:numCache>
                <c:formatCode>General</c:formatCode>
                <c:ptCount val="52"/>
                <c:pt idx="0">
                  <c:v>0.25900000000000001</c:v>
                </c:pt>
                <c:pt idx="1">
                  <c:v>0.13900000000000001</c:v>
                </c:pt>
                <c:pt idx="2">
                  <c:v>0.34399999999999997</c:v>
                </c:pt>
                <c:pt idx="3">
                  <c:v>0.14499999999999999</c:v>
                </c:pt>
                <c:pt idx="4">
                  <c:v>0.191</c:v>
                </c:pt>
                <c:pt idx="5">
                  <c:v>0.224</c:v>
                </c:pt>
                <c:pt idx="6">
                  <c:v>0.252</c:v>
                </c:pt>
                <c:pt idx="7">
                  <c:v>0.112</c:v>
                </c:pt>
                <c:pt idx="8">
                  <c:v>0.34499999999999997</c:v>
                </c:pt>
                <c:pt idx="9">
                  <c:v>0.13</c:v>
                </c:pt>
                <c:pt idx="10">
                  <c:v>0.21099999999999999</c:v>
                </c:pt>
                <c:pt idx="11">
                  <c:v>8.8999999999999996E-2</c:v>
                </c:pt>
                <c:pt idx="12">
                  <c:v>0.186</c:v>
                </c:pt>
                <c:pt idx="13">
                  <c:v>8.8999999999999996E-2</c:v>
                </c:pt>
                <c:pt idx="14">
                  <c:v>0.17299999999999999</c:v>
                </c:pt>
                <c:pt idx="15">
                  <c:v>0.15</c:v>
                </c:pt>
                <c:pt idx="16">
                  <c:v>0.28299999999999997</c:v>
                </c:pt>
                <c:pt idx="17">
                  <c:v>0.121</c:v>
                </c:pt>
                <c:pt idx="18">
                  <c:v>0.30299999999999999</c:v>
                </c:pt>
                <c:pt idx="19">
                  <c:v>0.13800000000000001</c:v>
                </c:pt>
                <c:pt idx="20">
                  <c:v>0.20300000000000001</c:v>
                </c:pt>
                <c:pt idx="21">
                  <c:v>7.4999999999999997E-2</c:v>
                </c:pt>
                <c:pt idx="22">
                  <c:v>0.29899999999999999</c:v>
                </c:pt>
                <c:pt idx="23">
                  <c:v>0.19400000000000001</c:v>
                </c:pt>
                <c:pt idx="24">
                  <c:v>0.57999999999999996</c:v>
                </c:pt>
                <c:pt idx="25">
                  <c:v>-7.2999999999999995E-2</c:v>
                </c:pt>
                <c:pt idx="26">
                  <c:v>0.32800000000000001</c:v>
                </c:pt>
                <c:pt idx="27">
                  <c:v>-1.4999999999999999E-2</c:v>
                </c:pt>
                <c:pt idx="28">
                  <c:v>0.375</c:v>
                </c:pt>
                <c:pt idx="29">
                  <c:v>8.7999999999999995E-2</c:v>
                </c:pt>
                <c:pt idx="30">
                  <c:v>9.1999999999999998E-2</c:v>
                </c:pt>
                <c:pt idx="31">
                  <c:v>0.104</c:v>
                </c:pt>
                <c:pt idx="32">
                  <c:v>0.10299999999999999</c:v>
                </c:pt>
                <c:pt idx="33">
                  <c:v>7.0000000000000001E-3</c:v>
                </c:pt>
                <c:pt idx="34">
                  <c:v>0.23699999999999999</c:v>
                </c:pt>
                <c:pt idx="35">
                  <c:v>-1.7000000000000001E-2</c:v>
                </c:pt>
                <c:pt idx="36">
                  <c:v>0.125</c:v>
                </c:pt>
                <c:pt idx="37">
                  <c:v>-0.108</c:v>
                </c:pt>
                <c:pt idx="38">
                  <c:v>0.13300000000000001</c:v>
                </c:pt>
                <c:pt idx="39">
                  <c:v>0.13400000000000001</c:v>
                </c:pt>
                <c:pt idx="40">
                  <c:v>7.5999999999999998E-2</c:v>
                </c:pt>
                <c:pt idx="41">
                  <c:v>-1.9E-2</c:v>
                </c:pt>
                <c:pt idx="42">
                  <c:v>-6.0000000000000001E-3</c:v>
                </c:pt>
                <c:pt idx="43">
                  <c:v>-1.2999999999999999E-2</c:v>
                </c:pt>
                <c:pt idx="44">
                  <c:v>-8.9999999999999993E-3</c:v>
                </c:pt>
                <c:pt idx="45">
                  <c:v>9.2999999999999999E-2</c:v>
                </c:pt>
                <c:pt idx="46">
                  <c:v>-9.4E-2</c:v>
                </c:pt>
                <c:pt idx="47">
                  <c:v>0.47699999999999998</c:v>
                </c:pt>
                <c:pt idx="48">
                  <c:v>0.23599999999999999</c:v>
                </c:pt>
                <c:pt idx="49">
                  <c:v>-9.0999999999999998E-2</c:v>
                </c:pt>
                <c:pt idx="50">
                  <c:v>0.14699999999999999</c:v>
                </c:pt>
                <c:pt idx="51">
                  <c:v>7.9000000000000001E-2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8-4BEF-8681-AE1AADEE6E0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('AMP6-4'!$AD$4,'AMP6-4'!$AD$4)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8-4BEF-8681-AE1AADEE6E0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('AMP6-4'!$AD$5,'AMP6-4'!$AD$5)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C8-4BEF-8681-AE1AADEE6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7904"/>
        <c:axId val="557558296"/>
      </c:scatterChart>
      <c:valAx>
        <c:axId val="55755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8296"/>
        <c:crosses val="autoZero"/>
        <c:crossBetween val="midCat"/>
      </c:valAx>
      <c:valAx>
        <c:axId val="557558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'AMP6-4'!$AE$9:$AE$60</c:f>
              <c:numCache>
                <c:formatCode>General</c:formatCode>
                <c:ptCount val="52"/>
                <c:pt idx="0">
                  <c:v>0.108</c:v>
                </c:pt>
                <c:pt idx="1">
                  <c:v>5.1999999999999998E-2</c:v>
                </c:pt>
                <c:pt idx="2">
                  <c:v>0.224</c:v>
                </c:pt>
                <c:pt idx="3">
                  <c:v>4.5999999999999999E-2</c:v>
                </c:pt>
                <c:pt idx="4">
                  <c:v>8.8999999999999996E-2</c:v>
                </c:pt>
                <c:pt idx="5">
                  <c:v>0.32900000000000001</c:v>
                </c:pt>
                <c:pt idx="6">
                  <c:v>0.20100000000000001</c:v>
                </c:pt>
                <c:pt idx="7">
                  <c:v>2.9000000000000001E-2</c:v>
                </c:pt>
                <c:pt idx="8">
                  <c:v>0.22600000000000001</c:v>
                </c:pt>
                <c:pt idx="9">
                  <c:v>1.7000000000000001E-2</c:v>
                </c:pt>
                <c:pt idx="10">
                  <c:v>6.2E-2</c:v>
                </c:pt>
                <c:pt idx="11">
                  <c:v>-4.9000000000000002E-2</c:v>
                </c:pt>
                <c:pt idx="12">
                  <c:v>9.7000000000000003E-2</c:v>
                </c:pt>
                <c:pt idx="13">
                  <c:v>6.2E-2</c:v>
                </c:pt>
                <c:pt idx="14">
                  <c:v>4.4999999999999998E-2</c:v>
                </c:pt>
                <c:pt idx="15">
                  <c:v>0.10299999999999999</c:v>
                </c:pt>
                <c:pt idx="16">
                  <c:v>0.19400000000000001</c:v>
                </c:pt>
                <c:pt idx="17">
                  <c:v>0.08</c:v>
                </c:pt>
                <c:pt idx="18">
                  <c:v>0.21</c:v>
                </c:pt>
                <c:pt idx="19">
                  <c:v>0.155</c:v>
                </c:pt>
                <c:pt idx="20">
                  <c:v>9.4E-2</c:v>
                </c:pt>
                <c:pt idx="21">
                  <c:v>-0.08</c:v>
                </c:pt>
                <c:pt idx="22">
                  <c:v>8.5999999999999993E-2</c:v>
                </c:pt>
                <c:pt idx="23">
                  <c:v>7.4999999999999997E-2</c:v>
                </c:pt>
                <c:pt idx="24">
                  <c:v>0.504</c:v>
                </c:pt>
                <c:pt idx="25">
                  <c:v>-0.19700000000000001</c:v>
                </c:pt>
                <c:pt idx="26">
                  <c:v>0.22800000000000001</c:v>
                </c:pt>
                <c:pt idx="27">
                  <c:v>-0.16800000000000001</c:v>
                </c:pt>
                <c:pt idx="28">
                  <c:v>0.34</c:v>
                </c:pt>
                <c:pt idx="29">
                  <c:v>-5.8000000000000003E-2</c:v>
                </c:pt>
                <c:pt idx="30">
                  <c:v>2.7E-2</c:v>
                </c:pt>
                <c:pt idx="31">
                  <c:v>-2.5000000000000001E-2</c:v>
                </c:pt>
                <c:pt idx="32">
                  <c:v>3.5000000000000003E-2</c:v>
                </c:pt>
                <c:pt idx="33">
                  <c:v>-0.107</c:v>
                </c:pt>
                <c:pt idx="34">
                  <c:v>0.24099999999999999</c:v>
                </c:pt>
                <c:pt idx="35">
                  <c:v>-0.155</c:v>
                </c:pt>
                <c:pt idx="36">
                  <c:v>0.10299999999999999</c:v>
                </c:pt>
                <c:pt idx="37">
                  <c:v>-0.32500000000000001</c:v>
                </c:pt>
                <c:pt idx="38">
                  <c:v>2.8000000000000001E-2</c:v>
                </c:pt>
                <c:pt idx="39">
                  <c:v>-4.7E-2</c:v>
                </c:pt>
                <c:pt idx="40">
                  <c:v>8.5999999999999993E-2</c:v>
                </c:pt>
                <c:pt idx="41">
                  <c:v>-0.186</c:v>
                </c:pt>
                <c:pt idx="42">
                  <c:v>4.1000000000000002E-2</c:v>
                </c:pt>
                <c:pt idx="43">
                  <c:v>-0.186</c:v>
                </c:pt>
                <c:pt idx="44">
                  <c:v>-3.9E-2</c:v>
                </c:pt>
                <c:pt idx="45">
                  <c:v>-6.4000000000000001E-2</c:v>
                </c:pt>
                <c:pt idx="46">
                  <c:v>-0.154</c:v>
                </c:pt>
                <c:pt idx="47">
                  <c:v>0.32500000000000001</c:v>
                </c:pt>
                <c:pt idx="48">
                  <c:v>0.29299999999999998</c:v>
                </c:pt>
                <c:pt idx="49">
                  <c:v>-0.21199999999999999</c:v>
                </c:pt>
                <c:pt idx="50">
                  <c:v>0.253</c:v>
                </c:pt>
                <c:pt idx="51">
                  <c:v>-8.6999999999999994E-2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8-41A1-B166-0CEA72A93D5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('AMP6-4'!$AE$4,'AMP6-4'!$AE$4)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F8-41A1-B166-0CEA72A93D5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('AMP6-4'!$AE$5,'AMP6-4'!$AE$5)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F8-41A1-B166-0CEA72A93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9472"/>
        <c:axId val="557559864"/>
      </c:scatterChart>
      <c:valAx>
        <c:axId val="55755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9864"/>
        <c:crosses val="autoZero"/>
        <c:crossBetween val="midCat"/>
      </c:valAx>
      <c:valAx>
        <c:axId val="5575598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'AMP6-4'!$AF$9:$AF$60</c:f>
              <c:numCache>
                <c:formatCode>General</c:formatCode>
                <c:ptCount val="52"/>
                <c:pt idx="0">
                  <c:v>0.371</c:v>
                </c:pt>
                <c:pt idx="1">
                  <c:v>0.378</c:v>
                </c:pt>
                <c:pt idx="2">
                  <c:v>0.40200000000000002</c:v>
                </c:pt>
                <c:pt idx="3">
                  <c:v>0.36199999999999999</c:v>
                </c:pt>
                <c:pt idx="4">
                  <c:v>0.218</c:v>
                </c:pt>
                <c:pt idx="5">
                  <c:v>0.30399999999999999</c:v>
                </c:pt>
                <c:pt idx="6">
                  <c:v>0.32400000000000001</c:v>
                </c:pt>
                <c:pt idx="7">
                  <c:v>0.317</c:v>
                </c:pt>
                <c:pt idx="8">
                  <c:v>0.38400000000000001</c:v>
                </c:pt>
                <c:pt idx="9">
                  <c:v>0.309</c:v>
                </c:pt>
                <c:pt idx="10">
                  <c:v>0.34399999999999997</c:v>
                </c:pt>
                <c:pt idx="11">
                  <c:v>0.38</c:v>
                </c:pt>
                <c:pt idx="12">
                  <c:v>0.312</c:v>
                </c:pt>
                <c:pt idx="13">
                  <c:v>0.39500000000000002</c:v>
                </c:pt>
                <c:pt idx="14">
                  <c:v>0.20100000000000001</c:v>
                </c:pt>
                <c:pt idx="15">
                  <c:v>0.36299999999999999</c:v>
                </c:pt>
                <c:pt idx="16">
                  <c:v>0.29799999999999999</c:v>
                </c:pt>
                <c:pt idx="17">
                  <c:v>0.374</c:v>
                </c:pt>
                <c:pt idx="18">
                  <c:v>0.57799999999999996</c:v>
                </c:pt>
                <c:pt idx="19">
                  <c:v>0.53600000000000003</c:v>
                </c:pt>
                <c:pt idx="20">
                  <c:v>0.36499999999999999</c:v>
                </c:pt>
                <c:pt idx="21">
                  <c:v>0.41899999999999998</c:v>
                </c:pt>
                <c:pt idx="22">
                  <c:v>0.52</c:v>
                </c:pt>
                <c:pt idx="23">
                  <c:v>0.61799999999999999</c:v>
                </c:pt>
                <c:pt idx="24">
                  <c:v>0.44700000000000001</c:v>
                </c:pt>
                <c:pt idx="25">
                  <c:v>0.56899999999999995</c:v>
                </c:pt>
                <c:pt idx="26">
                  <c:v>0.47799999999999998</c:v>
                </c:pt>
                <c:pt idx="27">
                  <c:v>0.38900000000000001</c:v>
                </c:pt>
                <c:pt idx="28">
                  <c:v>0.51300000000000001</c:v>
                </c:pt>
                <c:pt idx="29">
                  <c:v>0.47</c:v>
                </c:pt>
                <c:pt idx="30">
                  <c:v>0.33600000000000002</c:v>
                </c:pt>
                <c:pt idx="31">
                  <c:v>0.32500000000000001</c:v>
                </c:pt>
                <c:pt idx="32">
                  <c:v>0.26100000000000001</c:v>
                </c:pt>
                <c:pt idx="33">
                  <c:v>0.29499999999999998</c:v>
                </c:pt>
                <c:pt idx="34">
                  <c:v>0.35199999999999998</c:v>
                </c:pt>
                <c:pt idx="35">
                  <c:v>0.38500000000000001</c:v>
                </c:pt>
                <c:pt idx="36">
                  <c:v>0.39400000000000002</c:v>
                </c:pt>
                <c:pt idx="37">
                  <c:v>5.6000000000000001E-2</c:v>
                </c:pt>
                <c:pt idx="38">
                  <c:v>0.41099999999999998</c:v>
                </c:pt>
                <c:pt idx="39">
                  <c:v>0.40300000000000002</c:v>
                </c:pt>
                <c:pt idx="40">
                  <c:v>0.34399999999999997</c:v>
                </c:pt>
                <c:pt idx="41">
                  <c:v>0.314</c:v>
                </c:pt>
                <c:pt idx="42">
                  <c:v>0.33400000000000002</c:v>
                </c:pt>
                <c:pt idx="43">
                  <c:v>0.215</c:v>
                </c:pt>
                <c:pt idx="44">
                  <c:v>0.29599999999999999</c:v>
                </c:pt>
                <c:pt idx="45">
                  <c:v>0.28299999999999997</c:v>
                </c:pt>
                <c:pt idx="46">
                  <c:v>0.26</c:v>
                </c:pt>
                <c:pt idx="47">
                  <c:v>0.19800000000000001</c:v>
                </c:pt>
                <c:pt idx="48">
                  <c:v>0.47599999999999998</c:v>
                </c:pt>
                <c:pt idx="49">
                  <c:v>0.38900000000000001</c:v>
                </c:pt>
                <c:pt idx="50">
                  <c:v>0.47299999999999998</c:v>
                </c:pt>
                <c:pt idx="51">
                  <c:v>0.495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6-418E-93B1-0D4C494A9A7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('AMP6-4'!$AF$4,'AMP6-4'!$AF$4)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6-418E-93B1-0D4C494A9A7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('AMP6-4'!$AF$5,'AMP6-4'!$AF$5)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46-418E-93B1-0D4C494A9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0256"/>
        <c:axId val="557560648"/>
      </c:scatterChart>
      <c:valAx>
        <c:axId val="55756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0648"/>
        <c:crosses val="autoZero"/>
        <c:crossBetween val="midCat"/>
      </c:valAx>
      <c:valAx>
        <c:axId val="557560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'AMP6-4'!$AG$9:$AG$60</c:f>
              <c:numCache>
                <c:formatCode>General</c:formatCode>
                <c:ptCount val="52"/>
                <c:pt idx="0">
                  <c:v>0.33900000000000002</c:v>
                </c:pt>
                <c:pt idx="1">
                  <c:v>0.309</c:v>
                </c:pt>
                <c:pt idx="2">
                  <c:v>0.377</c:v>
                </c:pt>
                <c:pt idx="3">
                  <c:v>0.311</c:v>
                </c:pt>
                <c:pt idx="4">
                  <c:v>0.19700000000000001</c:v>
                </c:pt>
                <c:pt idx="5">
                  <c:v>0.28399999999999997</c:v>
                </c:pt>
                <c:pt idx="6">
                  <c:v>0.29199999999999998</c:v>
                </c:pt>
                <c:pt idx="7">
                  <c:v>0.26400000000000001</c:v>
                </c:pt>
                <c:pt idx="8">
                  <c:v>0.34200000000000003</c:v>
                </c:pt>
                <c:pt idx="9">
                  <c:v>0.25900000000000001</c:v>
                </c:pt>
                <c:pt idx="10">
                  <c:v>0.315</c:v>
                </c:pt>
                <c:pt idx="11">
                  <c:v>0.32700000000000001</c:v>
                </c:pt>
                <c:pt idx="12">
                  <c:v>0.28399999999999997</c:v>
                </c:pt>
                <c:pt idx="13">
                  <c:v>0.33200000000000002</c:v>
                </c:pt>
                <c:pt idx="14">
                  <c:v>0.17599999999999999</c:v>
                </c:pt>
                <c:pt idx="15">
                  <c:v>0.30499999999999999</c:v>
                </c:pt>
                <c:pt idx="16">
                  <c:v>0.25800000000000001</c:v>
                </c:pt>
                <c:pt idx="17">
                  <c:v>0.28999999999999998</c:v>
                </c:pt>
                <c:pt idx="18">
                  <c:v>0.54900000000000004</c:v>
                </c:pt>
                <c:pt idx="19">
                  <c:v>0.51400000000000001</c:v>
                </c:pt>
                <c:pt idx="20">
                  <c:v>0.33900000000000002</c:v>
                </c:pt>
                <c:pt idx="21">
                  <c:v>0.375</c:v>
                </c:pt>
                <c:pt idx="22">
                  <c:v>0.48599999999999999</c:v>
                </c:pt>
                <c:pt idx="23">
                  <c:v>0.59799999999999998</c:v>
                </c:pt>
                <c:pt idx="24">
                  <c:v>0.39200000000000002</c:v>
                </c:pt>
                <c:pt idx="25">
                  <c:v>0.53200000000000003</c:v>
                </c:pt>
                <c:pt idx="26">
                  <c:v>0.43099999999999999</c:v>
                </c:pt>
                <c:pt idx="27">
                  <c:v>0.33900000000000002</c:v>
                </c:pt>
                <c:pt idx="28">
                  <c:v>0.45</c:v>
                </c:pt>
                <c:pt idx="29">
                  <c:v>0.41699999999999998</c:v>
                </c:pt>
                <c:pt idx="30">
                  <c:v>0.30399999999999999</c:v>
                </c:pt>
                <c:pt idx="31">
                  <c:v>0.27400000000000002</c:v>
                </c:pt>
                <c:pt idx="32">
                  <c:v>0.221</c:v>
                </c:pt>
                <c:pt idx="33">
                  <c:v>0.25</c:v>
                </c:pt>
                <c:pt idx="34">
                  <c:v>0.30199999999999999</c:v>
                </c:pt>
                <c:pt idx="35">
                  <c:v>0.34200000000000003</c:v>
                </c:pt>
                <c:pt idx="36">
                  <c:v>0.33800000000000002</c:v>
                </c:pt>
                <c:pt idx="37">
                  <c:v>-4.0000000000000001E-3</c:v>
                </c:pt>
                <c:pt idx="38">
                  <c:v>0.36099999999999999</c:v>
                </c:pt>
                <c:pt idx="39">
                  <c:v>0.35</c:v>
                </c:pt>
                <c:pt idx="40">
                  <c:v>0.28699999999999998</c:v>
                </c:pt>
                <c:pt idx="41">
                  <c:v>0.26700000000000002</c:v>
                </c:pt>
                <c:pt idx="42">
                  <c:v>0.28199999999999997</c:v>
                </c:pt>
                <c:pt idx="43">
                  <c:v>0.16400000000000001</c:v>
                </c:pt>
                <c:pt idx="44">
                  <c:v>0.25700000000000001</c:v>
                </c:pt>
                <c:pt idx="45">
                  <c:v>0.252</c:v>
                </c:pt>
                <c:pt idx="46">
                  <c:v>0.20599999999999999</c:v>
                </c:pt>
                <c:pt idx="47">
                  <c:v>0.159</c:v>
                </c:pt>
                <c:pt idx="48">
                  <c:v>0.437</c:v>
                </c:pt>
                <c:pt idx="49">
                  <c:v>0.36</c:v>
                </c:pt>
                <c:pt idx="50">
                  <c:v>0.441</c:v>
                </c:pt>
                <c:pt idx="51">
                  <c:v>0.45100000000000001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3-42F3-95F3-496E86EF2ED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('AMP6-4'!$AG$4,'AMP6-4'!$AG$4)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3-42F3-95F3-496E86EF2ED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('AMP6-4'!$AG$5,'AMP6-4'!$AG$5)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E3-42F3-95F3-496E86EF2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1432"/>
        <c:axId val="557561824"/>
      </c:scatterChart>
      <c:valAx>
        <c:axId val="557561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1824"/>
        <c:crosses val="autoZero"/>
        <c:crossBetween val="midCat"/>
      </c:valAx>
      <c:valAx>
        <c:axId val="557561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'AMP6-4'!$AH$9:$AH$60</c:f>
              <c:numCache>
                <c:formatCode>General</c:formatCode>
                <c:ptCount val="52"/>
                <c:pt idx="0">
                  <c:v>0.36099999999999999</c:v>
                </c:pt>
                <c:pt idx="1">
                  <c:v>0.26300000000000001</c:v>
                </c:pt>
                <c:pt idx="2">
                  <c:v>0.40400000000000003</c:v>
                </c:pt>
                <c:pt idx="3">
                  <c:v>0.157</c:v>
                </c:pt>
                <c:pt idx="4">
                  <c:v>0.29099999999999998</c:v>
                </c:pt>
                <c:pt idx="5">
                  <c:v>0.27600000000000002</c:v>
                </c:pt>
                <c:pt idx="6">
                  <c:v>0.216</c:v>
                </c:pt>
                <c:pt idx="7">
                  <c:v>0.13900000000000001</c:v>
                </c:pt>
                <c:pt idx="8">
                  <c:v>0.32400000000000001</c:v>
                </c:pt>
                <c:pt idx="9">
                  <c:v>0.14399999999999999</c:v>
                </c:pt>
                <c:pt idx="10">
                  <c:v>0.23499999999999999</c:v>
                </c:pt>
                <c:pt idx="11">
                  <c:v>0.186</c:v>
                </c:pt>
                <c:pt idx="12">
                  <c:v>0.25900000000000001</c:v>
                </c:pt>
                <c:pt idx="13">
                  <c:v>0.182</c:v>
                </c:pt>
                <c:pt idx="14">
                  <c:v>0.23300000000000001</c:v>
                </c:pt>
                <c:pt idx="15">
                  <c:v>0.223</c:v>
                </c:pt>
                <c:pt idx="16">
                  <c:v>0.34599999999999997</c:v>
                </c:pt>
                <c:pt idx="17">
                  <c:v>0.20899999999999999</c:v>
                </c:pt>
                <c:pt idx="18">
                  <c:v>0.35299999999999998</c:v>
                </c:pt>
                <c:pt idx="19">
                  <c:v>0.32500000000000001</c:v>
                </c:pt>
                <c:pt idx="20">
                  <c:v>0.26300000000000001</c:v>
                </c:pt>
                <c:pt idx="21">
                  <c:v>0.224</c:v>
                </c:pt>
                <c:pt idx="22">
                  <c:v>0.52900000000000003</c:v>
                </c:pt>
                <c:pt idx="23">
                  <c:v>0.58499999999999996</c:v>
                </c:pt>
                <c:pt idx="24">
                  <c:v>0.52800000000000002</c:v>
                </c:pt>
                <c:pt idx="25">
                  <c:v>0.14199999999999999</c:v>
                </c:pt>
                <c:pt idx="26">
                  <c:v>0.34699999999999998</c:v>
                </c:pt>
                <c:pt idx="27">
                  <c:v>0.21099999999999999</c:v>
                </c:pt>
                <c:pt idx="28">
                  <c:v>0.41699999999999998</c:v>
                </c:pt>
                <c:pt idx="29">
                  <c:v>0.32300000000000001</c:v>
                </c:pt>
                <c:pt idx="30">
                  <c:v>0.254</c:v>
                </c:pt>
                <c:pt idx="31">
                  <c:v>0.23300000000000001</c:v>
                </c:pt>
                <c:pt idx="32">
                  <c:v>0.222</c:v>
                </c:pt>
                <c:pt idx="33">
                  <c:v>0.18099999999999999</c:v>
                </c:pt>
                <c:pt idx="34">
                  <c:v>0.38300000000000001</c:v>
                </c:pt>
                <c:pt idx="35">
                  <c:v>0.14099999999999999</c:v>
                </c:pt>
                <c:pt idx="36">
                  <c:v>0.28799999999999998</c:v>
                </c:pt>
                <c:pt idx="37">
                  <c:v>0.107</c:v>
                </c:pt>
                <c:pt idx="38">
                  <c:v>0.29499999999999998</c:v>
                </c:pt>
                <c:pt idx="39">
                  <c:v>0.33100000000000002</c:v>
                </c:pt>
                <c:pt idx="40">
                  <c:v>0.252</c:v>
                </c:pt>
                <c:pt idx="41">
                  <c:v>0.10100000000000001</c:v>
                </c:pt>
                <c:pt idx="42">
                  <c:v>0.17</c:v>
                </c:pt>
                <c:pt idx="43">
                  <c:v>0.08</c:v>
                </c:pt>
                <c:pt idx="44">
                  <c:v>0.109</c:v>
                </c:pt>
                <c:pt idx="45">
                  <c:v>0.25700000000000001</c:v>
                </c:pt>
                <c:pt idx="46">
                  <c:v>5.0000000000000001E-3</c:v>
                </c:pt>
                <c:pt idx="47">
                  <c:v>0.65300000000000002</c:v>
                </c:pt>
                <c:pt idx="48">
                  <c:v>0.33500000000000002</c:v>
                </c:pt>
                <c:pt idx="49">
                  <c:v>8.3000000000000004E-2</c:v>
                </c:pt>
                <c:pt idx="50">
                  <c:v>0.30399999999999999</c:v>
                </c:pt>
                <c:pt idx="51">
                  <c:v>0.25600000000000001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7-4EA9-8DB7-E58C8755312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('AMP6-4'!$AH$4,'AMP6-4'!$AH$4)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17-4EA9-8DB7-E58C8755312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('AMP6-4'!$AH$5,'AMP6-4'!$AH$5)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17-4EA9-8DB7-E58C87553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2608"/>
        <c:axId val="557563000"/>
      </c:scatterChart>
      <c:valAx>
        <c:axId val="55756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3000"/>
        <c:crosses val="autoZero"/>
        <c:crossBetween val="midCat"/>
      </c:valAx>
      <c:valAx>
        <c:axId val="557563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'AMP6-4'!$AI$8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'AMP6-4'!$C$9:$C$60</c:f>
              <c:numCache>
                <c:formatCode>m/d/yy\ h:mm;@</c:formatCode>
                <c:ptCount val="52"/>
                <c:pt idx="0">
                  <c:v>43698.532372685186</c:v>
                </c:pt>
                <c:pt idx="1">
                  <c:v>43698.534409722219</c:v>
                </c:pt>
                <c:pt idx="2">
                  <c:v>43698.638009259259</c:v>
                </c:pt>
                <c:pt idx="3">
                  <c:v>43698.640081018515</c:v>
                </c:pt>
                <c:pt idx="4">
                  <c:v>43698.813750000001</c:v>
                </c:pt>
                <c:pt idx="5">
                  <c:v>43698.816064814811</c:v>
                </c:pt>
                <c:pt idx="6">
                  <c:v>43698.848749999997</c:v>
                </c:pt>
                <c:pt idx="7">
                  <c:v>43698.851284722223</c:v>
                </c:pt>
                <c:pt idx="8">
                  <c:v>43698.897465277776</c:v>
                </c:pt>
                <c:pt idx="9">
                  <c:v>43698.899537037039</c:v>
                </c:pt>
                <c:pt idx="10">
                  <c:v>43698.995405092595</c:v>
                </c:pt>
                <c:pt idx="11">
                  <c:v>43698.997766203705</c:v>
                </c:pt>
                <c:pt idx="12">
                  <c:v>43699.062928240739</c:v>
                </c:pt>
                <c:pt idx="13">
                  <c:v>43699.064953703702</c:v>
                </c:pt>
                <c:pt idx="14">
                  <c:v>43699.350995370369</c:v>
                </c:pt>
                <c:pt idx="15">
                  <c:v>43699.353055555555</c:v>
                </c:pt>
                <c:pt idx="16">
                  <c:v>43699.437013888892</c:v>
                </c:pt>
                <c:pt idx="17">
                  <c:v>43699.439247685186</c:v>
                </c:pt>
                <c:pt idx="18">
                  <c:v>43699.639930555553</c:v>
                </c:pt>
                <c:pt idx="19">
                  <c:v>43699.642314814817</c:v>
                </c:pt>
                <c:pt idx="20">
                  <c:v>43699.726041666669</c:v>
                </c:pt>
                <c:pt idx="21">
                  <c:v>43699.728067129632</c:v>
                </c:pt>
                <c:pt idx="22">
                  <c:v>43705.743402777778</c:v>
                </c:pt>
                <c:pt idx="23">
                  <c:v>43705.745462962965</c:v>
                </c:pt>
                <c:pt idx="24">
                  <c:v>43705.814004629632</c:v>
                </c:pt>
                <c:pt idx="25">
                  <c:v>43705.815648148149</c:v>
                </c:pt>
                <c:pt idx="26">
                  <c:v>43705.887662037036</c:v>
                </c:pt>
                <c:pt idx="27">
                  <c:v>43705.924062500002</c:v>
                </c:pt>
                <c:pt idx="28">
                  <c:v>43705.995682870373</c:v>
                </c:pt>
                <c:pt idx="29">
                  <c:v>43705.997199074074</c:v>
                </c:pt>
                <c:pt idx="30">
                  <c:v>43706.37158564815</c:v>
                </c:pt>
                <c:pt idx="31">
                  <c:v>43706.373645833337</c:v>
                </c:pt>
                <c:pt idx="32">
                  <c:v>43706.462141203701</c:v>
                </c:pt>
                <c:pt idx="33">
                  <c:v>43706.464675925927</c:v>
                </c:pt>
                <c:pt idx="34">
                  <c:v>43706.755636574075</c:v>
                </c:pt>
                <c:pt idx="35">
                  <c:v>43706.757685185185</c:v>
                </c:pt>
                <c:pt idx="36">
                  <c:v>43706.867372685185</c:v>
                </c:pt>
                <c:pt idx="37">
                  <c:v>43706.869432870371</c:v>
                </c:pt>
                <c:pt idx="38">
                  <c:v>43711.360601851855</c:v>
                </c:pt>
                <c:pt idx="39">
                  <c:v>43711.36278935185</c:v>
                </c:pt>
                <c:pt idx="40">
                  <c:v>43711.452523148146</c:v>
                </c:pt>
                <c:pt idx="41">
                  <c:v>43711.454606481479</c:v>
                </c:pt>
                <c:pt idx="42">
                  <c:v>43711.835625</c:v>
                </c:pt>
                <c:pt idx="43">
                  <c:v>43711.837939814817</c:v>
                </c:pt>
                <c:pt idx="44">
                  <c:v>43711.951354166667</c:v>
                </c:pt>
                <c:pt idx="45">
                  <c:v>43711.953402777777</c:v>
                </c:pt>
                <c:pt idx="46">
                  <c:v>43711.993622685186</c:v>
                </c:pt>
                <c:pt idx="47">
                  <c:v>43711.995729166665</c:v>
                </c:pt>
                <c:pt idx="48">
                  <c:v>43712.066967592589</c:v>
                </c:pt>
                <c:pt idx="49">
                  <c:v>43712.069108796299</c:v>
                </c:pt>
                <c:pt idx="50">
                  <c:v>43712.313657407409</c:v>
                </c:pt>
                <c:pt idx="51">
                  <c:v>43712.318611111114</c:v>
                </c:pt>
              </c:numCache>
            </c:numRef>
          </c:xVal>
          <c:yVal>
            <c:numRef>
              <c:f>'AMP6-4'!$AI$9:$AI$60</c:f>
              <c:numCache>
                <c:formatCode>General</c:formatCode>
                <c:ptCount val="52"/>
                <c:pt idx="0">
                  <c:v>0.36499999999999999</c:v>
                </c:pt>
                <c:pt idx="1">
                  <c:v>0.20100000000000001</c:v>
                </c:pt>
                <c:pt idx="2">
                  <c:v>0.48099999999999998</c:v>
                </c:pt>
                <c:pt idx="3">
                  <c:v>0.17100000000000001</c:v>
                </c:pt>
                <c:pt idx="4">
                  <c:v>0.35499999999999998</c:v>
                </c:pt>
                <c:pt idx="5">
                  <c:v>0.30199999999999999</c:v>
                </c:pt>
                <c:pt idx="6">
                  <c:v>0.28799999999999998</c:v>
                </c:pt>
                <c:pt idx="7">
                  <c:v>9.5000000000000001E-2</c:v>
                </c:pt>
                <c:pt idx="8">
                  <c:v>0.4</c:v>
                </c:pt>
                <c:pt idx="9">
                  <c:v>0.153</c:v>
                </c:pt>
                <c:pt idx="10">
                  <c:v>0.32600000000000001</c:v>
                </c:pt>
                <c:pt idx="11">
                  <c:v>0.13600000000000001</c:v>
                </c:pt>
                <c:pt idx="12">
                  <c:v>0.32400000000000001</c:v>
                </c:pt>
                <c:pt idx="13">
                  <c:v>0.16400000000000001</c:v>
                </c:pt>
                <c:pt idx="14">
                  <c:v>0.24099999999999999</c:v>
                </c:pt>
                <c:pt idx="15">
                  <c:v>0.20699999999999999</c:v>
                </c:pt>
                <c:pt idx="16">
                  <c:v>0.373</c:v>
                </c:pt>
                <c:pt idx="17">
                  <c:v>0.14699999999999999</c:v>
                </c:pt>
                <c:pt idx="18">
                  <c:v>0.45300000000000001</c:v>
                </c:pt>
                <c:pt idx="19">
                  <c:v>0.41</c:v>
                </c:pt>
                <c:pt idx="20">
                  <c:v>0.33600000000000002</c:v>
                </c:pt>
                <c:pt idx="21">
                  <c:v>0.221</c:v>
                </c:pt>
                <c:pt idx="22">
                  <c:v>0.59299999999999997</c:v>
                </c:pt>
                <c:pt idx="23">
                  <c:v>0.54300000000000004</c:v>
                </c:pt>
                <c:pt idx="24">
                  <c:v>0.61599999999999999</c:v>
                </c:pt>
                <c:pt idx="25">
                  <c:v>0.14000000000000001</c:v>
                </c:pt>
                <c:pt idx="26">
                  <c:v>0.44700000000000001</c:v>
                </c:pt>
                <c:pt idx="27">
                  <c:v>0.16300000000000001</c:v>
                </c:pt>
                <c:pt idx="28">
                  <c:v>0.47299999999999998</c:v>
                </c:pt>
                <c:pt idx="29">
                  <c:v>0.314</c:v>
                </c:pt>
                <c:pt idx="30">
                  <c:v>0.32700000000000001</c:v>
                </c:pt>
                <c:pt idx="31">
                  <c:v>0.223</c:v>
                </c:pt>
                <c:pt idx="32">
                  <c:v>0.28999999999999998</c:v>
                </c:pt>
                <c:pt idx="33">
                  <c:v>0.183</c:v>
                </c:pt>
                <c:pt idx="34">
                  <c:v>0.45600000000000002</c:v>
                </c:pt>
                <c:pt idx="35">
                  <c:v>0.17399999999999999</c:v>
                </c:pt>
                <c:pt idx="36">
                  <c:v>0.39100000000000001</c:v>
                </c:pt>
                <c:pt idx="37">
                  <c:v>-0.10299999999999999</c:v>
                </c:pt>
                <c:pt idx="38">
                  <c:v>0.38500000000000001</c:v>
                </c:pt>
                <c:pt idx="39">
                  <c:v>0.28699999999999998</c:v>
                </c:pt>
                <c:pt idx="40">
                  <c:v>0.317</c:v>
                </c:pt>
                <c:pt idx="41">
                  <c:v>0.105</c:v>
                </c:pt>
                <c:pt idx="42">
                  <c:v>0.20200000000000001</c:v>
                </c:pt>
                <c:pt idx="43">
                  <c:v>6.6000000000000003E-2</c:v>
                </c:pt>
                <c:pt idx="44">
                  <c:v>0.14599999999999999</c:v>
                </c:pt>
                <c:pt idx="45">
                  <c:v>0.247</c:v>
                </c:pt>
                <c:pt idx="46">
                  <c:v>1.2E-2</c:v>
                </c:pt>
                <c:pt idx="47">
                  <c:v>0.63300000000000001</c:v>
                </c:pt>
                <c:pt idx="48">
                  <c:v>0.41099999999999998</c:v>
                </c:pt>
                <c:pt idx="49">
                  <c:v>0.16200000000000001</c:v>
                </c:pt>
                <c:pt idx="50">
                  <c:v>0.40799999999999997</c:v>
                </c:pt>
                <c:pt idx="51">
                  <c:v>0.317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2-4EB4-9E2C-1415A17539C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('AMP6-4'!$AI$4,'AMP6-4'!$AI$4)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2-4EB4-9E2C-1415A17539C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('AMP6-4'!$C$1,'AMP6-4'!$C$2)</c:f>
              <c:numCache>
                <c:formatCode>m/d/yy\ h:mm;@</c:formatCode>
                <c:ptCount val="2"/>
                <c:pt idx="0">
                  <c:v>43698.532372685186</c:v>
                </c:pt>
                <c:pt idx="1">
                  <c:v>43712.318611111114</c:v>
                </c:pt>
              </c:numCache>
            </c:numRef>
          </c:xVal>
          <c:yVal>
            <c:numRef>
              <c:f>('AMP6-4'!$AI$5,'AMP6-4'!$AI$5)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D2-4EB4-9E2C-1415A175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3640"/>
        <c:axId val="573334032"/>
      </c:scatterChart>
      <c:valAx>
        <c:axId val="57333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4032"/>
        <c:crosses val="autoZero"/>
        <c:crossBetween val="midCat"/>
      </c:valAx>
      <c:valAx>
        <c:axId val="5733340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'AMP6-6'!$F$9:$F$9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2-4C39-8E06-5B22C985D58B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922-4C39-8E06-5B22C985D58B}"/>
              </c:ext>
            </c:extLst>
          </c:dPt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('AMP6-6'!$F$4,'AMP6-6'!$F$4)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22-4C39-8E06-5B22C985D58B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922-4C39-8E06-5B22C985D58B}"/>
              </c:ext>
            </c:extLst>
          </c:dPt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('AMP6-6'!$F$5,'AMP6-6'!$F$5)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922-4C39-8E06-5B22C985D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9088"/>
        <c:axId val="557539480"/>
      </c:scatterChart>
      <c:valAx>
        <c:axId val="55753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9480"/>
        <c:crosses val="autoZero"/>
        <c:crossBetween val="midCat"/>
      </c:valAx>
      <c:valAx>
        <c:axId val="557539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'AMP6-6'!$G$9:$G$9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F0-47F0-A39B-AF520BE6E03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('AMP6-6'!$G$4,'AMP6-6'!$G$4)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F0-47F0-A39B-AF520BE6E03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('AMP6-6'!$G$5,'AMP6-6'!$G$5)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F0-47F0-A39B-AF520BE6E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0264"/>
        <c:axId val="557540656"/>
      </c:scatterChart>
      <c:valAx>
        <c:axId val="557540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0656"/>
        <c:crosses val="autoZero"/>
        <c:crossBetween val="midCat"/>
      </c:valAx>
      <c:valAx>
        <c:axId val="557540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'AMP6-6'!$H$9:$H$9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35-4B0C-AB32-CD399A23559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('AMP6-6'!$H$4,'AMP6-6'!$H$4)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35-4B0C-AB32-CD399A23559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('AMP6-6'!$H$5,'AMP6-6'!$H$5)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35-4B0C-AB32-CD399A235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1440"/>
        <c:axId val="557541832"/>
      </c:scatterChart>
      <c:valAx>
        <c:axId val="55754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1832"/>
        <c:crosses val="autoZero"/>
        <c:crossBetween val="midCat"/>
      </c:valAx>
      <c:valAx>
        <c:axId val="5575418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'AMP6-6'!$I$9:$I$9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A-4E99-BD80-BFCFBF29B0B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('AMP6-6'!$I$4,'AMP6-6'!$I$4)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8A-4E99-BD80-BFCFBF29B0B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('AMP6-6'!$I$5,'AMP6-6'!$I$5)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8A-4E99-BD80-BFCFBF29B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2616"/>
        <c:axId val="557543008"/>
      </c:scatterChart>
      <c:valAx>
        <c:axId val="557542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3008"/>
        <c:crosses val="autoZero"/>
        <c:crossBetween val="midCat"/>
      </c:valAx>
      <c:valAx>
        <c:axId val="5575430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'AMP6-6'!$J$9:$J$9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F0-4790-9A84-6C26FA471D5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('AMP6-6'!$J$4,'AMP6-6'!$J$4)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F0-4790-9A84-6C26FA471D5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('AMP6-6'!$J$5,'AMP6-6'!$J$5)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F0-4790-9A84-6C26FA471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3792"/>
        <c:axId val="557544184"/>
      </c:scatterChart>
      <c:valAx>
        <c:axId val="5575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4184"/>
        <c:crosses val="autoZero"/>
        <c:crossBetween val="midCat"/>
      </c:valAx>
      <c:valAx>
        <c:axId val="5575441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'AMP6-6'!$K$9:$K$9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9C-44A4-9076-624988F403F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('AMP6-6'!$K$4,'AMP6-6'!$K$4)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9C-44A4-9076-624988F403F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('AMP6-6'!$K$5,'AMP6-6'!$K$5)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9C-44A4-9076-624988F4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4968"/>
        <c:axId val="557545360"/>
      </c:scatterChart>
      <c:valAx>
        <c:axId val="55754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5360"/>
        <c:crosses val="autoZero"/>
        <c:crossBetween val="midCat"/>
      </c:valAx>
      <c:valAx>
        <c:axId val="5575453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'AMP6-6'!$L$9:$L$9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A-4795-B991-1B0FA173A6E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('AMP6-6'!$L$4,'AMP6-6'!$L$4)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5A-4795-B991-1B0FA173A6E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('AMP6-6'!$L$5,'AMP6-6'!$L$5)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5A-4795-B991-1B0FA173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6144"/>
        <c:axId val="557546536"/>
      </c:scatterChart>
      <c:valAx>
        <c:axId val="55754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6536"/>
        <c:crosses val="autoZero"/>
        <c:crossBetween val="midCat"/>
      </c:valAx>
      <c:valAx>
        <c:axId val="5575465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'AMP6-6'!$M$9:$M$9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4-4C46-8DFE-CF96AD6C781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('AMP6-6'!$M$4,'AMP6-6'!$M$4)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24-4C46-8DFE-CF96AD6C781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('AMP6-6'!$M$5,'AMP6-6'!$M$5)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24-4C46-8DFE-CF96AD6C7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7320"/>
        <c:axId val="557547712"/>
      </c:scatterChart>
      <c:valAx>
        <c:axId val="55754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7712"/>
        <c:crosses val="autoZero"/>
        <c:crossBetween val="midCat"/>
      </c:valAx>
      <c:valAx>
        <c:axId val="5575477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'AMP6-6'!$N$9:$N$9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A-431E-8352-5BDCAE6852A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('AMP6-6'!$N$4,'AMP6-6'!$N$4)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5A-431E-8352-5BDCAE6852A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('AMP6-6'!$N$5,'AMP6-6'!$N$5)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5A-431E-8352-5BDCAE68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8496"/>
        <c:axId val="557548888"/>
      </c:scatterChart>
      <c:valAx>
        <c:axId val="55754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8888"/>
        <c:crosses val="autoZero"/>
        <c:crossBetween val="midCat"/>
      </c:valAx>
      <c:valAx>
        <c:axId val="5575488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'AMP6-6'!$O$9:$O$9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C-4344-9166-77D29F68F55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('AMP6-6'!$O$4,'AMP6-6'!$O$4)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9C-4344-9166-77D29F68F55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('AMP6-6'!$O$5,'AMP6-6'!$O$5)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9C-4344-9166-77D29F68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9672"/>
        <c:axId val="557550064"/>
      </c:scatterChart>
      <c:valAx>
        <c:axId val="55754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0064"/>
        <c:crosses val="autoZero"/>
        <c:crossBetween val="midCat"/>
      </c:valAx>
      <c:valAx>
        <c:axId val="5575500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'AMP6-6'!$R$9:$R$9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77-4CA6-888A-55BB103A904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('AMP6-6'!$R$4,'AMP6-6'!$R$4)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77-4CA6-888A-55BB103A904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('AMP6-6'!$R$5,'AMP6-6'!$R$5)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77-4CA6-888A-55BB103A9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0848"/>
        <c:axId val="557551240"/>
      </c:scatterChart>
      <c:valAx>
        <c:axId val="55755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1240"/>
        <c:crosses val="autoZero"/>
        <c:crossBetween val="midCat"/>
      </c:valAx>
      <c:valAx>
        <c:axId val="5575512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'AMP6-6'!$S$9:$S$9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F-4B57-B57F-B078462842B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('AMP6-6'!$S$4,'AMP6-6'!$S$4)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CF-4B57-B57F-B078462842B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('AMP6-6'!$S$5,'AMP6-6'!$S$5)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F-4B57-B57F-B07846284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2024"/>
        <c:axId val="557552416"/>
      </c:scatterChart>
      <c:valAx>
        <c:axId val="55755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2416"/>
        <c:crosses val="autoZero"/>
        <c:crossBetween val="midCat"/>
      </c:valAx>
      <c:valAx>
        <c:axId val="5575524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'AMP6-6'!$T$9:$T$9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9-45B7-BC8C-4D4EE5AE580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('AMP6-6'!$T$4,'AMP6-6'!$T$4)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C9-45B7-BC8C-4D4EE5AE580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('AMP6-6'!$T$5,'AMP6-6'!$T$5)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C9-45B7-BC8C-4D4EE5AE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3200"/>
        <c:axId val="557553592"/>
      </c:scatterChart>
      <c:valAx>
        <c:axId val="55755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3592"/>
        <c:crosses val="autoZero"/>
        <c:crossBetween val="midCat"/>
      </c:valAx>
      <c:valAx>
        <c:axId val="557553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'AMP6-6'!$U$9:$U$9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6-4672-A11A-A019BB93F03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('AMP6-6'!$U$4,'AMP6-6'!$U$4)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6-4672-A11A-A019BB93F03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('AMP6-6'!$U$5,'AMP6-6'!$U$5)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6-4672-A11A-A019BB93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4376"/>
        <c:axId val="557554768"/>
      </c:scatterChart>
      <c:valAx>
        <c:axId val="55755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4768"/>
        <c:crosses val="autoZero"/>
        <c:crossBetween val="midCat"/>
      </c:valAx>
      <c:valAx>
        <c:axId val="5575547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'AMP6-6'!$AB$9:$AB$9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D-4A67-BF78-7B3AF6C2671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('AMP6-6'!$AB$4,'AMP6-6'!$AB$4)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1D-4A67-BF78-7B3AF6C2671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('AMP6-6'!$AB$5,'AMP6-6'!$AB$5)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1D-4A67-BF78-7B3AF6C26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5552"/>
        <c:axId val="557555944"/>
      </c:scatterChart>
      <c:valAx>
        <c:axId val="55755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5944"/>
        <c:crosses val="autoZero"/>
        <c:crossBetween val="midCat"/>
      </c:valAx>
      <c:valAx>
        <c:axId val="5575559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'AMP6-6'!$AC$9:$AC$9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98-4050-9498-417196B87CC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('AMP6-6'!$AC$4,'AMP6-6'!$AC$4)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98-4050-9498-417196B87CC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('AMP6-6'!$AC$5,'AMP6-6'!$AC$5)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98-4050-9498-417196B87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6728"/>
        <c:axId val="557557120"/>
      </c:scatterChart>
      <c:valAx>
        <c:axId val="557556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7120"/>
        <c:crosses val="autoZero"/>
        <c:crossBetween val="midCat"/>
      </c:valAx>
      <c:valAx>
        <c:axId val="557557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'AMP6-6'!$AD$9:$AD$9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E-466E-A989-67EE11DAD3C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('AMP6-6'!$AD$4,'AMP6-6'!$AD$4)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3E-466E-A989-67EE11DAD3C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('AMP6-6'!$AD$5,'AMP6-6'!$AD$5)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3E-466E-A989-67EE11DAD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7904"/>
        <c:axId val="557558296"/>
      </c:scatterChart>
      <c:valAx>
        <c:axId val="55755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8296"/>
        <c:crosses val="autoZero"/>
        <c:crossBetween val="midCat"/>
      </c:valAx>
      <c:valAx>
        <c:axId val="557558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'AMP6-6'!$AE$9:$AE$9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54-46E4-8E7C-258939C64A3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('AMP6-6'!$AE$4,'AMP6-6'!$AE$4)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54-46E4-8E7C-258939C64A3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('AMP6-6'!$AE$5,'AMP6-6'!$AE$5)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54-46E4-8E7C-258939C6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9472"/>
        <c:axId val="557559864"/>
      </c:scatterChart>
      <c:valAx>
        <c:axId val="55755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9864"/>
        <c:crosses val="autoZero"/>
        <c:crossBetween val="midCat"/>
      </c:valAx>
      <c:valAx>
        <c:axId val="5575598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'AMP6-6'!$AF$9:$AF$9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3-4BC1-AE6D-A4ECEE0C85E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('AMP6-6'!$AF$4,'AMP6-6'!$AF$4)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3-4BC1-AE6D-A4ECEE0C85E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('AMP6-6'!$AF$5,'AMP6-6'!$AF$5)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F3-4BC1-AE6D-A4ECEE0C8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0256"/>
        <c:axId val="557560648"/>
      </c:scatterChart>
      <c:valAx>
        <c:axId val="55756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0648"/>
        <c:crosses val="autoZero"/>
        <c:crossBetween val="midCat"/>
      </c:valAx>
      <c:valAx>
        <c:axId val="557560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'AMP6-6'!$AG$9:$AG$9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6-4721-9944-3F5D9359A25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('AMP6-6'!$AG$4,'AMP6-6'!$AG$4)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6-4721-9944-3F5D9359A25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('AMP6-6'!$AG$5,'AMP6-6'!$AG$5)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6-4721-9944-3F5D9359A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1432"/>
        <c:axId val="557561824"/>
      </c:scatterChart>
      <c:valAx>
        <c:axId val="557561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1824"/>
        <c:crosses val="autoZero"/>
        <c:crossBetween val="midCat"/>
      </c:valAx>
      <c:valAx>
        <c:axId val="557561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'AMP6-6'!$AH$9:$AH$9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2-4B64-9636-A88AB2F8BAE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('AMP6-6'!$AH$4,'AMP6-6'!$AH$4)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2-4B64-9636-A88AB2F8BAE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('AMP6-6'!$AH$5,'AMP6-6'!$AH$5)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2-4B64-9636-A88AB2F8B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2608"/>
        <c:axId val="557563000"/>
      </c:scatterChart>
      <c:valAx>
        <c:axId val="55756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3000"/>
        <c:crosses val="autoZero"/>
        <c:crossBetween val="midCat"/>
      </c:valAx>
      <c:valAx>
        <c:axId val="557563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'AMP6-6'!$AI$8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'AMP6-6'!$C$9:$C$9</c:f>
              <c:numCache>
                <c:formatCode>m/d/yy\ h:mm;@</c:formatCode>
                <c:ptCount val="1"/>
              </c:numCache>
            </c:numRef>
          </c:xVal>
          <c:yVal>
            <c:numRef>
              <c:f>'AMP6-6'!$AI$9:$AI$9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3-4DB0-A0B1-CEAA7D3217F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('AMP6-6'!$AI$4,'AMP6-6'!$AI$4)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83-4DB0-A0B1-CEAA7D3217F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('AMP6-6'!$C$1,'AMP6-6'!$C$2)</c:f>
              <c:numCache>
                <c:formatCode>m/d/yy\ h:mm;@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('AMP6-6'!$AI$5,'AMP6-6'!$AI$5)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83-4DB0-A0B1-CEAA7D321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3640"/>
        <c:axId val="573334032"/>
      </c:scatterChart>
      <c:valAx>
        <c:axId val="57333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4032"/>
        <c:crosses val="autoZero"/>
        <c:crossBetween val="midCat"/>
      </c:valAx>
      <c:valAx>
        <c:axId val="5733340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'AMP6-8'!$F$9:$F$20</c:f>
              <c:numCache>
                <c:formatCode>General</c:formatCode>
                <c:ptCount val="12"/>
                <c:pt idx="0">
                  <c:v>42.115000000000002</c:v>
                </c:pt>
                <c:pt idx="2">
                  <c:v>41.171999999999997</c:v>
                </c:pt>
                <c:pt idx="4">
                  <c:v>41.277999999999999</c:v>
                </c:pt>
                <c:pt idx="6">
                  <c:v>41.134999999999998</c:v>
                </c:pt>
                <c:pt idx="8">
                  <c:v>41.134</c:v>
                </c:pt>
                <c:pt idx="10">
                  <c:v>41.134999999999998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B-4772-9DB0-F665EF3E898E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E6B-4772-9DB0-F665EF3E898E}"/>
              </c:ext>
            </c:extLst>
          </c:dPt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('AMP6-8'!$F$4,'AMP6-8'!$F$4)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6B-4772-9DB0-F665EF3E898E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E6B-4772-9DB0-F665EF3E898E}"/>
              </c:ext>
            </c:extLst>
          </c:dPt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('AMP6-8'!$F$5,'AMP6-8'!$F$5)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6B-4772-9DB0-F665EF3E8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39088"/>
        <c:axId val="557539480"/>
      </c:scatterChart>
      <c:valAx>
        <c:axId val="55753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9480"/>
        <c:crosses val="autoZero"/>
        <c:crossBetween val="midCat"/>
      </c:valAx>
      <c:valAx>
        <c:axId val="5575394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3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'AMP6-8'!$G$9:$G$20</c:f>
              <c:numCache>
                <c:formatCode>General</c:formatCode>
                <c:ptCount val="12"/>
                <c:pt idx="0">
                  <c:v>42.316000000000003</c:v>
                </c:pt>
                <c:pt idx="2">
                  <c:v>41.223999999999997</c:v>
                </c:pt>
                <c:pt idx="4">
                  <c:v>41.27</c:v>
                </c:pt>
                <c:pt idx="6">
                  <c:v>41.250999999999998</c:v>
                </c:pt>
                <c:pt idx="8">
                  <c:v>41.384</c:v>
                </c:pt>
                <c:pt idx="10">
                  <c:v>41.143000000000001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7-4D91-92BD-66F529FAF9C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('AMP6-8'!$G$4,'AMP6-8'!$G$4)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7-4D91-92BD-66F529FAF9C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('AMP6-8'!$G$5,'AMP6-8'!$G$5)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7-4D91-92BD-66F529FAF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0264"/>
        <c:axId val="557540656"/>
      </c:scatterChart>
      <c:valAx>
        <c:axId val="557540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0656"/>
        <c:crosses val="autoZero"/>
        <c:crossBetween val="midCat"/>
      </c:valAx>
      <c:valAx>
        <c:axId val="5575406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'AMP6-8'!$H$9:$H$20</c:f>
              <c:numCache>
                <c:formatCode>General</c:formatCode>
                <c:ptCount val="12"/>
                <c:pt idx="0">
                  <c:v>155.684</c:v>
                </c:pt>
                <c:pt idx="1">
                  <c:v>156.05600000000001</c:v>
                </c:pt>
                <c:pt idx="2">
                  <c:v>155.81</c:v>
                </c:pt>
                <c:pt idx="3">
                  <c:v>155.81200000000001</c:v>
                </c:pt>
                <c:pt idx="4">
                  <c:v>155.84</c:v>
                </c:pt>
                <c:pt idx="5">
                  <c:v>155.81100000000001</c:v>
                </c:pt>
                <c:pt idx="6">
                  <c:v>155.803</c:v>
                </c:pt>
                <c:pt idx="7">
                  <c:v>155.803</c:v>
                </c:pt>
                <c:pt idx="8">
                  <c:v>155.83699999999999</c:v>
                </c:pt>
                <c:pt idx="9">
                  <c:v>155.79300000000001</c:v>
                </c:pt>
                <c:pt idx="10">
                  <c:v>155.84399999999999</c:v>
                </c:pt>
                <c:pt idx="11">
                  <c:v>155.81899999999999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F87-8568-A2C4CF523AA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('AMP6-8'!$H$4,'AMP6-8'!$H$4)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F87-8568-A2C4CF523AA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('AMP6-8'!$H$5,'AMP6-8'!$H$5)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F87-8568-A2C4CF523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1440"/>
        <c:axId val="557541832"/>
      </c:scatterChart>
      <c:valAx>
        <c:axId val="55754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1832"/>
        <c:crosses val="autoZero"/>
        <c:crossBetween val="midCat"/>
      </c:valAx>
      <c:valAx>
        <c:axId val="5575418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'AMP6-8'!$I$9:$I$20</c:f>
              <c:numCache>
                <c:formatCode>General</c:formatCode>
                <c:ptCount val="12"/>
                <c:pt idx="0">
                  <c:v>155.423</c:v>
                </c:pt>
                <c:pt idx="1">
                  <c:v>155.95500000000001</c:v>
                </c:pt>
                <c:pt idx="2">
                  <c:v>155.80000000000001</c:v>
                </c:pt>
                <c:pt idx="3">
                  <c:v>155.696</c:v>
                </c:pt>
                <c:pt idx="4">
                  <c:v>155.77099999999999</c:v>
                </c:pt>
                <c:pt idx="5">
                  <c:v>155.68700000000001</c:v>
                </c:pt>
                <c:pt idx="6">
                  <c:v>155.65799999999999</c:v>
                </c:pt>
                <c:pt idx="7">
                  <c:v>155.744</c:v>
                </c:pt>
                <c:pt idx="8">
                  <c:v>155.614</c:v>
                </c:pt>
                <c:pt idx="9">
                  <c:v>155.65199999999999</c:v>
                </c:pt>
                <c:pt idx="10">
                  <c:v>155.791</c:v>
                </c:pt>
                <c:pt idx="11">
                  <c:v>155.685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3-4869-8429-E376A979AB9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('AMP6-8'!$I$4,'AMP6-8'!$I$4)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A3-4869-8429-E376A979AB9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('AMP6-8'!$I$5,'AMP6-8'!$I$5)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A3-4869-8429-E376A979A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2616"/>
        <c:axId val="557543008"/>
      </c:scatterChart>
      <c:valAx>
        <c:axId val="557542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3008"/>
        <c:crosses val="autoZero"/>
        <c:crossBetween val="midCat"/>
      </c:valAx>
      <c:valAx>
        <c:axId val="5575430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'AMP6-8'!$J$9:$J$20</c:f>
              <c:numCache>
                <c:formatCode>General</c:formatCode>
                <c:ptCount val="12"/>
                <c:pt idx="1">
                  <c:v>169.922</c:v>
                </c:pt>
                <c:pt idx="3">
                  <c:v>168.50700000000001</c:v>
                </c:pt>
                <c:pt idx="5">
                  <c:v>168.279</c:v>
                </c:pt>
                <c:pt idx="7">
                  <c:v>168.47900000000001</c:v>
                </c:pt>
                <c:pt idx="9">
                  <c:v>168.465</c:v>
                </c:pt>
                <c:pt idx="11">
                  <c:v>168.501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D1-4EBC-B1ED-C8262939F98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('AMP6-8'!$J$4,'AMP6-8'!$J$4)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D1-4EBC-B1ED-C8262939F98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('AMP6-8'!$J$5,'AMP6-8'!$J$5)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D1-4EBC-B1ED-C8262939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3792"/>
        <c:axId val="557544184"/>
      </c:scatterChart>
      <c:valAx>
        <c:axId val="5575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4184"/>
        <c:crosses val="autoZero"/>
        <c:crossBetween val="midCat"/>
      </c:valAx>
      <c:valAx>
        <c:axId val="55754418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'AMP6-8'!$K$9:$K$20</c:f>
              <c:numCache>
                <c:formatCode>General</c:formatCode>
                <c:ptCount val="12"/>
                <c:pt idx="1">
                  <c:v>170.09700000000001</c:v>
                </c:pt>
                <c:pt idx="3">
                  <c:v>168.511</c:v>
                </c:pt>
                <c:pt idx="5">
                  <c:v>168.25200000000001</c:v>
                </c:pt>
                <c:pt idx="7">
                  <c:v>168.505</c:v>
                </c:pt>
                <c:pt idx="9">
                  <c:v>168.47800000000001</c:v>
                </c:pt>
                <c:pt idx="11">
                  <c:v>168.52699999999999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24-46D0-8B59-CDD015D1378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('AMP6-8'!$K$4,'AMP6-8'!$K$4)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24-46D0-8B59-CDD015D1378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('AMP6-8'!$K$5,'AMP6-8'!$K$5)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24-46D0-8B59-CDD015D13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4968"/>
        <c:axId val="557545360"/>
      </c:scatterChart>
      <c:valAx>
        <c:axId val="55754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5360"/>
        <c:crosses val="autoZero"/>
        <c:crossBetween val="midCat"/>
      </c:valAx>
      <c:valAx>
        <c:axId val="5575453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'AMP6-8'!$L$9:$L$20</c:f>
              <c:numCache>
                <c:formatCode>General</c:formatCode>
                <c:ptCount val="12"/>
                <c:pt idx="0">
                  <c:v>156.18199999999999</c:v>
                </c:pt>
                <c:pt idx="1">
                  <c:v>156.12200000000001</c:v>
                </c:pt>
                <c:pt idx="2">
                  <c:v>155.886</c:v>
                </c:pt>
                <c:pt idx="3">
                  <c:v>155.88999999999999</c:v>
                </c:pt>
                <c:pt idx="4">
                  <c:v>155.91</c:v>
                </c:pt>
                <c:pt idx="5">
                  <c:v>155.893</c:v>
                </c:pt>
                <c:pt idx="6">
                  <c:v>155.88399999999999</c:v>
                </c:pt>
                <c:pt idx="7">
                  <c:v>155.876</c:v>
                </c:pt>
                <c:pt idx="8">
                  <c:v>155.91</c:v>
                </c:pt>
                <c:pt idx="9">
                  <c:v>155.87100000000001</c:v>
                </c:pt>
                <c:pt idx="10">
                  <c:v>155.91300000000001</c:v>
                </c:pt>
                <c:pt idx="11">
                  <c:v>155.87799999999999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09-4B92-99E0-44688E69493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('AMP6-8'!$L$4,'AMP6-8'!$L$4)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09-4B92-99E0-44688E69493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('AMP6-8'!$L$5,'AMP6-8'!$L$5)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09-4B92-99E0-44688E694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6144"/>
        <c:axId val="557546536"/>
      </c:scatterChart>
      <c:valAx>
        <c:axId val="55754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6536"/>
        <c:crosses val="autoZero"/>
        <c:crossBetween val="midCat"/>
      </c:valAx>
      <c:valAx>
        <c:axId val="5575465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'AMP6-8'!$M$9:$M$20</c:f>
              <c:numCache>
                <c:formatCode>General</c:formatCode>
                <c:ptCount val="12"/>
                <c:pt idx="0">
                  <c:v>155.87799999999999</c:v>
                </c:pt>
                <c:pt idx="1">
                  <c:v>156.11600000000001</c:v>
                </c:pt>
                <c:pt idx="2">
                  <c:v>155.71600000000001</c:v>
                </c:pt>
                <c:pt idx="3">
                  <c:v>155.63</c:v>
                </c:pt>
                <c:pt idx="4">
                  <c:v>155.67599999999999</c:v>
                </c:pt>
                <c:pt idx="5">
                  <c:v>155.619</c:v>
                </c:pt>
                <c:pt idx="6">
                  <c:v>155.54400000000001</c:v>
                </c:pt>
                <c:pt idx="7">
                  <c:v>155.71600000000001</c:v>
                </c:pt>
                <c:pt idx="8">
                  <c:v>155.47200000000001</c:v>
                </c:pt>
                <c:pt idx="9">
                  <c:v>155.578</c:v>
                </c:pt>
                <c:pt idx="10">
                  <c:v>155.714</c:v>
                </c:pt>
                <c:pt idx="11">
                  <c:v>155.60900000000001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82-4DB7-B71F-373D774DE2E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('AMP6-8'!$M$4,'AMP6-8'!$M$4)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82-4DB7-B71F-373D774DE2E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('AMP6-8'!$M$5,'AMP6-8'!$M$5)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82-4DB7-B71F-373D774DE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7320"/>
        <c:axId val="557547712"/>
      </c:scatterChart>
      <c:valAx>
        <c:axId val="55754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7712"/>
        <c:crosses val="autoZero"/>
        <c:crossBetween val="midCat"/>
      </c:valAx>
      <c:valAx>
        <c:axId val="5575477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'AMP6-8'!$N$9:$N$20</c:f>
              <c:numCache>
                <c:formatCode>General</c:formatCode>
                <c:ptCount val="12"/>
                <c:pt idx="0">
                  <c:v>27.077999999999999</c:v>
                </c:pt>
                <c:pt idx="1">
                  <c:v>27.094999999999999</c:v>
                </c:pt>
                <c:pt idx="2">
                  <c:v>27.329000000000001</c:v>
                </c:pt>
                <c:pt idx="3">
                  <c:v>27.327999999999999</c:v>
                </c:pt>
                <c:pt idx="4">
                  <c:v>27.297999999999998</c:v>
                </c:pt>
                <c:pt idx="5">
                  <c:v>27.323</c:v>
                </c:pt>
                <c:pt idx="6">
                  <c:v>27.321000000000002</c:v>
                </c:pt>
                <c:pt idx="7">
                  <c:v>27.341000000000001</c:v>
                </c:pt>
                <c:pt idx="8">
                  <c:v>27.294</c:v>
                </c:pt>
                <c:pt idx="9">
                  <c:v>27.347000000000001</c:v>
                </c:pt>
                <c:pt idx="10">
                  <c:v>27.285</c:v>
                </c:pt>
                <c:pt idx="11">
                  <c:v>27.334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B9-4F46-A9DB-11AB4D725B4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('AMP6-8'!$N$4,'AMP6-8'!$N$4)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B9-4F46-A9DB-11AB4D725B4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('AMP6-8'!$N$5,'AMP6-8'!$N$5)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B9-4F46-A9DB-11AB4D725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8496"/>
        <c:axId val="557548888"/>
      </c:scatterChart>
      <c:valAx>
        <c:axId val="55754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8888"/>
        <c:crosses val="autoZero"/>
        <c:crossBetween val="midCat"/>
      </c:valAx>
      <c:valAx>
        <c:axId val="5575488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'AMP6-8'!$O$9:$O$20</c:f>
              <c:numCache>
                <c:formatCode>General</c:formatCode>
                <c:ptCount val="12"/>
                <c:pt idx="0">
                  <c:v>27.288</c:v>
                </c:pt>
                <c:pt idx="1">
                  <c:v>27.158000000000001</c:v>
                </c:pt>
                <c:pt idx="2">
                  <c:v>27.329000000000001</c:v>
                </c:pt>
                <c:pt idx="3">
                  <c:v>27.548999999999999</c:v>
                </c:pt>
                <c:pt idx="4">
                  <c:v>27.353999999999999</c:v>
                </c:pt>
                <c:pt idx="5">
                  <c:v>27.561</c:v>
                </c:pt>
                <c:pt idx="6">
                  <c:v>27.492999999999999</c:v>
                </c:pt>
                <c:pt idx="7">
                  <c:v>27.468</c:v>
                </c:pt>
                <c:pt idx="8">
                  <c:v>27.574000000000002</c:v>
                </c:pt>
                <c:pt idx="9">
                  <c:v>27.584</c:v>
                </c:pt>
                <c:pt idx="10">
                  <c:v>27.327999999999999</c:v>
                </c:pt>
                <c:pt idx="11">
                  <c:v>27.562999999999999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5-48EF-9C18-1AD3F2C82EE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('AMP6-8'!$O$4,'AMP6-8'!$O$4)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55-48EF-9C18-1AD3F2C82EE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('AMP6-8'!$O$5,'AMP6-8'!$O$5)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55-48EF-9C18-1AD3F2C8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49672"/>
        <c:axId val="557550064"/>
      </c:scatterChart>
      <c:valAx>
        <c:axId val="55754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0064"/>
        <c:crosses val="autoZero"/>
        <c:crossBetween val="midCat"/>
      </c:valAx>
      <c:valAx>
        <c:axId val="5575500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4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'AMP6-8'!$R$9:$R$20</c:f>
              <c:numCache>
                <c:formatCode>General</c:formatCode>
                <c:ptCount val="12"/>
                <c:pt idx="0">
                  <c:v>17.265999999999998</c:v>
                </c:pt>
                <c:pt idx="1">
                  <c:v>17.238</c:v>
                </c:pt>
                <c:pt idx="2">
                  <c:v>17.265999999999998</c:v>
                </c:pt>
                <c:pt idx="3">
                  <c:v>17.219000000000001</c:v>
                </c:pt>
                <c:pt idx="4">
                  <c:v>17.260000000000002</c:v>
                </c:pt>
                <c:pt idx="5">
                  <c:v>17.219000000000001</c:v>
                </c:pt>
                <c:pt idx="6">
                  <c:v>17.253</c:v>
                </c:pt>
                <c:pt idx="7">
                  <c:v>17.202000000000002</c:v>
                </c:pt>
                <c:pt idx="8">
                  <c:v>17.244</c:v>
                </c:pt>
                <c:pt idx="9">
                  <c:v>17.236999999999998</c:v>
                </c:pt>
                <c:pt idx="10">
                  <c:v>17.256</c:v>
                </c:pt>
                <c:pt idx="11">
                  <c:v>17.209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A-40F2-9785-A0D9F1444FE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('AMP6-8'!$R$4,'AMP6-8'!$R$4)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4A-40F2-9785-A0D9F1444FE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('AMP6-8'!$R$5,'AMP6-8'!$R$5)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4A-40F2-9785-A0D9F1444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0848"/>
        <c:axId val="557551240"/>
      </c:scatterChart>
      <c:valAx>
        <c:axId val="55755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1240"/>
        <c:crosses val="autoZero"/>
        <c:crossBetween val="midCat"/>
      </c:valAx>
      <c:valAx>
        <c:axId val="5575512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'AMP6-8'!$S$9:$S$20</c:f>
              <c:numCache>
                <c:formatCode>General</c:formatCode>
                <c:ptCount val="12"/>
                <c:pt idx="0">
                  <c:v>17.234000000000002</c:v>
                </c:pt>
                <c:pt idx="1">
                  <c:v>17.3</c:v>
                </c:pt>
                <c:pt idx="2">
                  <c:v>17.263000000000002</c:v>
                </c:pt>
                <c:pt idx="3">
                  <c:v>17.329000000000001</c:v>
                </c:pt>
                <c:pt idx="4">
                  <c:v>17.195</c:v>
                </c:pt>
                <c:pt idx="5">
                  <c:v>17.283000000000001</c:v>
                </c:pt>
                <c:pt idx="6">
                  <c:v>17.117000000000001</c:v>
                </c:pt>
                <c:pt idx="7">
                  <c:v>17.228000000000002</c:v>
                </c:pt>
                <c:pt idx="8">
                  <c:v>17.143999999999998</c:v>
                </c:pt>
                <c:pt idx="9">
                  <c:v>17.297999999999998</c:v>
                </c:pt>
                <c:pt idx="10">
                  <c:v>17.242999999999999</c:v>
                </c:pt>
                <c:pt idx="11">
                  <c:v>17.268999999999998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E-4DC6-A4FF-5F4A1D03E48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('AMP6-8'!$S$4,'AMP6-8'!$S$4)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E-4DC6-A4FF-5F4A1D03E48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('AMP6-8'!$S$5,'AMP6-8'!$S$5)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9E-4DC6-A4FF-5F4A1D03E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2024"/>
        <c:axId val="557552416"/>
      </c:scatterChart>
      <c:valAx>
        <c:axId val="55755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2416"/>
        <c:crosses val="autoZero"/>
        <c:crossBetween val="midCat"/>
      </c:valAx>
      <c:valAx>
        <c:axId val="5575524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'AMP6-8'!$T$9:$T$20</c:f>
              <c:numCache>
                <c:formatCode>General</c:formatCode>
                <c:ptCount val="12"/>
                <c:pt idx="0">
                  <c:v>34.606999999999999</c:v>
                </c:pt>
                <c:pt idx="1">
                  <c:v>37.584000000000003</c:v>
                </c:pt>
                <c:pt idx="2">
                  <c:v>34.683</c:v>
                </c:pt>
                <c:pt idx="3">
                  <c:v>37.578000000000003</c:v>
                </c:pt>
                <c:pt idx="4">
                  <c:v>34.529000000000003</c:v>
                </c:pt>
                <c:pt idx="5">
                  <c:v>39.502000000000002</c:v>
                </c:pt>
                <c:pt idx="6">
                  <c:v>34.371000000000002</c:v>
                </c:pt>
                <c:pt idx="7">
                  <c:v>38.384999999999998</c:v>
                </c:pt>
                <c:pt idx="8">
                  <c:v>34.462000000000003</c:v>
                </c:pt>
                <c:pt idx="9">
                  <c:v>38.578000000000003</c:v>
                </c:pt>
                <c:pt idx="10">
                  <c:v>34.67</c:v>
                </c:pt>
                <c:pt idx="11">
                  <c:v>37.694000000000003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DC6-A600-339E2A35635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('AMP6-8'!$T$4,'AMP6-8'!$T$4)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9D-4DC6-A600-339E2A35635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('AMP6-8'!$T$5,'AMP6-8'!$T$5)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9D-4DC6-A600-339E2A356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3200"/>
        <c:axId val="557553592"/>
      </c:scatterChart>
      <c:valAx>
        <c:axId val="55755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3592"/>
        <c:crosses val="autoZero"/>
        <c:crossBetween val="midCat"/>
      </c:valAx>
      <c:valAx>
        <c:axId val="5575535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'AMP6-8'!$U$9:$U$20</c:f>
              <c:numCache>
                <c:formatCode>General</c:formatCode>
                <c:ptCount val="12"/>
                <c:pt idx="0">
                  <c:v>34.853000000000002</c:v>
                </c:pt>
                <c:pt idx="1">
                  <c:v>37.61</c:v>
                </c:pt>
                <c:pt idx="2">
                  <c:v>35.090000000000003</c:v>
                </c:pt>
                <c:pt idx="3">
                  <c:v>37.817999999999998</c:v>
                </c:pt>
                <c:pt idx="4">
                  <c:v>34.832000000000001</c:v>
                </c:pt>
                <c:pt idx="5">
                  <c:v>39.630000000000003</c:v>
                </c:pt>
                <c:pt idx="6">
                  <c:v>35.343000000000004</c:v>
                </c:pt>
                <c:pt idx="7">
                  <c:v>38.225999999999999</c:v>
                </c:pt>
                <c:pt idx="8">
                  <c:v>34.932000000000002</c:v>
                </c:pt>
                <c:pt idx="9">
                  <c:v>39.024999999999999</c:v>
                </c:pt>
                <c:pt idx="10">
                  <c:v>34.996000000000002</c:v>
                </c:pt>
                <c:pt idx="11">
                  <c:v>37.768000000000001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D5-4499-862D-77E5ECE9A9B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('AMP6-8'!$U$4,'AMP6-8'!$U$4)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D5-4499-862D-77E5ECE9A9B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('AMP6-8'!$U$5,'AMP6-8'!$U$5)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D5-4499-862D-77E5ECE9A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4376"/>
        <c:axId val="557554768"/>
      </c:scatterChart>
      <c:valAx>
        <c:axId val="55755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4768"/>
        <c:crosses val="autoZero"/>
        <c:crossBetween val="midCat"/>
      </c:valAx>
      <c:valAx>
        <c:axId val="5575547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'AMP6-8'!$AB$9:$AB$20</c:f>
              <c:numCache>
                <c:formatCode>General</c:formatCode>
                <c:ptCount val="12"/>
                <c:pt idx="0">
                  <c:v>0.121</c:v>
                </c:pt>
                <c:pt idx="1">
                  <c:v>3.9E-2</c:v>
                </c:pt>
                <c:pt idx="2">
                  <c:v>-1.7000000000000001E-2</c:v>
                </c:pt>
                <c:pt idx="3">
                  <c:v>0</c:v>
                </c:pt>
                <c:pt idx="4">
                  <c:v>6.0000000000000001E-3</c:v>
                </c:pt>
                <c:pt idx="5">
                  <c:v>-2E-3</c:v>
                </c:pt>
                <c:pt idx="6">
                  <c:v>-4.3999999999999997E-2</c:v>
                </c:pt>
                <c:pt idx="7">
                  <c:v>-3.6999999999999998E-2</c:v>
                </c:pt>
                <c:pt idx="8">
                  <c:v>-2.5000000000000001E-2</c:v>
                </c:pt>
                <c:pt idx="9">
                  <c:v>3.0000000000000001E-3</c:v>
                </c:pt>
                <c:pt idx="10">
                  <c:v>-2.5000000000000001E-2</c:v>
                </c:pt>
                <c:pt idx="11">
                  <c:v>-3.9E-2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10-4AE3-8FA6-E31F4AFB746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('AMP6-8'!$AB$4,'AMP6-8'!$AB$4)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10-4AE3-8FA6-E31F4AFB746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('AMP6-8'!$AB$5,'AMP6-8'!$AB$5)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10-4AE3-8FA6-E31F4AFB7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5552"/>
        <c:axId val="557555944"/>
      </c:scatterChart>
      <c:valAx>
        <c:axId val="55755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5944"/>
        <c:crosses val="autoZero"/>
        <c:crossBetween val="midCat"/>
      </c:valAx>
      <c:valAx>
        <c:axId val="5575559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'AMP6-8'!$AC$9:$AC$20</c:f>
              <c:numCache>
                <c:formatCode>General</c:formatCode>
                <c:ptCount val="12"/>
                <c:pt idx="0">
                  <c:v>0.11899999999999999</c:v>
                </c:pt>
                <c:pt idx="1">
                  <c:v>-0.02</c:v>
                </c:pt>
                <c:pt idx="2">
                  <c:v>-2.1000000000000001E-2</c:v>
                </c:pt>
                <c:pt idx="3">
                  <c:v>-6.0999999999999999E-2</c:v>
                </c:pt>
                <c:pt idx="4">
                  <c:v>0</c:v>
                </c:pt>
                <c:pt idx="5">
                  <c:v>-6.5000000000000002E-2</c:v>
                </c:pt>
                <c:pt idx="6">
                  <c:v>-5.8999999999999997E-2</c:v>
                </c:pt>
                <c:pt idx="7">
                  <c:v>-9.1999999999999998E-2</c:v>
                </c:pt>
                <c:pt idx="8">
                  <c:v>-3.5999999999999997E-2</c:v>
                </c:pt>
                <c:pt idx="9">
                  <c:v>-5.0999999999999997E-2</c:v>
                </c:pt>
                <c:pt idx="10">
                  <c:v>-3.1E-2</c:v>
                </c:pt>
                <c:pt idx="11">
                  <c:v>-9.8000000000000004E-2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E-4828-8345-7C997612AD8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('AMP6-8'!$AC$4,'AMP6-8'!$AC$4)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E-4828-8345-7C997612AD8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('AMP6-8'!$AC$5,'AMP6-8'!$AC$5)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EE-4828-8345-7C997612A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6728"/>
        <c:axId val="557557120"/>
      </c:scatterChart>
      <c:valAx>
        <c:axId val="557556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7120"/>
        <c:crosses val="autoZero"/>
        <c:crossBetween val="midCat"/>
      </c:valAx>
      <c:valAx>
        <c:axId val="5575571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'AMP6-8'!$AD$9:$AD$20</c:f>
              <c:numCache>
                <c:formatCode>General</c:formatCode>
                <c:ptCount val="12"/>
                <c:pt idx="0">
                  <c:v>0.14299999999999999</c:v>
                </c:pt>
                <c:pt idx="1">
                  <c:v>1E-3</c:v>
                </c:pt>
                <c:pt idx="2">
                  <c:v>3.3000000000000002E-2</c:v>
                </c:pt>
                <c:pt idx="3">
                  <c:v>1.4999999999999999E-2</c:v>
                </c:pt>
                <c:pt idx="4">
                  <c:v>0.16800000000000001</c:v>
                </c:pt>
                <c:pt idx="5">
                  <c:v>-0.03</c:v>
                </c:pt>
                <c:pt idx="6">
                  <c:v>0.18099999999999999</c:v>
                </c:pt>
                <c:pt idx="7">
                  <c:v>-4.2999999999999997E-2</c:v>
                </c:pt>
                <c:pt idx="8">
                  <c:v>0.152</c:v>
                </c:pt>
                <c:pt idx="9">
                  <c:v>-3.2000000000000001E-2</c:v>
                </c:pt>
                <c:pt idx="10">
                  <c:v>8.6999999999999994E-2</c:v>
                </c:pt>
                <c:pt idx="11">
                  <c:v>-0.10199999999999999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E-4C51-8AFD-2E66B60BBC3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('AMP6-8'!$AD$4,'AMP6-8'!$AD$4)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5E-4C51-8AFD-2E66B60BBC3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('AMP6-8'!$AD$5,'AMP6-8'!$AD$5)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5E-4C51-8AFD-2E66B60BB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7904"/>
        <c:axId val="557558296"/>
      </c:scatterChart>
      <c:valAx>
        <c:axId val="55755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8296"/>
        <c:crosses val="autoZero"/>
        <c:crossBetween val="midCat"/>
      </c:valAx>
      <c:valAx>
        <c:axId val="5575582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'AMP6-8'!$AE$9:$AE$20</c:f>
              <c:numCache>
                <c:formatCode>General</c:formatCode>
                <c:ptCount val="12"/>
                <c:pt idx="0">
                  <c:v>2.5999999999999999E-2</c:v>
                </c:pt>
                <c:pt idx="1">
                  <c:v>-7.0999999999999994E-2</c:v>
                </c:pt>
                <c:pt idx="2">
                  <c:v>-0.123</c:v>
                </c:pt>
                <c:pt idx="3">
                  <c:v>-0.112</c:v>
                </c:pt>
                <c:pt idx="4">
                  <c:v>4.1000000000000002E-2</c:v>
                </c:pt>
                <c:pt idx="5">
                  <c:v>-0.14799999999999999</c:v>
                </c:pt>
                <c:pt idx="6">
                  <c:v>2.7E-2</c:v>
                </c:pt>
                <c:pt idx="7">
                  <c:v>-0.153</c:v>
                </c:pt>
                <c:pt idx="8">
                  <c:v>3.4000000000000002E-2</c:v>
                </c:pt>
                <c:pt idx="9">
                  <c:v>-0.17399999999999999</c:v>
                </c:pt>
                <c:pt idx="10">
                  <c:v>-7.3999999999999996E-2</c:v>
                </c:pt>
                <c:pt idx="11">
                  <c:v>-0.23300000000000001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FA8-9E71-28503F1A59E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('AMP6-8'!$AE$4,'AMP6-8'!$AE$4)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F3-4FA8-9E71-28503F1A59E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('AMP6-8'!$AE$5,'AMP6-8'!$AE$5)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F3-4FA8-9E71-28503F1A5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59472"/>
        <c:axId val="557559864"/>
      </c:scatterChart>
      <c:valAx>
        <c:axId val="55755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9864"/>
        <c:crosses val="autoZero"/>
        <c:crossBetween val="midCat"/>
      </c:valAx>
      <c:valAx>
        <c:axId val="5575598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5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'AMP6-8'!$AF$9:$AF$20</c:f>
              <c:numCache>
                <c:formatCode>General</c:formatCode>
                <c:ptCount val="12"/>
                <c:pt idx="0">
                  <c:v>0.26700000000000002</c:v>
                </c:pt>
                <c:pt idx="1">
                  <c:v>0.56100000000000005</c:v>
                </c:pt>
                <c:pt idx="2">
                  <c:v>-0.04</c:v>
                </c:pt>
                <c:pt idx="3">
                  <c:v>-1.2999999999999999E-2</c:v>
                </c:pt>
                <c:pt idx="4">
                  <c:v>2E-3</c:v>
                </c:pt>
                <c:pt idx="5">
                  <c:v>1.6E-2</c:v>
                </c:pt>
                <c:pt idx="6">
                  <c:v>-0.19600000000000001</c:v>
                </c:pt>
                <c:pt idx="7">
                  <c:v>6.6000000000000003E-2</c:v>
                </c:pt>
                <c:pt idx="8">
                  <c:v>-0.20599999999999999</c:v>
                </c:pt>
                <c:pt idx="9">
                  <c:v>2.1999999999999999E-2</c:v>
                </c:pt>
                <c:pt idx="10">
                  <c:v>-4.7E-2</c:v>
                </c:pt>
                <c:pt idx="11">
                  <c:v>-5.3999999999999999E-2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3-4831-8B06-D4F20DA8C90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('AMP6-8'!$AF$4,'AMP6-8'!$AF$4)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93-4831-8B06-D4F20DA8C90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('AMP6-8'!$AF$5,'AMP6-8'!$AF$5)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93-4831-8B06-D4F20DA8C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0256"/>
        <c:axId val="557560648"/>
      </c:scatterChart>
      <c:valAx>
        <c:axId val="55756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0648"/>
        <c:crosses val="autoZero"/>
        <c:crossBetween val="midCat"/>
      </c:valAx>
      <c:valAx>
        <c:axId val="557560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'AMP6-8'!$AG$9:$AG$20</c:f>
              <c:numCache>
                <c:formatCode>General</c:formatCode>
                <c:ptCount val="12"/>
                <c:pt idx="0">
                  <c:v>0.26100000000000001</c:v>
                </c:pt>
                <c:pt idx="1">
                  <c:v>0.55300000000000005</c:v>
                </c:pt>
                <c:pt idx="2">
                  <c:v>-5.2999999999999999E-2</c:v>
                </c:pt>
                <c:pt idx="3">
                  <c:v>-2.4E-2</c:v>
                </c:pt>
                <c:pt idx="4">
                  <c:v>-7.0000000000000001E-3</c:v>
                </c:pt>
                <c:pt idx="5">
                  <c:v>8.9999999999999993E-3</c:v>
                </c:pt>
                <c:pt idx="6">
                  <c:v>-0.20599999999999999</c:v>
                </c:pt>
                <c:pt idx="7">
                  <c:v>0.08</c:v>
                </c:pt>
                <c:pt idx="8">
                  <c:v>-0.222</c:v>
                </c:pt>
                <c:pt idx="9">
                  <c:v>2.8000000000000001E-2</c:v>
                </c:pt>
                <c:pt idx="10">
                  <c:v>-5.2999999999999999E-2</c:v>
                </c:pt>
                <c:pt idx="11">
                  <c:v>-6.5000000000000002E-2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3-41D6-910D-75CCBA2A012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('AMP6-8'!$AG$4,'AMP6-8'!$AG$4)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F3-41D6-910D-75CCBA2A012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('AMP6-8'!$AG$5,'AMP6-8'!$AG$5)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F3-41D6-910D-75CCBA2A0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1432"/>
        <c:axId val="557561824"/>
      </c:scatterChart>
      <c:valAx>
        <c:axId val="557561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1824"/>
        <c:crosses val="autoZero"/>
        <c:crossBetween val="midCat"/>
      </c:valAx>
      <c:valAx>
        <c:axId val="557561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'AMP6-8'!$AH$9:$AH$20</c:f>
              <c:numCache>
                <c:formatCode>General</c:formatCode>
                <c:ptCount val="12"/>
                <c:pt idx="0">
                  <c:v>0.27800000000000002</c:v>
                </c:pt>
                <c:pt idx="1">
                  <c:v>0.53500000000000003</c:v>
                </c:pt>
                <c:pt idx="2">
                  <c:v>2.5000000000000001E-2</c:v>
                </c:pt>
                <c:pt idx="3">
                  <c:v>-0.01</c:v>
                </c:pt>
                <c:pt idx="4">
                  <c:v>0.13700000000000001</c:v>
                </c:pt>
                <c:pt idx="5">
                  <c:v>-1.2999999999999999E-2</c:v>
                </c:pt>
                <c:pt idx="6">
                  <c:v>3.3000000000000002E-2</c:v>
                </c:pt>
                <c:pt idx="7">
                  <c:v>6.4000000000000001E-2</c:v>
                </c:pt>
                <c:pt idx="8">
                  <c:v>-2.4E-2</c:v>
                </c:pt>
                <c:pt idx="9">
                  <c:v>-1.4E-2</c:v>
                </c:pt>
                <c:pt idx="10">
                  <c:v>6.0999999999999999E-2</c:v>
                </c:pt>
                <c:pt idx="11">
                  <c:v>-0.151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F-48AF-AE85-5E877824B8F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('AMP6-8'!$AH$4,'AMP6-8'!$AH$4)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AF-48AF-AE85-5E877824B8F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('AMP6-8'!$AH$5,'AMP6-8'!$AH$5)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AF-48AF-AE85-5E877824B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62608"/>
        <c:axId val="557563000"/>
      </c:scatterChart>
      <c:valAx>
        <c:axId val="55756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3000"/>
        <c:crosses val="autoZero"/>
        <c:crossBetween val="midCat"/>
      </c:valAx>
      <c:valAx>
        <c:axId val="557563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'AMP6-8'!$AI$8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'AMP6-8'!$C$9:$C$20</c:f>
              <c:numCache>
                <c:formatCode>m/d/yy\ h:mm;@</c:formatCode>
                <c:ptCount val="12"/>
                <c:pt idx="0">
                  <c:v>43706.613819444443</c:v>
                </c:pt>
                <c:pt idx="1">
                  <c:v>43706.616631944446</c:v>
                </c:pt>
                <c:pt idx="2">
                  <c:v>43711.580231481479</c:v>
                </c:pt>
                <c:pt idx="3">
                  <c:v>43711.584236111114</c:v>
                </c:pt>
                <c:pt idx="4">
                  <c:v>43711.687048611115</c:v>
                </c:pt>
                <c:pt idx="5">
                  <c:v>43711.689583333333</c:v>
                </c:pt>
                <c:pt idx="6">
                  <c:v>43711.691874999997</c:v>
                </c:pt>
                <c:pt idx="7">
                  <c:v>43711.69425925926</c:v>
                </c:pt>
                <c:pt idx="8">
                  <c:v>43711.716168981482</c:v>
                </c:pt>
                <c:pt idx="9">
                  <c:v>43711.718321759261</c:v>
                </c:pt>
                <c:pt idx="10">
                  <c:v>43711.776423611111</c:v>
                </c:pt>
                <c:pt idx="11">
                  <c:v>43711.778773148151</c:v>
                </c:pt>
              </c:numCache>
            </c:numRef>
          </c:xVal>
          <c:yVal>
            <c:numRef>
              <c:f>'AMP6-8'!$AI$9:$AI$20</c:f>
              <c:numCache>
                <c:formatCode>General</c:formatCode>
                <c:ptCount val="12"/>
                <c:pt idx="0">
                  <c:v>0.30399999999999999</c:v>
                </c:pt>
                <c:pt idx="1">
                  <c:v>0.52600000000000002</c:v>
                </c:pt>
                <c:pt idx="2">
                  <c:v>4.3999999999999997E-2</c:v>
                </c:pt>
                <c:pt idx="3">
                  <c:v>1.7999999999999999E-2</c:v>
                </c:pt>
                <c:pt idx="4">
                  <c:v>0.186</c:v>
                </c:pt>
                <c:pt idx="5">
                  <c:v>1.2E-2</c:v>
                </c:pt>
                <c:pt idx="6">
                  <c:v>8.4000000000000005E-2</c:v>
                </c:pt>
                <c:pt idx="7">
                  <c:v>0.105</c:v>
                </c:pt>
                <c:pt idx="8">
                  <c:v>1.2E-2</c:v>
                </c:pt>
                <c:pt idx="9">
                  <c:v>0.04</c:v>
                </c:pt>
                <c:pt idx="10">
                  <c:v>9.9000000000000005E-2</c:v>
                </c:pt>
                <c:pt idx="11">
                  <c:v>-7.8E-2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56-47D1-BA5F-D71CACF72C8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('AMP6-8'!$AI$4,'AMP6-8'!$AI$4)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56-47D1-BA5F-D71CACF72C8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('AMP6-8'!$C$1,'AMP6-8'!$C$2)</c:f>
              <c:numCache>
                <c:formatCode>m/d/yy\ h:mm;@</c:formatCode>
                <c:ptCount val="2"/>
                <c:pt idx="0">
                  <c:v>43706.613819444443</c:v>
                </c:pt>
                <c:pt idx="1">
                  <c:v>43711.778773148151</c:v>
                </c:pt>
              </c:numCache>
            </c:numRef>
          </c:xVal>
          <c:yVal>
            <c:numRef>
              <c:f>('AMP6-8'!$AI$5,'AMP6-8'!$AI$5)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56-47D1-BA5F-D71CACF72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3640"/>
        <c:axId val="573334032"/>
      </c:scatterChart>
      <c:valAx>
        <c:axId val="57333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4032"/>
        <c:crosses val="autoZero"/>
        <c:crossBetween val="midCat"/>
      </c:valAx>
      <c:valAx>
        <c:axId val="5733340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'AMP7-6'!$F$8</c:f>
              <c:strCache>
                <c:ptCount val="1"/>
                <c:pt idx="0">
                  <c:v>Dim 1_1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'AMP7-6'!$F$9:$F$138</c:f>
              <c:numCache>
                <c:formatCode>General</c:formatCode>
                <c:ptCount val="130"/>
                <c:pt idx="0">
                  <c:v>40.959000000000003</c:v>
                </c:pt>
                <c:pt idx="2">
                  <c:v>41.127000000000002</c:v>
                </c:pt>
                <c:pt idx="4">
                  <c:v>41.072000000000003</c:v>
                </c:pt>
                <c:pt idx="6">
                  <c:v>41.238</c:v>
                </c:pt>
                <c:pt idx="8">
                  <c:v>41.091999999999999</c:v>
                </c:pt>
                <c:pt idx="10">
                  <c:v>41.139000000000003</c:v>
                </c:pt>
                <c:pt idx="12">
                  <c:v>41.264000000000003</c:v>
                </c:pt>
                <c:pt idx="14">
                  <c:v>41.292000000000002</c:v>
                </c:pt>
                <c:pt idx="16">
                  <c:v>41.328000000000003</c:v>
                </c:pt>
                <c:pt idx="18">
                  <c:v>41.212000000000003</c:v>
                </c:pt>
                <c:pt idx="20">
                  <c:v>41.243000000000002</c:v>
                </c:pt>
                <c:pt idx="22">
                  <c:v>41.238999999999997</c:v>
                </c:pt>
                <c:pt idx="24">
                  <c:v>41.256</c:v>
                </c:pt>
                <c:pt idx="26">
                  <c:v>41.177</c:v>
                </c:pt>
                <c:pt idx="28">
                  <c:v>41.17</c:v>
                </c:pt>
                <c:pt idx="30">
                  <c:v>41.134</c:v>
                </c:pt>
                <c:pt idx="32">
                  <c:v>41.045000000000002</c:v>
                </c:pt>
                <c:pt idx="34">
                  <c:v>41.151000000000003</c:v>
                </c:pt>
                <c:pt idx="36">
                  <c:v>41.215000000000003</c:v>
                </c:pt>
                <c:pt idx="38">
                  <c:v>41.148000000000003</c:v>
                </c:pt>
                <c:pt idx="40">
                  <c:v>41.183999999999997</c:v>
                </c:pt>
                <c:pt idx="42">
                  <c:v>41.067</c:v>
                </c:pt>
                <c:pt idx="44">
                  <c:v>41.100999999999999</c:v>
                </c:pt>
                <c:pt idx="46">
                  <c:v>41.133000000000003</c:v>
                </c:pt>
                <c:pt idx="48">
                  <c:v>41.103999999999999</c:v>
                </c:pt>
                <c:pt idx="50">
                  <c:v>41.067999999999998</c:v>
                </c:pt>
                <c:pt idx="52">
                  <c:v>40.978999999999999</c:v>
                </c:pt>
                <c:pt idx="54">
                  <c:v>41.189</c:v>
                </c:pt>
                <c:pt idx="56">
                  <c:v>41.08</c:v>
                </c:pt>
                <c:pt idx="58">
                  <c:v>40.923000000000002</c:v>
                </c:pt>
                <c:pt idx="60">
                  <c:v>41.180999999999997</c:v>
                </c:pt>
                <c:pt idx="62">
                  <c:v>41.154000000000003</c:v>
                </c:pt>
                <c:pt idx="64">
                  <c:v>41.292000000000002</c:v>
                </c:pt>
                <c:pt idx="66">
                  <c:v>41.274000000000001</c:v>
                </c:pt>
                <c:pt idx="68">
                  <c:v>41.231000000000002</c:v>
                </c:pt>
                <c:pt idx="70">
                  <c:v>41.54</c:v>
                </c:pt>
                <c:pt idx="72">
                  <c:v>41.273000000000003</c:v>
                </c:pt>
                <c:pt idx="74">
                  <c:v>41.207000000000001</c:v>
                </c:pt>
                <c:pt idx="76">
                  <c:v>41.198999999999998</c:v>
                </c:pt>
                <c:pt idx="78">
                  <c:v>41.179000000000002</c:v>
                </c:pt>
                <c:pt idx="80">
                  <c:v>41.149000000000001</c:v>
                </c:pt>
                <c:pt idx="82">
                  <c:v>41.176000000000002</c:v>
                </c:pt>
                <c:pt idx="84">
                  <c:v>40.767000000000003</c:v>
                </c:pt>
                <c:pt idx="86">
                  <c:v>41.188000000000002</c:v>
                </c:pt>
                <c:pt idx="88">
                  <c:v>40.981999999999999</c:v>
                </c:pt>
                <c:pt idx="90">
                  <c:v>41.097000000000001</c:v>
                </c:pt>
                <c:pt idx="92">
                  <c:v>40.996000000000002</c:v>
                </c:pt>
                <c:pt idx="94">
                  <c:v>40.890999999999998</c:v>
                </c:pt>
                <c:pt idx="96">
                  <c:v>40.874000000000002</c:v>
                </c:pt>
                <c:pt idx="98">
                  <c:v>41.451000000000001</c:v>
                </c:pt>
                <c:pt idx="100">
                  <c:v>41.359000000000002</c:v>
                </c:pt>
                <c:pt idx="102">
                  <c:v>41.210999999999999</c:v>
                </c:pt>
                <c:pt idx="104">
                  <c:v>41.192999999999998</c:v>
                </c:pt>
                <c:pt idx="106">
                  <c:v>41.253999999999998</c:v>
                </c:pt>
                <c:pt idx="108">
                  <c:v>41.183999999999997</c:v>
                </c:pt>
                <c:pt idx="110">
                  <c:v>41.109000000000002</c:v>
                </c:pt>
                <c:pt idx="112">
                  <c:v>41.21</c:v>
                </c:pt>
                <c:pt idx="114">
                  <c:v>41.045999999999999</c:v>
                </c:pt>
                <c:pt idx="116">
                  <c:v>41.262999999999998</c:v>
                </c:pt>
                <c:pt idx="118">
                  <c:v>41.152999999999999</c:v>
                </c:pt>
                <c:pt idx="120">
                  <c:v>41.076000000000001</c:v>
                </c:pt>
                <c:pt idx="122">
                  <c:v>41.067999999999998</c:v>
                </c:pt>
                <c:pt idx="124">
                  <c:v>41.048999999999999</c:v>
                </c:pt>
                <c:pt idx="126">
                  <c:v>41.018999999999998</c:v>
                </c:pt>
                <c:pt idx="128">
                  <c:v>41.124000000000002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4-40D9-AC2E-3B34E3CF6B39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54-40D9-AC2E-3B34E3CF6B39}"/>
              </c:ext>
            </c:extLst>
          </c:dPt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('AMP7-6'!$F$4,'AMP7-6'!$F$4)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54-40D9-AC2E-3B34E3CF6B39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D54-40D9-AC2E-3B34E3CF6B39}"/>
              </c:ext>
            </c:extLst>
          </c:dPt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('AMP7-6'!$F$5,'AMP7-6'!$F$5)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54-40D9-AC2E-3B34E3CF6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5600"/>
        <c:axId val="573335992"/>
      </c:scatterChart>
      <c:valAx>
        <c:axId val="57333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5992"/>
        <c:crosses val="autoZero"/>
        <c:crossBetween val="midCat"/>
      </c:valAx>
      <c:valAx>
        <c:axId val="5733359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'AMP7-6'!$G$8</c:f>
              <c:strCache>
                <c:ptCount val="1"/>
                <c:pt idx="0">
                  <c:v>Dim 1_2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'AMP7-6'!$G$9:$G$138</c:f>
              <c:numCache>
                <c:formatCode>General</c:formatCode>
                <c:ptCount val="130"/>
                <c:pt idx="0">
                  <c:v>40.942999999999998</c:v>
                </c:pt>
                <c:pt idx="2">
                  <c:v>41.24</c:v>
                </c:pt>
                <c:pt idx="4">
                  <c:v>41.256999999999998</c:v>
                </c:pt>
                <c:pt idx="6">
                  <c:v>41.298000000000002</c:v>
                </c:pt>
                <c:pt idx="8">
                  <c:v>41.265999999999998</c:v>
                </c:pt>
                <c:pt idx="10">
                  <c:v>41.246000000000002</c:v>
                </c:pt>
                <c:pt idx="12">
                  <c:v>41.228000000000002</c:v>
                </c:pt>
                <c:pt idx="14">
                  <c:v>41.371000000000002</c:v>
                </c:pt>
                <c:pt idx="16">
                  <c:v>41.232999999999997</c:v>
                </c:pt>
                <c:pt idx="18">
                  <c:v>41.204999999999998</c:v>
                </c:pt>
                <c:pt idx="20">
                  <c:v>41.301000000000002</c:v>
                </c:pt>
                <c:pt idx="22">
                  <c:v>41.2</c:v>
                </c:pt>
                <c:pt idx="24">
                  <c:v>41.171999999999997</c:v>
                </c:pt>
                <c:pt idx="26">
                  <c:v>41.222999999999999</c:v>
                </c:pt>
                <c:pt idx="28">
                  <c:v>41.173999999999999</c:v>
                </c:pt>
                <c:pt idx="30">
                  <c:v>41.143999999999998</c:v>
                </c:pt>
                <c:pt idx="32">
                  <c:v>41.078000000000003</c:v>
                </c:pt>
                <c:pt idx="34">
                  <c:v>41.113999999999997</c:v>
                </c:pt>
                <c:pt idx="36">
                  <c:v>41.189</c:v>
                </c:pt>
                <c:pt idx="38">
                  <c:v>41.097999999999999</c:v>
                </c:pt>
                <c:pt idx="40">
                  <c:v>41.204999999999998</c:v>
                </c:pt>
                <c:pt idx="42">
                  <c:v>41.124000000000002</c:v>
                </c:pt>
                <c:pt idx="44">
                  <c:v>41.103999999999999</c:v>
                </c:pt>
                <c:pt idx="46">
                  <c:v>41.113999999999997</c:v>
                </c:pt>
                <c:pt idx="48">
                  <c:v>41.140999999999998</c:v>
                </c:pt>
                <c:pt idx="50">
                  <c:v>41.218000000000004</c:v>
                </c:pt>
                <c:pt idx="52">
                  <c:v>41.061</c:v>
                </c:pt>
                <c:pt idx="54">
                  <c:v>41.168999999999997</c:v>
                </c:pt>
                <c:pt idx="56">
                  <c:v>40.901000000000003</c:v>
                </c:pt>
                <c:pt idx="58">
                  <c:v>40.912999999999997</c:v>
                </c:pt>
                <c:pt idx="60">
                  <c:v>41.406999999999996</c:v>
                </c:pt>
                <c:pt idx="62">
                  <c:v>41.137</c:v>
                </c:pt>
                <c:pt idx="64">
                  <c:v>41.503</c:v>
                </c:pt>
                <c:pt idx="66">
                  <c:v>41.448999999999998</c:v>
                </c:pt>
                <c:pt idx="68">
                  <c:v>41.472999999999999</c:v>
                </c:pt>
                <c:pt idx="70">
                  <c:v>41.701000000000001</c:v>
                </c:pt>
                <c:pt idx="72">
                  <c:v>41.226999999999997</c:v>
                </c:pt>
                <c:pt idx="74">
                  <c:v>41.237000000000002</c:v>
                </c:pt>
                <c:pt idx="76">
                  <c:v>41.21</c:v>
                </c:pt>
                <c:pt idx="78">
                  <c:v>41.151000000000003</c:v>
                </c:pt>
                <c:pt idx="80">
                  <c:v>41.137</c:v>
                </c:pt>
                <c:pt idx="82">
                  <c:v>41.094000000000001</c:v>
                </c:pt>
                <c:pt idx="84">
                  <c:v>40.706000000000003</c:v>
                </c:pt>
                <c:pt idx="86">
                  <c:v>41.334000000000003</c:v>
                </c:pt>
                <c:pt idx="88">
                  <c:v>40.97</c:v>
                </c:pt>
                <c:pt idx="90">
                  <c:v>41.225999999999999</c:v>
                </c:pt>
                <c:pt idx="92">
                  <c:v>41.26</c:v>
                </c:pt>
                <c:pt idx="94">
                  <c:v>41.091999999999999</c:v>
                </c:pt>
                <c:pt idx="96">
                  <c:v>41.033000000000001</c:v>
                </c:pt>
                <c:pt idx="98">
                  <c:v>41.536000000000001</c:v>
                </c:pt>
                <c:pt idx="100">
                  <c:v>41.301000000000002</c:v>
                </c:pt>
                <c:pt idx="102">
                  <c:v>41.195</c:v>
                </c:pt>
                <c:pt idx="104">
                  <c:v>41.176000000000002</c:v>
                </c:pt>
                <c:pt idx="106">
                  <c:v>41.113</c:v>
                </c:pt>
                <c:pt idx="108">
                  <c:v>41.161999999999999</c:v>
                </c:pt>
                <c:pt idx="110">
                  <c:v>41.081000000000003</c:v>
                </c:pt>
                <c:pt idx="112">
                  <c:v>41.207000000000001</c:v>
                </c:pt>
                <c:pt idx="114">
                  <c:v>41.125</c:v>
                </c:pt>
                <c:pt idx="116">
                  <c:v>41.204999999999998</c:v>
                </c:pt>
                <c:pt idx="118">
                  <c:v>41.08</c:v>
                </c:pt>
                <c:pt idx="120">
                  <c:v>41.13</c:v>
                </c:pt>
                <c:pt idx="122">
                  <c:v>41.039000000000001</c:v>
                </c:pt>
                <c:pt idx="124">
                  <c:v>41.082000000000001</c:v>
                </c:pt>
                <c:pt idx="126">
                  <c:v>41.003</c:v>
                </c:pt>
                <c:pt idx="128">
                  <c:v>41.127000000000002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1-4C1E-AB1D-204CFB03DF8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('AMP7-6'!$G$4,'AMP7-6'!$G$4)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81-4C1E-AB1D-204CFB03DF8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('AMP7-6'!$G$5,'AMP7-6'!$G$5)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81-4C1E-AB1D-204CFB03D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6776"/>
        <c:axId val="573337168"/>
      </c:scatterChart>
      <c:valAx>
        <c:axId val="573336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7168"/>
        <c:crosses val="autoZero"/>
        <c:crossBetween val="midCat"/>
      </c:valAx>
      <c:valAx>
        <c:axId val="5733371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6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'AMP7-6'!$H$8</c:f>
              <c:strCache>
                <c:ptCount val="1"/>
                <c:pt idx="0">
                  <c:v>Dim 2_1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'AMP7-6'!$H$9:$H$138</c:f>
              <c:numCache>
                <c:formatCode>General</c:formatCode>
                <c:ptCount val="130"/>
                <c:pt idx="0">
                  <c:v>156.029</c:v>
                </c:pt>
                <c:pt idx="1">
                  <c:v>156.095</c:v>
                </c:pt>
                <c:pt idx="2">
                  <c:v>156.071</c:v>
                </c:pt>
                <c:pt idx="3">
                  <c:v>156.09899999999999</c:v>
                </c:pt>
                <c:pt idx="4">
                  <c:v>156.08199999999999</c:v>
                </c:pt>
                <c:pt idx="5">
                  <c:v>156.125</c:v>
                </c:pt>
                <c:pt idx="6">
                  <c:v>156.018</c:v>
                </c:pt>
                <c:pt idx="7">
                  <c:v>156.08500000000001</c:v>
                </c:pt>
                <c:pt idx="8">
                  <c:v>156.22900000000001</c:v>
                </c:pt>
                <c:pt idx="9">
                  <c:v>156.173</c:v>
                </c:pt>
                <c:pt idx="10">
                  <c:v>156.06800000000001</c:v>
                </c:pt>
                <c:pt idx="11">
                  <c:v>156.124</c:v>
                </c:pt>
                <c:pt idx="12">
                  <c:v>156.101</c:v>
                </c:pt>
                <c:pt idx="13">
                  <c:v>156.09800000000001</c:v>
                </c:pt>
                <c:pt idx="14">
                  <c:v>155.85400000000001</c:v>
                </c:pt>
                <c:pt idx="15">
                  <c:v>155.94200000000001</c:v>
                </c:pt>
                <c:pt idx="16">
                  <c:v>155.86500000000001</c:v>
                </c:pt>
                <c:pt idx="17">
                  <c:v>155.928</c:v>
                </c:pt>
                <c:pt idx="18">
                  <c:v>155.959</c:v>
                </c:pt>
                <c:pt idx="19">
                  <c:v>156.00899999999999</c:v>
                </c:pt>
                <c:pt idx="20">
                  <c:v>155.94499999999999</c:v>
                </c:pt>
                <c:pt idx="21">
                  <c:v>156.02199999999999</c:v>
                </c:pt>
                <c:pt idx="22">
                  <c:v>156.001</c:v>
                </c:pt>
                <c:pt idx="23">
                  <c:v>156.05799999999999</c:v>
                </c:pt>
                <c:pt idx="24">
                  <c:v>155.94900000000001</c:v>
                </c:pt>
                <c:pt idx="25">
                  <c:v>156.001</c:v>
                </c:pt>
                <c:pt idx="26">
                  <c:v>156.001</c:v>
                </c:pt>
                <c:pt idx="27">
                  <c:v>156.05000000000001</c:v>
                </c:pt>
                <c:pt idx="28">
                  <c:v>156.001</c:v>
                </c:pt>
                <c:pt idx="29">
                  <c:v>156.03700000000001</c:v>
                </c:pt>
                <c:pt idx="30">
                  <c:v>156.06</c:v>
                </c:pt>
                <c:pt idx="31">
                  <c:v>156.06100000000001</c:v>
                </c:pt>
                <c:pt idx="32">
                  <c:v>156.05099999999999</c:v>
                </c:pt>
                <c:pt idx="33">
                  <c:v>156.07499999999999</c:v>
                </c:pt>
                <c:pt idx="34">
                  <c:v>155.995</c:v>
                </c:pt>
                <c:pt idx="35">
                  <c:v>156.07300000000001</c:v>
                </c:pt>
                <c:pt idx="36">
                  <c:v>156.05600000000001</c:v>
                </c:pt>
                <c:pt idx="37">
                  <c:v>156.08600000000001</c:v>
                </c:pt>
                <c:pt idx="38">
                  <c:v>156.08099999999999</c:v>
                </c:pt>
                <c:pt idx="39">
                  <c:v>156.12100000000001</c:v>
                </c:pt>
                <c:pt idx="40">
                  <c:v>156.06200000000001</c:v>
                </c:pt>
                <c:pt idx="41">
                  <c:v>156.11699999999999</c:v>
                </c:pt>
                <c:pt idx="42">
                  <c:v>156.11799999999999</c:v>
                </c:pt>
                <c:pt idx="43">
                  <c:v>156.18600000000001</c:v>
                </c:pt>
                <c:pt idx="44">
                  <c:v>156.077</c:v>
                </c:pt>
                <c:pt idx="45">
                  <c:v>156.149</c:v>
                </c:pt>
                <c:pt idx="46">
                  <c:v>156.102</c:v>
                </c:pt>
                <c:pt idx="47">
                  <c:v>156.149</c:v>
                </c:pt>
                <c:pt idx="48">
                  <c:v>156.11099999999999</c:v>
                </c:pt>
                <c:pt idx="49">
                  <c:v>156.196</c:v>
                </c:pt>
                <c:pt idx="50">
                  <c:v>156.143</c:v>
                </c:pt>
                <c:pt idx="51">
                  <c:v>156.179</c:v>
                </c:pt>
                <c:pt idx="52">
                  <c:v>156.13499999999999</c:v>
                </c:pt>
                <c:pt idx="53">
                  <c:v>156.21100000000001</c:v>
                </c:pt>
                <c:pt idx="54">
                  <c:v>156.126</c:v>
                </c:pt>
                <c:pt idx="55">
                  <c:v>156.20400000000001</c:v>
                </c:pt>
                <c:pt idx="56">
                  <c:v>156.102</c:v>
                </c:pt>
                <c:pt idx="57">
                  <c:v>156.191</c:v>
                </c:pt>
                <c:pt idx="58">
                  <c:v>155.90899999999999</c:v>
                </c:pt>
                <c:pt idx="59">
                  <c:v>155.965</c:v>
                </c:pt>
                <c:pt idx="60">
                  <c:v>156.00899999999999</c:v>
                </c:pt>
                <c:pt idx="61">
                  <c:v>156.02099999999999</c:v>
                </c:pt>
                <c:pt idx="62">
                  <c:v>155.96700000000001</c:v>
                </c:pt>
                <c:pt idx="63">
                  <c:v>155.99199999999999</c:v>
                </c:pt>
                <c:pt idx="64">
                  <c:v>155.923</c:v>
                </c:pt>
                <c:pt idx="65">
                  <c:v>155.94399999999999</c:v>
                </c:pt>
                <c:pt idx="66">
                  <c:v>155.91900000000001</c:v>
                </c:pt>
                <c:pt idx="67">
                  <c:v>155.965</c:v>
                </c:pt>
                <c:pt idx="68">
                  <c:v>155.94999999999999</c:v>
                </c:pt>
                <c:pt idx="69">
                  <c:v>155.99600000000001</c:v>
                </c:pt>
                <c:pt idx="70">
                  <c:v>156.03800000000001</c:v>
                </c:pt>
                <c:pt idx="71">
                  <c:v>156.05099999999999</c:v>
                </c:pt>
                <c:pt idx="72">
                  <c:v>156.01900000000001</c:v>
                </c:pt>
                <c:pt idx="73">
                  <c:v>156.029</c:v>
                </c:pt>
                <c:pt idx="74">
                  <c:v>156.10300000000001</c:v>
                </c:pt>
                <c:pt idx="75">
                  <c:v>156.102</c:v>
                </c:pt>
                <c:pt idx="76">
                  <c:v>156.06399999999999</c:v>
                </c:pt>
                <c:pt idx="77">
                  <c:v>156.09399999999999</c:v>
                </c:pt>
                <c:pt idx="78">
                  <c:v>156.11199999999999</c:v>
                </c:pt>
                <c:pt idx="79">
                  <c:v>156.13200000000001</c:v>
                </c:pt>
                <c:pt idx="80">
                  <c:v>156.107</c:v>
                </c:pt>
                <c:pt idx="81">
                  <c:v>156.11099999999999</c:v>
                </c:pt>
                <c:pt idx="82">
                  <c:v>156.09899999999999</c:v>
                </c:pt>
                <c:pt idx="83">
                  <c:v>156.09299999999999</c:v>
                </c:pt>
                <c:pt idx="84">
                  <c:v>156.035</c:v>
                </c:pt>
                <c:pt idx="85">
                  <c:v>156.108</c:v>
                </c:pt>
                <c:pt idx="86">
                  <c:v>156.048</c:v>
                </c:pt>
                <c:pt idx="87">
                  <c:v>156.1</c:v>
                </c:pt>
                <c:pt idx="88">
                  <c:v>156.16900000000001</c:v>
                </c:pt>
                <c:pt idx="89">
                  <c:v>156.18600000000001</c:v>
                </c:pt>
                <c:pt idx="90">
                  <c:v>156.166</c:v>
                </c:pt>
                <c:pt idx="91">
                  <c:v>156.15700000000001</c:v>
                </c:pt>
                <c:pt idx="92">
                  <c:v>156.19200000000001</c:v>
                </c:pt>
                <c:pt idx="93">
                  <c:v>156.28899999999999</c:v>
                </c:pt>
                <c:pt idx="94">
                  <c:v>156.20599999999999</c:v>
                </c:pt>
                <c:pt idx="95">
                  <c:v>156.251</c:v>
                </c:pt>
                <c:pt idx="96">
                  <c:v>156.25399999999999</c:v>
                </c:pt>
                <c:pt idx="97">
                  <c:v>156.38200000000001</c:v>
                </c:pt>
                <c:pt idx="98">
                  <c:v>155.94200000000001</c:v>
                </c:pt>
                <c:pt idx="99">
                  <c:v>155.97200000000001</c:v>
                </c:pt>
                <c:pt idx="100">
                  <c:v>155.88999999999999</c:v>
                </c:pt>
                <c:pt idx="101">
                  <c:v>155.96700000000001</c:v>
                </c:pt>
                <c:pt idx="102">
                  <c:v>156.048</c:v>
                </c:pt>
                <c:pt idx="103">
                  <c:v>156.08600000000001</c:v>
                </c:pt>
                <c:pt idx="104">
                  <c:v>155.96799999999999</c:v>
                </c:pt>
                <c:pt idx="105">
                  <c:v>156.03700000000001</c:v>
                </c:pt>
                <c:pt idx="106">
                  <c:v>155.94</c:v>
                </c:pt>
                <c:pt idx="107">
                  <c:v>156.01</c:v>
                </c:pt>
                <c:pt idx="108">
                  <c:v>156.01400000000001</c:v>
                </c:pt>
                <c:pt idx="109">
                  <c:v>156.06899999999999</c:v>
                </c:pt>
                <c:pt idx="110">
                  <c:v>156.03700000000001</c:v>
                </c:pt>
                <c:pt idx="111">
                  <c:v>156.11600000000001</c:v>
                </c:pt>
                <c:pt idx="112">
                  <c:v>155.97300000000001</c:v>
                </c:pt>
                <c:pt idx="113">
                  <c:v>156.06899999999999</c:v>
                </c:pt>
                <c:pt idx="114">
                  <c:v>156.05000000000001</c:v>
                </c:pt>
                <c:pt idx="115">
                  <c:v>156.136</c:v>
                </c:pt>
                <c:pt idx="116">
                  <c:v>156.01400000000001</c:v>
                </c:pt>
                <c:pt idx="117">
                  <c:v>156.13800000000001</c:v>
                </c:pt>
                <c:pt idx="118">
                  <c:v>156.07</c:v>
                </c:pt>
                <c:pt idx="119">
                  <c:v>156.16</c:v>
                </c:pt>
                <c:pt idx="120">
                  <c:v>156.077</c:v>
                </c:pt>
                <c:pt idx="121">
                  <c:v>156.17699999999999</c:v>
                </c:pt>
                <c:pt idx="122">
                  <c:v>156.12899999999999</c:v>
                </c:pt>
                <c:pt idx="123">
                  <c:v>156.196</c:v>
                </c:pt>
                <c:pt idx="124">
                  <c:v>156.084</c:v>
                </c:pt>
                <c:pt idx="125">
                  <c:v>156.19999999999999</c:v>
                </c:pt>
                <c:pt idx="126">
                  <c:v>156.25399999999999</c:v>
                </c:pt>
                <c:pt idx="127">
                  <c:v>156.24799999999999</c:v>
                </c:pt>
                <c:pt idx="128">
                  <c:v>156.16499999999999</c:v>
                </c:pt>
                <c:pt idx="129">
                  <c:v>156.26499999999999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E-41F2-85CC-CC651FA9627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('AMP7-6'!$H$4,'AMP7-6'!$H$4)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E-41F2-85CC-CC651FA9627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('AMP7-6'!$H$5,'AMP7-6'!$H$5)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E-41F2-85CC-CC651FA96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7952"/>
        <c:axId val="573338344"/>
      </c:scatterChart>
      <c:valAx>
        <c:axId val="57333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8344"/>
        <c:crosses val="autoZero"/>
        <c:crossBetween val="midCat"/>
      </c:valAx>
      <c:valAx>
        <c:axId val="5733383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7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'AMP7-6'!$I$8</c:f>
              <c:strCache>
                <c:ptCount val="1"/>
                <c:pt idx="0">
                  <c:v>Dim 2_2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'AMP7-6'!$I$9:$I$138</c:f>
              <c:numCache>
                <c:formatCode>General</c:formatCode>
                <c:ptCount val="130"/>
                <c:pt idx="0">
                  <c:v>156.274</c:v>
                </c:pt>
                <c:pt idx="1">
                  <c:v>156.18100000000001</c:v>
                </c:pt>
                <c:pt idx="2">
                  <c:v>156.23599999999999</c:v>
                </c:pt>
                <c:pt idx="3">
                  <c:v>156.13800000000001</c:v>
                </c:pt>
                <c:pt idx="4">
                  <c:v>156.244</c:v>
                </c:pt>
                <c:pt idx="5">
                  <c:v>156.202</c:v>
                </c:pt>
                <c:pt idx="6">
                  <c:v>156.22800000000001</c:v>
                </c:pt>
                <c:pt idx="7">
                  <c:v>156.13200000000001</c:v>
                </c:pt>
                <c:pt idx="8">
                  <c:v>156.416</c:v>
                </c:pt>
                <c:pt idx="9">
                  <c:v>156.21199999999999</c:v>
                </c:pt>
                <c:pt idx="10">
                  <c:v>156.214</c:v>
                </c:pt>
                <c:pt idx="11">
                  <c:v>156.18</c:v>
                </c:pt>
                <c:pt idx="12">
                  <c:v>156.27099999999999</c:v>
                </c:pt>
                <c:pt idx="13">
                  <c:v>156.24799999999999</c:v>
                </c:pt>
                <c:pt idx="14">
                  <c:v>156.07599999999999</c:v>
                </c:pt>
                <c:pt idx="15">
                  <c:v>155.98599999999999</c:v>
                </c:pt>
                <c:pt idx="16">
                  <c:v>156.1</c:v>
                </c:pt>
                <c:pt idx="17">
                  <c:v>155.96</c:v>
                </c:pt>
                <c:pt idx="18">
                  <c:v>156.19</c:v>
                </c:pt>
                <c:pt idx="19">
                  <c:v>156.06100000000001</c:v>
                </c:pt>
                <c:pt idx="20">
                  <c:v>156.21299999999999</c:v>
                </c:pt>
                <c:pt idx="21">
                  <c:v>156.07400000000001</c:v>
                </c:pt>
                <c:pt idx="22">
                  <c:v>156.20599999999999</c:v>
                </c:pt>
                <c:pt idx="23">
                  <c:v>156.10400000000001</c:v>
                </c:pt>
                <c:pt idx="24">
                  <c:v>156.21199999999999</c:v>
                </c:pt>
                <c:pt idx="25">
                  <c:v>156.04599999999999</c:v>
                </c:pt>
                <c:pt idx="26">
                  <c:v>156.20500000000001</c:v>
                </c:pt>
                <c:pt idx="27">
                  <c:v>156.12899999999999</c:v>
                </c:pt>
                <c:pt idx="28">
                  <c:v>156.215</c:v>
                </c:pt>
                <c:pt idx="29">
                  <c:v>156.10499999999999</c:v>
                </c:pt>
                <c:pt idx="30">
                  <c:v>156.25200000000001</c:v>
                </c:pt>
                <c:pt idx="31">
                  <c:v>156.12100000000001</c:v>
                </c:pt>
                <c:pt idx="32">
                  <c:v>156.268</c:v>
                </c:pt>
                <c:pt idx="33">
                  <c:v>156.142</c:v>
                </c:pt>
                <c:pt idx="34">
                  <c:v>156.21299999999999</c:v>
                </c:pt>
                <c:pt idx="35">
                  <c:v>156.124</c:v>
                </c:pt>
                <c:pt idx="36">
                  <c:v>156.286</c:v>
                </c:pt>
                <c:pt idx="37">
                  <c:v>156.13800000000001</c:v>
                </c:pt>
                <c:pt idx="38">
                  <c:v>156.304</c:v>
                </c:pt>
                <c:pt idx="39">
                  <c:v>156.17400000000001</c:v>
                </c:pt>
                <c:pt idx="40">
                  <c:v>156.26400000000001</c:v>
                </c:pt>
                <c:pt idx="41">
                  <c:v>156.166</c:v>
                </c:pt>
                <c:pt idx="42">
                  <c:v>156.30600000000001</c:v>
                </c:pt>
                <c:pt idx="43">
                  <c:v>156.25800000000001</c:v>
                </c:pt>
                <c:pt idx="44">
                  <c:v>156.279</c:v>
                </c:pt>
                <c:pt idx="45">
                  <c:v>156.20400000000001</c:v>
                </c:pt>
                <c:pt idx="46">
                  <c:v>156.33099999999999</c:v>
                </c:pt>
                <c:pt idx="47">
                  <c:v>156.215</c:v>
                </c:pt>
                <c:pt idx="48">
                  <c:v>156.32400000000001</c:v>
                </c:pt>
                <c:pt idx="49">
                  <c:v>156.25800000000001</c:v>
                </c:pt>
                <c:pt idx="50">
                  <c:v>156.30099999999999</c:v>
                </c:pt>
                <c:pt idx="51">
                  <c:v>156.26</c:v>
                </c:pt>
                <c:pt idx="52">
                  <c:v>156.31200000000001</c:v>
                </c:pt>
                <c:pt idx="53">
                  <c:v>156.24799999999999</c:v>
                </c:pt>
                <c:pt idx="54">
                  <c:v>156.255</c:v>
                </c:pt>
                <c:pt idx="55">
                  <c:v>156.298</c:v>
                </c:pt>
                <c:pt idx="56">
                  <c:v>156.256</c:v>
                </c:pt>
                <c:pt idx="57">
                  <c:v>156.261</c:v>
                </c:pt>
                <c:pt idx="58">
                  <c:v>156.036</c:v>
                </c:pt>
                <c:pt idx="59">
                  <c:v>156.05500000000001</c:v>
                </c:pt>
                <c:pt idx="60">
                  <c:v>156.14400000000001</c:v>
                </c:pt>
                <c:pt idx="61">
                  <c:v>156.09399999999999</c:v>
                </c:pt>
                <c:pt idx="62">
                  <c:v>156.12799999999999</c:v>
                </c:pt>
                <c:pt idx="63">
                  <c:v>156.084</c:v>
                </c:pt>
                <c:pt idx="64">
                  <c:v>156.08699999999999</c:v>
                </c:pt>
                <c:pt idx="65">
                  <c:v>156.07400000000001</c:v>
                </c:pt>
                <c:pt idx="66">
                  <c:v>156.06200000000001</c:v>
                </c:pt>
                <c:pt idx="67">
                  <c:v>156.053</c:v>
                </c:pt>
                <c:pt idx="68">
                  <c:v>156.15199999999999</c:v>
                </c:pt>
                <c:pt idx="69">
                  <c:v>156.08000000000001</c:v>
                </c:pt>
                <c:pt idx="70">
                  <c:v>156.34100000000001</c:v>
                </c:pt>
                <c:pt idx="71">
                  <c:v>156.131</c:v>
                </c:pt>
                <c:pt idx="72">
                  <c:v>156.28299999999999</c:v>
                </c:pt>
                <c:pt idx="73">
                  <c:v>156.15600000000001</c:v>
                </c:pt>
                <c:pt idx="74">
                  <c:v>156.34800000000001</c:v>
                </c:pt>
                <c:pt idx="75">
                  <c:v>156.24</c:v>
                </c:pt>
                <c:pt idx="76">
                  <c:v>156.31800000000001</c:v>
                </c:pt>
                <c:pt idx="77">
                  <c:v>156.29</c:v>
                </c:pt>
                <c:pt idx="78">
                  <c:v>156.36699999999999</c:v>
                </c:pt>
                <c:pt idx="79">
                  <c:v>156.227</c:v>
                </c:pt>
                <c:pt idx="80">
                  <c:v>156.351</c:v>
                </c:pt>
                <c:pt idx="81">
                  <c:v>156.22399999999999</c:v>
                </c:pt>
                <c:pt idx="82">
                  <c:v>156.33699999999999</c:v>
                </c:pt>
                <c:pt idx="83">
                  <c:v>156.22499999999999</c:v>
                </c:pt>
                <c:pt idx="84">
                  <c:v>156.14699999999999</c:v>
                </c:pt>
                <c:pt idx="85">
                  <c:v>156.203</c:v>
                </c:pt>
                <c:pt idx="86">
                  <c:v>156.21700000000001</c:v>
                </c:pt>
                <c:pt idx="87">
                  <c:v>156.18799999999999</c:v>
                </c:pt>
                <c:pt idx="88">
                  <c:v>156.31899999999999</c:v>
                </c:pt>
                <c:pt idx="89">
                  <c:v>156.255</c:v>
                </c:pt>
                <c:pt idx="90">
                  <c:v>156.29400000000001</c:v>
                </c:pt>
                <c:pt idx="91">
                  <c:v>156.23599999999999</c:v>
                </c:pt>
                <c:pt idx="92">
                  <c:v>156.30600000000001</c:v>
                </c:pt>
                <c:pt idx="93">
                  <c:v>156.37200000000001</c:v>
                </c:pt>
                <c:pt idx="94">
                  <c:v>156.334</c:v>
                </c:pt>
                <c:pt idx="95">
                  <c:v>156.31399999999999</c:v>
                </c:pt>
                <c:pt idx="96">
                  <c:v>156.41300000000001</c:v>
                </c:pt>
                <c:pt idx="97">
                  <c:v>156.44499999999999</c:v>
                </c:pt>
                <c:pt idx="98">
                  <c:v>156.18600000000001</c:v>
                </c:pt>
                <c:pt idx="99">
                  <c:v>155.983</c:v>
                </c:pt>
                <c:pt idx="100">
                  <c:v>156.13300000000001</c:v>
                </c:pt>
                <c:pt idx="101">
                  <c:v>155.982</c:v>
                </c:pt>
                <c:pt idx="102">
                  <c:v>156.22200000000001</c:v>
                </c:pt>
                <c:pt idx="103">
                  <c:v>156.14400000000001</c:v>
                </c:pt>
                <c:pt idx="104">
                  <c:v>156.16999999999999</c:v>
                </c:pt>
                <c:pt idx="105">
                  <c:v>156.083</c:v>
                </c:pt>
                <c:pt idx="106">
                  <c:v>156.22399999999999</c:v>
                </c:pt>
                <c:pt idx="107">
                  <c:v>156.059</c:v>
                </c:pt>
                <c:pt idx="108">
                  <c:v>156.22900000000001</c:v>
                </c:pt>
                <c:pt idx="109">
                  <c:v>156.143</c:v>
                </c:pt>
                <c:pt idx="110">
                  <c:v>156.31200000000001</c:v>
                </c:pt>
                <c:pt idx="111">
                  <c:v>156.10900000000001</c:v>
                </c:pt>
                <c:pt idx="112">
                  <c:v>156.21600000000001</c:v>
                </c:pt>
                <c:pt idx="113">
                  <c:v>156.077</c:v>
                </c:pt>
                <c:pt idx="114">
                  <c:v>156.292</c:v>
                </c:pt>
                <c:pt idx="115">
                  <c:v>156.15</c:v>
                </c:pt>
                <c:pt idx="116">
                  <c:v>156.19499999999999</c:v>
                </c:pt>
                <c:pt idx="117">
                  <c:v>156.178</c:v>
                </c:pt>
                <c:pt idx="118">
                  <c:v>156.28399999999999</c:v>
                </c:pt>
                <c:pt idx="119">
                  <c:v>156.19999999999999</c:v>
                </c:pt>
                <c:pt idx="120">
                  <c:v>156.29599999999999</c:v>
                </c:pt>
                <c:pt idx="121">
                  <c:v>156.202</c:v>
                </c:pt>
                <c:pt idx="122">
                  <c:v>156.33500000000001</c:v>
                </c:pt>
                <c:pt idx="123">
                  <c:v>156.22800000000001</c:v>
                </c:pt>
                <c:pt idx="124">
                  <c:v>156.28200000000001</c:v>
                </c:pt>
                <c:pt idx="125">
                  <c:v>156.238</c:v>
                </c:pt>
                <c:pt idx="126">
                  <c:v>156.399</c:v>
                </c:pt>
                <c:pt idx="127">
                  <c:v>156.352</c:v>
                </c:pt>
                <c:pt idx="128">
                  <c:v>156.309</c:v>
                </c:pt>
                <c:pt idx="129">
                  <c:v>156.28100000000001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5-48C5-880D-CB098D5FFC3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('AMP7-6'!$I$4,'AMP7-6'!$I$4)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C5-48C5-880D-CB098D5FFC3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('AMP7-6'!$I$5,'AMP7-6'!$I$5)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C5-48C5-880D-CB098D5F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39128"/>
        <c:axId val="573339520"/>
      </c:scatterChart>
      <c:valAx>
        <c:axId val="57333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9520"/>
        <c:crosses val="autoZero"/>
        <c:crossBetween val="midCat"/>
      </c:valAx>
      <c:valAx>
        <c:axId val="573339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9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'AMP7-6'!$J$8</c:f>
              <c:strCache>
                <c:ptCount val="1"/>
                <c:pt idx="0">
                  <c:v>Dim 3_1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'AMP7-6'!$J$9:$J$138</c:f>
              <c:numCache>
                <c:formatCode>General</c:formatCode>
                <c:ptCount val="130"/>
                <c:pt idx="1">
                  <c:v>168.56100000000001</c:v>
                </c:pt>
                <c:pt idx="3">
                  <c:v>168.78100000000001</c:v>
                </c:pt>
                <c:pt idx="5">
                  <c:v>168.75899999999999</c:v>
                </c:pt>
                <c:pt idx="7">
                  <c:v>168.85599999999999</c:v>
                </c:pt>
                <c:pt idx="9">
                  <c:v>168.91200000000001</c:v>
                </c:pt>
                <c:pt idx="11">
                  <c:v>168.773</c:v>
                </c:pt>
                <c:pt idx="13">
                  <c:v>168.97300000000001</c:v>
                </c:pt>
                <c:pt idx="15">
                  <c:v>168.70500000000001</c:v>
                </c:pt>
                <c:pt idx="17">
                  <c:v>168.721</c:v>
                </c:pt>
                <c:pt idx="19">
                  <c:v>168.74</c:v>
                </c:pt>
                <c:pt idx="21">
                  <c:v>168.82499999999999</c:v>
                </c:pt>
                <c:pt idx="23">
                  <c:v>168.82</c:v>
                </c:pt>
                <c:pt idx="25">
                  <c:v>168.79900000000001</c:v>
                </c:pt>
                <c:pt idx="27">
                  <c:v>168.77199999999999</c:v>
                </c:pt>
                <c:pt idx="29">
                  <c:v>168.76900000000001</c:v>
                </c:pt>
                <c:pt idx="31">
                  <c:v>168.767</c:v>
                </c:pt>
                <c:pt idx="33">
                  <c:v>168.679</c:v>
                </c:pt>
                <c:pt idx="35">
                  <c:v>168.71899999999999</c:v>
                </c:pt>
                <c:pt idx="37">
                  <c:v>168.87100000000001</c:v>
                </c:pt>
                <c:pt idx="39">
                  <c:v>168.79300000000001</c:v>
                </c:pt>
                <c:pt idx="41">
                  <c:v>168.78299999999999</c:v>
                </c:pt>
                <c:pt idx="43">
                  <c:v>168.8</c:v>
                </c:pt>
                <c:pt idx="45">
                  <c:v>168.774</c:v>
                </c:pt>
                <c:pt idx="47">
                  <c:v>168.81200000000001</c:v>
                </c:pt>
                <c:pt idx="49">
                  <c:v>168.85499999999999</c:v>
                </c:pt>
                <c:pt idx="51">
                  <c:v>168.797</c:v>
                </c:pt>
                <c:pt idx="53">
                  <c:v>168.7</c:v>
                </c:pt>
                <c:pt idx="55">
                  <c:v>168.91200000000001</c:v>
                </c:pt>
                <c:pt idx="57">
                  <c:v>168.779</c:v>
                </c:pt>
                <c:pt idx="59">
                  <c:v>168.41900000000001</c:v>
                </c:pt>
                <c:pt idx="61">
                  <c:v>168.75200000000001</c:v>
                </c:pt>
                <c:pt idx="63">
                  <c:v>168.72200000000001</c:v>
                </c:pt>
                <c:pt idx="65">
                  <c:v>168.833</c:v>
                </c:pt>
                <c:pt idx="67">
                  <c:v>168.767</c:v>
                </c:pt>
                <c:pt idx="69">
                  <c:v>168.76400000000001</c:v>
                </c:pt>
                <c:pt idx="71">
                  <c:v>169.029</c:v>
                </c:pt>
                <c:pt idx="73">
                  <c:v>168.79499999999999</c:v>
                </c:pt>
                <c:pt idx="75">
                  <c:v>168.822</c:v>
                </c:pt>
                <c:pt idx="77">
                  <c:v>168.72900000000001</c:v>
                </c:pt>
                <c:pt idx="79">
                  <c:v>168.73400000000001</c:v>
                </c:pt>
                <c:pt idx="81">
                  <c:v>168.72800000000001</c:v>
                </c:pt>
                <c:pt idx="83">
                  <c:v>168.738</c:v>
                </c:pt>
                <c:pt idx="85">
                  <c:v>168.5</c:v>
                </c:pt>
                <c:pt idx="87">
                  <c:v>168.87299999999999</c:v>
                </c:pt>
                <c:pt idx="89">
                  <c:v>168.83600000000001</c:v>
                </c:pt>
                <c:pt idx="91">
                  <c:v>168.85499999999999</c:v>
                </c:pt>
                <c:pt idx="93">
                  <c:v>168.80099999999999</c:v>
                </c:pt>
                <c:pt idx="95">
                  <c:v>168.74799999999999</c:v>
                </c:pt>
                <c:pt idx="97">
                  <c:v>168.84100000000001</c:v>
                </c:pt>
                <c:pt idx="99">
                  <c:v>168.90600000000001</c:v>
                </c:pt>
                <c:pt idx="101">
                  <c:v>168.82300000000001</c:v>
                </c:pt>
                <c:pt idx="103">
                  <c:v>168.828</c:v>
                </c:pt>
                <c:pt idx="105">
                  <c:v>168.77500000000001</c:v>
                </c:pt>
                <c:pt idx="107">
                  <c:v>168.803</c:v>
                </c:pt>
                <c:pt idx="109">
                  <c:v>168.785</c:v>
                </c:pt>
                <c:pt idx="111">
                  <c:v>168.827</c:v>
                </c:pt>
                <c:pt idx="113">
                  <c:v>168.80600000000001</c:v>
                </c:pt>
                <c:pt idx="115">
                  <c:v>168.75299999999999</c:v>
                </c:pt>
                <c:pt idx="117">
                  <c:v>168.86199999999999</c:v>
                </c:pt>
                <c:pt idx="119">
                  <c:v>168.78</c:v>
                </c:pt>
                <c:pt idx="121">
                  <c:v>168.80199999999999</c:v>
                </c:pt>
                <c:pt idx="123">
                  <c:v>168.75899999999999</c:v>
                </c:pt>
                <c:pt idx="125">
                  <c:v>168.749</c:v>
                </c:pt>
                <c:pt idx="127">
                  <c:v>168.82</c:v>
                </c:pt>
                <c:pt idx="129">
                  <c:v>168.82599999999999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C8-4A59-8D52-11223CE7302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('AMP7-6'!$J$4,'AMP7-6'!$J$4)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C8-4A59-8D52-11223CE7302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('AMP7-6'!$J$5,'AMP7-6'!$J$5)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C8-4A59-8D52-11223CE7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0304"/>
        <c:axId val="573340696"/>
      </c:scatterChart>
      <c:valAx>
        <c:axId val="57334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0696"/>
        <c:crosses val="autoZero"/>
        <c:crossBetween val="midCat"/>
      </c:valAx>
      <c:valAx>
        <c:axId val="5733406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'AMP7-6'!$K$8</c:f>
              <c:strCache>
                <c:ptCount val="1"/>
                <c:pt idx="0">
                  <c:v>Dim 3_2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'AMP7-6'!$K$9:$K$138</c:f>
              <c:numCache>
                <c:formatCode>General</c:formatCode>
                <c:ptCount val="130"/>
                <c:pt idx="1">
                  <c:v>168.589</c:v>
                </c:pt>
                <c:pt idx="3">
                  <c:v>168.833</c:v>
                </c:pt>
                <c:pt idx="5">
                  <c:v>168.792</c:v>
                </c:pt>
                <c:pt idx="7">
                  <c:v>168.88</c:v>
                </c:pt>
                <c:pt idx="9">
                  <c:v>168.964</c:v>
                </c:pt>
                <c:pt idx="11">
                  <c:v>168.95400000000001</c:v>
                </c:pt>
                <c:pt idx="13">
                  <c:v>169.16200000000001</c:v>
                </c:pt>
                <c:pt idx="15">
                  <c:v>168.80799999999999</c:v>
                </c:pt>
                <c:pt idx="17">
                  <c:v>168.73599999999999</c:v>
                </c:pt>
                <c:pt idx="19">
                  <c:v>168.774</c:v>
                </c:pt>
                <c:pt idx="21">
                  <c:v>168.81200000000001</c:v>
                </c:pt>
                <c:pt idx="23">
                  <c:v>168.76499999999999</c:v>
                </c:pt>
                <c:pt idx="25">
                  <c:v>168.827</c:v>
                </c:pt>
                <c:pt idx="27">
                  <c:v>168.779</c:v>
                </c:pt>
                <c:pt idx="29">
                  <c:v>168.798</c:v>
                </c:pt>
                <c:pt idx="31">
                  <c:v>168.75700000000001</c:v>
                </c:pt>
                <c:pt idx="33">
                  <c:v>168.67699999999999</c:v>
                </c:pt>
                <c:pt idx="35">
                  <c:v>168.768</c:v>
                </c:pt>
                <c:pt idx="37">
                  <c:v>168.917</c:v>
                </c:pt>
                <c:pt idx="39">
                  <c:v>168.85300000000001</c:v>
                </c:pt>
                <c:pt idx="41">
                  <c:v>168.88</c:v>
                </c:pt>
                <c:pt idx="43">
                  <c:v>168.9</c:v>
                </c:pt>
                <c:pt idx="45">
                  <c:v>168.89</c:v>
                </c:pt>
                <c:pt idx="47">
                  <c:v>168.90199999999999</c:v>
                </c:pt>
                <c:pt idx="49">
                  <c:v>168.89400000000001</c:v>
                </c:pt>
                <c:pt idx="51">
                  <c:v>168.898</c:v>
                </c:pt>
                <c:pt idx="53">
                  <c:v>168.821</c:v>
                </c:pt>
                <c:pt idx="55">
                  <c:v>169.042</c:v>
                </c:pt>
                <c:pt idx="57">
                  <c:v>169.12899999999999</c:v>
                </c:pt>
                <c:pt idx="59">
                  <c:v>168.54400000000001</c:v>
                </c:pt>
                <c:pt idx="61">
                  <c:v>168.87100000000001</c:v>
                </c:pt>
                <c:pt idx="63">
                  <c:v>168.84700000000001</c:v>
                </c:pt>
                <c:pt idx="65">
                  <c:v>169.00200000000001</c:v>
                </c:pt>
                <c:pt idx="67">
                  <c:v>168.90799999999999</c:v>
                </c:pt>
                <c:pt idx="69">
                  <c:v>168.99299999999999</c:v>
                </c:pt>
                <c:pt idx="71">
                  <c:v>169.26499999999999</c:v>
                </c:pt>
                <c:pt idx="73">
                  <c:v>168.768</c:v>
                </c:pt>
                <c:pt idx="75">
                  <c:v>168.779</c:v>
                </c:pt>
                <c:pt idx="77">
                  <c:v>168.71700000000001</c:v>
                </c:pt>
                <c:pt idx="79">
                  <c:v>168.20500000000001</c:v>
                </c:pt>
                <c:pt idx="81">
                  <c:v>168.751</c:v>
                </c:pt>
                <c:pt idx="83">
                  <c:v>168.833</c:v>
                </c:pt>
                <c:pt idx="85">
                  <c:v>168.511</c:v>
                </c:pt>
                <c:pt idx="87">
                  <c:v>169.03200000000001</c:v>
                </c:pt>
                <c:pt idx="89">
                  <c:v>169.03200000000001</c:v>
                </c:pt>
                <c:pt idx="91">
                  <c:v>169.089</c:v>
                </c:pt>
                <c:pt idx="93">
                  <c:v>169.023</c:v>
                </c:pt>
                <c:pt idx="95">
                  <c:v>168.92400000000001</c:v>
                </c:pt>
                <c:pt idx="97">
                  <c:v>169.09399999999999</c:v>
                </c:pt>
                <c:pt idx="99">
                  <c:v>169.143</c:v>
                </c:pt>
                <c:pt idx="101">
                  <c:v>168.81299999999999</c:v>
                </c:pt>
                <c:pt idx="103">
                  <c:v>168.84299999999999</c:v>
                </c:pt>
                <c:pt idx="105">
                  <c:v>168.76499999999999</c:v>
                </c:pt>
                <c:pt idx="107">
                  <c:v>168.76400000000001</c:v>
                </c:pt>
                <c:pt idx="109">
                  <c:v>168.88200000000001</c:v>
                </c:pt>
                <c:pt idx="111">
                  <c:v>168.86199999999999</c:v>
                </c:pt>
                <c:pt idx="113">
                  <c:v>168.84399999999999</c:v>
                </c:pt>
                <c:pt idx="115">
                  <c:v>168.84100000000001</c:v>
                </c:pt>
                <c:pt idx="117">
                  <c:v>168.83799999999999</c:v>
                </c:pt>
                <c:pt idx="119">
                  <c:v>168.851</c:v>
                </c:pt>
                <c:pt idx="121">
                  <c:v>168.80199999999999</c:v>
                </c:pt>
                <c:pt idx="123">
                  <c:v>168.792</c:v>
                </c:pt>
                <c:pt idx="125">
                  <c:v>168.85499999999999</c:v>
                </c:pt>
                <c:pt idx="127">
                  <c:v>168.97300000000001</c:v>
                </c:pt>
                <c:pt idx="129">
                  <c:v>168.881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D-4896-8C24-78A269F269B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('AMP7-6'!$K$4,'AMP7-6'!$K$4)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8D-4896-8C24-78A269F269B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('AMP7-6'!$K$5,'AMP7-6'!$K$5)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8D-4896-8C24-78A269F26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1480"/>
        <c:axId val="573341872"/>
      </c:scatterChart>
      <c:valAx>
        <c:axId val="57334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1872"/>
        <c:crosses val="autoZero"/>
        <c:crossBetween val="midCat"/>
      </c:valAx>
      <c:valAx>
        <c:axId val="5733418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'AMP7-6'!$L$8</c:f>
              <c:strCache>
                <c:ptCount val="1"/>
                <c:pt idx="0">
                  <c:v>Dim 4_1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'AMP7-6'!$L$9:$L$138</c:f>
              <c:numCache>
                <c:formatCode>General</c:formatCode>
                <c:ptCount val="130"/>
                <c:pt idx="0">
                  <c:v>155.93600000000001</c:v>
                </c:pt>
                <c:pt idx="1">
                  <c:v>156.18899999999999</c:v>
                </c:pt>
                <c:pt idx="2">
                  <c:v>155.97499999999999</c:v>
                </c:pt>
                <c:pt idx="3">
                  <c:v>156.17500000000001</c:v>
                </c:pt>
                <c:pt idx="4">
                  <c:v>156.00200000000001</c:v>
                </c:pt>
                <c:pt idx="5">
                  <c:v>156.245</c:v>
                </c:pt>
                <c:pt idx="6">
                  <c:v>155.94200000000001</c:v>
                </c:pt>
                <c:pt idx="7">
                  <c:v>156.16300000000001</c:v>
                </c:pt>
                <c:pt idx="8">
                  <c:v>156.108</c:v>
                </c:pt>
                <c:pt idx="9">
                  <c:v>156.273</c:v>
                </c:pt>
                <c:pt idx="10">
                  <c:v>156.03200000000001</c:v>
                </c:pt>
                <c:pt idx="11">
                  <c:v>156.226</c:v>
                </c:pt>
                <c:pt idx="12">
                  <c:v>155.99700000000001</c:v>
                </c:pt>
                <c:pt idx="13">
                  <c:v>156.21100000000001</c:v>
                </c:pt>
                <c:pt idx="14">
                  <c:v>155.779</c:v>
                </c:pt>
                <c:pt idx="15">
                  <c:v>155.99799999999999</c:v>
                </c:pt>
                <c:pt idx="16">
                  <c:v>155.78899999999999</c:v>
                </c:pt>
                <c:pt idx="17">
                  <c:v>156.01499999999999</c:v>
                </c:pt>
                <c:pt idx="18">
                  <c:v>155.86799999999999</c:v>
                </c:pt>
                <c:pt idx="19">
                  <c:v>156.07499999999999</c:v>
                </c:pt>
                <c:pt idx="20">
                  <c:v>155.86799999999999</c:v>
                </c:pt>
                <c:pt idx="21">
                  <c:v>156.125</c:v>
                </c:pt>
                <c:pt idx="22">
                  <c:v>155.93799999999999</c:v>
                </c:pt>
                <c:pt idx="23">
                  <c:v>156.137</c:v>
                </c:pt>
                <c:pt idx="24">
                  <c:v>155.85900000000001</c:v>
                </c:pt>
                <c:pt idx="25">
                  <c:v>156.066</c:v>
                </c:pt>
                <c:pt idx="26">
                  <c:v>155.935</c:v>
                </c:pt>
                <c:pt idx="27">
                  <c:v>156.14099999999999</c:v>
                </c:pt>
                <c:pt idx="28">
                  <c:v>155.91499999999999</c:v>
                </c:pt>
                <c:pt idx="29">
                  <c:v>156.16200000000001</c:v>
                </c:pt>
                <c:pt idx="30">
                  <c:v>155.958</c:v>
                </c:pt>
                <c:pt idx="31">
                  <c:v>156.148</c:v>
                </c:pt>
                <c:pt idx="32">
                  <c:v>155.976</c:v>
                </c:pt>
                <c:pt idx="33">
                  <c:v>156.167</c:v>
                </c:pt>
                <c:pt idx="34">
                  <c:v>155.91399999999999</c:v>
                </c:pt>
                <c:pt idx="35">
                  <c:v>156.137</c:v>
                </c:pt>
                <c:pt idx="36">
                  <c:v>155.97800000000001</c:v>
                </c:pt>
                <c:pt idx="37">
                  <c:v>156.16900000000001</c:v>
                </c:pt>
                <c:pt idx="38">
                  <c:v>156.005</c:v>
                </c:pt>
                <c:pt idx="39">
                  <c:v>156.214</c:v>
                </c:pt>
                <c:pt idx="40">
                  <c:v>155.97399999999999</c:v>
                </c:pt>
                <c:pt idx="41">
                  <c:v>156.18199999999999</c:v>
                </c:pt>
                <c:pt idx="42">
                  <c:v>156.05699999999999</c:v>
                </c:pt>
                <c:pt idx="43">
                  <c:v>156.28100000000001</c:v>
                </c:pt>
                <c:pt idx="44">
                  <c:v>155.999</c:v>
                </c:pt>
                <c:pt idx="45">
                  <c:v>156.23699999999999</c:v>
                </c:pt>
                <c:pt idx="46">
                  <c:v>156.03800000000001</c:v>
                </c:pt>
                <c:pt idx="47">
                  <c:v>156.215</c:v>
                </c:pt>
                <c:pt idx="48">
                  <c:v>156.05000000000001</c:v>
                </c:pt>
                <c:pt idx="49">
                  <c:v>156.27199999999999</c:v>
                </c:pt>
                <c:pt idx="50">
                  <c:v>156.072</c:v>
                </c:pt>
                <c:pt idx="51">
                  <c:v>156.27199999999999</c:v>
                </c:pt>
                <c:pt idx="52">
                  <c:v>156.08600000000001</c:v>
                </c:pt>
                <c:pt idx="53">
                  <c:v>156.27199999999999</c:v>
                </c:pt>
                <c:pt idx="54">
                  <c:v>156.05199999999999</c:v>
                </c:pt>
                <c:pt idx="55">
                  <c:v>156.28399999999999</c:v>
                </c:pt>
                <c:pt idx="56">
                  <c:v>156.06299999999999</c:v>
                </c:pt>
                <c:pt idx="57">
                  <c:v>156.28</c:v>
                </c:pt>
                <c:pt idx="58">
                  <c:v>155.822</c:v>
                </c:pt>
                <c:pt idx="59">
                  <c:v>156.04599999999999</c:v>
                </c:pt>
                <c:pt idx="60">
                  <c:v>155.91999999999999</c:v>
                </c:pt>
                <c:pt idx="61">
                  <c:v>156.102</c:v>
                </c:pt>
                <c:pt idx="62">
                  <c:v>155.88800000000001</c:v>
                </c:pt>
                <c:pt idx="63">
                  <c:v>156.083</c:v>
                </c:pt>
                <c:pt idx="64">
                  <c:v>155.85900000000001</c:v>
                </c:pt>
                <c:pt idx="65">
                  <c:v>156.04</c:v>
                </c:pt>
                <c:pt idx="66">
                  <c:v>155.857</c:v>
                </c:pt>
                <c:pt idx="67">
                  <c:v>156.03399999999999</c:v>
                </c:pt>
                <c:pt idx="68">
                  <c:v>155.87899999999999</c:v>
                </c:pt>
                <c:pt idx="69">
                  <c:v>156.07</c:v>
                </c:pt>
                <c:pt idx="70">
                  <c:v>155.858</c:v>
                </c:pt>
                <c:pt idx="71">
                  <c:v>156.04400000000001</c:v>
                </c:pt>
                <c:pt idx="72">
                  <c:v>155.84</c:v>
                </c:pt>
                <c:pt idx="73">
                  <c:v>156.017</c:v>
                </c:pt>
                <c:pt idx="74">
                  <c:v>155.904</c:v>
                </c:pt>
                <c:pt idx="75">
                  <c:v>156.11099999999999</c:v>
                </c:pt>
                <c:pt idx="76">
                  <c:v>155.88300000000001</c:v>
                </c:pt>
                <c:pt idx="77">
                  <c:v>156.07</c:v>
                </c:pt>
                <c:pt idx="78">
                  <c:v>155.88900000000001</c:v>
                </c:pt>
                <c:pt idx="79">
                  <c:v>156.11099999999999</c:v>
                </c:pt>
                <c:pt idx="80">
                  <c:v>155.886</c:v>
                </c:pt>
                <c:pt idx="81">
                  <c:v>156.1</c:v>
                </c:pt>
                <c:pt idx="82">
                  <c:v>155.886</c:v>
                </c:pt>
                <c:pt idx="83">
                  <c:v>156.08600000000001</c:v>
                </c:pt>
                <c:pt idx="84">
                  <c:v>155.96700000000001</c:v>
                </c:pt>
                <c:pt idx="85">
                  <c:v>156.197</c:v>
                </c:pt>
                <c:pt idx="86">
                  <c:v>155.99100000000001</c:v>
                </c:pt>
                <c:pt idx="87">
                  <c:v>156.18100000000001</c:v>
                </c:pt>
                <c:pt idx="88">
                  <c:v>156.11000000000001</c:v>
                </c:pt>
                <c:pt idx="89">
                  <c:v>156.28100000000001</c:v>
                </c:pt>
                <c:pt idx="90">
                  <c:v>156.108</c:v>
                </c:pt>
                <c:pt idx="91">
                  <c:v>156.226</c:v>
                </c:pt>
                <c:pt idx="92">
                  <c:v>156.12100000000001</c:v>
                </c:pt>
                <c:pt idx="93">
                  <c:v>156.37100000000001</c:v>
                </c:pt>
                <c:pt idx="94">
                  <c:v>156.15799999999999</c:v>
                </c:pt>
                <c:pt idx="95">
                  <c:v>156.36099999999999</c:v>
                </c:pt>
                <c:pt idx="96">
                  <c:v>156.178</c:v>
                </c:pt>
                <c:pt idx="97">
                  <c:v>156.44</c:v>
                </c:pt>
                <c:pt idx="98">
                  <c:v>155.827</c:v>
                </c:pt>
                <c:pt idx="99">
                  <c:v>156.03</c:v>
                </c:pt>
                <c:pt idx="100">
                  <c:v>155.839</c:v>
                </c:pt>
                <c:pt idx="101">
                  <c:v>156.023</c:v>
                </c:pt>
                <c:pt idx="102">
                  <c:v>155.95099999999999</c:v>
                </c:pt>
                <c:pt idx="103">
                  <c:v>156.142</c:v>
                </c:pt>
                <c:pt idx="104">
                  <c:v>155.892</c:v>
                </c:pt>
                <c:pt idx="105">
                  <c:v>156.113</c:v>
                </c:pt>
                <c:pt idx="106">
                  <c:v>155.85499999999999</c:v>
                </c:pt>
                <c:pt idx="107">
                  <c:v>156.08099999999999</c:v>
                </c:pt>
                <c:pt idx="108">
                  <c:v>155.946</c:v>
                </c:pt>
                <c:pt idx="109">
                  <c:v>156.15299999999999</c:v>
                </c:pt>
                <c:pt idx="110">
                  <c:v>155.959</c:v>
                </c:pt>
                <c:pt idx="111">
                  <c:v>156.209</c:v>
                </c:pt>
                <c:pt idx="112">
                  <c:v>155.91800000000001</c:v>
                </c:pt>
                <c:pt idx="113">
                  <c:v>156.10599999999999</c:v>
                </c:pt>
                <c:pt idx="114">
                  <c:v>155.96899999999999</c:v>
                </c:pt>
                <c:pt idx="115">
                  <c:v>156.16900000000001</c:v>
                </c:pt>
                <c:pt idx="116">
                  <c:v>155.905</c:v>
                </c:pt>
                <c:pt idx="117">
                  <c:v>156.16900000000001</c:v>
                </c:pt>
                <c:pt idx="118">
                  <c:v>156.00700000000001</c:v>
                </c:pt>
                <c:pt idx="119">
                  <c:v>156.215</c:v>
                </c:pt>
                <c:pt idx="120">
                  <c:v>156.053</c:v>
                </c:pt>
                <c:pt idx="121">
                  <c:v>156.221</c:v>
                </c:pt>
                <c:pt idx="122">
                  <c:v>156.05600000000001</c:v>
                </c:pt>
                <c:pt idx="123">
                  <c:v>156.24299999999999</c:v>
                </c:pt>
                <c:pt idx="124">
                  <c:v>156.011</c:v>
                </c:pt>
                <c:pt idx="125">
                  <c:v>156.25899999999999</c:v>
                </c:pt>
                <c:pt idx="126">
                  <c:v>156.17099999999999</c:v>
                </c:pt>
                <c:pt idx="127">
                  <c:v>156.29</c:v>
                </c:pt>
                <c:pt idx="128">
                  <c:v>156.09200000000001</c:v>
                </c:pt>
                <c:pt idx="129">
                  <c:v>156.28399999999999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A-4558-824D-1FE874C0BB7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('AMP7-6'!$L$4,'AMP7-6'!$L$4)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DA-4558-824D-1FE874C0BB7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('AMP7-6'!$L$5,'AMP7-6'!$L$5)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DA-4558-824D-1FE874C0B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2656"/>
        <c:axId val="573343048"/>
      </c:scatterChart>
      <c:valAx>
        <c:axId val="57334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3048"/>
        <c:crosses val="autoZero"/>
        <c:crossBetween val="midCat"/>
      </c:valAx>
      <c:valAx>
        <c:axId val="5733430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'AMP7-6'!$M$9:$M$138</c:f>
              <c:numCache>
                <c:formatCode>General</c:formatCode>
                <c:ptCount val="130"/>
                <c:pt idx="0">
                  <c:v>155.87200000000001</c:v>
                </c:pt>
                <c:pt idx="1">
                  <c:v>155.99</c:v>
                </c:pt>
                <c:pt idx="2">
                  <c:v>155.86600000000001</c:v>
                </c:pt>
                <c:pt idx="3">
                  <c:v>155.958</c:v>
                </c:pt>
                <c:pt idx="4">
                  <c:v>155.88800000000001</c:v>
                </c:pt>
                <c:pt idx="5">
                  <c:v>156.04300000000001</c:v>
                </c:pt>
                <c:pt idx="6">
                  <c:v>155.87</c:v>
                </c:pt>
                <c:pt idx="7">
                  <c:v>155.94399999999999</c:v>
                </c:pt>
                <c:pt idx="8">
                  <c:v>156.04400000000001</c:v>
                </c:pt>
                <c:pt idx="9">
                  <c:v>156.04300000000001</c:v>
                </c:pt>
                <c:pt idx="10">
                  <c:v>155.93199999999999</c:v>
                </c:pt>
                <c:pt idx="11">
                  <c:v>156.006</c:v>
                </c:pt>
                <c:pt idx="12">
                  <c:v>155.88999999999999</c:v>
                </c:pt>
                <c:pt idx="13">
                  <c:v>156.11799999999999</c:v>
                </c:pt>
                <c:pt idx="14">
                  <c:v>155.727</c:v>
                </c:pt>
                <c:pt idx="15">
                  <c:v>155.77500000000001</c:v>
                </c:pt>
                <c:pt idx="16">
                  <c:v>155.76900000000001</c:v>
                </c:pt>
                <c:pt idx="17">
                  <c:v>155.77000000000001</c:v>
                </c:pt>
                <c:pt idx="18">
                  <c:v>155.834</c:v>
                </c:pt>
                <c:pt idx="19">
                  <c:v>155.84200000000001</c:v>
                </c:pt>
                <c:pt idx="20">
                  <c:v>155.84899999999999</c:v>
                </c:pt>
                <c:pt idx="21">
                  <c:v>155.881</c:v>
                </c:pt>
                <c:pt idx="22">
                  <c:v>155.852</c:v>
                </c:pt>
                <c:pt idx="23">
                  <c:v>155.91</c:v>
                </c:pt>
                <c:pt idx="24">
                  <c:v>155.87899999999999</c:v>
                </c:pt>
                <c:pt idx="25">
                  <c:v>155.83799999999999</c:v>
                </c:pt>
                <c:pt idx="26">
                  <c:v>155.88800000000001</c:v>
                </c:pt>
                <c:pt idx="27">
                  <c:v>155.94300000000001</c:v>
                </c:pt>
                <c:pt idx="28">
                  <c:v>155.88900000000001</c:v>
                </c:pt>
                <c:pt idx="29">
                  <c:v>155.95500000000001</c:v>
                </c:pt>
                <c:pt idx="30">
                  <c:v>155.946</c:v>
                </c:pt>
                <c:pt idx="31">
                  <c:v>155.92500000000001</c:v>
                </c:pt>
                <c:pt idx="32">
                  <c:v>155.94300000000001</c:v>
                </c:pt>
                <c:pt idx="33">
                  <c:v>155.94900000000001</c:v>
                </c:pt>
                <c:pt idx="34">
                  <c:v>155.89099999999999</c:v>
                </c:pt>
                <c:pt idx="35">
                  <c:v>155.94499999999999</c:v>
                </c:pt>
                <c:pt idx="36">
                  <c:v>155.96199999999999</c:v>
                </c:pt>
                <c:pt idx="37">
                  <c:v>155.95599999999999</c:v>
                </c:pt>
                <c:pt idx="38">
                  <c:v>155.958</c:v>
                </c:pt>
                <c:pt idx="39">
                  <c:v>156.006</c:v>
                </c:pt>
                <c:pt idx="40">
                  <c:v>155.91499999999999</c:v>
                </c:pt>
                <c:pt idx="41">
                  <c:v>155.98699999999999</c:v>
                </c:pt>
                <c:pt idx="42">
                  <c:v>155.96199999999999</c:v>
                </c:pt>
                <c:pt idx="43">
                  <c:v>156.09899999999999</c:v>
                </c:pt>
                <c:pt idx="44">
                  <c:v>155.923</c:v>
                </c:pt>
                <c:pt idx="45">
                  <c:v>156.03800000000001</c:v>
                </c:pt>
                <c:pt idx="46">
                  <c:v>155.97200000000001</c:v>
                </c:pt>
                <c:pt idx="47">
                  <c:v>156.023</c:v>
                </c:pt>
                <c:pt idx="48">
                  <c:v>155.97499999999999</c:v>
                </c:pt>
                <c:pt idx="49">
                  <c:v>156.096</c:v>
                </c:pt>
                <c:pt idx="50">
                  <c:v>155.93</c:v>
                </c:pt>
                <c:pt idx="51">
                  <c:v>156.059</c:v>
                </c:pt>
                <c:pt idx="52">
                  <c:v>155.94499999999999</c:v>
                </c:pt>
                <c:pt idx="53">
                  <c:v>156.029</c:v>
                </c:pt>
                <c:pt idx="54">
                  <c:v>155.87100000000001</c:v>
                </c:pt>
                <c:pt idx="55">
                  <c:v>156.12899999999999</c:v>
                </c:pt>
                <c:pt idx="56">
                  <c:v>155.89500000000001</c:v>
                </c:pt>
                <c:pt idx="57">
                  <c:v>156.07599999999999</c:v>
                </c:pt>
                <c:pt idx="58">
                  <c:v>155.67400000000001</c:v>
                </c:pt>
                <c:pt idx="59">
                  <c:v>155.87</c:v>
                </c:pt>
                <c:pt idx="60">
                  <c:v>155.821</c:v>
                </c:pt>
                <c:pt idx="61">
                  <c:v>155.90700000000001</c:v>
                </c:pt>
                <c:pt idx="62">
                  <c:v>155.77799999999999</c:v>
                </c:pt>
                <c:pt idx="63">
                  <c:v>155.90899999999999</c:v>
                </c:pt>
                <c:pt idx="64">
                  <c:v>155.74</c:v>
                </c:pt>
                <c:pt idx="65">
                  <c:v>155.893</c:v>
                </c:pt>
                <c:pt idx="66">
                  <c:v>155.69300000000001</c:v>
                </c:pt>
                <c:pt idx="67">
                  <c:v>155.85</c:v>
                </c:pt>
                <c:pt idx="68">
                  <c:v>155.78899999999999</c:v>
                </c:pt>
                <c:pt idx="69">
                  <c:v>155.899</c:v>
                </c:pt>
                <c:pt idx="70">
                  <c:v>155.828</c:v>
                </c:pt>
                <c:pt idx="71">
                  <c:v>155.88900000000001</c:v>
                </c:pt>
                <c:pt idx="72">
                  <c:v>155.75700000000001</c:v>
                </c:pt>
                <c:pt idx="73">
                  <c:v>155.90299999999999</c:v>
                </c:pt>
                <c:pt idx="74">
                  <c:v>155.797</c:v>
                </c:pt>
                <c:pt idx="75">
                  <c:v>156.00299999999999</c:v>
                </c:pt>
                <c:pt idx="76">
                  <c:v>155.76599999999999</c:v>
                </c:pt>
                <c:pt idx="77">
                  <c:v>156.05799999999999</c:v>
                </c:pt>
                <c:pt idx="78">
                  <c:v>155.779</c:v>
                </c:pt>
                <c:pt idx="79">
                  <c:v>155.983</c:v>
                </c:pt>
                <c:pt idx="80">
                  <c:v>155.79400000000001</c:v>
                </c:pt>
                <c:pt idx="81">
                  <c:v>155.983</c:v>
                </c:pt>
                <c:pt idx="82">
                  <c:v>155.76300000000001</c:v>
                </c:pt>
                <c:pt idx="83">
                  <c:v>155.99299999999999</c:v>
                </c:pt>
                <c:pt idx="84">
                  <c:v>155.791</c:v>
                </c:pt>
                <c:pt idx="85">
                  <c:v>156.03100000000001</c:v>
                </c:pt>
                <c:pt idx="86">
                  <c:v>155.84700000000001</c:v>
                </c:pt>
                <c:pt idx="87">
                  <c:v>156.03700000000001</c:v>
                </c:pt>
                <c:pt idx="88">
                  <c:v>155.95500000000001</c:v>
                </c:pt>
                <c:pt idx="89">
                  <c:v>156.13200000000001</c:v>
                </c:pt>
                <c:pt idx="90">
                  <c:v>155.93700000000001</c:v>
                </c:pt>
                <c:pt idx="91">
                  <c:v>156.096</c:v>
                </c:pt>
                <c:pt idx="92">
                  <c:v>155.911</c:v>
                </c:pt>
                <c:pt idx="93">
                  <c:v>156.227</c:v>
                </c:pt>
                <c:pt idx="94">
                  <c:v>155.994</c:v>
                </c:pt>
                <c:pt idx="95">
                  <c:v>156.18</c:v>
                </c:pt>
                <c:pt idx="96">
                  <c:v>156.018</c:v>
                </c:pt>
                <c:pt idx="97">
                  <c:v>156.245</c:v>
                </c:pt>
                <c:pt idx="98">
                  <c:v>155.858</c:v>
                </c:pt>
                <c:pt idx="99">
                  <c:v>155.755</c:v>
                </c:pt>
                <c:pt idx="100">
                  <c:v>155.80600000000001</c:v>
                </c:pt>
                <c:pt idx="101">
                  <c:v>155.738</c:v>
                </c:pt>
                <c:pt idx="102">
                  <c:v>155.88</c:v>
                </c:pt>
                <c:pt idx="103">
                  <c:v>155.94800000000001</c:v>
                </c:pt>
                <c:pt idx="104">
                  <c:v>155.846</c:v>
                </c:pt>
                <c:pt idx="105">
                  <c:v>155.86099999999999</c:v>
                </c:pt>
                <c:pt idx="106">
                  <c:v>155.86699999999999</c:v>
                </c:pt>
                <c:pt idx="107">
                  <c:v>155.81899999999999</c:v>
                </c:pt>
                <c:pt idx="108">
                  <c:v>155.89599999999999</c:v>
                </c:pt>
                <c:pt idx="109">
                  <c:v>155.95699999999999</c:v>
                </c:pt>
                <c:pt idx="110">
                  <c:v>155.96700000000001</c:v>
                </c:pt>
                <c:pt idx="111">
                  <c:v>155.88800000000001</c:v>
                </c:pt>
                <c:pt idx="112">
                  <c:v>155.85900000000001</c:v>
                </c:pt>
                <c:pt idx="113">
                  <c:v>155.828</c:v>
                </c:pt>
                <c:pt idx="114">
                  <c:v>155.97200000000001</c:v>
                </c:pt>
                <c:pt idx="115">
                  <c:v>155.916</c:v>
                </c:pt>
                <c:pt idx="116">
                  <c:v>155.80600000000001</c:v>
                </c:pt>
                <c:pt idx="117">
                  <c:v>155.982</c:v>
                </c:pt>
                <c:pt idx="118">
                  <c:v>155.95400000000001</c:v>
                </c:pt>
                <c:pt idx="119">
                  <c:v>155.99</c:v>
                </c:pt>
                <c:pt idx="120">
                  <c:v>155.946</c:v>
                </c:pt>
                <c:pt idx="121">
                  <c:v>155.98400000000001</c:v>
                </c:pt>
                <c:pt idx="122">
                  <c:v>155.97800000000001</c:v>
                </c:pt>
                <c:pt idx="123">
                  <c:v>156.005</c:v>
                </c:pt>
                <c:pt idx="124">
                  <c:v>155.923</c:v>
                </c:pt>
                <c:pt idx="125">
                  <c:v>156.04300000000001</c:v>
                </c:pt>
                <c:pt idx="126">
                  <c:v>156.03</c:v>
                </c:pt>
                <c:pt idx="127">
                  <c:v>156.15700000000001</c:v>
                </c:pt>
                <c:pt idx="128">
                  <c:v>155.93</c:v>
                </c:pt>
                <c:pt idx="129">
                  <c:v>156.05699999999999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C7-4663-91CD-78907522466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('AMP7-6'!$M$4,'AMP7-6'!$M$4)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C7-4663-91CD-78907522466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('AMP7-6'!$M$5,'AMP7-6'!$M$5)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C7-4663-91CD-789075224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3832"/>
        <c:axId val="573344224"/>
      </c:scatterChart>
      <c:valAx>
        <c:axId val="57334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4224"/>
        <c:crosses val="autoZero"/>
        <c:crossBetween val="midCat"/>
      </c:valAx>
      <c:valAx>
        <c:axId val="5733442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3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'AMP7-6'!$N$8</c:f>
              <c:strCache>
                <c:ptCount val="1"/>
                <c:pt idx="0">
                  <c:v>Dim 5_1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'AMP7-6'!$N$9:$N$138</c:f>
              <c:numCache>
                <c:formatCode>General</c:formatCode>
                <c:ptCount val="130"/>
                <c:pt idx="0">
                  <c:v>27.266999999999999</c:v>
                </c:pt>
                <c:pt idx="1">
                  <c:v>27.076000000000001</c:v>
                </c:pt>
                <c:pt idx="2">
                  <c:v>27.215</c:v>
                </c:pt>
                <c:pt idx="3">
                  <c:v>27.094000000000001</c:v>
                </c:pt>
                <c:pt idx="4">
                  <c:v>27.202000000000002</c:v>
                </c:pt>
                <c:pt idx="5">
                  <c:v>27.02</c:v>
                </c:pt>
                <c:pt idx="6">
                  <c:v>27.288</c:v>
                </c:pt>
                <c:pt idx="7">
                  <c:v>27.082000000000001</c:v>
                </c:pt>
                <c:pt idx="8">
                  <c:v>27.119</c:v>
                </c:pt>
                <c:pt idx="9">
                  <c:v>26.984000000000002</c:v>
                </c:pt>
                <c:pt idx="10">
                  <c:v>27.202000000000002</c:v>
                </c:pt>
                <c:pt idx="11">
                  <c:v>27.032</c:v>
                </c:pt>
                <c:pt idx="12">
                  <c:v>27.27</c:v>
                </c:pt>
                <c:pt idx="13">
                  <c:v>26.981000000000002</c:v>
                </c:pt>
                <c:pt idx="14">
                  <c:v>27.423999999999999</c:v>
                </c:pt>
                <c:pt idx="15">
                  <c:v>27.248000000000001</c:v>
                </c:pt>
                <c:pt idx="16">
                  <c:v>27.425000000000001</c:v>
                </c:pt>
                <c:pt idx="17">
                  <c:v>27.238</c:v>
                </c:pt>
                <c:pt idx="18">
                  <c:v>27.341000000000001</c:v>
                </c:pt>
                <c:pt idx="19">
                  <c:v>27.187000000000001</c:v>
                </c:pt>
                <c:pt idx="20">
                  <c:v>27.366</c:v>
                </c:pt>
                <c:pt idx="21">
                  <c:v>27.125</c:v>
                </c:pt>
                <c:pt idx="22">
                  <c:v>27.286999999999999</c:v>
                </c:pt>
                <c:pt idx="23">
                  <c:v>27.13</c:v>
                </c:pt>
                <c:pt idx="24">
                  <c:v>27.36</c:v>
                </c:pt>
                <c:pt idx="25">
                  <c:v>27.202999999999999</c:v>
                </c:pt>
                <c:pt idx="26">
                  <c:v>27.292999999999999</c:v>
                </c:pt>
                <c:pt idx="27">
                  <c:v>27.141999999999999</c:v>
                </c:pt>
                <c:pt idx="28">
                  <c:v>27.303000000000001</c:v>
                </c:pt>
                <c:pt idx="29">
                  <c:v>27.116</c:v>
                </c:pt>
                <c:pt idx="30">
                  <c:v>27.262</c:v>
                </c:pt>
                <c:pt idx="31">
                  <c:v>27.128</c:v>
                </c:pt>
                <c:pt idx="32">
                  <c:v>27.257000000000001</c:v>
                </c:pt>
                <c:pt idx="33">
                  <c:v>27.096</c:v>
                </c:pt>
                <c:pt idx="34">
                  <c:v>27.294</c:v>
                </c:pt>
                <c:pt idx="35">
                  <c:v>27.163</c:v>
                </c:pt>
                <c:pt idx="36">
                  <c:v>27.265999999999998</c:v>
                </c:pt>
                <c:pt idx="37">
                  <c:v>27.08</c:v>
                </c:pt>
                <c:pt idx="38">
                  <c:v>27.242000000000001</c:v>
                </c:pt>
                <c:pt idx="39">
                  <c:v>27.035</c:v>
                </c:pt>
                <c:pt idx="40">
                  <c:v>27.239000000000001</c:v>
                </c:pt>
                <c:pt idx="41">
                  <c:v>27.08</c:v>
                </c:pt>
                <c:pt idx="42">
                  <c:v>27.138999999999999</c:v>
                </c:pt>
                <c:pt idx="43">
                  <c:v>27.009</c:v>
                </c:pt>
                <c:pt idx="44">
                  <c:v>27.216999999999999</c:v>
                </c:pt>
                <c:pt idx="45">
                  <c:v>27.030999999999999</c:v>
                </c:pt>
                <c:pt idx="46">
                  <c:v>27.177</c:v>
                </c:pt>
                <c:pt idx="47">
                  <c:v>27.045999999999999</c:v>
                </c:pt>
                <c:pt idx="48">
                  <c:v>27.178999999999998</c:v>
                </c:pt>
                <c:pt idx="49">
                  <c:v>26.984000000000002</c:v>
                </c:pt>
                <c:pt idx="50">
                  <c:v>27.146000000000001</c:v>
                </c:pt>
                <c:pt idx="51">
                  <c:v>26.992000000000001</c:v>
                </c:pt>
                <c:pt idx="52">
                  <c:v>27.109000000000002</c:v>
                </c:pt>
                <c:pt idx="53">
                  <c:v>26.981999999999999</c:v>
                </c:pt>
                <c:pt idx="54">
                  <c:v>27.169</c:v>
                </c:pt>
                <c:pt idx="55">
                  <c:v>26.952000000000002</c:v>
                </c:pt>
                <c:pt idx="56">
                  <c:v>27.129000000000001</c:v>
                </c:pt>
                <c:pt idx="57">
                  <c:v>27.013000000000002</c:v>
                </c:pt>
                <c:pt idx="58">
                  <c:v>27.375</c:v>
                </c:pt>
                <c:pt idx="59">
                  <c:v>27.221</c:v>
                </c:pt>
                <c:pt idx="60">
                  <c:v>27.280999999999999</c:v>
                </c:pt>
                <c:pt idx="61">
                  <c:v>27.175000000000001</c:v>
                </c:pt>
                <c:pt idx="62">
                  <c:v>27.323</c:v>
                </c:pt>
                <c:pt idx="63">
                  <c:v>27.181000000000001</c:v>
                </c:pt>
                <c:pt idx="64">
                  <c:v>27.373999999999999</c:v>
                </c:pt>
                <c:pt idx="65">
                  <c:v>27.206</c:v>
                </c:pt>
                <c:pt idx="66">
                  <c:v>27.341000000000001</c:v>
                </c:pt>
                <c:pt idx="67">
                  <c:v>27.207000000000001</c:v>
                </c:pt>
                <c:pt idx="68">
                  <c:v>27.329000000000001</c:v>
                </c:pt>
                <c:pt idx="69">
                  <c:v>27.145</c:v>
                </c:pt>
                <c:pt idx="70">
                  <c:v>27.359000000000002</c:v>
                </c:pt>
                <c:pt idx="71">
                  <c:v>27.189</c:v>
                </c:pt>
                <c:pt idx="72">
                  <c:v>27.366</c:v>
                </c:pt>
                <c:pt idx="73">
                  <c:v>27.218</c:v>
                </c:pt>
                <c:pt idx="74">
                  <c:v>27.315999999999999</c:v>
                </c:pt>
                <c:pt idx="75">
                  <c:v>27.126000000000001</c:v>
                </c:pt>
                <c:pt idx="76">
                  <c:v>27.323</c:v>
                </c:pt>
                <c:pt idx="77">
                  <c:v>27.17</c:v>
                </c:pt>
                <c:pt idx="78">
                  <c:v>27.321999999999999</c:v>
                </c:pt>
                <c:pt idx="79">
                  <c:v>27.152000000000001</c:v>
                </c:pt>
                <c:pt idx="80">
                  <c:v>27.314</c:v>
                </c:pt>
                <c:pt idx="81">
                  <c:v>27.16</c:v>
                </c:pt>
                <c:pt idx="82">
                  <c:v>27.327000000000002</c:v>
                </c:pt>
                <c:pt idx="83">
                  <c:v>27.157</c:v>
                </c:pt>
                <c:pt idx="84">
                  <c:v>27.181000000000001</c:v>
                </c:pt>
                <c:pt idx="85">
                  <c:v>27.103999999999999</c:v>
                </c:pt>
                <c:pt idx="86">
                  <c:v>27.210999999999999</c:v>
                </c:pt>
                <c:pt idx="87">
                  <c:v>27.071999999999999</c:v>
                </c:pt>
                <c:pt idx="88">
                  <c:v>27.088000000000001</c:v>
                </c:pt>
                <c:pt idx="89">
                  <c:v>26.972000000000001</c:v>
                </c:pt>
                <c:pt idx="90">
                  <c:v>27.067</c:v>
                </c:pt>
                <c:pt idx="91">
                  <c:v>27.02</c:v>
                </c:pt>
                <c:pt idx="92">
                  <c:v>27.145</c:v>
                </c:pt>
                <c:pt idx="93">
                  <c:v>26.841999999999999</c:v>
                </c:pt>
                <c:pt idx="94">
                  <c:v>27.056999999999999</c:v>
                </c:pt>
                <c:pt idx="95">
                  <c:v>26.919</c:v>
                </c:pt>
                <c:pt idx="96">
                  <c:v>27.003</c:v>
                </c:pt>
                <c:pt idx="97">
                  <c:v>26.861999999999998</c:v>
                </c:pt>
                <c:pt idx="98">
                  <c:v>27.417000000000002</c:v>
                </c:pt>
                <c:pt idx="99">
                  <c:v>27.201000000000001</c:v>
                </c:pt>
                <c:pt idx="100">
                  <c:v>27.396000000000001</c:v>
                </c:pt>
                <c:pt idx="101">
                  <c:v>27.231000000000002</c:v>
                </c:pt>
                <c:pt idx="102">
                  <c:v>27.274000000000001</c:v>
                </c:pt>
                <c:pt idx="103">
                  <c:v>27.09</c:v>
                </c:pt>
                <c:pt idx="104">
                  <c:v>27.305</c:v>
                </c:pt>
                <c:pt idx="105">
                  <c:v>27.193000000000001</c:v>
                </c:pt>
                <c:pt idx="106">
                  <c:v>27.382000000000001</c:v>
                </c:pt>
                <c:pt idx="107">
                  <c:v>27.173999999999999</c:v>
                </c:pt>
                <c:pt idx="108">
                  <c:v>27.251000000000001</c:v>
                </c:pt>
                <c:pt idx="109">
                  <c:v>27.138000000000002</c:v>
                </c:pt>
                <c:pt idx="110">
                  <c:v>27.196000000000002</c:v>
                </c:pt>
                <c:pt idx="111">
                  <c:v>27.09</c:v>
                </c:pt>
                <c:pt idx="112">
                  <c:v>27.305</c:v>
                </c:pt>
                <c:pt idx="113">
                  <c:v>27.137</c:v>
                </c:pt>
                <c:pt idx="114">
                  <c:v>27.238</c:v>
                </c:pt>
                <c:pt idx="115">
                  <c:v>27.116</c:v>
                </c:pt>
                <c:pt idx="116">
                  <c:v>27.288</c:v>
                </c:pt>
                <c:pt idx="117">
                  <c:v>27.093</c:v>
                </c:pt>
                <c:pt idx="118">
                  <c:v>27.233000000000001</c:v>
                </c:pt>
                <c:pt idx="119">
                  <c:v>27.029</c:v>
                </c:pt>
                <c:pt idx="120">
                  <c:v>27.152000000000001</c:v>
                </c:pt>
                <c:pt idx="121">
                  <c:v>27.042999999999999</c:v>
                </c:pt>
                <c:pt idx="122">
                  <c:v>27.158000000000001</c:v>
                </c:pt>
                <c:pt idx="123">
                  <c:v>27.024999999999999</c:v>
                </c:pt>
                <c:pt idx="124">
                  <c:v>27.184000000000001</c:v>
                </c:pt>
                <c:pt idx="125">
                  <c:v>26.981000000000002</c:v>
                </c:pt>
                <c:pt idx="126">
                  <c:v>27.029</c:v>
                </c:pt>
                <c:pt idx="127">
                  <c:v>26.966000000000001</c:v>
                </c:pt>
                <c:pt idx="128">
                  <c:v>27.126999999999999</c:v>
                </c:pt>
                <c:pt idx="129">
                  <c:v>26.975000000000001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E-4FDC-9348-47C9BBB855E6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('AMP7-6'!$N$4,'AMP7-6'!$N$4)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1E-4FDC-9348-47C9BBB855E6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('AMP7-6'!$N$5,'AMP7-6'!$N$5)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1E-4FDC-9348-47C9BBB85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5008"/>
        <c:axId val="573345400"/>
      </c:scatterChart>
      <c:valAx>
        <c:axId val="57334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5400"/>
        <c:crosses val="autoZero"/>
        <c:crossBetween val="midCat"/>
      </c:valAx>
      <c:valAx>
        <c:axId val="5733454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'AMP7-6'!$O$8</c:f>
              <c:strCache>
                <c:ptCount val="1"/>
                <c:pt idx="0">
                  <c:v>Dim 5_2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'AMP7-6'!$O$9:$O$138</c:f>
              <c:numCache>
                <c:formatCode>General</c:formatCode>
                <c:ptCount val="130"/>
                <c:pt idx="0">
                  <c:v>27.358000000000001</c:v>
                </c:pt>
                <c:pt idx="1">
                  <c:v>27.443999999999999</c:v>
                </c:pt>
                <c:pt idx="2">
                  <c:v>27.338999999999999</c:v>
                </c:pt>
                <c:pt idx="3">
                  <c:v>27.475999999999999</c:v>
                </c:pt>
                <c:pt idx="4">
                  <c:v>27.341000000000001</c:v>
                </c:pt>
                <c:pt idx="5">
                  <c:v>27.399000000000001</c:v>
                </c:pt>
                <c:pt idx="6">
                  <c:v>27.414999999999999</c:v>
                </c:pt>
                <c:pt idx="7">
                  <c:v>27.47</c:v>
                </c:pt>
                <c:pt idx="8">
                  <c:v>27.178999999999998</c:v>
                </c:pt>
                <c:pt idx="9">
                  <c:v>27.39</c:v>
                </c:pt>
                <c:pt idx="10">
                  <c:v>27.312000000000001</c:v>
                </c:pt>
                <c:pt idx="11">
                  <c:v>27.433</c:v>
                </c:pt>
                <c:pt idx="12">
                  <c:v>27.373000000000001</c:v>
                </c:pt>
                <c:pt idx="13">
                  <c:v>27.274999999999999</c:v>
                </c:pt>
                <c:pt idx="14">
                  <c:v>27.512</c:v>
                </c:pt>
                <c:pt idx="15">
                  <c:v>27.631</c:v>
                </c:pt>
                <c:pt idx="16">
                  <c:v>27.483000000000001</c:v>
                </c:pt>
                <c:pt idx="17">
                  <c:v>27.66</c:v>
                </c:pt>
                <c:pt idx="18">
                  <c:v>27.398</c:v>
                </c:pt>
                <c:pt idx="19">
                  <c:v>27.562999999999999</c:v>
                </c:pt>
                <c:pt idx="20">
                  <c:v>27.422000000000001</c:v>
                </c:pt>
                <c:pt idx="21">
                  <c:v>27.524999999999999</c:v>
                </c:pt>
                <c:pt idx="22">
                  <c:v>27.369</c:v>
                </c:pt>
                <c:pt idx="23">
                  <c:v>27.521000000000001</c:v>
                </c:pt>
                <c:pt idx="24">
                  <c:v>27.372</c:v>
                </c:pt>
                <c:pt idx="25">
                  <c:v>27.591000000000001</c:v>
                </c:pt>
                <c:pt idx="26">
                  <c:v>27.388000000000002</c:v>
                </c:pt>
                <c:pt idx="27">
                  <c:v>27.504000000000001</c:v>
                </c:pt>
                <c:pt idx="28">
                  <c:v>27.367999999999999</c:v>
                </c:pt>
                <c:pt idx="29">
                  <c:v>27.483000000000001</c:v>
                </c:pt>
                <c:pt idx="30">
                  <c:v>27.31</c:v>
                </c:pt>
                <c:pt idx="31">
                  <c:v>27.53</c:v>
                </c:pt>
                <c:pt idx="32">
                  <c:v>27.306000000000001</c:v>
                </c:pt>
                <c:pt idx="33">
                  <c:v>27.486000000000001</c:v>
                </c:pt>
                <c:pt idx="34">
                  <c:v>27.347999999999999</c:v>
                </c:pt>
                <c:pt idx="35">
                  <c:v>27.512</c:v>
                </c:pt>
                <c:pt idx="36">
                  <c:v>27.302</c:v>
                </c:pt>
                <c:pt idx="37">
                  <c:v>27.478999999999999</c:v>
                </c:pt>
                <c:pt idx="38">
                  <c:v>27.265000000000001</c:v>
                </c:pt>
                <c:pt idx="39">
                  <c:v>27.416</c:v>
                </c:pt>
                <c:pt idx="40">
                  <c:v>27.318000000000001</c:v>
                </c:pt>
                <c:pt idx="41">
                  <c:v>27.452999999999999</c:v>
                </c:pt>
                <c:pt idx="42">
                  <c:v>27.253</c:v>
                </c:pt>
                <c:pt idx="43">
                  <c:v>27.35</c:v>
                </c:pt>
                <c:pt idx="44">
                  <c:v>27.318999999999999</c:v>
                </c:pt>
                <c:pt idx="45">
                  <c:v>27.405000000000001</c:v>
                </c:pt>
                <c:pt idx="46">
                  <c:v>27.236000000000001</c:v>
                </c:pt>
                <c:pt idx="47">
                  <c:v>27.367000000000001</c:v>
                </c:pt>
                <c:pt idx="48">
                  <c:v>27.271999999999998</c:v>
                </c:pt>
                <c:pt idx="49">
                  <c:v>27.332999999999998</c:v>
                </c:pt>
                <c:pt idx="50">
                  <c:v>27.297000000000001</c:v>
                </c:pt>
                <c:pt idx="51">
                  <c:v>27.375</c:v>
                </c:pt>
                <c:pt idx="52">
                  <c:v>27.254999999999999</c:v>
                </c:pt>
                <c:pt idx="53">
                  <c:v>27.376999999999999</c:v>
                </c:pt>
                <c:pt idx="54">
                  <c:v>27.352</c:v>
                </c:pt>
                <c:pt idx="55">
                  <c:v>27.292000000000002</c:v>
                </c:pt>
                <c:pt idx="56">
                  <c:v>27.292999999999999</c:v>
                </c:pt>
                <c:pt idx="57">
                  <c:v>27.36</c:v>
                </c:pt>
                <c:pt idx="58">
                  <c:v>27.54</c:v>
                </c:pt>
                <c:pt idx="59">
                  <c:v>27.541</c:v>
                </c:pt>
                <c:pt idx="60">
                  <c:v>27.422000000000001</c:v>
                </c:pt>
                <c:pt idx="61">
                  <c:v>27.518000000000001</c:v>
                </c:pt>
                <c:pt idx="62">
                  <c:v>27.477</c:v>
                </c:pt>
                <c:pt idx="63">
                  <c:v>27.492000000000001</c:v>
                </c:pt>
                <c:pt idx="64">
                  <c:v>27.51</c:v>
                </c:pt>
                <c:pt idx="65">
                  <c:v>27.501999999999999</c:v>
                </c:pt>
                <c:pt idx="66">
                  <c:v>27.504000000000001</c:v>
                </c:pt>
                <c:pt idx="67">
                  <c:v>27.515000000000001</c:v>
                </c:pt>
                <c:pt idx="68">
                  <c:v>27.43</c:v>
                </c:pt>
                <c:pt idx="69">
                  <c:v>27.475000000000001</c:v>
                </c:pt>
                <c:pt idx="70">
                  <c:v>27.437000000000001</c:v>
                </c:pt>
                <c:pt idx="71">
                  <c:v>27.568000000000001</c:v>
                </c:pt>
                <c:pt idx="72">
                  <c:v>27.462</c:v>
                </c:pt>
                <c:pt idx="73">
                  <c:v>27.533000000000001</c:v>
                </c:pt>
                <c:pt idx="74">
                  <c:v>27.437999999999999</c:v>
                </c:pt>
                <c:pt idx="75">
                  <c:v>27.443999999999999</c:v>
                </c:pt>
                <c:pt idx="76">
                  <c:v>27.463000000000001</c:v>
                </c:pt>
                <c:pt idx="77">
                  <c:v>27.407</c:v>
                </c:pt>
                <c:pt idx="78">
                  <c:v>27.46</c:v>
                </c:pt>
                <c:pt idx="79">
                  <c:v>27.495000000000001</c:v>
                </c:pt>
                <c:pt idx="80">
                  <c:v>27.428999999999998</c:v>
                </c:pt>
                <c:pt idx="81">
                  <c:v>27.484999999999999</c:v>
                </c:pt>
                <c:pt idx="82">
                  <c:v>27.46</c:v>
                </c:pt>
                <c:pt idx="83">
                  <c:v>27.478999999999999</c:v>
                </c:pt>
                <c:pt idx="84">
                  <c:v>27.405999999999999</c:v>
                </c:pt>
                <c:pt idx="85">
                  <c:v>27.396999999999998</c:v>
                </c:pt>
                <c:pt idx="86">
                  <c:v>27.355</c:v>
                </c:pt>
                <c:pt idx="87">
                  <c:v>27.376999999999999</c:v>
                </c:pt>
                <c:pt idx="88">
                  <c:v>27.24</c:v>
                </c:pt>
                <c:pt idx="89">
                  <c:v>27.295999999999999</c:v>
                </c:pt>
                <c:pt idx="90">
                  <c:v>27.227</c:v>
                </c:pt>
                <c:pt idx="91">
                  <c:v>27.332999999999998</c:v>
                </c:pt>
                <c:pt idx="92">
                  <c:v>27.335999999999999</c:v>
                </c:pt>
                <c:pt idx="93">
                  <c:v>27.190999999999999</c:v>
                </c:pt>
                <c:pt idx="94">
                  <c:v>27.254999999999999</c:v>
                </c:pt>
                <c:pt idx="95">
                  <c:v>27.28</c:v>
                </c:pt>
                <c:pt idx="96">
                  <c:v>27.152999999999999</c:v>
                </c:pt>
                <c:pt idx="97">
                  <c:v>27.227</c:v>
                </c:pt>
                <c:pt idx="98">
                  <c:v>27.393000000000001</c:v>
                </c:pt>
                <c:pt idx="99">
                  <c:v>27.638999999999999</c:v>
                </c:pt>
                <c:pt idx="100">
                  <c:v>27.428999999999998</c:v>
                </c:pt>
                <c:pt idx="101">
                  <c:v>27.672999999999998</c:v>
                </c:pt>
                <c:pt idx="102">
                  <c:v>27.381</c:v>
                </c:pt>
                <c:pt idx="103">
                  <c:v>27.475000000000001</c:v>
                </c:pt>
                <c:pt idx="104">
                  <c:v>27.401</c:v>
                </c:pt>
                <c:pt idx="105">
                  <c:v>27.594000000000001</c:v>
                </c:pt>
                <c:pt idx="106">
                  <c:v>27.370999999999999</c:v>
                </c:pt>
                <c:pt idx="107">
                  <c:v>27.587</c:v>
                </c:pt>
                <c:pt idx="108">
                  <c:v>27.356000000000002</c:v>
                </c:pt>
                <c:pt idx="109">
                  <c:v>27.498000000000001</c:v>
                </c:pt>
                <c:pt idx="110">
                  <c:v>27.234999999999999</c:v>
                </c:pt>
                <c:pt idx="111">
                  <c:v>27.577999999999999</c:v>
                </c:pt>
                <c:pt idx="112">
                  <c:v>27.364999999999998</c:v>
                </c:pt>
                <c:pt idx="113">
                  <c:v>27.585000000000001</c:v>
                </c:pt>
                <c:pt idx="114">
                  <c:v>27.285</c:v>
                </c:pt>
                <c:pt idx="115">
                  <c:v>27.532</c:v>
                </c:pt>
                <c:pt idx="116">
                  <c:v>27.416</c:v>
                </c:pt>
                <c:pt idx="117">
                  <c:v>27.445</c:v>
                </c:pt>
                <c:pt idx="118">
                  <c:v>27.297999999999998</c:v>
                </c:pt>
                <c:pt idx="119">
                  <c:v>27.443999999999999</c:v>
                </c:pt>
                <c:pt idx="120">
                  <c:v>27.257000000000001</c:v>
                </c:pt>
                <c:pt idx="121">
                  <c:v>27.456</c:v>
                </c:pt>
                <c:pt idx="122">
                  <c:v>27.265999999999998</c:v>
                </c:pt>
                <c:pt idx="123">
                  <c:v>27.434000000000001</c:v>
                </c:pt>
                <c:pt idx="124">
                  <c:v>27.294</c:v>
                </c:pt>
                <c:pt idx="125">
                  <c:v>27.373999999999999</c:v>
                </c:pt>
                <c:pt idx="126">
                  <c:v>27.201000000000001</c:v>
                </c:pt>
                <c:pt idx="127">
                  <c:v>27.279</c:v>
                </c:pt>
                <c:pt idx="128">
                  <c:v>27.298999999999999</c:v>
                </c:pt>
                <c:pt idx="129">
                  <c:v>27.367999999999999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B-40CC-B556-C3A48D35163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('AMP7-6'!$O$4,'AMP7-6'!$O$4)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B-40CC-B556-C3A48D35163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('AMP7-6'!$O$5,'AMP7-6'!$O$5)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B-40CC-B556-C3A48D351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6184"/>
        <c:axId val="573346576"/>
      </c:scatterChart>
      <c:valAx>
        <c:axId val="57334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6576"/>
        <c:crosses val="autoZero"/>
        <c:crossBetween val="midCat"/>
      </c:valAx>
      <c:valAx>
        <c:axId val="5733465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'AMP7-6'!$R$8</c:f>
              <c:strCache>
                <c:ptCount val="1"/>
                <c:pt idx="0">
                  <c:v>Dim 9_1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'AMP7-6'!$R$9:$R$138</c:f>
              <c:numCache>
                <c:formatCode>General</c:formatCode>
                <c:ptCount val="130"/>
                <c:pt idx="0">
                  <c:v>17.327000000000002</c:v>
                </c:pt>
                <c:pt idx="1">
                  <c:v>17.274000000000001</c:v>
                </c:pt>
                <c:pt idx="2">
                  <c:v>17.29</c:v>
                </c:pt>
                <c:pt idx="3">
                  <c:v>17.271999999999998</c:v>
                </c:pt>
                <c:pt idx="4">
                  <c:v>17.32</c:v>
                </c:pt>
                <c:pt idx="5">
                  <c:v>17.266999999999999</c:v>
                </c:pt>
                <c:pt idx="6">
                  <c:v>17.306000000000001</c:v>
                </c:pt>
                <c:pt idx="7">
                  <c:v>17.266999999999999</c:v>
                </c:pt>
                <c:pt idx="8">
                  <c:v>17.327999999999999</c:v>
                </c:pt>
                <c:pt idx="9">
                  <c:v>17.268000000000001</c:v>
                </c:pt>
                <c:pt idx="10">
                  <c:v>17.321000000000002</c:v>
                </c:pt>
                <c:pt idx="11">
                  <c:v>17.295999999999999</c:v>
                </c:pt>
                <c:pt idx="12">
                  <c:v>17.324000000000002</c:v>
                </c:pt>
                <c:pt idx="13">
                  <c:v>17.285</c:v>
                </c:pt>
                <c:pt idx="14">
                  <c:v>17.305</c:v>
                </c:pt>
                <c:pt idx="15">
                  <c:v>17.289000000000001</c:v>
                </c:pt>
                <c:pt idx="16">
                  <c:v>17.324999999999999</c:v>
                </c:pt>
                <c:pt idx="17">
                  <c:v>17.271999999999998</c:v>
                </c:pt>
                <c:pt idx="18">
                  <c:v>17.343</c:v>
                </c:pt>
                <c:pt idx="19">
                  <c:v>17.283000000000001</c:v>
                </c:pt>
                <c:pt idx="20">
                  <c:v>17.341000000000001</c:v>
                </c:pt>
                <c:pt idx="21">
                  <c:v>17.193000000000001</c:v>
                </c:pt>
                <c:pt idx="22">
                  <c:v>17.327000000000002</c:v>
                </c:pt>
                <c:pt idx="23">
                  <c:v>17.303000000000001</c:v>
                </c:pt>
                <c:pt idx="24">
                  <c:v>17.327000000000002</c:v>
                </c:pt>
                <c:pt idx="25">
                  <c:v>17.224</c:v>
                </c:pt>
                <c:pt idx="26">
                  <c:v>17.335999999999999</c:v>
                </c:pt>
                <c:pt idx="27">
                  <c:v>17.271999999999998</c:v>
                </c:pt>
                <c:pt idx="28">
                  <c:v>17.352</c:v>
                </c:pt>
                <c:pt idx="29">
                  <c:v>17.248999999999999</c:v>
                </c:pt>
                <c:pt idx="30">
                  <c:v>17.303999999999998</c:v>
                </c:pt>
                <c:pt idx="31">
                  <c:v>17.276</c:v>
                </c:pt>
                <c:pt idx="32">
                  <c:v>17.315999999999999</c:v>
                </c:pt>
                <c:pt idx="33">
                  <c:v>17.298999999999999</c:v>
                </c:pt>
                <c:pt idx="34">
                  <c:v>17.323</c:v>
                </c:pt>
                <c:pt idx="35">
                  <c:v>17.253</c:v>
                </c:pt>
                <c:pt idx="36">
                  <c:v>17.317</c:v>
                </c:pt>
                <c:pt idx="37">
                  <c:v>17.280999999999999</c:v>
                </c:pt>
                <c:pt idx="38">
                  <c:v>17.329999999999998</c:v>
                </c:pt>
                <c:pt idx="39">
                  <c:v>17.286999999999999</c:v>
                </c:pt>
                <c:pt idx="40">
                  <c:v>17.315999999999999</c:v>
                </c:pt>
                <c:pt idx="41">
                  <c:v>17.245999999999999</c:v>
                </c:pt>
                <c:pt idx="42">
                  <c:v>17.321999999999999</c:v>
                </c:pt>
                <c:pt idx="43">
                  <c:v>17.292000000000002</c:v>
                </c:pt>
                <c:pt idx="44">
                  <c:v>17.312999999999999</c:v>
                </c:pt>
                <c:pt idx="45">
                  <c:v>17.273</c:v>
                </c:pt>
                <c:pt idx="46">
                  <c:v>17.279</c:v>
                </c:pt>
                <c:pt idx="47">
                  <c:v>17.291</c:v>
                </c:pt>
                <c:pt idx="48">
                  <c:v>17.305</c:v>
                </c:pt>
                <c:pt idx="49">
                  <c:v>17.283999999999999</c:v>
                </c:pt>
                <c:pt idx="50">
                  <c:v>17.318000000000001</c:v>
                </c:pt>
                <c:pt idx="51">
                  <c:v>17.245000000000001</c:v>
                </c:pt>
                <c:pt idx="52">
                  <c:v>17.298999999999999</c:v>
                </c:pt>
                <c:pt idx="53">
                  <c:v>17.292999999999999</c:v>
                </c:pt>
                <c:pt idx="54">
                  <c:v>17.306000000000001</c:v>
                </c:pt>
                <c:pt idx="55">
                  <c:v>17.260999999999999</c:v>
                </c:pt>
                <c:pt idx="56">
                  <c:v>17.29</c:v>
                </c:pt>
                <c:pt idx="57">
                  <c:v>17.245000000000001</c:v>
                </c:pt>
                <c:pt idx="58">
                  <c:v>17.341999999999999</c:v>
                </c:pt>
                <c:pt idx="59">
                  <c:v>17.219000000000001</c:v>
                </c:pt>
                <c:pt idx="60">
                  <c:v>17.353999999999999</c:v>
                </c:pt>
                <c:pt idx="61">
                  <c:v>17.239000000000001</c:v>
                </c:pt>
                <c:pt idx="62">
                  <c:v>17.350999999999999</c:v>
                </c:pt>
                <c:pt idx="63">
                  <c:v>17.198</c:v>
                </c:pt>
                <c:pt idx="64">
                  <c:v>17.303999999999998</c:v>
                </c:pt>
                <c:pt idx="65">
                  <c:v>17.219000000000001</c:v>
                </c:pt>
                <c:pt idx="66">
                  <c:v>17.331</c:v>
                </c:pt>
                <c:pt idx="67">
                  <c:v>17.22</c:v>
                </c:pt>
                <c:pt idx="68">
                  <c:v>17.350999999999999</c:v>
                </c:pt>
                <c:pt idx="69">
                  <c:v>17.23</c:v>
                </c:pt>
                <c:pt idx="70">
                  <c:v>17.306000000000001</c:v>
                </c:pt>
                <c:pt idx="71">
                  <c:v>17.277999999999999</c:v>
                </c:pt>
                <c:pt idx="72">
                  <c:v>17.279</c:v>
                </c:pt>
                <c:pt idx="73">
                  <c:v>17.321999999999999</c:v>
                </c:pt>
                <c:pt idx="74">
                  <c:v>17.309000000000001</c:v>
                </c:pt>
                <c:pt idx="75">
                  <c:v>17.291</c:v>
                </c:pt>
                <c:pt idx="76">
                  <c:v>17.309999999999999</c:v>
                </c:pt>
                <c:pt idx="77">
                  <c:v>17.323</c:v>
                </c:pt>
                <c:pt idx="78">
                  <c:v>17.34</c:v>
                </c:pt>
                <c:pt idx="79">
                  <c:v>17.323</c:v>
                </c:pt>
                <c:pt idx="80">
                  <c:v>17.329999999999998</c:v>
                </c:pt>
                <c:pt idx="81">
                  <c:v>17.321999999999999</c:v>
                </c:pt>
                <c:pt idx="82">
                  <c:v>17.318000000000001</c:v>
                </c:pt>
                <c:pt idx="83">
                  <c:v>17.300999999999998</c:v>
                </c:pt>
                <c:pt idx="84">
                  <c:v>17.329000000000001</c:v>
                </c:pt>
                <c:pt idx="85">
                  <c:v>17.222000000000001</c:v>
                </c:pt>
                <c:pt idx="86">
                  <c:v>17.306000000000001</c:v>
                </c:pt>
                <c:pt idx="87">
                  <c:v>17.254000000000001</c:v>
                </c:pt>
                <c:pt idx="88">
                  <c:v>17.32</c:v>
                </c:pt>
                <c:pt idx="89">
                  <c:v>17.242999999999999</c:v>
                </c:pt>
                <c:pt idx="90">
                  <c:v>17.318999999999999</c:v>
                </c:pt>
                <c:pt idx="91">
                  <c:v>17.277000000000001</c:v>
                </c:pt>
                <c:pt idx="92">
                  <c:v>17.335000000000001</c:v>
                </c:pt>
                <c:pt idx="93">
                  <c:v>17.234999999999999</c:v>
                </c:pt>
                <c:pt idx="94">
                  <c:v>17.308</c:v>
                </c:pt>
                <c:pt idx="95">
                  <c:v>17.268000000000001</c:v>
                </c:pt>
                <c:pt idx="96">
                  <c:v>17.312000000000001</c:v>
                </c:pt>
                <c:pt idx="97">
                  <c:v>17.190000000000001</c:v>
                </c:pt>
                <c:pt idx="98">
                  <c:v>17.335999999999999</c:v>
                </c:pt>
                <c:pt idx="99">
                  <c:v>17.306000000000001</c:v>
                </c:pt>
                <c:pt idx="100">
                  <c:v>17.298999999999999</c:v>
                </c:pt>
                <c:pt idx="101">
                  <c:v>17.315999999999999</c:v>
                </c:pt>
                <c:pt idx="102">
                  <c:v>17.327000000000002</c:v>
                </c:pt>
                <c:pt idx="103">
                  <c:v>17.266999999999999</c:v>
                </c:pt>
                <c:pt idx="104">
                  <c:v>17.331</c:v>
                </c:pt>
                <c:pt idx="105">
                  <c:v>17.292999999999999</c:v>
                </c:pt>
                <c:pt idx="106">
                  <c:v>17.315999999999999</c:v>
                </c:pt>
                <c:pt idx="107">
                  <c:v>17.306000000000001</c:v>
                </c:pt>
                <c:pt idx="108">
                  <c:v>17.326000000000001</c:v>
                </c:pt>
                <c:pt idx="109">
                  <c:v>17.271999999999998</c:v>
                </c:pt>
                <c:pt idx="110">
                  <c:v>17.329999999999998</c:v>
                </c:pt>
                <c:pt idx="111">
                  <c:v>17.305</c:v>
                </c:pt>
                <c:pt idx="112">
                  <c:v>17.323</c:v>
                </c:pt>
                <c:pt idx="113">
                  <c:v>17.297000000000001</c:v>
                </c:pt>
                <c:pt idx="114">
                  <c:v>17.332999999999998</c:v>
                </c:pt>
                <c:pt idx="115">
                  <c:v>17.292000000000002</c:v>
                </c:pt>
                <c:pt idx="116">
                  <c:v>17.341999999999999</c:v>
                </c:pt>
                <c:pt idx="117">
                  <c:v>17.297000000000001</c:v>
                </c:pt>
                <c:pt idx="118">
                  <c:v>17.303000000000001</c:v>
                </c:pt>
                <c:pt idx="119">
                  <c:v>17.273</c:v>
                </c:pt>
                <c:pt idx="120">
                  <c:v>17.288</c:v>
                </c:pt>
                <c:pt idx="121">
                  <c:v>17.286999999999999</c:v>
                </c:pt>
                <c:pt idx="122">
                  <c:v>17.318999999999999</c:v>
                </c:pt>
                <c:pt idx="123">
                  <c:v>17.286999999999999</c:v>
                </c:pt>
                <c:pt idx="124">
                  <c:v>17.309000000000001</c:v>
                </c:pt>
                <c:pt idx="125">
                  <c:v>17.271999999999998</c:v>
                </c:pt>
                <c:pt idx="126">
                  <c:v>17.297999999999998</c:v>
                </c:pt>
                <c:pt idx="127">
                  <c:v>17.256</c:v>
                </c:pt>
                <c:pt idx="128">
                  <c:v>17.309000000000001</c:v>
                </c:pt>
                <c:pt idx="129">
                  <c:v>17.276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1-4471-9FD0-85843164159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('AMP7-6'!$R$4,'AMP7-6'!$R$4)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B1-4471-9FD0-85843164159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('AMP7-6'!$R$5,'AMP7-6'!$R$5)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B1-4471-9FD0-858431641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7360"/>
        <c:axId val="573347752"/>
      </c:scatterChart>
      <c:valAx>
        <c:axId val="57334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7752"/>
        <c:crosses val="autoZero"/>
        <c:crossBetween val="midCat"/>
      </c:valAx>
      <c:valAx>
        <c:axId val="5733477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'AMP7-6'!$S$8</c:f>
              <c:strCache>
                <c:ptCount val="1"/>
                <c:pt idx="0">
                  <c:v>Dim 9_2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'AMP7-6'!$S$9:$S$138</c:f>
              <c:numCache>
                <c:formatCode>General</c:formatCode>
                <c:ptCount val="130"/>
                <c:pt idx="0">
                  <c:v>17.251000000000001</c:v>
                </c:pt>
                <c:pt idx="1">
                  <c:v>17.273</c:v>
                </c:pt>
                <c:pt idx="2">
                  <c:v>17.268999999999998</c:v>
                </c:pt>
                <c:pt idx="3">
                  <c:v>17.335999999999999</c:v>
                </c:pt>
                <c:pt idx="4">
                  <c:v>17.225999999999999</c:v>
                </c:pt>
                <c:pt idx="5">
                  <c:v>17.312000000000001</c:v>
                </c:pt>
                <c:pt idx="6">
                  <c:v>17.195</c:v>
                </c:pt>
                <c:pt idx="7">
                  <c:v>17.268999999999998</c:v>
                </c:pt>
                <c:pt idx="8">
                  <c:v>17.184999999999999</c:v>
                </c:pt>
                <c:pt idx="9">
                  <c:v>17.263000000000002</c:v>
                </c:pt>
                <c:pt idx="10">
                  <c:v>17.204999999999998</c:v>
                </c:pt>
                <c:pt idx="11">
                  <c:v>17.356999999999999</c:v>
                </c:pt>
                <c:pt idx="12">
                  <c:v>17.222000000000001</c:v>
                </c:pt>
                <c:pt idx="13">
                  <c:v>17.239000000000001</c:v>
                </c:pt>
                <c:pt idx="14">
                  <c:v>17.408000000000001</c:v>
                </c:pt>
                <c:pt idx="15">
                  <c:v>17.346</c:v>
                </c:pt>
                <c:pt idx="16">
                  <c:v>17.395</c:v>
                </c:pt>
                <c:pt idx="17">
                  <c:v>17.352</c:v>
                </c:pt>
                <c:pt idx="18">
                  <c:v>17.344999999999999</c:v>
                </c:pt>
                <c:pt idx="19">
                  <c:v>17.347000000000001</c:v>
                </c:pt>
                <c:pt idx="20">
                  <c:v>17.222000000000001</c:v>
                </c:pt>
                <c:pt idx="21">
                  <c:v>17.283000000000001</c:v>
                </c:pt>
                <c:pt idx="22">
                  <c:v>17.312999999999999</c:v>
                </c:pt>
                <c:pt idx="23">
                  <c:v>17.324000000000002</c:v>
                </c:pt>
                <c:pt idx="24">
                  <c:v>17.312999999999999</c:v>
                </c:pt>
                <c:pt idx="25">
                  <c:v>17.312999999999999</c:v>
                </c:pt>
                <c:pt idx="26">
                  <c:v>17.286999999999999</c:v>
                </c:pt>
                <c:pt idx="27">
                  <c:v>17.305</c:v>
                </c:pt>
                <c:pt idx="28">
                  <c:v>17.298999999999999</c:v>
                </c:pt>
                <c:pt idx="29">
                  <c:v>17.280999999999999</c:v>
                </c:pt>
                <c:pt idx="30">
                  <c:v>17.268999999999998</c:v>
                </c:pt>
                <c:pt idx="31">
                  <c:v>17.349</c:v>
                </c:pt>
                <c:pt idx="32">
                  <c:v>17.225999999999999</c:v>
                </c:pt>
                <c:pt idx="33">
                  <c:v>17.298999999999999</c:v>
                </c:pt>
                <c:pt idx="34">
                  <c:v>17.256</c:v>
                </c:pt>
                <c:pt idx="35">
                  <c:v>17.347999999999999</c:v>
                </c:pt>
                <c:pt idx="36">
                  <c:v>17.265000000000001</c:v>
                </c:pt>
                <c:pt idx="37">
                  <c:v>17.332999999999998</c:v>
                </c:pt>
                <c:pt idx="38">
                  <c:v>17.18</c:v>
                </c:pt>
                <c:pt idx="39">
                  <c:v>17.236999999999998</c:v>
                </c:pt>
                <c:pt idx="40">
                  <c:v>17.256</c:v>
                </c:pt>
                <c:pt idx="41">
                  <c:v>17.239999999999998</c:v>
                </c:pt>
                <c:pt idx="42">
                  <c:v>17.164999999999999</c:v>
                </c:pt>
                <c:pt idx="43">
                  <c:v>17.312000000000001</c:v>
                </c:pt>
                <c:pt idx="44">
                  <c:v>17.234000000000002</c:v>
                </c:pt>
                <c:pt idx="45">
                  <c:v>17.292000000000002</c:v>
                </c:pt>
                <c:pt idx="46">
                  <c:v>17.210999999999999</c:v>
                </c:pt>
                <c:pt idx="47">
                  <c:v>17.280999999999999</c:v>
                </c:pt>
                <c:pt idx="48">
                  <c:v>17.157</c:v>
                </c:pt>
                <c:pt idx="49">
                  <c:v>17.303999999999998</c:v>
                </c:pt>
                <c:pt idx="50">
                  <c:v>17.114000000000001</c:v>
                </c:pt>
                <c:pt idx="51">
                  <c:v>17.294</c:v>
                </c:pt>
                <c:pt idx="52">
                  <c:v>17.042999999999999</c:v>
                </c:pt>
                <c:pt idx="53">
                  <c:v>17.308</c:v>
                </c:pt>
                <c:pt idx="54">
                  <c:v>17.091000000000001</c:v>
                </c:pt>
                <c:pt idx="55">
                  <c:v>17.245999999999999</c:v>
                </c:pt>
                <c:pt idx="56">
                  <c:v>17.145</c:v>
                </c:pt>
                <c:pt idx="57">
                  <c:v>17.274000000000001</c:v>
                </c:pt>
                <c:pt idx="58">
                  <c:v>17.45</c:v>
                </c:pt>
                <c:pt idx="59">
                  <c:v>17.25</c:v>
                </c:pt>
                <c:pt idx="60">
                  <c:v>17.355</c:v>
                </c:pt>
                <c:pt idx="61">
                  <c:v>17.302</c:v>
                </c:pt>
                <c:pt idx="62">
                  <c:v>17.344000000000001</c:v>
                </c:pt>
                <c:pt idx="63">
                  <c:v>17.292999999999999</c:v>
                </c:pt>
                <c:pt idx="64">
                  <c:v>17.332999999999998</c:v>
                </c:pt>
                <c:pt idx="65">
                  <c:v>17.253</c:v>
                </c:pt>
                <c:pt idx="66">
                  <c:v>17.312000000000001</c:v>
                </c:pt>
                <c:pt idx="67">
                  <c:v>17.358000000000001</c:v>
                </c:pt>
                <c:pt idx="68">
                  <c:v>17.167999999999999</c:v>
                </c:pt>
                <c:pt idx="69">
                  <c:v>17.196000000000002</c:v>
                </c:pt>
                <c:pt idx="70">
                  <c:v>17.417999999999999</c:v>
                </c:pt>
                <c:pt idx="71">
                  <c:v>17.286999999999999</c:v>
                </c:pt>
                <c:pt idx="72">
                  <c:v>17.428999999999998</c:v>
                </c:pt>
                <c:pt idx="73">
                  <c:v>17.353999999999999</c:v>
                </c:pt>
                <c:pt idx="74">
                  <c:v>17.440999999999999</c:v>
                </c:pt>
                <c:pt idx="75">
                  <c:v>17.244</c:v>
                </c:pt>
                <c:pt idx="76">
                  <c:v>17.385999999999999</c:v>
                </c:pt>
                <c:pt idx="77">
                  <c:v>17.303999999999998</c:v>
                </c:pt>
                <c:pt idx="78">
                  <c:v>17.416</c:v>
                </c:pt>
                <c:pt idx="79">
                  <c:v>17.291</c:v>
                </c:pt>
                <c:pt idx="80">
                  <c:v>17.408999999999999</c:v>
                </c:pt>
                <c:pt idx="81">
                  <c:v>17.349</c:v>
                </c:pt>
                <c:pt idx="82">
                  <c:v>17.329999999999998</c:v>
                </c:pt>
                <c:pt idx="83">
                  <c:v>17.38</c:v>
                </c:pt>
                <c:pt idx="84">
                  <c:v>17.286999999999999</c:v>
                </c:pt>
                <c:pt idx="85">
                  <c:v>17.337</c:v>
                </c:pt>
                <c:pt idx="86">
                  <c:v>17.202000000000002</c:v>
                </c:pt>
                <c:pt idx="87">
                  <c:v>17.28</c:v>
                </c:pt>
                <c:pt idx="88">
                  <c:v>17.206</c:v>
                </c:pt>
                <c:pt idx="89">
                  <c:v>17.225000000000001</c:v>
                </c:pt>
                <c:pt idx="90">
                  <c:v>17.13</c:v>
                </c:pt>
                <c:pt idx="91">
                  <c:v>17.202000000000002</c:v>
                </c:pt>
                <c:pt idx="92">
                  <c:v>17.172999999999998</c:v>
                </c:pt>
                <c:pt idx="93">
                  <c:v>17.109000000000002</c:v>
                </c:pt>
                <c:pt idx="94">
                  <c:v>17.151</c:v>
                </c:pt>
                <c:pt idx="95">
                  <c:v>17.257000000000001</c:v>
                </c:pt>
                <c:pt idx="96">
                  <c:v>17.274999999999999</c:v>
                </c:pt>
                <c:pt idx="97">
                  <c:v>17.11</c:v>
                </c:pt>
                <c:pt idx="98">
                  <c:v>17.391999999999999</c:v>
                </c:pt>
                <c:pt idx="99">
                  <c:v>17.266999999999999</c:v>
                </c:pt>
                <c:pt idx="100">
                  <c:v>17.434000000000001</c:v>
                </c:pt>
                <c:pt idx="101">
                  <c:v>17.32</c:v>
                </c:pt>
                <c:pt idx="102">
                  <c:v>17.251000000000001</c:v>
                </c:pt>
                <c:pt idx="103">
                  <c:v>17.274999999999999</c:v>
                </c:pt>
                <c:pt idx="104">
                  <c:v>17.347999999999999</c:v>
                </c:pt>
                <c:pt idx="105">
                  <c:v>17.300999999999998</c:v>
                </c:pt>
                <c:pt idx="106">
                  <c:v>17.308</c:v>
                </c:pt>
                <c:pt idx="107">
                  <c:v>17.329999999999998</c:v>
                </c:pt>
                <c:pt idx="108">
                  <c:v>17.254999999999999</c:v>
                </c:pt>
                <c:pt idx="109">
                  <c:v>17.355</c:v>
                </c:pt>
                <c:pt idx="110">
                  <c:v>17.204000000000001</c:v>
                </c:pt>
                <c:pt idx="111">
                  <c:v>17.34</c:v>
                </c:pt>
                <c:pt idx="112">
                  <c:v>17.331</c:v>
                </c:pt>
                <c:pt idx="113">
                  <c:v>17.338999999999999</c:v>
                </c:pt>
                <c:pt idx="114">
                  <c:v>17.206</c:v>
                </c:pt>
                <c:pt idx="115">
                  <c:v>17.353999999999999</c:v>
                </c:pt>
                <c:pt idx="116">
                  <c:v>17.202999999999999</c:v>
                </c:pt>
                <c:pt idx="117">
                  <c:v>17.311</c:v>
                </c:pt>
                <c:pt idx="118">
                  <c:v>17.251000000000001</c:v>
                </c:pt>
                <c:pt idx="119">
                  <c:v>17.32</c:v>
                </c:pt>
                <c:pt idx="120">
                  <c:v>17.167999999999999</c:v>
                </c:pt>
                <c:pt idx="121">
                  <c:v>17.375</c:v>
                </c:pt>
                <c:pt idx="122">
                  <c:v>17.175000000000001</c:v>
                </c:pt>
                <c:pt idx="123">
                  <c:v>17.332000000000001</c:v>
                </c:pt>
                <c:pt idx="124">
                  <c:v>17.294</c:v>
                </c:pt>
                <c:pt idx="125">
                  <c:v>17.297000000000001</c:v>
                </c:pt>
                <c:pt idx="126">
                  <c:v>17.148</c:v>
                </c:pt>
                <c:pt idx="127">
                  <c:v>17.338999999999999</c:v>
                </c:pt>
                <c:pt idx="128">
                  <c:v>17.195</c:v>
                </c:pt>
                <c:pt idx="129">
                  <c:v>17.352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44-4AB0-9527-0947BEA39AF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('AMP7-6'!$S$4,'AMP7-6'!$S$4)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44-4AB0-9527-0947BEA39AF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('AMP7-6'!$S$5,'AMP7-6'!$S$5)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44-4AB0-9527-0947BEA39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8536"/>
        <c:axId val="573348928"/>
      </c:scatterChart>
      <c:valAx>
        <c:axId val="57334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8928"/>
        <c:crosses val="autoZero"/>
        <c:crossBetween val="midCat"/>
      </c:valAx>
      <c:valAx>
        <c:axId val="5733489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'AMP7-6'!$T$9:$T$138</c:f>
              <c:numCache>
                <c:formatCode>General</c:formatCode>
                <c:ptCount val="130"/>
                <c:pt idx="0">
                  <c:v>33.604999999999997</c:v>
                </c:pt>
                <c:pt idx="1">
                  <c:v>36.71</c:v>
                </c:pt>
                <c:pt idx="2">
                  <c:v>34.262999999999998</c:v>
                </c:pt>
                <c:pt idx="3">
                  <c:v>37.841000000000001</c:v>
                </c:pt>
                <c:pt idx="4">
                  <c:v>33.698999999999998</c:v>
                </c:pt>
                <c:pt idx="5">
                  <c:v>38.948999999999998</c:v>
                </c:pt>
                <c:pt idx="6">
                  <c:v>33.549999999999997</c:v>
                </c:pt>
                <c:pt idx="7">
                  <c:v>36.479999999999997</c:v>
                </c:pt>
                <c:pt idx="8">
                  <c:v>33.542999999999999</c:v>
                </c:pt>
                <c:pt idx="9">
                  <c:v>37.731000000000002</c:v>
                </c:pt>
                <c:pt idx="10">
                  <c:v>33.484000000000002</c:v>
                </c:pt>
                <c:pt idx="11">
                  <c:v>37.613</c:v>
                </c:pt>
                <c:pt idx="12">
                  <c:v>33.728000000000002</c:v>
                </c:pt>
                <c:pt idx="13">
                  <c:v>37.552999999999997</c:v>
                </c:pt>
                <c:pt idx="14">
                  <c:v>33.881999999999998</c:v>
                </c:pt>
                <c:pt idx="15">
                  <c:v>38.350999999999999</c:v>
                </c:pt>
                <c:pt idx="16">
                  <c:v>33.808999999999997</c:v>
                </c:pt>
                <c:pt idx="17">
                  <c:v>38.125999999999998</c:v>
                </c:pt>
                <c:pt idx="18">
                  <c:v>33.674999999999997</c:v>
                </c:pt>
                <c:pt idx="19">
                  <c:v>37.884</c:v>
                </c:pt>
                <c:pt idx="20">
                  <c:v>33.682000000000002</c:v>
                </c:pt>
                <c:pt idx="21">
                  <c:v>37.225000000000001</c:v>
                </c:pt>
                <c:pt idx="22">
                  <c:v>33.649000000000001</c:v>
                </c:pt>
                <c:pt idx="23">
                  <c:v>38.670999999999999</c:v>
                </c:pt>
                <c:pt idx="24">
                  <c:v>33.613999999999997</c:v>
                </c:pt>
                <c:pt idx="25">
                  <c:v>38.115000000000002</c:v>
                </c:pt>
                <c:pt idx="26">
                  <c:v>33.674999999999997</c:v>
                </c:pt>
                <c:pt idx="27">
                  <c:v>37.067</c:v>
                </c:pt>
                <c:pt idx="28">
                  <c:v>33.72</c:v>
                </c:pt>
                <c:pt idx="29">
                  <c:v>36.978000000000002</c:v>
                </c:pt>
                <c:pt idx="30">
                  <c:v>33.622999999999998</c:v>
                </c:pt>
                <c:pt idx="31">
                  <c:v>37.927999999999997</c:v>
                </c:pt>
                <c:pt idx="32">
                  <c:v>33.667000000000002</c:v>
                </c:pt>
                <c:pt idx="33">
                  <c:v>36.911000000000001</c:v>
                </c:pt>
                <c:pt idx="34">
                  <c:v>33.71</c:v>
                </c:pt>
                <c:pt idx="35">
                  <c:v>35.398000000000003</c:v>
                </c:pt>
                <c:pt idx="36">
                  <c:v>33.613999999999997</c:v>
                </c:pt>
                <c:pt idx="37">
                  <c:v>36.259</c:v>
                </c:pt>
                <c:pt idx="38">
                  <c:v>33.680999999999997</c:v>
                </c:pt>
                <c:pt idx="39">
                  <c:v>36.53</c:v>
                </c:pt>
                <c:pt idx="40">
                  <c:v>33.600999999999999</c:v>
                </c:pt>
                <c:pt idx="41">
                  <c:v>38.530999999999999</c:v>
                </c:pt>
                <c:pt idx="42">
                  <c:v>33.575000000000003</c:v>
                </c:pt>
                <c:pt idx="43">
                  <c:v>38.988</c:v>
                </c:pt>
                <c:pt idx="44">
                  <c:v>33.585999999999999</c:v>
                </c:pt>
                <c:pt idx="45">
                  <c:v>37.481999999999999</c:v>
                </c:pt>
                <c:pt idx="46">
                  <c:v>33.670999999999999</c:v>
                </c:pt>
                <c:pt idx="47">
                  <c:v>37.695999999999998</c:v>
                </c:pt>
                <c:pt idx="48">
                  <c:v>33.591000000000001</c:v>
                </c:pt>
                <c:pt idx="49">
                  <c:v>36.515000000000001</c:v>
                </c:pt>
                <c:pt idx="50">
                  <c:v>33.622</c:v>
                </c:pt>
                <c:pt idx="51">
                  <c:v>37.307000000000002</c:v>
                </c:pt>
                <c:pt idx="52">
                  <c:v>33.320999999999998</c:v>
                </c:pt>
                <c:pt idx="53">
                  <c:v>38.380000000000003</c:v>
                </c:pt>
                <c:pt idx="54">
                  <c:v>33.567</c:v>
                </c:pt>
                <c:pt idx="55">
                  <c:v>39.616</c:v>
                </c:pt>
                <c:pt idx="56">
                  <c:v>33.628999999999998</c:v>
                </c:pt>
                <c:pt idx="57">
                  <c:v>36.21</c:v>
                </c:pt>
                <c:pt idx="58">
                  <c:v>33.845999999999997</c:v>
                </c:pt>
                <c:pt idx="59">
                  <c:v>37.795999999999999</c:v>
                </c:pt>
                <c:pt idx="60">
                  <c:v>33.582999999999998</c:v>
                </c:pt>
                <c:pt idx="61">
                  <c:v>37.701999999999998</c:v>
                </c:pt>
                <c:pt idx="62">
                  <c:v>33.515999999999998</c:v>
                </c:pt>
                <c:pt idx="63">
                  <c:v>36.475999999999999</c:v>
                </c:pt>
                <c:pt idx="64">
                  <c:v>33.706000000000003</c:v>
                </c:pt>
                <c:pt idx="65">
                  <c:v>41.066000000000003</c:v>
                </c:pt>
                <c:pt idx="66">
                  <c:v>33.552999999999997</c:v>
                </c:pt>
                <c:pt idx="67">
                  <c:v>37.941000000000003</c:v>
                </c:pt>
                <c:pt idx="68">
                  <c:v>33.200000000000003</c:v>
                </c:pt>
                <c:pt idx="69">
                  <c:v>37.936</c:v>
                </c:pt>
                <c:pt idx="70">
                  <c:v>33.683</c:v>
                </c:pt>
                <c:pt idx="71">
                  <c:v>37.176000000000002</c:v>
                </c:pt>
                <c:pt idx="72">
                  <c:v>33.746000000000002</c:v>
                </c:pt>
                <c:pt idx="73">
                  <c:v>39.454999999999998</c:v>
                </c:pt>
                <c:pt idx="74">
                  <c:v>33.561999999999998</c:v>
                </c:pt>
                <c:pt idx="75">
                  <c:v>38.859000000000002</c:v>
                </c:pt>
                <c:pt idx="76">
                  <c:v>33.764000000000003</c:v>
                </c:pt>
                <c:pt idx="77">
                  <c:v>40.725999999999999</c:v>
                </c:pt>
                <c:pt idx="78">
                  <c:v>33.671999999999997</c:v>
                </c:pt>
                <c:pt idx="79">
                  <c:v>38.185000000000002</c:v>
                </c:pt>
                <c:pt idx="80">
                  <c:v>33.734000000000002</c:v>
                </c:pt>
                <c:pt idx="81">
                  <c:v>36.725999999999999</c:v>
                </c:pt>
                <c:pt idx="82">
                  <c:v>33.761000000000003</c:v>
                </c:pt>
                <c:pt idx="83">
                  <c:v>37.145000000000003</c:v>
                </c:pt>
                <c:pt idx="84">
                  <c:v>32.890999999999998</c:v>
                </c:pt>
                <c:pt idx="85">
                  <c:v>37.536000000000001</c:v>
                </c:pt>
                <c:pt idx="86">
                  <c:v>33.433999999999997</c:v>
                </c:pt>
                <c:pt idx="87">
                  <c:v>38.351999999999997</c:v>
                </c:pt>
                <c:pt idx="88">
                  <c:v>33.348999999999997</c:v>
                </c:pt>
                <c:pt idx="89">
                  <c:v>36.896999999999998</c:v>
                </c:pt>
                <c:pt idx="90">
                  <c:v>33.409999999999997</c:v>
                </c:pt>
                <c:pt idx="91">
                  <c:v>36.107999999999997</c:v>
                </c:pt>
                <c:pt idx="92">
                  <c:v>33.432000000000002</c:v>
                </c:pt>
                <c:pt idx="93">
                  <c:v>36.475999999999999</c:v>
                </c:pt>
                <c:pt idx="94">
                  <c:v>33.619999999999997</c:v>
                </c:pt>
                <c:pt idx="95">
                  <c:v>36.627000000000002</c:v>
                </c:pt>
                <c:pt idx="96">
                  <c:v>33.478999999999999</c:v>
                </c:pt>
                <c:pt idx="97">
                  <c:v>39.241</c:v>
                </c:pt>
                <c:pt idx="98">
                  <c:v>33.79</c:v>
                </c:pt>
                <c:pt idx="99">
                  <c:v>35.667000000000002</c:v>
                </c:pt>
                <c:pt idx="100">
                  <c:v>33.758000000000003</c:v>
                </c:pt>
                <c:pt idx="101">
                  <c:v>36.595999999999997</c:v>
                </c:pt>
                <c:pt idx="102">
                  <c:v>34.203000000000003</c:v>
                </c:pt>
                <c:pt idx="103">
                  <c:v>35.640999999999998</c:v>
                </c:pt>
                <c:pt idx="104">
                  <c:v>33.710999999999999</c:v>
                </c:pt>
                <c:pt idx="105">
                  <c:v>37.232999999999997</c:v>
                </c:pt>
                <c:pt idx="106">
                  <c:v>33.957000000000001</c:v>
                </c:pt>
                <c:pt idx="107">
                  <c:v>37.418999999999997</c:v>
                </c:pt>
                <c:pt idx="108">
                  <c:v>33.665999999999997</c:v>
                </c:pt>
                <c:pt idx="109">
                  <c:v>37.847000000000001</c:v>
                </c:pt>
                <c:pt idx="110">
                  <c:v>33.777999999999999</c:v>
                </c:pt>
                <c:pt idx="111">
                  <c:v>38.710999999999999</c:v>
                </c:pt>
                <c:pt idx="112">
                  <c:v>33.573999999999998</c:v>
                </c:pt>
                <c:pt idx="113">
                  <c:v>36.179000000000002</c:v>
                </c:pt>
                <c:pt idx="114">
                  <c:v>33.814</c:v>
                </c:pt>
                <c:pt idx="115">
                  <c:v>35.143000000000001</c:v>
                </c:pt>
                <c:pt idx="116">
                  <c:v>33.671999999999997</c:v>
                </c:pt>
                <c:pt idx="117">
                  <c:v>37.898000000000003</c:v>
                </c:pt>
                <c:pt idx="118">
                  <c:v>33.673999999999999</c:v>
                </c:pt>
                <c:pt idx="119">
                  <c:v>37.323</c:v>
                </c:pt>
                <c:pt idx="120">
                  <c:v>33.549999999999997</c:v>
                </c:pt>
                <c:pt idx="121">
                  <c:v>36.308</c:v>
                </c:pt>
                <c:pt idx="122">
                  <c:v>33.622</c:v>
                </c:pt>
                <c:pt idx="123">
                  <c:v>38.402999999999999</c:v>
                </c:pt>
                <c:pt idx="124">
                  <c:v>33.692999999999998</c:v>
                </c:pt>
                <c:pt idx="125">
                  <c:v>37.606999999999999</c:v>
                </c:pt>
                <c:pt idx="126">
                  <c:v>34.228999999999999</c:v>
                </c:pt>
                <c:pt idx="127">
                  <c:v>35.880000000000003</c:v>
                </c:pt>
                <c:pt idx="128">
                  <c:v>33.738</c:v>
                </c:pt>
                <c:pt idx="129">
                  <c:v>36.262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9C-46FD-98A4-3FA693B5778B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('AMP7-6'!$T$4,'AMP7-6'!$T$4)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9C-46FD-98A4-3FA693B5778B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('AMP7-6'!$T$5,'AMP7-6'!$T$5)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9C-46FD-98A4-3FA693B57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9712"/>
        <c:axId val="573350104"/>
      </c:scatterChart>
      <c:valAx>
        <c:axId val="57334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0104"/>
        <c:crosses val="autoZero"/>
        <c:crossBetween val="midCat"/>
      </c:valAx>
      <c:valAx>
        <c:axId val="57335010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4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'AMP7-6'!$U$9:$U$138</c:f>
              <c:numCache>
                <c:formatCode>General</c:formatCode>
                <c:ptCount val="130"/>
                <c:pt idx="0">
                  <c:v>34.847000000000001</c:v>
                </c:pt>
                <c:pt idx="1">
                  <c:v>36.881999999999998</c:v>
                </c:pt>
                <c:pt idx="2">
                  <c:v>34.195</c:v>
                </c:pt>
                <c:pt idx="3">
                  <c:v>38.009</c:v>
                </c:pt>
                <c:pt idx="4">
                  <c:v>34.844999999999999</c:v>
                </c:pt>
                <c:pt idx="5">
                  <c:v>38.207999999999998</c:v>
                </c:pt>
                <c:pt idx="6">
                  <c:v>34.844999999999999</c:v>
                </c:pt>
                <c:pt idx="7">
                  <c:v>37.743000000000002</c:v>
                </c:pt>
                <c:pt idx="8">
                  <c:v>34.741999999999997</c:v>
                </c:pt>
                <c:pt idx="9">
                  <c:v>38.542999999999999</c:v>
                </c:pt>
                <c:pt idx="10">
                  <c:v>34.707999999999998</c:v>
                </c:pt>
                <c:pt idx="11">
                  <c:v>38.055</c:v>
                </c:pt>
                <c:pt idx="12">
                  <c:v>34.593000000000004</c:v>
                </c:pt>
                <c:pt idx="13">
                  <c:v>37.024000000000001</c:v>
                </c:pt>
                <c:pt idx="14">
                  <c:v>34.860999999999997</c:v>
                </c:pt>
                <c:pt idx="15">
                  <c:v>37.393000000000001</c:v>
                </c:pt>
                <c:pt idx="16">
                  <c:v>34.863999999999997</c:v>
                </c:pt>
                <c:pt idx="17">
                  <c:v>36.365000000000002</c:v>
                </c:pt>
                <c:pt idx="18">
                  <c:v>34.920999999999999</c:v>
                </c:pt>
                <c:pt idx="19">
                  <c:v>37.579000000000001</c:v>
                </c:pt>
                <c:pt idx="20">
                  <c:v>34.914000000000001</c:v>
                </c:pt>
                <c:pt idx="21">
                  <c:v>35.378</c:v>
                </c:pt>
                <c:pt idx="22">
                  <c:v>34.731000000000002</c:v>
                </c:pt>
                <c:pt idx="23">
                  <c:v>37.896999999999998</c:v>
                </c:pt>
                <c:pt idx="24">
                  <c:v>34.74</c:v>
                </c:pt>
                <c:pt idx="25">
                  <c:v>37.951999999999998</c:v>
                </c:pt>
                <c:pt idx="26">
                  <c:v>34.779000000000003</c:v>
                </c:pt>
                <c:pt idx="27">
                  <c:v>37.238999999999997</c:v>
                </c:pt>
                <c:pt idx="28">
                  <c:v>34.951000000000001</c:v>
                </c:pt>
                <c:pt idx="29">
                  <c:v>36.122</c:v>
                </c:pt>
                <c:pt idx="30">
                  <c:v>34.898000000000003</c:v>
                </c:pt>
                <c:pt idx="31">
                  <c:v>38.22</c:v>
                </c:pt>
                <c:pt idx="32">
                  <c:v>34.832999999999998</c:v>
                </c:pt>
                <c:pt idx="33">
                  <c:v>35.826999999999998</c:v>
                </c:pt>
                <c:pt idx="34">
                  <c:v>34.78</c:v>
                </c:pt>
                <c:pt idx="35">
                  <c:v>35.311999999999998</c:v>
                </c:pt>
                <c:pt idx="36">
                  <c:v>34.677</c:v>
                </c:pt>
                <c:pt idx="37">
                  <c:v>38.179000000000002</c:v>
                </c:pt>
                <c:pt idx="38">
                  <c:v>34.976999999999997</c:v>
                </c:pt>
                <c:pt idx="39">
                  <c:v>37.448</c:v>
                </c:pt>
                <c:pt idx="40">
                  <c:v>34.947000000000003</c:v>
                </c:pt>
                <c:pt idx="41">
                  <c:v>38.110999999999997</c:v>
                </c:pt>
                <c:pt idx="42">
                  <c:v>34.905999999999999</c:v>
                </c:pt>
                <c:pt idx="43">
                  <c:v>38.003999999999998</c:v>
                </c:pt>
                <c:pt idx="44">
                  <c:v>34.834000000000003</c:v>
                </c:pt>
                <c:pt idx="45">
                  <c:v>37.594999999999999</c:v>
                </c:pt>
                <c:pt idx="46">
                  <c:v>34.796999999999997</c:v>
                </c:pt>
                <c:pt idx="47">
                  <c:v>37.923999999999999</c:v>
                </c:pt>
                <c:pt idx="48">
                  <c:v>34.83</c:v>
                </c:pt>
                <c:pt idx="49">
                  <c:v>36.357999999999997</c:v>
                </c:pt>
                <c:pt idx="50">
                  <c:v>34.828000000000003</c:v>
                </c:pt>
                <c:pt idx="51">
                  <c:v>38.040999999999997</c:v>
                </c:pt>
                <c:pt idx="52">
                  <c:v>35.075000000000003</c:v>
                </c:pt>
                <c:pt idx="53">
                  <c:v>38.529000000000003</c:v>
                </c:pt>
                <c:pt idx="54">
                  <c:v>34.841999999999999</c:v>
                </c:pt>
                <c:pt idx="55">
                  <c:v>39.463999999999999</c:v>
                </c:pt>
                <c:pt idx="56">
                  <c:v>34.814</c:v>
                </c:pt>
                <c:pt idx="57">
                  <c:v>35.845999999999997</c:v>
                </c:pt>
                <c:pt idx="58">
                  <c:v>34.542999999999999</c:v>
                </c:pt>
                <c:pt idx="59">
                  <c:v>37.997999999999998</c:v>
                </c:pt>
                <c:pt idx="60">
                  <c:v>34.753999999999998</c:v>
                </c:pt>
                <c:pt idx="61">
                  <c:v>39.094000000000001</c:v>
                </c:pt>
                <c:pt idx="62">
                  <c:v>34.712000000000003</c:v>
                </c:pt>
                <c:pt idx="63">
                  <c:v>37.634</c:v>
                </c:pt>
                <c:pt idx="64">
                  <c:v>34.49</c:v>
                </c:pt>
                <c:pt idx="65">
                  <c:v>40.462000000000003</c:v>
                </c:pt>
                <c:pt idx="66">
                  <c:v>34.706000000000003</c:v>
                </c:pt>
                <c:pt idx="67">
                  <c:v>36.902999999999999</c:v>
                </c:pt>
                <c:pt idx="68">
                  <c:v>35.168999999999997</c:v>
                </c:pt>
                <c:pt idx="69">
                  <c:v>37.009</c:v>
                </c:pt>
                <c:pt idx="70">
                  <c:v>34.732999999999997</c:v>
                </c:pt>
                <c:pt idx="71">
                  <c:v>37.479999999999997</c:v>
                </c:pt>
                <c:pt idx="72">
                  <c:v>34.732999999999997</c:v>
                </c:pt>
                <c:pt idx="73">
                  <c:v>39.539000000000001</c:v>
                </c:pt>
                <c:pt idx="74">
                  <c:v>34.466999999999999</c:v>
                </c:pt>
                <c:pt idx="75">
                  <c:v>38.74</c:v>
                </c:pt>
                <c:pt idx="76">
                  <c:v>34.689</c:v>
                </c:pt>
                <c:pt idx="77">
                  <c:v>40.156999999999996</c:v>
                </c:pt>
                <c:pt idx="78">
                  <c:v>34.844999999999999</c:v>
                </c:pt>
                <c:pt idx="79">
                  <c:v>40.08</c:v>
                </c:pt>
                <c:pt idx="80">
                  <c:v>34.835999999999999</c:v>
                </c:pt>
                <c:pt idx="81">
                  <c:v>36.777999999999999</c:v>
                </c:pt>
                <c:pt idx="82">
                  <c:v>34.893000000000001</c:v>
                </c:pt>
                <c:pt idx="83">
                  <c:v>38.023000000000003</c:v>
                </c:pt>
                <c:pt idx="84">
                  <c:v>35.113</c:v>
                </c:pt>
                <c:pt idx="85">
                  <c:v>37.101999999999997</c:v>
                </c:pt>
                <c:pt idx="86">
                  <c:v>34.680999999999997</c:v>
                </c:pt>
                <c:pt idx="87">
                  <c:v>38.417000000000002</c:v>
                </c:pt>
                <c:pt idx="88">
                  <c:v>34.677</c:v>
                </c:pt>
                <c:pt idx="89">
                  <c:v>35.898000000000003</c:v>
                </c:pt>
                <c:pt idx="90">
                  <c:v>34.832999999999998</c:v>
                </c:pt>
                <c:pt idx="91">
                  <c:v>37.731000000000002</c:v>
                </c:pt>
                <c:pt idx="92">
                  <c:v>34.692</c:v>
                </c:pt>
                <c:pt idx="93">
                  <c:v>37.829000000000001</c:v>
                </c:pt>
                <c:pt idx="94">
                  <c:v>34.850999999999999</c:v>
                </c:pt>
                <c:pt idx="95">
                  <c:v>37.881</c:v>
                </c:pt>
                <c:pt idx="96">
                  <c:v>34.738</c:v>
                </c:pt>
                <c:pt idx="97">
                  <c:v>39.819000000000003</c:v>
                </c:pt>
                <c:pt idx="98">
                  <c:v>34.61</c:v>
                </c:pt>
                <c:pt idx="99">
                  <c:v>36.871000000000002</c:v>
                </c:pt>
                <c:pt idx="100">
                  <c:v>34.813000000000002</c:v>
                </c:pt>
                <c:pt idx="101">
                  <c:v>37.505000000000003</c:v>
                </c:pt>
                <c:pt idx="102">
                  <c:v>34.338999999999999</c:v>
                </c:pt>
                <c:pt idx="103">
                  <c:v>35.987000000000002</c:v>
                </c:pt>
                <c:pt idx="104">
                  <c:v>35.012999999999998</c:v>
                </c:pt>
                <c:pt idx="105">
                  <c:v>36.976999999999997</c:v>
                </c:pt>
                <c:pt idx="106">
                  <c:v>34.579000000000001</c:v>
                </c:pt>
                <c:pt idx="107">
                  <c:v>36.685000000000002</c:v>
                </c:pt>
                <c:pt idx="108">
                  <c:v>34.837000000000003</c:v>
                </c:pt>
                <c:pt idx="109">
                  <c:v>38.634999999999998</c:v>
                </c:pt>
                <c:pt idx="110">
                  <c:v>35.066000000000003</c:v>
                </c:pt>
                <c:pt idx="111">
                  <c:v>39.341999999999999</c:v>
                </c:pt>
                <c:pt idx="112">
                  <c:v>35.064</c:v>
                </c:pt>
                <c:pt idx="113">
                  <c:v>35.527000000000001</c:v>
                </c:pt>
                <c:pt idx="114">
                  <c:v>34.968000000000004</c:v>
                </c:pt>
                <c:pt idx="115">
                  <c:v>37.308</c:v>
                </c:pt>
                <c:pt idx="116">
                  <c:v>34.859000000000002</c:v>
                </c:pt>
                <c:pt idx="117">
                  <c:v>38.070999999999998</c:v>
                </c:pt>
                <c:pt idx="118">
                  <c:v>34.753999999999998</c:v>
                </c:pt>
                <c:pt idx="119">
                  <c:v>38.090000000000003</c:v>
                </c:pt>
                <c:pt idx="120">
                  <c:v>34.831000000000003</c:v>
                </c:pt>
                <c:pt idx="121">
                  <c:v>37.722000000000001</c:v>
                </c:pt>
                <c:pt idx="122">
                  <c:v>34.923999999999999</c:v>
                </c:pt>
                <c:pt idx="123">
                  <c:v>39.084000000000003</c:v>
                </c:pt>
                <c:pt idx="124">
                  <c:v>34.758000000000003</c:v>
                </c:pt>
                <c:pt idx="125">
                  <c:v>38.619999999999997</c:v>
                </c:pt>
                <c:pt idx="126">
                  <c:v>34.734000000000002</c:v>
                </c:pt>
                <c:pt idx="127">
                  <c:v>37.018999999999998</c:v>
                </c:pt>
                <c:pt idx="128">
                  <c:v>34.962000000000003</c:v>
                </c:pt>
                <c:pt idx="129">
                  <c:v>35.899000000000001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E6-429E-AF21-5609897CF8F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('AMP7-6'!$U$4,'AMP7-6'!$U$4)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E6-429E-AF21-5609897CF8F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('AMP7-6'!$U$5,'AMP7-6'!$U$5)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E6-429E-AF21-5609897CF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0888"/>
        <c:axId val="573351280"/>
      </c:scatterChart>
      <c:valAx>
        <c:axId val="57335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1280"/>
        <c:crosses val="autoZero"/>
        <c:crossBetween val="midCat"/>
      </c:valAx>
      <c:valAx>
        <c:axId val="57335128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'AMP7-6'!$AB$8</c:f>
              <c:strCache>
                <c:ptCount val="1"/>
                <c:pt idx="0">
                  <c:v>T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'AMP7-6'!$AB$9:$AB$138</c:f>
              <c:numCache>
                <c:formatCode>General</c:formatCode>
                <c:ptCount val="130"/>
                <c:pt idx="0">
                  <c:v>-0.17399999999999999</c:v>
                </c:pt>
                <c:pt idx="1">
                  <c:v>-3.1E-2</c:v>
                </c:pt>
                <c:pt idx="2">
                  <c:v>-0.192</c:v>
                </c:pt>
                <c:pt idx="3">
                  <c:v>-8.3000000000000004E-2</c:v>
                </c:pt>
                <c:pt idx="4">
                  <c:v>-0.28499999999999998</c:v>
                </c:pt>
                <c:pt idx="5">
                  <c:v>-7.9000000000000001E-2</c:v>
                </c:pt>
                <c:pt idx="6">
                  <c:v>-0.14399999999999999</c:v>
                </c:pt>
                <c:pt idx="7">
                  <c:v>-3.7999999999999999E-2</c:v>
                </c:pt>
                <c:pt idx="8">
                  <c:v>-0.34300000000000003</c:v>
                </c:pt>
                <c:pt idx="9">
                  <c:v>-0.20899999999999999</c:v>
                </c:pt>
                <c:pt idx="10">
                  <c:v>-0.28100000000000003</c:v>
                </c:pt>
                <c:pt idx="11">
                  <c:v>-6.0999999999999999E-2</c:v>
                </c:pt>
                <c:pt idx="12">
                  <c:v>-0.23100000000000001</c:v>
                </c:pt>
                <c:pt idx="13">
                  <c:v>-0.17599999999999999</c:v>
                </c:pt>
                <c:pt idx="14">
                  <c:v>-3.1E-2</c:v>
                </c:pt>
                <c:pt idx="15">
                  <c:v>8.5000000000000006E-2</c:v>
                </c:pt>
                <c:pt idx="16">
                  <c:v>-1.4999999999999999E-2</c:v>
                </c:pt>
                <c:pt idx="17">
                  <c:v>7.2999999999999995E-2</c:v>
                </c:pt>
                <c:pt idx="18">
                  <c:v>-0.128</c:v>
                </c:pt>
                <c:pt idx="19">
                  <c:v>-3.1E-2</c:v>
                </c:pt>
                <c:pt idx="20">
                  <c:v>-0.10299999999999999</c:v>
                </c:pt>
                <c:pt idx="21">
                  <c:v>-0.09</c:v>
                </c:pt>
                <c:pt idx="22">
                  <c:v>-0.188</c:v>
                </c:pt>
                <c:pt idx="23">
                  <c:v>-7.0999999999999994E-2</c:v>
                </c:pt>
                <c:pt idx="24">
                  <c:v>-0.106</c:v>
                </c:pt>
                <c:pt idx="25">
                  <c:v>-5.8000000000000003E-2</c:v>
                </c:pt>
                <c:pt idx="26">
                  <c:v>-0.17499999999999999</c:v>
                </c:pt>
                <c:pt idx="27">
                  <c:v>-8.4000000000000005E-2</c:v>
                </c:pt>
                <c:pt idx="28">
                  <c:v>-0.193</c:v>
                </c:pt>
                <c:pt idx="29">
                  <c:v>-1.7999999999999999E-2</c:v>
                </c:pt>
                <c:pt idx="30">
                  <c:v>-0.19</c:v>
                </c:pt>
                <c:pt idx="31">
                  <c:v>-6.4000000000000001E-2</c:v>
                </c:pt>
                <c:pt idx="32">
                  <c:v>-0.23300000000000001</c:v>
                </c:pt>
                <c:pt idx="33">
                  <c:v>-8.1000000000000003E-2</c:v>
                </c:pt>
                <c:pt idx="34">
                  <c:v>-0.19600000000000001</c:v>
                </c:pt>
                <c:pt idx="35">
                  <c:v>-4.9000000000000002E-2</c:v>
                </c:pt>
                <c:pt idx="36">
                  <c:v>-0.21</c:v>
                </c:pt>
                <c:pt idx="37">
                  <c:v>-0.13400000000000001</c:v>
                </c:pt>
                <c:pt idx="38">
                  <c:v>-0.26100000000000001</c:v>
                </c:pt>
                <c:pt idx="39">
                  <c:v>-0.115</c:v>
                </c:pt>
                <c:pt idx="40">
                  <c:v>-0.22</c:v>
                </c:pt>
                <c:pt idx="41">
                  <c:v>-0.13200000000000001</c:v>
                </c:pt>
                <c:pt idx="42">
                  <c:v>-0.29699999999999999</c:v>
                </c:pt>
                <c:pt idx="43">
                  <c:v>-0.16500000000000001</c:v>
                </c:pt>
                <c:pt idx="44">
                  <c:v>-0.27600000000000002</c:v>
                </c:pt>
                <c:pt idx="45">
                  <c:v>-0.14099999999999999</c:v>
                </c:pt>
                <c:pt idx="46">
                  <c:v>-0.30399999999999999</c:v>
                </c:pt>
                <c:pt idx="47">
                  <c:v>-0.161</c:v>
                </c:pt>
                <c:pt idx="48">
                  <c:v>-0.30599999999999999</c:v>
                </c:pt>
                <c:pt idx="49">
                  <c:v>-0.20699999999999999</c:v>
                </c:pt>
                <c:pt idx="50">
                  <c:v>-0.26600000000000001</c:v>
                </c:pt>
                <c:pt idx="51">
                  <c:v>-0.20799999999999999</c:v>
                </c:pt>
                <c:pt idx="52">
                  <c:v>-0.27800000000000002</c:v>
                </c:pt>
                <c:pt idx="53">
                  <c:v>-0.17199999999999999</c:v>
                </c:pt>
                <c:pt idx="54">
                  <c:v>-0.3</c:v>
                </c:pt>
                <c:pt idx="55">
                  <c:v>-0.183</c:v>
                </c:pt>
                <c:pt idx="56">
                  <c:v>-0.29499999999999998</c:v>
                </c:pt>
                <c:pt idx="57">
                  <c:v>-0.154</c:v>
                </c:pt>
                <c:pt idx="58">
                  <c:v>-9.6000000000000002E-2</c:v>
                </c:pt>
                <c:pt idx="59">
                  <c:v>-0.14000000000000001</c:v>
                </c:pt>
                <c:pt idx="60">
                  <c:v>-0.216</c:v>
                </c:pt>
                <c:pt idx="61">
                  <c:v>-0.24299999999999999</c:v>
                </c:pt>
                <c:pt idx="62">
                  <c:v>-0.21199999999999999</c:v>
                </c:pt>
                <c:pt idx="63">
                  <c:v>-0.19700000000000001</c:v>
                </c:pt>
                <c:pt idx="64">
                  <c:v>-0.17699999999999999</c:v>
                </c:pt>
                <c:pt idx="65">
                  <c:v>-0.16800000000000001</c:v>
                </c:pt>
                <c:pt idx="66">
                  <c:v>-0.122</c:v>
                </c:pt>
                <c:pt idx="67">
                  <c:v>-0.17100000000000001</c:v>
                </c:pt>
                <c:pt idx="68">
                  <c:v>-0.14899999999999999</c:v>
                </c:pt>
                <c:pt idx="69">
                  <c:v>-0.26900000000000002</c:v>
                </c:pt>
                <c:pt idx="70">
                  <c:v>-0.15</c:v>
                </c:pt>
                <c:pt idx="71">
                  <c:v>-0.11700000000000001</c:v>
                </c:pt>
                <c:pt idx="72">
                  <c:v>-0.11799999999999999</c:v>
                </c:pt>
                <c:pt idx="73">
                  <c:v>-8.6999999999999994E-2</c:v>
                </c:pt>
                <c:pt idx="74">
                  <c:v>-0.184</c:v>
                </c:pt>
                <c:pt idx="75">
                  <c:v>-0.20499999999999999</c:v>
                </c:pt>
                <c:pt idx="76">
                  <c:v>-0.16800000000000001</c:v>
                </c:pt>
                <c:pt idx="77">
                  <c:v>-0.215</c:v>
                </c:pt>
                <c:pt idx="78">
                  <c:v>-0.11600000000000001</c:v>
                </c:pt>
                <c:pt idx="79">
                  <c:v>-0.106</c:v>
                </c:pt>
                <c:pt idx="80">
                  <c:v>-0.16500000000000001</c:v>
                </c:pt>
                <c:pt idx="81">
                  <c:v>-0.161</c:v>
                </c:pt>
                <c:pt idx="82">
                  <c:v>-0.18</c:v>
                </c:pt>
                <c:pt idx="83">
                  <c:v>-0.152</c:v>
                </c:pt>
                <c:pt idx="84">
                  <c:v>-0.21</c:v>
                </c:pt>
                <c:pt idx="85">
                  <c:v>-0.21199999999999999</c:v>
                </c:pt>
                <c:pt idx="86">
                  <c:v>-0.219</c:v>
                </c:pt>
                <c:pt idx="87">
                  <c:v>-0.317</c:v>
                </c:pt>
                <c:pt idx="88">
                  <c:v>-0.34</c:v>
                </c:pt>
                <c:pt idx="89">
                  <c:v>-0.40100000000000002</c:v>
                </c:pt>
                <c:pt idx="90">
                  <c:v>-0.32</c:v>
                </c:pt>
                <c:pt idx="91">
                  <c:v>-0.34200000000000003</c:v>
                </c:pt>
                <c:pt idx="92">
                  <c:v>-0.23499999999999999</c:v>
                </c:pt>
                <c:pt idx="93">
                  <c:v>-0.57499999999999996</c:v>
                </c:pt>
                <c:pt idx="94">
                  <c:v>-0.46200000000000002</c:v>
                </c:pt>
                <c:pt idx="95">
                  <c:v>-0.29799999999999999</c:v>
                </c:pt>
                <c:pt idx="96">
                  <c:v>-0.36599999999999999</c:v>
                </c:pt>
                <c:pt idx="97">
                  <c:v>-0.46200000000000002</c:v>
                </c:pt>
                <c:pt idx="98">
                  <c:v>-0.13200000000000001</c:v>
                </c:pt>
                <c:pt idx="99">
                  <c:v>-4.7E-2</c:v>
                </c:pt>
                <c:pt idx="100">
                  <c:v>-7.4999999999999997E-2</c:v>
                </c:pt>
                <c:pt idx="101">
                  <c:v>9.2999999999999999E-2</c:v>
                </c:pt>
                <c:pt idx="102">
                  <c:v>-0.27200000000000002</c:v>
                </c:pt>
                <c:pt idx="103">
                  <c:v>-7.0999999999999994E-2</c:v>
                </c:pt>
                <c:pt idx="104">
                  <c:v>-0.14899999999999999</c:v>
                </c:pt>
                <c:pt idx="105">
                  <c:v>0.03</c:v>
                </c:pt>
                <c:pt idx="106">
                  <c:v>-7.0999999999999994E-2</c:v>
                </c:pt>
                <c:pt idx="107">
                  <c:v>1.6E-2</c:v>
                </c:pt>
                <c:pt idx="108">
                  <c:v>-0.23799999999999999</c:v>
                </c:pt>
                <c:pt idx="109">
                  <c:v>-0.114</c:v>
                </c:pt>
                <c:pt idx="110">
                  <c:v>-0.25900000000000001</c:v>
                </c:pt>
                <c:pt idx="111">
                  <c:v>-4.1000000000000002E-2</c:v>
                </c:pt>
                <c:pt idx="112">
                  <c:v>-0.13300000000000001</c:v>
                </c:pt>
                <c:pt idx="113">
                  <c:v>-5.0000000000000001E-3</c:v>
                </c:pt>
                <c:pt idx="114">
                  <c:v>-0.23899999999999999</c:v>
                </c:pt>
                <c:pt idx="115">
                  <c:v>-0.10199999999999999</c:v>
                </c:pt>
                <c:pt idx="116">
                  <c:v>-0.13100000000000001</c:v>
                </c:pt>
                <c:pt idx="117">
                  <c:v>-6.8000000000000005E-2</c:v>
                </c:pt>
                <c:pt idx="118">
                  <c:v>-0.27800000000000002</c:v>
                </c:pt>
                <c:pt idx="119">
                  <c:v>-0.16</c:v>
                </c:pt>
                <c:pt idx="120">
                  <c:v>-0.26900000000000002</c:v>
                </c:pt>
                <c:pt idx="121">
                  <c:v>-0.14499999999999999</c:v>
                </c:pt>
                <c:pt idx="122">
                  <c:v>-0.24399999999999999</c:v>
                </c:pt>
                <c:pt idx="123">
                  <c:v>-0.16500000000000001</c:v>
                </c:pt>
                <c:pt idx="124">
                  <c:v>-0.21</c:v>
                </c:pt>
                <c:pt idx="125">
                  <c:v>-0.17399999999999999</c:v>
                </c:pt>
                <c:pt idx="126">
                  <c:v>-0.29199999999999998</c:v>
                </c:pt>
                <c:pt idx="127">
                  <c:v>-0.317</c:v>
                </c:pt>
                <c:pt idx="128">
                  <c:v>-0.26200000000000001</c:v>
                </c:pt>
                <c:pt idx="129">
                  <c:v>-0.113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E9-49C9-8DE5-0490AA53D8F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('AMP7-6'!$AB$4,'AMP7-6'!$AB$4)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E9-49C9-8DE5-0490AA53D8F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('AMP7-6'!$AB$5,'AMP7-6'!$AB$5)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E9-49C9-8DE5-0490AA53D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2064"/>
        <c:axId val="573352456"/>
      </c:scatterChart>
      <c:valAx>
        <c:axId val="57335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2456"/>
        <c:crosses val="autoZero"/>
        <c:crossBetween val="midCat"/>
      </c:valAx>
      <c:valAx>
        <c:axId val="57335245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'AMP7-6'!$AC$8</c:f>
              <c:strCache>
                <c:ptCount val="1"/>
                <c:pt idx="0">
                  <c:v>T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'AMP7-6'!$AC$9:$AC$138</c:f>
              <c:numCache>
                <c:formatCode>General</c:formatCode>
                <c:ptCount val="130"/>
                <c:pt idx="0">
                  <c:v>-0.08</c:v>
                </c:pt>
                <c:pt idx="1">
                  <c:v>9.5000000000000001E-2</c:v>
                </c:pt>
                <c:pt idx="2">
                  <c:v>-9.6000000000000002E-2</c:v>
                </c:pt>
                <c:pt idx="3">
                  <c:v>4.7E-2</c:v>
                </c:pt>
                <c:pt idx="4">
                  <c:v>-0.191</c:v>
                </c:pt>
                <c:pt idx="5">
                  <c:v>6.3E-2</c:v>
                </c:pt>
                <c:pt idx="6">
                  <c:v>-5.2999999999999999E-2</c:v>
                </c:pt>
                <c:pt idx="7">
                  <c:v>9.5000000000000001E-2</c:v>
                </c:pt>
                <c:pt idx="8">
                  <c:v>-0.26400000000000001</c:v>
                </c:pt>
                <c:pt idx="9">
                  <c:v>-6.8000000000000005E-2</c:v>
                </c:pt>
                <c:pt idx="10">
                  <c:v>-0.17799999999999999</c:v>
                </c:pt>
                <c:pt idx="11">
                  <c:v>4.1000000000000002E-2</c:v>
                </c:pt>
                <c:pt idx="12">
                  <c:v>-0.11899999999999999</c:v>
                </c:pt>
                <c:pt idx="13">
                  <c:v>-4.3999999999999997E-2</c:v>
                </c:pt>
                <c:pt idx="14">
                  <c:v>4.9000000000000002E-2</c:v>
                </c:pt>
                <c:pt idx="15">
                  <c:v>0.185</c:v>
                </c:pt>
                <c:pt idx="16">
                  <c:v>4.3999999999999997E-2</c:v>
                </c:pt>
                <c:pt idx="17">
                  <c:v>0.17100000000000001</c:v>
                </c:pt>
                <c:pt idx="18">
                  <c:v>-0.05</c:v>
                </c:pt>
                <c:pt idx="19">
                  <c:v>7.2999999999999995E-2</c:v>
                </c:pt>
                <c:pt idx="20">
                  <c:v>-1.9E-2</c:v>
                </c:pt>
                <c:pt idx="21">
                  <c:v>1.4999999999999999E-2</c:v>
                </c:pt>
                <c:pt idx="22">
                  <c:v>-0.105</c:v>
                </c:pt>
                <c:pt idx="23">
                  <c:v>0.04</c:v>
                </c:pt>
                <c:pt idx="24">
                  <c:v>-2.5999999999999999E-2</c:v>
                </c:pt>
                <c:pt idx="25">
                  <c:v>4.8000000000000001E-2</c:v>
                </c:pt>
                <c:pt idx="26">
                  <c:v>-9.1999999999999998E-2</c:v>
                </c:pt>
                <c:pt idx="27">
                  <c:v>1.6E-2</c:v>
                </c:pt>
                <c:pt idx="28">
                  <c:v>-0.11700000000000001</c:v>
                </c:pt>
                <c:pt idx="29">
                  <c:v>0.09</c:v>
                </c:pt>
                <c:pt idx="30">
                  <c:v>-0.10299999999999999</c:v>
                </c:pt>
                <c:pt idx="31">
                  <c:v>5.5E-2</c:v>
                </c:pt>
                <c:pt idx="32">
                  <c:v>-0.155</c:v>
                </c:pt>
                <c:pt idx="33">
                  <c:v>3.3000000000000002E-2</c:v>
                </c:pt>
                <c:pt idx="34">
                  <c:v>-0.104</c:v>
                </c:pt>
                <c:pt idx="35">
                  <c:v>5.3999999999999999E-2</c:v>
                </c:pt>
                <c:pt idx="36">
                  <c:v>-0.12</c:v>
                </c:pt>
                <c:pt idx="37">
                  <c:v>-1.4E-2</c:v>
                </c:pt>
                <c:pt idx="38">
                  <c:v>-0.16200000000000001</c:v>
                </c:pt>
                <c:pt idx="39">
                  <c:v>-1E-3</c:v>
                </c:pt>
                <c:pt idx="40">
                  <c:v>-0.127</c:v>
                </c:pt>
                <c:pt idx="41">
                  <c:v>-1.4999999999999999E-2</c:v>
                </c:pt>
                <c:pt idx="42">
                  <c:v>-0.20399999999999999</c:v>
                </c:pt>
                <c:pt idx="43">
                  <c:v>-4.2000000000000003E-2</c:v>
                </c:pt>
                <c:pt idx="44">
                  <c:v>-0.191</c:v>
                </c:pt>
                <c:pt idx="45">
                  <c:v>-1.9E-2</c:v>
                </c:pt>
                <c:pt idx="46">
                  <c:v>-0.222</c:v>
                </c:pt>
                <c:pt idx="47">
                  <c:v>-4.8000000000000001E-2</c:v>
                </c:pt>
                <c:pt idx="48">
                  <c:v>-0.215</c:v>
                </c:pt>
                <c:pt idx="49">
                  <c:v>-8.2000000000000003E-2</c:v>
                </c:pt>
                <c:pt idx="50">
                  <c:v>-0.17199999999999999</c:v>
                </c:pt>
                <c:pt idx="51">
                  <c:v>-0.10100000000000001</c:v>
                </c:pt>
                <c:pt idx="52">
                  <c:v>-0.19</c:v>
                </c:pt>
                <c:pt idx="53">
                  <c:v>-6.9000000000000006E-2</c:v>
                </c:pt>
                <c:pt idx="54">
                  <c:v>-0.19800000000000001</c:v>
                </c:pt>
                <c:pt idx="55">
                  <c:v>-5.5E-2</c:v>
                </c:pt>
                <c:pt idx="56">
                  <c:v>-0.182</c:v>
                </c:pt>
                <c:pt idx="57">
                  <c:v>-3.5000000000000003E-2</c:v>
                </c:pt>
                <c:pt idx="58">
                  <c:v>-0.01</c:v>
                </c:pt>
                <c:pt idx="59">
                  <c:v>-6.8000000000000005E-2</c:v>
                </c:pt>
                <c:pt idx="60">
                  <c:v>-0.16600000000000001</c:v>
                </c:pt>
                <c:pt idx="61">
                  <c:v>-0.16700000000000001</c:v>
                </c:pt>
                <c:pt idx="62">
                  <c:v>-0.114</c:v>
                </c:pt>
                <c:pt idx="63">
                  <c:v>-0.108</c:v>
                </c:pt>
                <c:pt idx="64">
                  <c:v>-9.0999999999999998E-2</c:v>
                </c:pt>
                <c:pt idx="65">
                  <c:v>-7.9000000000000001E-2</c:v>
                </c:pt>
                <c:pt idx="66">
                  <c:v>-2.5999999999999999E-2</c:v>
                </c:pt>
                <c:pt idx="67">
                  <c:v>-7.9000000000000001E-2</c:v>
                </c:pt>
                <c:pt idx="68">
                  <c:v>-7.0999999999999994E-2</c:v>
                </c:pt>
                <c:pt idx="69">
                  <c:v>-0.17199999999999999</c:v>
                </c:pt>
                <c:pt idx="70">
                  <c:v>-8.5999999999999993E-2</c:v>
                </c:pt>
                <c:pt idx="71">
                  <c:v>-0.05</c:v>
                </c:pt>
                <c:pt idx="72">
                  <c:v>-6.3E-2</c:v>
                </c:pt>
                <c:pt idx="73">
                  <c:v>-1.6E-2</c:v>
                </c:pt>
                <c:pt idx="74">
                  <c:v>-0.112</c:v>
                </c:pt>
                <c:pt idx="75">
                  <c:v>-0.13700000000000001</c:v>
                </c:pt>
                <c:pt idx="76">
                  <c:v>-0.08</c:v>
                </c:pt>
                <c:pt idx="77">
                  <c:v>-0.152</c:v>
                </c:pt>
                <c:pt idx="78">
                  <c:v>-5.8000000000000003E-2</c:v>
                </c:pt>
                <c:pt idx="79">
                  <c:v>-3.2000000000000001E-2</c:v>
                </c:pt>
                <c:pt idx="80">
                  <c:v>-0.11899999999999999</c:v>
                </c:pt>
                <c:pt idx="81">
                  <c:v>-8.8999999999999996E-2</c:v>
                </c:pt>
                <c:pt idx="82">
                  <c:v>-0.124</c:v>
                </c:pt>
                <c:pt idx="83">
                  <c:v>-8.1000000000000003E-2</c:v>
                </c:pt>
                <c:pt idx="84">
                  <c:v>-0.108</c:v>
                </c:pt>
                <c:pt idx="85">
                  <c:v>-0.115</c:v>
                </c:pt>
                <c:pt idx="86">
                  <c:v>-0.114</c:v>
                </c:pt>
                <c:pt idx="87">
                  <c:v>-0.21</c:v>
                </c:pt>
                <c:pt idx="88">
                  <c:v>-0.22500000000000001</c:v>
                </c:pt>
                <c:pt idx="89">
                  <c:v>-0.28599999999999998</c:v>
                </c:pt>
                <c:pt idx="90">
                  <c:v>-0.20599999999999999</c:v>
                </c:pt>
                <c:pt idx="91">
                  <c:v>-0.23799999999999999</c:v>
                </c:pt>
                <c:pt idx="92">
                  <c:v>-0.13300000000000001</c:v>
                </c:pt>
                <c:pt idx="93">
                  <c:v>-0.44900000000000001</c:v>
                </c:pt>
                <c:pt idx="94">
                  <c:v>-0.34200000000000003</c:v>
                </c:pt>
                <c:pt idx="95">
                  <c:v>-0.19</c:v>
                </c:pt>
                <c:pt idx="96">
                  <c:v>-0.27600000000000002</c:v>
                </c:pt>
                <c:pt idx="97">
                  <c:v>-0.34699999999999998</c:v>
                </c:pt>
                <c:pt idx="98">
                  <c:v>-5.8000000000000003E-2</c:v>
                </c:pt>
                <c:pt idx="99">
                  <c:v>0.04</c:v>
                </c:pt>
                <c:pt idx="100">
                  <c:v>1.0999999999999999E-2</c:v>
                </c:pt>
                <c:pt idx="101">
                  <c:v>0.19400000000000001</c:v>
                </c:pt>
                <c:pt idx="102">
                  <c:v>-0.192</c:v>
                </c:pt>
                <c:pt idx="103">
                  <c:v>5.0000000000000001E-3</c:v>
                </c:pt>
                <c:pt idx="104">
                  <c:v>-5.5E-2</c:v>
                </c:pt>
                <c:pt idx="105">
                  <c:v>0.122</c:v>
                </c:pt>
                <c:pt idx="106">
                  <c:v>1.0999999999999999E-2</c:v>
                </c:pt>
                <c:pt idx="107">
                  <c:v>0.124</c:v>
                </c:pt>
                <c:pt idx="108">
                  <c:v>-0.152</c:v>
                </c:pt>
                <c:pt idx="109">
                  <c:v>-0.02</c:v>
                </c:pt>
                <c:pt idx="110">
                  <c:v>-0.17499999999999999</c:v>
                </c:pt>
                <c:pt idx="111">
                  <c:v>3.1E-2</c:v>
                </c:pt>
                <c:pt idx="112">
                  <c:v>-5.7000000000000002E-2</c:v>
                </c:pt>
                <c:pt idx="113">
                  <c:v>0.09</c:v>
                </c:pt>
                <c:pt idx="114">
                  <c:v>-0.154</c:v>
                </c:pt>
                <c:pt idx="115">
                  <c:v>1E-3</c:v>
                </c:pt>
                <c:pt idx="116">
                  <c:v>-4.3999999999999997E-2</c:v>
                </c:pt>
                <c:pt idx="117">
                  <c:v>4.2000000000000003E-2</c:v>
                </c:pt>
                <c:pt idx="118">
                  <c:v>-0.192</c:v>
                </c:pt>
                <c:pt idx="119">
                  <c:v>-5.2999999999999999E-2</c:v>
                </c:pt>
                <c:pt idx="120">
                  <c:v>-0.17</c:v>
                </c:pt>
                <c:pt idx="121">
                  <c:v>-0.04</c:v>
                </c:pt>
                <c:pt idx="122">
                  <c:v>-0.17</c:v>
                </c:pt>
                <c:pt idx="123">
                  <c:v>-7.0999999999999994E-2</c:v>
                </c:pt>
                <c:pt idx="124">
                  <c:v>-0.125</c:v>
                </c:pt>
                <c:pt idx="125">
                  <c:v>-4.5999999999999999E-2</c:v>
                </c:pt>
                <c:pt idx="126">
                  <c:v>-0.20899999999999999</c:v>
                </c:pt>
                <c:pt idx="127">
                  <c:v>-0.22</c:v>
                </c:pt>
                <c:pt idx="128">
                  <c:v>-0.16900000000000001</c:v>
                </c:pt>
                <c:pt idx="129">
                  <c:v>-8.0000000000000002E-3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20-40A3-900F-00489086405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('AMP7-6'!$AC$4,'AMP7-6'!$AC$4)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0-40A3-900F-00489086405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('AMP7-6'!$AC$5,'AMP7-6'!$AC$5)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20-40A3-900F-004890864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3240"/>
        <c:axId val="573353632"/>
      </c:scatterChart>
      <c:valAx>
        <c:axId val="57335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3632"/>
        <c:crosses val="autoZero"/>
        <c:crossBetween val="midCat"/>
      </c:valAx>
      <c:valAx>
        <c:axId val="57335363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'AMP7-6'!$AD$8</c:f>
              <c:strCache>
                <c:ptCount val="1"/>
                <c:pt idx="0">
                  <c:v>T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'AMP7-6'!$AD$9:$AD$138</c:f>
              <c:numCache>
                <c:formatCode>General</c:formatCode>
                <c:ptCount val="130"/>
                <c:pt idx="0">
                  <c:v>-0.29699999999999999</c:v>
                </c:pt>
                <c:pt idx="1">
                  <c:v>-0.151</c:v>
                </c:pt>
                <c:pt idx="2">
                  <c:v>-0.30099999999999999</c:v>
                </c:pt>
                <c:pt idx="3">
                  <c:v>-0.20799999999999999</c:v>
                </c:pt>
                <c:pt idx="4">
                  <c:v>-0.34300000000000003</c:v>
                </c:pt>
                <c:pt idx="5">
                  <c:v>-0.254</c:v>
                </c:pt>
                <c:pt idx="6">
                  <c:v>-0.224</c:v>
                </c:pt>
                <c:pt idx="7">
                  <c:v>-0.24199999999999999</c:v>
                </c:pt>
                <c:pt idx="8">
                  <c:v>-0.35299999999999998</c:v>
                </c:pt>
                <c:pt idx="9">
                  <c:v>-0.28799999999999998</c:v>
                </c:pt>
                <c:pt idx="10">
                  <c:v>-0.33400000000000002</c:v>
                </c:pt>
                <c:pt idx="11">
                  <c:v>-0.27</c:v>
                </c:pt>
                <c:pt idx="12">
                  <c:v>-0.34200000000000003</c:v>
                </c:pt>
                <c:pt idx="13">
                  <c:v>-0.316</c:v>
                </c:pt>
                <c:pt idx="14">
                  <c:v>-0.27700000000000002</c:v>
                </c:pt>
                <c:pt idx="15">
                  <c:v>-2.5000000000000001E-2</c:v>
                </c:pt>
                <c:pt idx="16">
                  <c:v>-0.26100000000000001</c:v>
                </c:pt>
                <c:pt idx="17">
                  <c:v>-6.2E-2</c:v>
                </c:pt>
                <c:pt idx="18">
                  <c:v>-0.35099999999999998</c:v>
                </c:pt>
                <c:pt idx="19">
                  <c:v>-0.22700000000000001</c:v>
                </c:pt>
                <c:pt idx="20">
                  <c:v>-0.22600000000000001</c:v>
                </c:pt>
                <c:pt idx="21">
                  <c:v>-0.245</c:v>
                </c:pt>
                <c:pt idx="22">
                  <c:v>-0.35599999999999998</c:v>
                </c:pt>
                <c:pt idx="23">
                  <c:v>-0.23400000000000001</c:v>
                </c:pt>
                <c:pt idx="24">
                  <c:v>-0.32700000000000001</c:v>
                </c:pt>
                <c:pt idx="25">
                  <c:v>-0.28799999999999998</c:v>
                </c:pt>
                <c:pt idx="26">
                  <c:v>-0.34300000000000003</c:v>
                </c:pt>
                <c:pt idx="27">
                  <c:v>-0.223</c:v>
                </c:pt>
                <c:pt idx="28">
                  <c:v>-0.38100000000000001</c:v>
                </c:pt>
                <c:pt idx="29">
                  <c:v>-0.221</c:v>
                </c:pt>
                <c:pt idx="30">
                  <c:v>-0.38100000000000001</c:v>
                </c:pt>
                <c:pt idx="31">
                  <c:v>-0.27400000000000002</c:v>
                </c:pt>
                <c:pt idx="32">
                  <c:v>-0.36399999999999999</c:v>
                </c:pt>
                <c:pt idx="33">
                  <c:v>-0.29099999999999998</c:v>
                </c:pt>
                <c:pt idx="34">
                  <c:v>-0.36099999999999999</c:v>
                </c:pt>
                <c:pt idx="35">
                  <c:v>-0.29199999999999998</c:v>
                </c:pt>
                <c:pt idx="36">
                  <c:v>-0.38700000000000001</c:v>
                </c:pt>
                <c:pt idx="37">
                  <c:v>-0.32600000000000001</c:v>
                </c:pt>
                <c:pt idx="38">
                  <c:v>-0.314</c:v>
                </c:pt>
                <c:pt idx="39">
                  <c:v>-0.223</c:v>
                </c:pt>
                <c:pt idx="40">
                  <c:v>-0.375</c:v>
                </c:pt>
                <c:pt idx="41">
                  <c:v>-0.28899999999999998</c:v>
                </c:pt>
                <c:pt idx="42">
                  <c:v>-0.35899999999999999</c:v>
                </c:pt>
                <c:pt idx="43">
                  <c:v>-0.33900000000000002</c:v>
                </c:pt>
                <c:pt idx="44">
                  <c:v>-0.41899999999999998</c:v>
                </c:pt>
                <c:pt idx="45">
                  <c:v>-0.32</c:v>
                </c:pt>
                <c:pt idx="46">
                  <c:v>-0.45400000000000001</c:v>
                </c:pt>
                <c:pt idx="47">
                  <c:v>-0.311</c:v>
                </c:pt>
                <c:pt idx="48">
                  <c:v>-0.38500000000000001</c:v>
                </c:pt>
                <c:pt idx="49">
                  <c:v>-0.38500000000000001</c:v>
                </c:pt>
                <c:pt idx="50">
                  <c:v>-0.246</c:v>
                </c:pt>
                <c:pt idx="51">
                  <c:v>-0.38100000000000001</c:v>
                </c:pt>
                <c:pt idx="52">
                  <c:v>-0.20799999999999999</c:v>
                </c:pt>
                <c:pt idx="53">
                  <c:v>-0.38800000000000001</c:v>
                </c:pt>
                <c:pt idx="54">
                  <c:v>-0.26300000000000001</c:v>
                </c:pt>
                <c:pt idx="55">
                  <c:v>-0.42</c:v>
                </c:pt>
                <c:pt idx="56">
                  <c:v>-0.33</c:v>
                </c:pt>
                <c:pt idx="57">
                  <c:v>-0.436</c:v>
                </c:pt>
                <c:pt idx="58">
                  <c:v>-0.379</c:v>
                </c:pt>
                <c:pt idx="59">
                  <c:v>-0.29699999999999999</c:v>
                </c:pt>
                <c:pt idx="60">
                  <c:v>-0.38800000000000001</c:v>
                </c:pt>
                <c:pt idx="61">
                  <c:v>-0.34200000000000003</c:v>
                </c:pt>
                <c:pt idx="62">
                  <c:v>-0.4</c:v>
                </c:pt>
                <c:pt idx="63">
                  <c:v>-0.44800000000000001</c:v>
                </c:pt>
                <c:pt idx="64">
                  <c:v>-0.41799999999999998</c:v>
                </c:pt>
                <c:pt idx="65">
                  <c:v>-0.45800000000000002</c:v>
                </c:pt>
                <c:pt idx="66">
                  <c:v>-0.35799999999999998</c:v>
                </c:pt>
                <c:pt idx="67">
                  <c:v>-0.51100000000000001</c:v>
                </c:pt>
                <c:pt idx="68">
                  <c:v>-0.23400000000000001</c:v>
                </c:pt>
                <c:pt idx="69">
                  <c:v>-0.44400000000000001</c:v>
                </c:pt>
                <c:pt idx="70">
                  <c:v>-0.439</c:v>
                </c:pt>
                <c:pt idx="71">
                  <c:v>-0.154</c:v>
                </c:pt>
                <c:pt idx="72">
                  <c:v>-0.48</c:v>
                </c:pt>
                <c:pt idx="73">
                  <c:v>-0.161</c:v>
                </c:pt>
                <c:pt idx="74">
                  <c:v>-0.48799999999999999</c:v>
                </c:pt>
                <c:pt idx="75">
                  <c:v>-0.214</c:v>
                </c:pt>
                <c:pt idx="76">
                  <c:v>-0.42399999999999999</c:v>
                </c:pt>
                <c:pt idx="77">
                  <c:v>-0.20799999999999999</c:v>
                </c:pt>
                <c:pt idx="78">
                  <c:v>-0.38300000000000001</c:v>
                </c:pt>
                <c:pt idx="79">
                  <c:v>-0.16900000000000001</c:v>
                </c:pt>
                <c:pt idx="80">
                  <c:v>-0.441</c:v>
                </c:pt>
                <c:pt idx="81">
                  <c:v>-0.20300000000000001</c:v>
                </c:pt>
                <c:pt idx="82">
                  <c:v>-0.38</c:v>
                </c:pt>
                <c:pt idx="83">
                  <c:v>-0.26900000000000002</c:v>
                </c:pt>
                <c:pt idx="84">
                  <c:v>-0.38900000000000001</c:v>
                </c:pt>
                <c:pt idx="85">
                  <c:v>-0.45100000000000001</c:v>
                </c:pt>
                <c:pt idx="86">
                  <c:v>-0.34499999999999997</c:v>
                </c:pt>
                <c:pt idx="87">
                  <c:v>-0.47899999999999998</c:v>
                </c:pt>
                <c:pt idx="88">
                  <c:v>-0.41399999999999998</c:v>
                </c:pt>
                <c:pt idx="89">
                  <c:v>-0.49399999999999999</c:v>
                </c:pt>
                <c:pt idx="90">
                  <c:v>-0.34</c:v>
                </c:pt>
                <c:pt idx="91">
                  <c:v>-0.46700000000000003</c:v>
                </c:pt>
                <c:pt idx="92">
                  <c:v>-0.27400000000000002</c:v>
                </c:pt>
                <c:pt idx="93">
                  <c:v>-0.53700000000000003</c:v>
                </c:pt>
                <c:pt idx="94">
                  <c:v>-0.46500000000000002</c:v>
                </c:pt>
                <c:pt idx="95">
                  <c:v>-0.38200000000000001</c:v>
                </c:pt>
                <c:pt idx="96">
                  <c:v>-0.54400000000000004</c:v>
                </c:pt>
                <c:pt idx="97">
                  <c:v>-0.39900000000000002</c:v>
                </c:pt>
                <c:pt idx="98">
                  <c:v>-0.36699999999999999</c:v>
                </c:pt>
                <c:pt idx="99">
                  <c:v>-0.14199999999999999</c:v>
                </c:pt>
                <c:pt idx="100">
                  <c:v>-0.42499999999999999</c:v>
                </c:pt>
                <c:pt idx="101">
                  <c:v>-4.8000000000000001E-2</c:v>
                </c:pt>
                <c:pt idx="102">
                  <c:v>-0.28199999999999997</c:v>
                </c:pt>
                <c:pt idx="103">
                  <c:v>-0.192</c:v>
                </c:pt>
                <c:pt idx="104">
                  <c:v>-0.34</c:v>
                </c:pt>
                <c:pt idx="105">
                  <c:v>-0.13400000000000001</c:v>
                </c:pt>
                <c:pt idx="106">
                  <c:v>-0.30299999999999999</c:v>
                </c:pt>
                <c:pt idx="107">
                  <c:v>-0.184</c:v>
                </c:pt>
                <c:pt idx="108">
                  <c:v>-0.33600000000000002</c:v>
                </c:pt>
                <c:pt idx="109">
                  <c:v>-0.255</c:v>
                </c:pt>
                <c:pt idx="110">
                  <c:v>-0.28000000000000003</c:v>
                </c:pt>
                <c:pt idx="111">
                  <c:v>-8.8999999999999996E-2</c:v>
                </c:pt>
                <c:pt idx="112">
                  <c:v>-0.33600000000000002</c:v>
                </c:pt>
                <c:pt idx="113">
                  <c:v>-0.21</c:v>
                </c:pt>
                <c:pt idx="114">
                  <c:v>-0.28299999999999997</c:v>
                </c:pt>
                <c:pt idx="115">
                  <c:v>-0.223</c:v>
                </c:pt>
                <c:pt idx="116">
                  <c:v>-0.17100000000000001</c:v>
                </c:pt>
                <c:pt idx="117">
                  <c:v>-0.23699999999999999</c:v>
                </c:pt>
                <c:pt idx="118">
                  <c:v>-0.35499999999999998</c:v>
                </c:pt>
                <c:pt idx="119">
                  <c:v>-0.308</c:v>
                </c:pt>
                <c:pt idx="120">
                  <c:v>-0.30299999999999999</c:v>
                </c:pt>
                <c:pt idx="121">
                  <c:v>-0.28199999999999997</c:v>
                </c:pt>
                <c:pt idx="122">
                  <c:v>-0.252</c:v>
                </c:pt>
                <c:pt idx="123">
                  <c:v>-0.26600000000000001</c:v>
                </c:pt>
                <c:pt idx="124">
                  <c:v>-0.371</c:v>
                </c:pt>
                <c:pt idx="125">
                  <c:v>-0.28499999999999998</c:v>
                </c:pt>
                <c:pt idx="126">
                  <c:v>-0.28699999999999998</c:v>
                </c:pt>
                <c:pt idx="127">
                  <c:v>-0.44700000000000001</c:v>
                </c:pt>
                <c:pt idx="128">
                  <c:v>-0.255</c:v>
                </c:pt>
                <c:pt idx="129">
                  <c:v>-0.30499999999999999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8-425C-A9FA-04BE9F925BE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('AMP7-6'!$AD$4,'AMP7-6'!$AD$4)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28-425C-A9FA-04BE9F925BE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('AMP7-6'!$AD$5,'AMP7-6'!$AD$5)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28-425C-A9FA-04BE9F925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4416"/>
        <c:axId val="573354808"/>
      </c:scatterChart>
      <c:valAx>
        <c:axId val="57335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4808"/>
        <c:crosses val="autoZero"/>
        <c:crossBetween val="midCat"/>
      </c:valAx>
      <c:valAx>
        <c:axId val="57335480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'AMP7-6'!$AE$8</c:f>
              <c:strCache>
                <c:ptCount val="1"/>
                <c:pt idx="0">
                  <c:v>T 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'AMP7-6'!$AE$9:$AE$138</c:f>
              <c:numCache>
                <c:formatCode>General</c:formatCode>
                <c:ptCount val="130"/>
                <c:pt idx="0">
                  <c:v>-0.16300000000000001</c:v>
                </c:pt>
                <c:pt idx="1">
                  <c:v>5.8000000000000003E-2</c:v>
                </c:pt>
                <c:pt idx="2">
                  <c:v>-0.161</c:v>
                </c:pt>
                <c:pt idx="3">
                  <c:v>-8.9999999999999993E-3</c:v>
                </c:pt>
                <c:pt idx="4">
                  <c:v>-0.23799999999999999</c:v>
                </c:pt>
                <c:pt idx="5">
                  <c:v>-0.08</c:v>
                </c:pt>
                <c:pt idx="6">
                  <c:v>-0.123</c:v>
                </c:pt>
                <c:pt idx="7">
                  <c:v>-8.3000000000000004E-2</c:v>
                </c:pt>
                <c:pt idx="8">
                  <c:v>-0.26800000000000002</c:v>
                </c:pt>
                <c:pt idx="9">
                  <c:v>-7.6999999999999999E-2</c:v>
                </c:pt>
                <c:pt idx="10">
                  <c:v>-0.23899999999999999</c:v>
                </c:pt>
                <c:pt idx="11">
                  <c:v>-0.25700000000000001</c:v>
                </c:pt>
                <c:pt idx="12">
                  <c:v>-0.216</c:v>
                </c:pt>
                <c:pt idx="13">
                  <c:v>-0.10199999999999999</c:v>
                </c:pt>
                <c:pt idx="14">
                  <c:v>-0.13200000000000001</c:v>
                </c:pt>
                <c:pt idx="15">
                  <c:v>0.122</c:v>
                </c:pt>
                <c:pt idx="16">
                  <c:v>-0.21099999999999999</c:v>
                </c:pt>
                <c:pt idx="17">
                  <c:v>0.104</c:v>
                </c:pt>
                <c:pt idx="18">
                  <c:v>-0.20899999999999999</c:v>
                </c:pt>
                <c:pt idx="19">
                  <c:v>-6.2E-2</c:v>
                </c:pt>
                <c:pt idx="20">
                  <c:v>-9.0999999999999998E-2</c:v>
                </c:pt>
                <c:pt idx="21">
                  <c:v>-2.1999999999999999E-2</c:v>
                </c:pt>
                <c:pt idx="22">
                  <c:v>-0.23</c:v>
                </c:pt>
                <c:pt idx="23">
                  <c:v>-0.02</c:v>
                </c:pt>
                <c:pt idx="24">
                  <c:v>-0.23400000000000001</c:v>
                </c:pt>
                <c:pt idx="25">
                  <c:v>-0.14099999999999999</c:v>
                </c:pt>
                <c:pt idx="26">
                  <c:v>-0.191</c:v>
                </c:pt>
                <c:pt idx="27">
                  <c:v>-2.7E-2</c:v>
                </c:pt>
                <c:pt idx="28">
                  <c:v>-0.24299999999999999</c:v>
                </c:pt>
                <c:pt idx="29">
                  <c:v>-2.4E-2</c:v>
                </c:pt>
                <c:pt idx="30">
                  <c:v>-0.249</c:v>
                </c:pt>
                <c:pt idx="31">
                  <c:v>-8.1000000000000003E-2</c:v>
                </c:pt>
                <c:pt idx="32">
                  <c:v>-0.23400000000000001</c:v>
                </c:pt>
                <c:pt idx="33">
                  <c:v>-0.104</c:v>
                </c:pt>
                <c:pt idx="34">
                  <c:v>-0.247</c:v>
                </c:pt>
                <c:pt idx="35">
                  <c:v>-0.109</c:v>
                </c:pt>
                <c:pt idx="36">
                  <c:v>-0.248</c:v>
                </c:pt>
                <c:pt idx="37">
                  <c:v>-0.13600000000000001</c:v>
                </c:pt>
                <c:pt idx="38">
                  <c:v>-0.189</c:v>
                </c:pt>
                <c:pt idx="39">
                  <c:v>-1.4999999999999999E-2</c:v>
                </c:pt>
                <c:pt idx="40">
                  <c:v>-0.28899999999999998</c:v>
                </c:pt>
                <c:pt idx="41">
                  <c:v>-0.107</c:v>
                </c:pt>
                <c:pt idx="42">
                  <c:v>-0.20599999999999999</c:v>
                </c:pt>
                <c:pt idx="43">
                  <c:v>-0.108</c:v>
                </c:pt>
                <c:pt idx="44">
                  <c:v>-0.32100000000000001</c:v>
                </c:pt>
                <c:pt idx="45">
                  <c:v>-0.13200000000000001</c:v>
                </c:pt>
                <c:pt idx="46">
                  <c:v>-0.27400000000000002</c:v>
                </c:pt>
                <c:pt idx="47">
                  <c:v>-0.112</c:v>
                </c:pt>
                <c:pt idx="48">
                  <c:v>-0.27200000000000002</c:v>
                </c:pt>
                <c:pt idx="49">
                  <c:v>-0.17399999999999999</c:v>
                </c:pt>
                <c:pt idx="50">
                  <c:v>-0.09</c:v>
                </c:pt>
                <c:pt idx="51">
                  <c:v>-0.189</c:v>
                </c:pt>
                <c:pt idx="52">
                  <c:v>-0.126</c:v>
                </c:pt>
                <c:pt idx="53">
                  <c:v>-0.191</c:v>
                </c:pt>
                <c:pt idx="54">
                  <c:v>-0.161</c:v>
                </c:pt>
                <c:pt idx="55">
                  <c:v>-0.23599999999999999</c:v>
                </c:pt>
                <c:pt idx="56">
                  <c:v>-0.22900000000000001</c:v>
                </c:pt>
                <c:pt idx="57">
                  <c:v>-0.26800000000000002</c:v>
                </c:pt>
                <c:pt idx="58">
                  <c:v>-0.22700000000000001</c:v>
                </c:pt>
                <c:pt idx="59">
                  <c:v>-0.16800000000000001</c:v>
                </c:pt>
                <c:pt idx="60">
                  <c:v>-0.25900000000000001</c:v>
                </c:pt>
                <c:pt idx="61">
                  <c:v>-0.188</c:v>
                </c:pt>
                <c:pt idx="62">
                  <c:v>-0.311</c:v>
                </c:pt>
                <c:pt idx="63">
                  <c:v>-0.34200000000000003</c:v>
                </c:pt>
                <c:pt idx="64">
                  <c:v>-0.32300000000000001</c:v>
                </c:pt>
                <c:pt idx="65">
                  <c:v>-0.313</c:v>
                </c:pt>
                <c:pt idx="66">
                  <c:v>-0.24099999999999999</c:v>
                </c:pt>
                <c:pt idx="67">
                  <c:v>-0.39200000000000002</c:v>
                </c:pt>
                <c:pt idx="68">
                  <c:v>-0.104</c:v>
                </c:pt>
                <c:pt idx="69">
                  <c:v>-0.29599999999999999</c:v>
                </c:pt>
                <c:pt idx="70">
                  <c:v>-0.35</c:v>
                </c:pt>
                <c:pt idx="71">
                  <c:v>-9.1999999999999998E-2</c:v>
                </c:pt>
                <c:pt idx="72">
                  <c:v>-0.36699999999999999</c:v>
                </c:pt>
                <c:pt idx="73">
                  <c:v>-3.0000000000000001E-3</c:v>
                </c:pt>
                <c:pt idx="74">
                  <c:v>-0.375</c:v>
                </c:pt>
                <c:pt idx="75">
                  <c:v>-1.6E-2</c:v>
                </c:pt>
                <c:pt idx="76">
                  <c:v>-0.308</c:v>
                </c:pt>
                <c:pt idx="77">
                  <c:v>-1.0999999999999999E-2</c:v>
                </c:pt>
                <c:pt idx="78">
                  <c:v>-0.27400000000000002</c:v>
                </c:pt>
                <c:pt idx="79">
                  <c:v>1.7999999999999999E-2</c:v>
                </c:pt>
                <c:pt idx="80">
                  <c:v>-0.33200000000000002</c:v>
                </c:pt>
                <c:pt idx="81">
                  <c:v>-3.2000000000000001E-2</c:v>
                </c:pt>
                <c:pt idx="82">
                  <c:v>-0.23200000000000001</c:v>
                </c:pt>
                <c:pt idx="83">
                  <c:v>-4.3999999999999997E-2</c:v>
                </c:pt>
                <c:pt idx="84">
                  <c:v>-0.26</c:v>
                </c:pt>
                <c:pt idx="85">
                  <c:v>-0.28599999999999998</c:v>
                </c:pt>
                <c:pt idx="86">
                  <c:v>-0.23400000000000001</c:v>
                </c:pt>
                <c:pt idx="87">
                  <c:v>-0.33</c:v>
                </c:pt>
                <c:pt idx="88">
                  <c:v>-0.28599999999999998</c:v>
                </c:pt>
                <c:pt idx="89">
                  <c:v>-0.32200000000000001</c:v>
                </c:pt>
                <c:pt idx="90">
                  <c:v>-0.27400000000000002</c:v>
                </c:pt>
                <c:pt idx="91">
                  <c:v>-0.32100000000000001</c:v>
                </c:pt>
                <c:pt idx="92">
                  <c:v>-0.161</c:v>
                </c:pt>
                <c:pt idx="93">
                  <c:v>-0.311</c:v>
                </c:pt>
                <c:pt idx="94">
                  <c:v>-0.35399999999999998</c:v>
                </c:pt>
                <c:pt idx="95">
                  <c:v>-0.218</c:v>
                </c:pt>
                <c:pt idx="96">
                  <c:v>-0.42699999999999999</c:v>
                </c:pt>
                <c:pt idx="97">
                  <c:v>-0.17199999999999999</c:v>
                </c:pt>
                <c:pt idx="98">
                  <c:v>-0.26500000000000001</c:v>
                </c:pt>
                <c:pt idx="99">
                  <c:v>7.0000000000000001E-3</c:v>
                </c:pt>
                <c:pt idx="100">
                  <c:v>-0.30599999999999999</c:v>
                </c:pt>
                <c:pt idx="101">
                  <c:v>8.4000000000000005E-2</c:v>
                </c:pt>
                <c:pt idx="102">
                  <c:v>-0.16300000000000001</c:v>
                </c:pt>
                <c:pt idx="103">
                  <c:v>1.7999999999999999E-2</c:v>
                </c:pt>
                <c:pt idx="104">
                  <c:v>-0.224</c:v>
                </c:pt>
                <c:pt idx="105">
                  <c:v>3.3000000000000002E-2</c:v>
                </c:pt>
                <c:pt idx="106">
                  <c:v>-0.16</c:v>
                </c:pt>
                <c:pt idx="107">
                  <c:v>5.0000000000000001E-3</c:v>
                </c:pt>
                <c:pt idx="108">
                  <c:v>-0.23699999999999999</c:v>
                </c:pt>
                <c:pt idx="109">
                  <c:v>-9.8000000000000004E-2</c:v>
                </c:pt>
                <c:pt idx="110">
                  <c:v>-0.20100000000000001</c:v>
                </c:pt>
                <c:pt idx="111">
                  <c:v>8.2000000000000003E-2</c:v>
                </c:pt>
                <c:pt idx="112">
                  <c:v>-0.22500000000000001</c:v>
                </c:pt>
                <c:pt idx="113">
                  <c:v>-3.4000000000000002E-2</c:v>
                </c:pt>
                <c:pt idx="114">
                  <c:v>-0.158</c:v>
                </c:pt>
                <c:pt idx="115">
                  <c:v>-1.4999999999999999E-2</c:v>
                </c:pt>
                <c:pt idx="116">
                  <c:v>5.0000000000000001E-3</c:v>
                </c:pt>
                <c:pt idx="117">
                  <c:v>6.6000000000000003E-2</c:v>
                </c:pt>
                <c:pt idx="118">
                  <c:v>-0.26600000000000001</c:v>
                </c:pt>
                <c:pt idx="119">
                  <c:v>-0.113</c:v>
                </c:pt>
                <c:pt idx="120">
                  <c:v>-0.159</c:v>
                </c:pt>
                <c:pt idx="121">
                  <c:v>-8.5999999999999993E-2</c:v>
                </c:pt>
                <c:pt idx="122">
                  <c:v>-0.14799999999999999</c:v>
                </c:pt>
                <c:pt idx="123">
                  <c:v>-9.1999999999999998E-2</c:v>
                </c:pt>
                <c:pt idx="124">
                  <c:v>-0.23699999999999999</c:v>
                </c:pt>
                <c:pt idx="125">
                  <c:v>-0.09</c:v>
                </c:pt>
                <c:pt idx="126">
                  <c:v>-0.13900000000000001</c:v>
                </c:pt>
                <c:pt idx="127">
                  <c:v>-0.26900000000000002</c:v>
                </c:pt>
                <c:pt idx="128">
                  <c:v>-0.115</c:v>
                </c:pt>
                <c:pt idx="129">
                  <c:v>-0.128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7-4CEA-B5F8-50553263B9E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('AMP7-6'!$AE$4,'AMP7-6'!$AE$4)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B7-4CEA-B5F8-50553263B9E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('AMP7-6'!$AE$5,'AMP7-6'!$AE$5)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B7-4CEA-B5F8-50553263B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5984"/>
        <c:axId val="573356376"/>
      </c:scatterChart>
      <c:valAx>
        <c:axId val="57335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6376"/>
        <c:crosses val="autoZero"/>
        <c:crossBetween val="midCat"/>
      </c:valAx>
      <c:valAx>
        <c:axId val="5733563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'AMP7-6'!$AF$8</c:f>
              <c:strCache>
                <c:ptCount val="1"/>
                <c:pt idx="0">
                  <c:v>T 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'AMP7-6'!$AF$9:$AF$138</c:f>
              <c:numCache>
                <c:formatCode>General</c:formatCode>
                <c:ptCount val="130"/>
                <c:pt idx="0">
                  <c:v>9.4E-2</c:v>
                </c:pt>
                <c:pt idx="1">
                  <c:v>3.9E-2</c:v>
                </c:pt>
                <c:pt idx="2">
                  <c:v>9.7000000000000003E-2</c:v>
                </c:pt>
                <c:pt idx="3">
                  <c:v>-0.06</c:v>
                </c:pt>
                <c:pt idx="4">
                  <c:v>-2.3E-2</c:v>
                </c:pt>
                <c:pt idx="5">
                  <c:v>1.7000000000000001E-2</c:v>
                </c:pt>
                <c:pt idx="6">
                  <c:v>0.11</c:v>
                </c:pt>
                <c:pt idx="7">
                  <c:v>-7.0000000000000001E-3</c:v>
                </c:pt>
                <c:pt idx="8">
                  <c:v>-9.8000000000000004E-2</c:v>
                </c:pt>
                <c:pt idx="9">
                  <c:v>-0.155</c:v>
                </c:pt>
                <c:pt idx="10">
                  <c:v>2.4E-2</c:v>
                </c:pt>
                <c:pt idx="11">
                  <c:v>-3.6999999999999998E-2</c:v>
                </c:pt>
                <c:pt idx="12">
                  <c:v>-8.2000000000000003E-2</c:v>
                </c:pt>
                <c:pt idx="13">
                  <c:v>-8.0000000000000002E-3</c:v>
                </c:pt>
                <c:pt idx="14">
                  <c:v>0.23699999999999999</c:v>
                </c:pt>
                <c:pt idx="15">
                  <c:v>0.126</c:v>
                </c:pt>
                <c:pt idx="16">
                  <c:v>0.23100000000000001</c:v>
                </c:pt>
                <c:pt idx="17">
                  <c:v>0.13200000000000001</c:v>
                </c:pt>
                <c:pt idx="18">
                  <c:v>0.122</c:v>
                </c:pt>
                <c:pt idx="19">
                  <c:v>2.7E-2</c:v>
                </c:pt>
                <c:pt idx="20">
                  <c:v>8.6999999999999994E-2</c:v>
                </c:pt>
                <c:pt idx="21">
                  <c:v>4.1000000000000002E-2</c:v>
                </c:pt>
                <c:pt idx="22">
                  <c:v>7.4999999999999997E-2</c:v>
                </c:pt>
                <c:pt idx="23">
                  <c:v>6.7000000000000004E-2</c:v>
                </c:pt>
                <c:pt idx="24">
                  <c:v>0.122</c:v>
                </c:pt>
                <c:pt idx="25">
                  <c:v>-3.6999999999999998E-2</c:v>
                </c:pt>
                <c:pt idx="26">
                  <c:v>7.8E-2</c:v>
                </c:pt>
                <c:pt idx="27">
                  <c:v>2.7E-2</c:v>
                </c:pt>
                <c:pt idx="28">
                  <c:v>7.2999999999999995E-2</c:v>
                </c:pt>
                <c:pt idx="29">
                  <c:v>0.158</c:v>
                </c:pt>
                <c:pt idx="30">
                  <c:v>8.3000000000000004E-2</c:v>
                </c:pt>
                <c:pt idx="31">
                  <c:v>-2E-3</c:v>
                </c:pt>
                <c:pt idx="32">
                  <c:v>5.1999999999999998E-2</c:v>
                </c:pt>
                <c:pt idx="33">
                  <c:v>4.4999999999999998E-2</c:v>
                </c:pt>
                <c:pt idx="34">
                  <c:v>9.1999999999999998E-2</c:v>
                </c:pt>
                <c:pt idx="35">
                  <c:v>1.2E-2</c:v>
                </c:pt>
                <c:pt idx="36">
                  <c:v>1.2999999999999999E-2</c:v>
                </c:pt>
                <c:pt idx="37">
                  <c:v>-1.2E-2</c:v>
                </c:pt>
                <c:pt idx="38">
                  <c:v>1.4E-2</c:v>
                </c:pt>
                <c:pt idx="39">
                  <c:v>5.0999999999999997E-2</c:v>
                </c:pt>
                <c:pt idx="40">
                  <c:v>3.0000000000000001E-3</c:v>
                </c:pt>
                <c:pt idx="41">
                  <c:v>-3.6999999999999998E-2</c:v>
                </c:pt>
                <c:pt idx="42">
                  <c:v>-2.5000000000000001E-2</c:v>
                </c:pt>
                <c:pt idx="43">
                  <c:v>-5.2999999999999999E-2</c:v>
                </c:pt>
                <c:pt idx="44">
                  <c:v>-1.7999999999999999E-2</c:v>
                </c:pt>
                <c:pt idx="45">
                  <c:v>0</c:v>
                </c:pt>
                <c:pt idx="46">
                  <c:v>4.0000000000000001E-3</c:v>
                </c:pt>
                <c:pt idx="47">
                  <c:v>-0.107</c:v>
                </c:pt>
                <c:pt idx="48">
                  <c:v>-6.3E-2</c:v>
                </c:pt>
                <c:pt idx="49">
                  <c:v>-8.6999999999999994E-2</c:v>
                </c:pt>
                <c:pt idx="50">
                  <c:v>-5.1999999999999998E-2</c:v>
                </c:pt>
                <c:pt idx="51">
                  <c:v>-8.1000000000000003E-2</c:v>
                </c:pt>
                <c:pt idx="52">
                  <c:v>4.3999999999999997E-2</c:v>
                </c:pt>
                <c:pt idx="53">
                  <c:v>-0.125</c:v>
                </c:pt>
                <c:pt idx="54">
                  <c:v>-9.4E-2</c:v>
                </c:pt>
                <c:pt idx="55">
                  <c:v>-1.4999999999999999E-2</c:v>
                </c:pt>
                <c:pt idx="56">
                  <c:v>5.0000000000000001E-3</c:v>
                </c:pt>
                <c:pt idx="57">
                  <c:v>-2.4E-2</c:v>
                </c:pt>
                <c:pt idx="58">
                  <c:v>0.12</c:v>
                </c:pt>
                <c:pt idx="59">
                  <c:v>7.2999999999999995E-2</c:v>
                </c:pt>
                <c:pt idx="60">
                  <c:v>0.03</c:v>
                </c:pt>
                <c:pt idx="61">
                  <c:v>-8.4000000000000005E-2</c:v>
                </c:pt>
                <c:pt idx="62">
                  <c:v>2.8000000000000001E-2</c:v>
                </c:pt>
                <c:pt idx="63">
                  <c:v>1.4E-2</c:v>
                </c:pt>
                <c:pt idx="64">
                  <c:v>8.5999999999999993E-2</c:v>
                </c:pt>
                <c:pt idx="65">
                  <c:v>2.9000000000000001E-2</c:v>
                </c:pt>
                <c:pt idx="66">
                  <c:v>0.108</c:v>
                </c:pt>
                <c:pt idx="67">
                  <c:v>2E-3</c:v>
                </c:pt>
                <c:pt idx="68">
                  <c:v>6.3E-2</c:v>
                </c:pt>
                <c:pt idx="69">
                  <c:v>-7.0000000000000007E-2</c:v>
                </c:pt>
                <c:pt idx="70">
                  <c:v>7.4999999999999997E-2</c:v>
                </c:pt>
                <c:pt idx="71">
                  <c:v>-0.03</c:v>
                </c:pt>
                <c:pt idx="72">
                  <c:v>0.123</c:v>
                </c:pt>
                <c:pt idx="73">
                  <c:v>2.1999999999999999E-2</c:v>
                </c:pt>
                <c:pt idx="74">
                  <c:v>-0.01</c:v>
                </c:pt>
                <c:pt idx="75">
                  <c:v>-5.0999999999999997E-2</c:v>
                </c:pt>
                <c:pt idx="76">
                  <c:v>7.6999999999999999E-2</c:v>
                </c:pt>
                <c:pt idx="77">
                  <c:v>-0.1</c:v>
                </c:pt>
                <c:pt idx="78">
                  <c:v>0.113</c:v>
                </c:pt>
                <c:pt idx="79">
                  <c:v>3.1E-2</c:v>
                </c:pt>
                <c:pt idx="80">
                  <c:v>1.7999999999999999E-2</c:v>
                </c:pt>
                <c:pt idx="81">
                  <c:v>-4.2999999999999997E-2</c:v>
                </c:pt>
                <c:pt idx="82">
                  <c:v>2.5000000000000001E-2</c:v>
                </c:pt>
                <c:pt idx="83">
                  <c:v>-7.0000000000000001E-3</c:v>
                </c:pt>
                <c:pt idx="84">
                  <c:v>0.09</c:v>
                </c:pt>
                <c:pt idx="85">
                  <c:v>-2.3E-2</c:v>
                </c:pt>
                <c:pt idx="86">
                  <c:v>0.02</c:v>
                </c:pt>
                <c:pt idx="87">
                  <c:v>-0.183</c:v>
                </c:pt>
                <c:pt idx="88">
                  <c:v>-9.4E-2</c:v>
                </c:pt>
                <c:pt idx="89">
                  <c:v>-0.2</c:v>
                </c:pt>
                <c:pt idx="90">
                  <c:v>-3.5000000000000003E-2</c:v>
                </c:pt>
                <c:pt idx="91">
                  <c:v>-0.185</c:v>
                </c:pt>
                <c:pt idx="92">
                  <c:v>-0.17499999999999999</c:v>
                </c:pt>
                <c:pt idx="93">
                  <c:v>-0.26500000000000001</c:v>
                </c:pt>
                <c:pt idx="94">
                  <c:v>-5.5E-2</c:v>
                </c:pt>
                <c:pt idx="95">
                  <c:v>-3.5999999999999997E-2</c:v>
                </c:pt>
                <c:pt idx="96">
                  <c:v>-8.8999999999999996E-2</c:v>
                </c:pt>
                <c:pt idx="97">
                  <c:v>-0.34200000000000003</c:v>
                </c:pt>
                <c:pt idx="98">
                  <c:v>8.8999999999999996E-2</c:v>
                </c:pt>
                <c:pt idx="99">
                  <c:v>-1.7999999999999999E-2</c:v>
                </c:pt>
                <c:pt idx="100">
                  <c:v>0.19400000000000001</c:v>
                </c:pt>
                <c:pt idx="101">
                  <c:v>0.16900000000000001</c:v>
                </c:pt>
                <c:pt idx="102">
                  <c:v>-2.9000000000000001E-2</c:v>
                </c:pt>
                <c:pt idx="103">
                  <c:v>0.08</c:v>
                </c:pt>
                <c:pt idx="104">
                  <c:v>0.153</c:v>
                </c:pt>
                <c:pt idx="105">
                  <c:v>9.5000000000000001E-2</c:v>
                </c:pt>
                <c:pt idx="106">
                  <c:v>0.17799999999999999</c:v>
                </c:pt>
                <c:pt idx="107">
                  <c:v>0.13200000000000001</c:v>
                </c:pt>
                <c:pt idx="108">
                  <c:v>3.3000000000000002E-2</c:v>
                </c:pt>
                <c:pt idx="109">
                  <c:v>-0.02</c:v>
                </c:pt>
                <c:pt idx="110">
                  <c:v>0.115</c:v>
                </c:pt>
                <c:pt idx="111">
                  <c:v>-7.1999999999999995E-2</c:v>
                </c:pt>
                <c:pt idx="112">
                  <c:v>0.127</c:v>
                </c:pt>
                <c:pt idx="113">
                  <c:v>7.0000000000000007E-2</c:v>
                </c:pt>
                <c:pt idx="114">
                  <c:v>3.4000000000000002E-2</c:v>
                </c:pt>
                <c:pt idx="115">
                  <c:v>-8.8999999999999996E-2</c:v>
                </c:pt>
                <c:pt idx="116">
                  <c:v>6.9000000000000006E-2</c:v>
                </c:pt>
                <c:pt idx="117">
                  <c:v>5.8999999999999997E-2</c:v>
                </c:pt>
                <c:pt idx="118">
                  <c:v>-1.4E-2</c:v>
                </c:pt>
                <c:pt idx="119">
                  <c:v>7.0000000000000001E-3</c:v>
                </c:pt>
                <c:pt idx="120">
                  <c:v>3.3000000000000002E-2</c:v>
                </c:pt>
                <c:pt idx="121">
                  <c:v>-7.5999999999999998E-2</c:v>
                </c:pt>
                <c:pt idx="122">
                  <c:v>8.9999999999999993E-3</c:v>
                </c:pt>
                <c:pt idx="123">
                  <c:v>-0.113</c:v>
                </c:pt>
                <c:pt idx="124">
                  <c:v>8.0000000000000002E-3</c:v>
                </c:pt>
                <c:pt idx="125">
                  <c:v>-0.06</c:v>
                </c:pt>
                <c:pt idx="126">
                  <c:v>-0.06</c:v>
                </c:pt>
                <c:pt idx="127">
                  <c:v>-0.25900000000000001</c:v>
                </c:pt>
                <c:pt idx="128">
                  <c:v>4.8000000000000001E-2</c:v>
                </c:pt>
                <c:pt idx="129">
                  <c:v>5.7000000000000002E-2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B-426B-97F3-4770460D7F3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('AMP7-6'!$AF$4,'AMP7-6'!$AF$4)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B-426B-97F3-4770460D7F3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('AMP7-6'!$AF$5,'AMP7-6'!$AF$5)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3B-426B-97F3-4770460D7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6768"/>
        <c:axId val="573357160"/>
      </c:scatterChart>
      <c:valAx>
        <c:axId val="57335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7160"/>
        <c:crosses val="autoZero"/>
        <c:crossBetween val="midCat"/>
      </c:valAx>
      <c:valAx>
        <c:axId val="5733571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'AMP7-6'!$AG$8</c:f>
              <c:strCache>
                <c:ptCount val="1"/>
                <c:pt idx="0">
                  <c:v>T 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'AMP7-6'!$AG$9:$AG$138</c:f>
              <c:numCache>
                <c:formatCode>General</c:formatCode>
                <c:ptCount val="130"/>
                <c:pt idx="0">
                  <c:v>-1E-3</c:v>
                </c:pt>
                <c:pt idx="1">
                  <c:v>-4.9000000000000002E-2</c:v>
                </c:pt>
                <c:pt idx="2">
                  <c:v>-1.7999999999999999E-2</c:v>
                </c:pt>
                <c:pt idx="3">
                  <c:v>-0.16500000000000001</c:v>
                </c:pt>
                <c:pt idx="4">
                  <c:v>-0.115</c:v>
                </c:pt>
                <c:pt idx="5">
                  <c:v>-8.4000000000000005E-2</c:v>
                </c:pt>
                <c:pt idx="6">
                  <c:v>-8.9999999999999993E-3</c:v>
                </c:pt>
                <c:pt idx="7">
                  <c:v>-0.115</c:v>
                </c:pt>
                <c:pt idx="8">
                  <c:v>-0.20200000000000001</c:v>
                </c:pt>
                <c:pt idx="9">
                  <c:v>-0.255</c:v>
                </c:pt>
                <c:pt idx="10">
                  <c:v>-7.8E-2</c:v>
                </c:pt>
                <c:pt idx="11">
                  <c:v>-0.14299999999999999</c:v>
                </c:pt>
                <c:pt idx="12">
                  <c:v>-0.20799999999999999</c:v>
                </c:pt>
                <c:pt idx="13">
                  <c:v>-0.105</c:v>
                </c:pt>
                <c:pt idx="14">
                  <c:v>0.14199999999999999</c:v>
                </c:pt>
                <c:pt idx="15">
                  <c:v>5.3999999999999999E-2</c:v>
                </c:pt>
                <c:pt idx="16">
                  <c:v>0.13200000000000001</c:v>
                </c:pt>
                <c:pt idx="17">
                  <c:v>3.5000000000000003E-2</c:v>
                </c:pt>
                <c:pt idx="18">
                  <c:v>3.3000000000000002E-2</c:v>
                </c:pt>
                <c:pt idx="19">
                  <c:v>-0.05</c:v>
                </c:pt>
                <c:pt idx="20">
                  <c:v>-0.02</c:v>
                </c:pt>
                <c:pt idx="21">
                  <c:v>-6.2E-2</c:v>
                </c:pt>
                <c:pt idx="22">
                  <c:v>-2.3E-2</c:v>
                </c:pt>
                <c:pt idx="23">
                  <c:v>-3.3000000000000002E-2</c:v>
                </c:pt>
                <c:pt idx="24">
                  <c:v>1.4E-2</c:v>
                </c:pt>
                <c:pt idx="25">
                  <c:v>-0.158</c:v>
                </c:pt>
                <c:pt idx="26">
                  <c:v>-2.3E-2</c:v>
                </c:pt>
                <c:pt idx="27">
                  <c:v>-6.2E-2</c:v>
                </c:pt>
                <c:pt idx="28">
                  <c:v>-2.5999999999999999E-2</c:v>
                </c:pt>
                <c:pt idx="29">
                  <c:v>6.0999999999999999E-2</c:v>
                </c:pt>
                <c:pt idx="30">
                  <c:v>-8.9999999999999993E-3</c:v>
                </c:pt>
                <c:pt idx="31">
                  <c:v>-0.1</c:v>
                </c:pt>
                <c:pt idx="32">
                  <c:v>-5.5E-2</c:v>
                </c:pt>
                <c:pt idx="33">
                  <c:v>-4.5999999999999999E-2</c:v>
                </c:pt>
                <c:pt idx="34">
                  <c:v>-1.4999999999999999E-2</c:v>
                </c:pt>
                <c:pt idx="35">
                  <c:v>-9.5000000000000001E-2</c:v>
                </c:pt>
                <c:pt idx="36">
                  <c:v>-9.1999999999999998E-2</c:v>
                </c:pt>
                <c:pt idx="37">
                  <c:v>-0.121</c:v>
                </c:pt>
                <c:pt idx="38">
                  <c:v>-9.9000000000000005E-2</c:v>
                </c:pt>
                <c:pt idx="39">
                  <c:v>-7.3999999999999996E-2</c:v>
                </c:pt>
                <c:pt idx="40">
                  <c:v>-0.108</c:v>
                </c:pt>
                <c:pt idx="41">
                  <c:v>-0.13900000000000001</c:v>
                </c:pt>
                <c:pt idx="42">
                  <c:v>-0.14000000000000001</c:v>
                </c:pt>
                <c:pt idx="43">
                  <c:v>-0.17100000000000001</c:v>
                </c:pt>
                <c:pt idx="44">
                  <c:v>-0.122</c:v>
                </c:pt>
                <c:pt idx="45">
                  <c:v>-0.107</c:v>
                </c:pt>
                <c:pt idx="46">
                  <c:v>-0.10100000000000001</c:v>
                </c:pt>
                <c:pt idx="47">
                  <c:v>-0.2</c:v>
                </c:pt>
                <c:pt idx="48">
                  <c:v>-0.159</c:v>
                </c:pt>
                <c:pt idx="49">
                  <c:v>-0.188</c:v>
                </c:pt>
                <c:pt idx="50">
                  <c:v>-0.153</c:v>
                </c:pt>
                <c:pt idx="51">
                  <c:v>-0.19700000000000001</c:v>
                </c:pt>
                <c:pt idx="52">
                  <c:v>-8.7999999999999995E-2</c:v>
                </c:pt>
                <c:pt idx="53">
                  <c:v>-0.246</c:v>
                </c:pt>
                <c:pt idx="54">
                  <c:v>-0.20799999999999999</c:v>
                </c:pt>
                <c:pt idx="55">
                  <c:v>-0.127</c:v>
                </c:pt>
                <c:pt idx="56">
                  <c:v>-0.10199999999999999</c:v>
                </c:pt>
                <c:pt idx="57">
                  <c:v>-0.14599999999999999</c:v>
                </c:pt>
                <c:pt idx="58">
                  <c:v>2.3E-2</c:v>
                </c:pt>
                <c:pt idx="59">
                  <c:v>-3.1E-2</c:v>
                </c:pt>
                <c:pt idx="60">
                  <c:v>-5.7000000000000002E-2</c:v>
                </c:pt>
                <c:pt idx="61">
                  <c:v>-0.17399999999999999</c:v>
                </c:pt>
                <c:pt idx="62">
                  <c:v>-5.2999999999999999E-2</c:v>
                </c:pt>
                <c:pt idx="63">
                  <c:v>-7.4999999999999997E-2</c:v>
                </c:pt>
                <c:pt idx="64">
                  <c:v>-1.2999999999999999E-2</c:v>
                </c:pt>
                <c:pt idx="65">
                  <c:v>-5.7000000000000002E-2</c:v>
                </c:pt>
                <c:pt idx="66">
                  <c:v>2.5000000000000001E-2</c:v>
                </c:pt>
                <c:pt idx="67">
                  <c:v>-8.5000000000000006E-2</c:v>
                </c:pt>
                <c:pt idx="68">
                  <c:v>-1.4E-2</c:v>
                </c:pt>
                <c:pt idx="69">
                  <c:v>-0.156</c:v>
                </c:pt>
                <c:pt idx="70">
                  <c:v>-1.4E-2</c:v>
                </c:pt>
                <c:pt idx="71">
                  <c:v>-0.14399999999999999</c:v>
                </c:pt>
                <c:pt idx="72">
                  <c:v>3.2000000000000001E-2</c:v>
                </c:pt>
                <c:pt idx="73">
                  <c:v>-7.0999999999999994E-2</c:v>
                </c:pt>
                <c:pt idx="74">
                  <c:v>-9.5000000000000001E-2</c:v>
                </c:pt>
                <c:pt idx="75">
                  <c:v>-0.152</c:v>
                </c:pt>
                <c:pt idx="76">
                  <c:v>-1.7000000000000001E-2</c:v>
                </c:pt>
                <c:pt idx="77">
                  <c:v>-0.19900000000000001</c:v>
                </c:pt>
                <c:pt idx="78">
                  <c:v>8.0000000000000002E-3</c:v>
                </c:pt>
                <c:pt idx="79">
                  <c:v>-7.8E-2</c:v>
                </c:pt>
                <c:pt idx="80">
                  <c:v>-7.2999999999999995E-2</c:v>
                </c:pt>
                <c:pt idx="81">
                  <c:v>-0.14299999999999999</c:v>
                </c:pt>
                <c:pt idx="82">
                  <c:v>-8.1000000000000003E-2</c:v>
                </c:pt>
                <c:pt idx="83">
                  <c:v>-0.104</c:v>
                </c:pt>
                <c:pt idx="84">
                  <c:v>-0.02</c:v>
                </c:pt>
                <c:pt idx="85">
                  <c:v>-0.14299999999999999</c:v>
                </c:pt>
                <c:pt idx="86">
                  <c:v>-9.2999999999999999E-2</c:v>
                </c:pt>
                <c:pt idx="87">
                  <c:v>-0.29599999999999999</c:v>
                </c:pt>
                <c:pt idx="88">
                  <c:v>-0.19500000000000001</c:v>
                </c:pt>
                <c:pt idx="89">
                  <c:v>-0.30599999999999999</c:v>
                </c:pt>
                <c:pt idx="90">
                  <c:v>-0.14799999999999999</c:v>
                </c:pt>
                <c:pt idx="91">
                  <c:v>-0.29199999999999998</c:v>
                </c:pt>
                <c:pt idx="92">
                  <c:v>-0.30599999999999999</c:v>
                </c:pt>
                <c:pt idx="93">
                  <c:v>-0.36899999999999999</c:v>
                </c:pt>
                <c:pt idx="94">
                  <c:v>-0.151</c:v>
                </c:pt>
                <c:pt idx="95">
                  <c:v>-0.125</c:v>
                </c:pt>
                <c:pt idx="96">
                  <c:v>-0.192</c:v>
                </c:pt>
                <c:pt idx="97">
                  <c:v>-0.438</c:v>
                </c:pt>
                <c:pt idx="98">
                  <c:v>-8.0000000000000002E-3</c:v>
                </c:pt>
                <c:pt idx="99">
                  <c:v>-0.104</c:v>
                </c:pt>
                <c:pt idx="100">
                  <c:v>8.5999999999999993E-2</c:v>
                </c:pt>
                <c:pt idx="101">
                  <c:v>7.9000000000000001E-2</c:v>
                </c:pt>
                <c:pt idx="102">
                  <c:v>-0.13100000000000001</c:v>
                </c:pt>
                <c:pt idx="103">
                  <c:v>0</c:v>
                </c:pt>
                <c:pt idx="104">
                  <c:v>0.05</c:v>
                </c:pt>
                <c:pt idx="105">
                  <c:v>1.7000000000000001E-2</c:v>
                </c:pt>
                <c:pt idx="106">
                  <c:v>6.9000000000000006E-2</c:v>
                </c:pt>
                <c:pt idx="107">
                  <c:v>0.03</c:v>
                </c:pt>
                <c:pt idx="108">
                  <c:v>-6.9000000000000006E-2</c:v>
                </c:pt>
                <c:pt idx="109">
                  <c:v>-0.115</c:v>
                </c:pt>
                <c:pt idx="110">
                  <c:v>1.7000000000000001E-2</c:v>
                </c:pt>
                <c:pt idx="111">
                  <c:v>-0.19</c:v>
                </c:pt>
                <c:pt idx="112">
                  <c:v>1.0999999999999999E-2</c:v>
                </c:pt>
                <c:pt idx="113">
                  <c:v>-4.5999999999999999E-2</c:v>
                </c:pt>
                <c:pt idx="114">
                  <c:v>-7.2999999999999995E-2</c:v>
                </c:pt>
                <c:pt idx="115">
                  <c:v>-0.191</c:v>
                </c:pt>
                <c:pt idx="116">
                  <c:v>-3.1E-2</c:v>
                </c:pt>
                <c:pt idx="117">
                  <c:v>-6.7000000000000004E-2</c:v>
                </c:pt>
                <c:pt idx="118">
                  <c:v>-0.115</c:v>
                </c:pt>
                <c:pt idx="119">
                  <c:v>-9.5000000000000001E-2</c:v>
                </c:pt>
                <c:pt idx="120">
                  <c:v>-7.8E-2</c:v>
                </c:pt>
                <c:pt idx="121">
                  <c:v>-0.20699999999999999</c:v>
                </c:pt>
                <c:pt idx="122">
                  <c:v>-8.6999999999999994E-2</c:v>
                </c:pt>
                <c:pt idx="123">
                  <c:v>-0.20200000000000001</c:v>
                </c:pt>
                <c:pt idx="124">
                  <c:v>-9.1999999999999998E-2</c:v>
                </c:pt>
                <c:pt idx="125">
                  <c:v>-0.153</c:v>
                </c:pt>
                <c:pt idx="126">
                  <c:v>-0.17699999999999999</c:v>
                </c:pt>
                <c:pt idx="127">
                  <c:v>-0.36099999999999999</c:v>
                </c:pt>
                <c:pt idx="128">
                  <c:v>-6.8000000000000005E-2</c:v>
                </c:pt>
                <c:pt idx="129">
                  <c:v>-7.3999999999999996E-2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9F-40ED-8FBD-8D9689508C0E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('AMP7-6'!$AG$4,'AMP7-6'!$AG$4)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9F-40ED-8FBD-8D9689508C0E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('AMP7-6'!$AG$5,'AMP7-6'!$AG$5)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9F-40ED-8FBD-8D9689508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7944"/>
        <c:axId val="573358336"/>
      </c:scatterChart>
      <c:valAx>
        <c:axId val="57335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8336"/>
        <c:crosses val="autoZero"/>
        <c:crossBetween val="midCat"/>
      </c:valAx>
      <c:valAx>
        <c:axId val="5733583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'AMP7-6'!$AH$8</c:f>
              <c:strCache>
                <c:ptCount val="1"/>
                <c:pt idx="0">
                  <c:v>T 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'AMP7-6'!$AH$9:$AH$138</c:f>
              <c:numCache>
                <c:formatCode>General</c:formatCode>
                <c:ptCount val="130"/>
                <c:pt idx="0">
                  <c:v>6.0999999999999999E-2</c:v>
                </c:pt>
                <c:pt idx="1">
                  <c:v>0.11799999999999999</c:v>
                </c:pt>
                <c:pt idx="2">
                  <c:v>0.05</c:v>
                </c:pt>
                <c:pt idx="3">
                  <c:v>1.7999999999999999E-2</c:v>
                </c:pt>
                <c:pt idx="4">
                  <c:v>7.0000000000000001E-3</c:v>
                </c:pt>
                <c:pt idx="5">
                  <c:v>7.5999999999999998E-2</c:v>
                </c:pt>
                <c:pt idx="6">
                  <c:v>3.3000000000000002E-2</c:v>
                </c:pt>
                <c:pt idx="7">
                  <c:v>6.0000000000000001E-3</c:v>
                </c:pt>
                <c:pt idx="8">
                  <c:v>-5.1999999999999998E-2</c:v>
                </c:pt>
                <c:pt idx="9">
                  <c:v>-2.5999999999999999E-2</c:v>
                </c:pt>
                <c:pt idx="10">
                  <c:v>-4.0000000000000001E-3</c:v>
                </c:pt>
                <c:pt idx="11">
                  <c:v>5.0000000000000001E-3</c:v>
                </c:pt>
                <c:pt idx="12">
                  <c:v>-8.5000000000000006E-2</c:v>
                </c:pt>
                <c:pt idx="13">
                  <c:v>0.123</c:v>
                </c:pt>
                <c:pt idx="14">
                  <c:v>0.20200000000000001</c:v>
                </c:pt>
                <c:pt idx="15">
                  <c:v>0.16600000000000001</c:v>
                </c:pt>
                <c:pt idx="16">
                  <c:v>0.03</c:v>
                </c:pt>
                <c:pt idx="17">
                  <c:v>0.107</c:v>
                </c:pt>
                <c:pt idx="18">
                  <c:v>-2.9000000000000001E-2</c:v>
                </c:pt>
                <c:pt idx="19">
                  <c:v>4.0000000000000001E-3</c:v>
                </c:pt>
                <c:pt idx="20">
                  <c:v>0.04</c:v>
                </c:pt>
                <c:pt idx="21">
                  <c:v>-7.0000000000000001E-3</c:v>
                </c:pt>
                <c:pt idx="22">
                  <c:v>-2.9000000000000001E-2</c:v>
                </c:pt>
                <c:pt idx="23">
                  <c:v>5.0999999999999997E-2</c:v>
                </c:pt>
                <c:pt idx="24">
                  <c:v>-3.2000000000000001E-2</c:v>
                </c:pt>
                <c:pt idx="25">
                  <c:v>-0.115</c:v>
                </c:pt>
                <c:pt idx="26">
                  <c:v>2E-3</c:v>
                </c:pt>
                <c:pt idx="27">
                  <c:v>6.9000000000000006E-2</c:v>
                </c:pt>
                <c:pt idx="28">
                  <c:v>-1.2999999999999999E-2</c:v>
                </c:pt>
                <c:pt idx="29">
                  <c:v>0.11899999999999999</c:v>
                </c:pt>
                <c:pt idx="30">
                  <c:v>-4.8000000000000001E-2</c:v>
                </c:pt>
                <c:pt idx="31">
                  <c:v>-1E-3</c:v>
                </c:pt>
                <c:pt idx="32">
                  <c:v>5.0000000000000001E-3</c:v>
                </c:pt>
                <c:pt idx="33">
                  <c:v>-4.3999999999999997E-2</c:v>
                </c:pt>
                <c:pt idx="34">
                  <c:v>6.2E-2</c:v>
                </c:pt>
                <c:pt idx="35">
                  <c:v>-2.3E-2</c:v>
                </c:pt>
                <c:pt idx="36">
                  <c:v>-9.9000000000000005E-2</c:v>
                </c:pt>
                <c:pt idx="37">
                  <c:v>-4.5999999999999999E-2</c:v>
                </c:pt>
                <c:pt idx="38">
                  <c:v>5.8000000000000003E-2</c:v>
                </c:pt>
                <c:pt idx="39">
                  <c:v>0.108</c:v>
                </c:pt>
                <c:pt idx="40">
                  <c:v>-9.8000000000000004E-2</c:v>
                </c:pt>
                <c:pt idx="41">
                  <c:v>0.02</c:v>
                </c:pt>
                <c:pt idx="42">
                  <c:v>-3.9E-2</c:v>
                </c:pt>
                <c:pt idx="43">
                  <c:v>4.2999999999999997E-2</c:v>
                </c:pt>
                <c:pt idx="44">
                  <c:v>-5.8999999999999997E-2</c:v>
                </c:pt>
                <c:pt idx="45">
                  <c:v>4.1000000000000002E-2</c:v>
                </c:pt>
                <c:pt idx="46">
                  <c:v>-6.4000000000000001E-2</c:v>
                </c:pt>
                <c:pt idx="47">
                  <c:v>-3.2000000000000001E-2</c:v>
                </c:pt>
                <c:pt idx="48">
                  <c:v>-6.5000000000000002E-2</c:v>
                </c:pt>
                <c:pt idx="49">
                  <c:v>3.4000000000000002E-2</c:v>
                </c:pt>
                <c:pt idx="50">
                  <c:v>7.1999999999999995E-2</c:v>
                </c:pt>
                <c:pt idx="51">
                  <c:v>3.1E-2</c:v>
                </c:pt>
                <c:pt idx="52">
                  <c:v>0.153</c:v>
                </c:pt>
                <c:pt idx="53">
                  <c:v>-4.3999999999999997E-2</c:v>
                </c:pt>
                <c:pt idx="54">
                  <c:v>3.5999999999999997E-2</c:v>
                </c:pt>
                <c:pt idx="55">
                  <c:v>7.6999999999999999E-2</c:v>
                </c:pt>
                <c:pt idx="56">
                  <c:v>2.1000000000000001E-2</c:v>
                </c:pt>
                <c:pt idx="57">
                  <c:v>9.4E-2</c:v>
                </c:pt>
                <c:pt idx="58">
                  <c:v>-8.2000000000000003E-2</c:v>
                </c:pt>
                <c:pt idx="59">
                  <c:v>6.8000000000000005E-2</c:v>
                </c:pt>
                <c:pt idx="60">
                  <c:v>-4.5999999999999999E-2</c:v>
                </c:pt>
                <c:pt idx="61">
                  <c:v>-2.1999999999999999E-2</c:v>
                </c:pt>
                <c:pt idx="62">
                  <c:v>-0.106</c:v>
                </c:pt>
                <c:pt idx="63">
                  <c:v>-1.9E-2</c:v>
                </c:pt>
                <c:pt idx="64">
                  <c:v>-0.111</c:v>
                </c:pt>
                <c:pt idx="65">
                  <c:v>-3.7999999999999999E-2</c:v>
                </c:pt>
                <c:pt idx="66">
                  <c:v>-6.8000000000000005E-2</c:v>
                </c:pt>
                <c:pt idx="67">
                  <c:v>-9.0999999999999998E-2</c:v>
                </c:pt>
                <c:pt idx="68">
                  <c:v>6.8000000000000005E-2</c:v>
                </c:pt>
                <c:pt idx="69">
                  <c:v>-8.0000000000000002E-3</c:v>
                </c:pt>
                <c:pt idx="70">
                  <c:v>-0.13200000000000001</c:v>
                </c:pt>
                <c:pt idx="71">
                  <c:v>0.01</c:v>
                </c:pt>
                <c:pt idx="72">
                  <c:v>-0.17</c:v>
                </c:pt>
                <c:pt idx="73">
                  <c:v>3.3000000000000002E-2</c:v>
                </c:pt>
                <c:pt idx="74">
                  <c:v>-0.188</c:v>
                </c:pt>
                <c:pt idx="75">
                  <c:v>3.2000000000000001E-2</c:v>
                </c:pt>
                <c:pt idx="76">
                  <c:v>-9.1999999999999998E-2</c:v>
                </c:pt>
                <c:pt idx="77">
                  <c:v>7.9000000000000001E-2</c:v>
                </c:pt>
                <c:pt idx="78">
                  <c:v>-2.4E-2</c:v>
                </c:pt>
                <c:pt idx="79">
                  <c:v>0.109</c:v>
                </c:pt>
                <c:pt idx="80">
                  <c:v>-0.16800000000000001</c:v>
                </c:pt>
                <c:pt idx="81">
                  <c:v>5.6000000000000001E-2</c:v>
                </c:pt>
                <c:pt idx="82">
                  <c:v>-0.129</c:v>
                </c:pt>
                <c:pt idx="83">
                  <c:v>3.2000000000000001E-2</c:v>
                </c:pt>
                <c:pt idx="84">
                  <c:v>-8.7999999999999995E-2</c:v>
                </c:pt>
                <c:pt idx="85">
                  <c:v>-1.4999999999999999E-2</c:v>
                </c:pt>
                <c:pt idx="86">
                  <c:v>-8.3000000000000004E-2</c:v>
                </c:pt>
                <c:pt idx="87">
                  <c:v>-0.108</c:v>
                </c:pt>
                <c:pt idx="88">
                  <c:v>-0.13600000000000001</c:v>
                </c:pt>
                <c:pt idx="89">
                  <c:v>-4.4999999999999998E-2</c:v>
                </c:pt>
                <c:pt idx="90">
                  <c:v>-4.7E-2</c:v>
                </c:pt>
                <c:pt idx="91">
                  <c:v>-4.2999999999999997E-2</c:v>
                </c:pt>
                <c:pt idx="92">
                  <c:v>-0.13900000000000001</c:v>
                </c:pt>
                <c:pt idx="93">
                  <c:v>3.6999999999999998E-2</c:v>
                </c:pt>
                <c:pt idx="94">
                  <c:v>-5.8999999999999997E-2</c:v>
                </c:pt>
                <c:pt idx="95">
                  <c:v>0.16200000000000001</c:v>
                </c:pt>
                <c:pt idx="96">
                  <c:v>-0.25</c:v>
                </c:pt>
                <c:pt idx="97">
                  <c:v>-2.4E-2</c:v>
                </c:pt>
                <c:pt idx="98">
                  <c:v>-6.6000000000000003E-2</c:v>
                </c:pt>
                <c:pt idx="99">
                  <c:v>5.0999999999999997E-2</c:v>
                </c:pt>
                <c:pt idx="100">
                  <c:v>-7.8E-2</c:v>
                </c:pt>
                <c:pt idx="101">
                  <c:v>0.16600000000000001</c:v>
                </c:pt>
                <c:pt idx="102">
                  <c:v>5.6000000000000001E-2</c:v>
                </c:pt>
                <c:pt idx="103">
                  <c:v>0.13600000000000001</c:v>
                </c:pt>
                <c:pt idx="104">
                  <c:v>4.0000000000000001E-3</c:v>
                </c:pt>
                <c:pt idx="105">
                  <c:v>0.13500000000000001</c:v>
                </c:pt>
                <c:pt idx="106">
                  <c:v>5.8000000000000003E-2</c:v>
                </c:pt>
                <c:pt idx="107">
                  <c:v>0.126</c:v>
                </c:pt>
                <c:pt idx="108">
                  <c:v>1.4E-2</c:v>
                </c:pt>
                <c:pt idx="109">
                  <c:v>7.4999999999999997E-2</c:v>
                </c:pt>
                <c:pt idx="110">
                  <c:v>0.107</c:v>
                </c:pt>
                <c:pt idx="111">
                  <c:v>0.109</c:v>
                </c:pt>
                <c:pt idx="112">
                  <c:v>-5.8000000000000003E-2</c:v>
                </c:pt>
                <c:pt idx="113">
                  <c:v>8.1000000000000003E-2</c:v>
                </c:pt>
                <c:pt idx="114">
                  <c:v>5.6000000000000001E-2</c:v>
                </c:pt>
                <c:pt idx="115">
                  <c:v>5.3999999999999999E-2</c:v>
                </c:pt>
                <c:pt idx="116">
                  <c:v>0.13100000000000001</c:v>
                </c:pt>
                <c:pt idx="117">
                  <c:v>0.112</c:v>
                </c:pt>
                <c:pt idx="118">
                  <c:v>2.1999999999999999E-2</c:v>
                </c:pt>
                <c:pt idx="119">
                  <c:v>9.2999999999999999E-2</c:v>
                </c:pt>
                <c:pt idx="120">
                  <c:v>4.8000000000000001E-2</c:v>
                </c:pt>
                <c:pt idx="121">
                  <c:v>2.8000000000000001E-2</c:v>
                </c:pt>
                <c:pt idx="122">
                  <c:v>0.109</c:v>
                </c:pt>
                <c:pt idx="123">
                  <c:v>9.0999999999999998E-2</c:v>
                </c:pt>
                <c:pt idx="124">
                  <c:v>-0.09</c:v>
                </c:pt>
                <c:pt idx="125">
                  <c:v>5.1999999999999998E-2</c:v>
                </c:pt>
                <c:pt idx="126">
                  <c:v>4.5999999999999999E-2</c:v>
                </c:pt>
                <c:pt idx="127">
                  <c:v>-0.113</c:v>
                </c:pt>
                <c:pt idx="128">
                  <c:v>0.14099999999999999</c:v>
                </c:pt>
                <c:pt idx="129">
                  <c:v>0.13300000000000001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1-482B-B7EB-F5A3DD94B2FD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('AMP7-6'!$AH$4,'AMP7-6'!$AH$4)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51-482B-B7EB-F5A3DD94B2FD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('AMP7-6'!$AH$5,'AMP7-6'!$AH$5)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51-482B-B7EB-F5A3DD94B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9120"/>
        <c:axId val="573359512"/>
      </c:scatterChart>
      <c:valAx>
        <c:axId val="57335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9512"/>
        <c:crosses val="autoZero"/>
        <c:crossBetween val="midCat"/>
      </c:valAx>
      <c:valAx>
        <c:axId val="5733595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5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'AMP7-6'!$AI$8</c:f>
              <c:strCache>
                <c:ptCount val="1"/>
                <c:pt idx="0">
                  <c:v>T 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'AMP7-6'!$C$9:$C$138</c:f>
              <c:numCache>
                <c:formatCode>m/d/yy\ h:mm;@</c:formatCode>
                <c:ptCount val="130"/>
                <c:pt idx="0">
                  <c:v>43698.853344907409</c:v>
                </c:pt>
                <c:pt idx="1">
                  <c:v>43698.855381944442</c:v>
                </c:pt>
                <c:pt idx="2">
                  <c:v>43699.337418981479</c:v>
                </c:pt>
                <c:pt idx="3">
                  <c:v>43699.339953703704</c:v>
                </c:pt>
                <c:pt idx="4">
                  <c:v>43699.423888888887</c:v>
                </c:pt>
                <c:pt idx="5">
                  <c:v>43699.425995370373</c:v>
                </c:pt>
                <c:pt idx="6">
                  <c:v>43699.481909722221</c:v>
                </c:pt>
                <c:pt idx="7">
                  <c:v>43699.483969907407</c:v>
                </c:pt>
                <c:pt idx="8">
                  <c:v>43699.563159722224</c:v>
                </c:pt>
                <c:pt idx="9">
                  <c:v>43699.565208333333</c:v>
                </c:pt>
                <c:pt idx="10">
                  <c:v>43699.682187500002</c:v>
                </c:pt>
                <c:pt idx="11">
                  <c:v>43699.684201388889</c:v>
                </c:pt>
                <c:pt idx="12">
                  <c:v>43699.79042824074</c:v>
                </c:pt>
                <c:pt idx="13">
                  <c:v>43699.792523148149</c:v>
                </c:pt>
                <c:pt idx="14">
                  <c:v>43700.444618055553</c:v>
                </c:pt>
                <c:pt idx="15">
                  <c:v>43700.446875000001</c:v>
                </c:pt>
                <c:pt idx="16">
                  <c:v>43701.357361111113</c:v>
                </c:pt>
                <c:pt idx="17">
                  <c:v>43701.358981481484</c:v>
                </c:pt>
                <c:pt idx="18">
                  <c:v>43701.419872685183</c:v>
                </c:pt>
                <c:pt idx="19">
                  <c:v>43701.422361111108</c:v>
                </c:pt>
                <c:pt idx="20">
                  <c:v>43701.5000462963</c:v>
                </c:pt>
                <c:pt idx="21">
                  <c:v>43701.501712962963</c:v>
                </c:pt>
                <c:pt idx="22">
                  <c:v>43701.597233796296</c:v>
                </c:pt>
                <c:pt idx="23">
                  <c:v>43701.598865740743</c:v>
                </c:pt>
                <c:pt idx="24">
                  <c:v>43701.677152777775</c:v>
                </c:pt>
                <c:pt idx="25">
                  <c:v>43701.680219907408</c:v>
                </c:pt>
                <c:pt idx="26">
                  <c:v>43701.716099537036</c:v>
                </c:pt>
                <c:pt idx="27">
                  <c:v>43701.717743055553</c:v>
                </c:pt>
                <c:pt idx="28">
                  <c:v>43702.318020833336</c:v>
                </c:pt>
                <c:pt idx="29">
                  <c:v>43702.328252314815</c:v>
                </c:pt>
                <c:pt idx="30">
                  <c:v>43702.409432870372</c:v>
                </c:pt>
                <c:pt idx="31">
                  <c:v>43702.41134259259</c:v>
                </c:pt>
                <c:pt idx="32">
                  <c:v>43702.490104166667</c:v>
                </c:pt>
                <c:pt idx="33">
                  <c:v>43702.491805555554</c:v>
                </c:pt>
                <c:pt idx="34">
                  <c:v>43702.58520833333</c:v>
                </c:pt>
                <c:pt idx="35">
                  <c:v>43702.586851851855</c:v>
                </c:pt>
                <c:pt idx="36">
                  <c:v>43702.676504629628</c:v>
                </c:pt>
                <c:pt idx="37">
                  <c:v>43702.678078703706</c:v>
                </c:pt>
                <c:pt idx="38">
                  <c:v>43703.317164351851</c:v>
                </c:pt>
                <c:pt idx="39">
                  <c:v>43703.318761574075</c:v>
                </c:pt>
                <c:pt idx="40">
                  <c:v>43703.404236111113</c:v>
                </c:pt>
                <c:pt idx="41">
                  <c:v>43703.405787037038</c:v>
                </c:pt>
                <c:pt idx="42">
                  <c:v>43703.490763888891</c:v>
                </c:pt>
                <c:pt idx="43">
                  <c:v>43703.492337962962</c:v>
                </c:pt>
                <c:pt idx="44">
                  <c:v>43703.541180555556</c:v>
                </c:pt>
                <c:pt idx="45">
                  <c:v>43703.542754629627</c:v>
                </c:pt>
                <c:pt idx="46">
                  <c:v>43703.645462962966</c:v>
                </c:pt>
                <c:pt idx="47">
                  <c:v>43703.647349537037</c:v>
                </c:pt>
                <c:pt idx="48">
                  <c:v>43703.703356481485</c:v>
                </c:pt>
                <c:pt idx="49">
                  <c:v>43703.704895833333</c:v>
                </c:pt>
                <c:pt idx="50">
                  <c:v>43703.786354166667</c:v>
                </c:pt>
                <c:pt idx="51">
                  <c:v>43703.788043981483</c:v>
                </c:pt>
                <c:pt idx="52">
                  <c:v>43703.879467592589</c:v>
                </c:pt>
                <c:pt idx="53">
                  <c:v>43703.881018518521</c:v>
                </c:pt>
                <c:pt idx="54">
                  <c:v>43703.980891203704</c:v>
                </c:pt>
                <c:pt idx="55">
                  <c:v>43703.982407407406</c:v>
                </c:pt>
                <c:pt idx="56">
                  <c:v>43704.035092592596</c:v>
                </c:pt>
                <c:pt idx="57">
                  <c:v>43704.036608796298</c:v>
                </c:pt>
                <c:pt idx="58">
                  <c:v>43704.343761574077</c:v>
                </c:pt>
                <c:pt idx="59">
                  <c:v>43704.345833333333</c:v>
                </c:pt>
                <c:pt idx="60">
                  <c:v>43704.415046296293</c:v>
                </c:pt>
                <c:pt idx="61">
                  <c:v>43704.417094907411</c:v>
                </c:pt>
                <c:pt idx="62">
                  <c:v>43704.518969907411</c:v>
                </c:pt>
                <c:pt idx="63">
                  <c:v>43704.521134259259</c:v>
                </c:pt>
                <c:pt idx="64">
                  <c:v>43704.611747685187</c:v>
                </c:pt>
                <c:pt idx="65">
                  <c:v>43704.613935185182</c:v>
                </c:pt>
                <c:pt idx="66">
                  <c:v>43704.701724537037</c:v>
                </c:pt>
                <c:pt idx="67">
                  <c:v>43704.703553240739</c:v>
                </c:pt>
                <c:pt idx="68">
                  <c:v>43704.788518518515</c:v>
                </c:pt>
                <c:pt idx="69">
                  <c:v>43704.790277777778</c:v>
                </c:pt>
                <c:pt idx="70">
                  <c:v>43704.858032407406</c:v>
                </c:pt>
                <c:pt idx="71">
                  <c:v>43704.859571759262</c:v>
                </c:pt>
                <c:pt idx="72">
                  <c:v>43704.931956018518</c:v>
                </c:pt>
                <c:pt idx="73">
                  <c:v>43704.933449074073</c:v>
                </c:pt>
                <c:pt idx="74">
                  <c:v>43705.031331018516</c:v>
                </c:pt>
                <c:pt idx="75">
                  <c:v>43705.032824074071</c:v>
                </c:pt>
                <c:pt idx="76">
                  <c:v>43705.061932870369</c:v>
                </c:pt>
                <c:pt idx="77">
                  <c:v>43705.063425925924</c:v>
                </c:pt>
                <c:pt idx="78">
                  <c:v>43705.348449074074</c:v>
                </c:pt>
                <c:pt idx="79">
                  <c:v>43705.350497685184</c:v>
                </c:pt>
                <c:pt idx="80">
                  <c:v>43705.431562500002</c:v>
                </c:pt>
                <c:pt idx="81">
                  <c:v>43705.433622685188</c:v>
                </c:pt>
                <c:pt idx="82">
                  <c:v>43705.471631944441</c:v>
                </c:pt>
                <c:pt idx="83">
                  <c:v>43705.473692129628</c:v>
                </c:pt>
                <c:pt idx="84">
                  <c:v>43705.74795138889</c:v>
                </c:pt>
                <c:pt idx="85">
                  <c:v>43705.749780092592</c:v>
                </c:pt>
                <c:pt idx="86">
                  <c:v>43705.817164351851</c:v>
                </c:pt>
                <c:pt idx="87">
                  <c:v>43705.818645833337</c:v>
                </c:pt>
                <c:pt idx="88">
                  <c:v>43705.944525462961</c:v>
                </c:pt>
                <c:pt idx="89">
                  <c:v>43705.946469907409</c:v>
                </c:pt>
                <c:pt idx="90">
                  <c:v>43706.00582175926</c:v>
                </c:pt>
                <c:pt idx="91">
                  <c:v>43706.007314814815</c:v>
                </c:pt>
                <c:pt idx="92">
                  <c:v>43706.05027777778</c:v>
                </c:pt>
                <c:pt idx="93">
                  <c:v>43706.051793981482</c:v>
                </c:pt>
                <c:pt idx="94">
                  <c:v>43706.732615740744</c:v>
                </c:pt>
                <c:pt idx="95">
                  <c:v>43706.734699074077</c:v>
                </c:pt>
                <c:pt idx="96">
                  <c:v>43706.814930555556</c:v>
                </c:pt>
                <c:pt idx="97">
                  <c:v>43706.816990740743</c:v>
                </c:pt>
                <c:pt idx="98">
                  <c:v>43706.962939814817</c:v>
                </c:pt>
                <c:pt idx="99">
                  <c:v>43706.965567129628</c:v>
                </c:pt>
                <c:pt idx="100">
                  <c:v>43707.016967592594</c:v>
                </c:pt>
                <c:pt idx="101">
                  <c:v>43707.01898148148</c:v>
                </c:pt>
                <c:pt idx="102">
                  <c:v>43707.327256944445</c:v>
                </c:pt>
                <c:pt idx="103">
                  <c:v>43707.329641203702</c:v>
                </c:pt>
                <c:pt idx="104">
                  <c:v>43707.410624999997</c:v>
                </c:pt>
                <c:pt idx="105">
                  <c:v>43707.412812499999</c:v>
                </c:pt>
                <c:pt idx="106">
                  <c:v>43707.496087962965</c:v>
                </c:pt>
                <c:pt idx="107">
                  <c:v>43707.498263888891</c:v>
                </c:pt>
                <c:pt idx="108">
                  <c:v>43707.58357638889</c:v>
                </c:pt>
                <c:pt idx="109">
                  <c:v>43707.586215277777</c:v>
                </c:pt>
                <c:pt idx="110">
                  <c:v>43711.379270833335</c:v>
                </c:pt>
                <c:pt idx="111">
                  <c:v>43711.381620370368</c:v>
                </c:pt>
                <c:pt idx="112">
                  <c:v>43711.466226851851</c:v>
                </c:pt>
                <c:pt idx="113">
                  <c:v>43711.468298611115</c:v>
                </c:pt>
                <c:pt idx="114">
                  <c:v>43711.556226851855</c:v>
                </c:pt>
                <c:pt idx="115">
                  <c:v>43711.558356481481</c:v>
                </c:pt>
                <c:pt idx="116">
                  <c:v>43711.662268518521</c:v>
                </c:pt>
                <c:pt idx="117">
                  <c:v>43711.665844907409</c:v>
                </c:pt>
                <c:pt idx="118">
                  <c:v>43711.747037037036</c:v>
                </c:pt>
                <c:pt idx="119">
                  <c:v>43711.749097222222</c:v>
                </c:pt>
                <c:pt idx="120">
                  <c:v>43711.797881944447</c:v>
                </c:pt>
                <c:pt idx="121">
                  <c:v>43711.800509259258</c:v>
                </c:pt>
                <c:pt idx="122">
                  <c:v>43711.881874999999</c:v>
                </c:pt>
                <c:pt idx="123">
                  <c:v>43711.884085648147</c:v>
                </c:pt>
                <c:pt idx="124">
                  <c:v>43711.976145833331</c:v>
                </c:pt>
                <c:pt idx="125">
                  <c:v>43711.978182870371</c:v>
                </c:pt>
                <c:pt idx="126">
                  <c:v>43712.042164351849</c:v>
                </c:pt>
                <c:pt idx="127">
                  <c:v>43712.044247685182</c:v>
                </c:pt>
                <c:pt idx="128">
                  <c:v>43712.305219907408</c:v>
                </c:pt>
                <c:pt idx="129">
                  <c:v>43712.30736111111</c:v>
                </c:pt>
              </c:numCache>
            </c:numRef>
          </c:xVal>
          <c:yVal>
            <c:numRef>
              <c:f>'AMP7-6'!$AI$9:$AI$138</c:f>
              <c:numCache>
                <c:formatCode>General</c:formatCode>
                <c:ptCount val="130"/>
                <c:pt idx="0">
                  <c:v>-0.14399999999999999</c:v>
                </c:pt>
                <c:pt idx="1">
                  <c:v>-0.14599999999999999</c:v>
                </c:pt>
                <c:pt idx="2">
                  <c:v>-0.16600000000000001</c:v>
                </c:pt>
                <c:pt idx="3">
                  <c:v>-0.27</c:v>
                </c:pt>
                <c:pt idx="4">
                  <c:v>-0.183</c:v>
                </c:pt>
                <c:pt idx="5">
                  <c:v>-0.22700000000000001</c:v>
                </c:pt>
                <c:pt idx="6">
                  <c:v>-0.114</c:v>
                </c:pt>
                <c:pt idx="7">
                  <c:v>-0.26900000000000002</c:v>
                </c:pt>
                <c:pt idx="8">
                  <c:v>-0.24299999999999999</c:v>
                </c:pt>
                <c:pt idx="9">
                  <c:v>-0.30599999999999999</c:v>
                </c:pt>
                <c:pt idx="10">
                  <c:v>-0.13700000000000001</c:v>
                </c:pt>
                <c:pt idx="11">
                  <c:v>-0.309</c:v>
                </c:pt>
                <c:pt idx="12">
                  <c:v>-0.28199999999999997</c:v>
                </c:pt>
                <c:pt idx="13">
                  <c:v>-0.17299999999999999</c:v>
                </c:pt>
                <c:pt idx="14">
                  <c:v>-8.5000000000000006E-2</c:v>
                </c:pt>
                <c:pt idx="15">
                  <c:v>-5.0000000000000001E-3</c:v>
                </c:pt>
                <c:pt idx="16">
                  <c:v>-0.13100000000000001</c:v>
                </c:pt>
                <c:pt idx="17">
                  <c:v>-7.6999999999999999E-2</c:v>
                </c:pt>
                <c:pt idx="18">
                  <c:v>-0.21299999999999999</c:v>
                </c:pt>
                <c:pt idx="19">
                  <c:v>-0.217</c:v>
                </c:pt>
                <c:pt idx="20">
                  <c:v>-0.13100000000000001</c:v>
                </c:pt>
                <c:pt idx="21">
                  <c:v>-0.21299999999999999</c:v>
                </c:pt>
                <c:pt idx="22">
                  <c:v>-0.215</c:v>
                </c:pt>
                <c:pt idx="23">
                  <c:v>-0.17599999999999999</c:v>
                </c:pt>
                <c:pt idx="24">
                  <c:v>-0.223</c:v>
                </c:pt>
                <c:pt idx="25">
                  <c:v>-0.35199999999999998</c:v>
                </c:pt>
                <c:pt idx="26">
                  <c:v>-0.184</c:v>
                </c:pt>
                <c:pt idx="27">
                  <c:v>-0.184</c:v>
                </c:pt>
                <c:pt idx="28">
                  <c:v>-0.21099999999999999</c:v>
                </c:pt>
                <c:pt idx="29">
                  <c:v>-8.2000000000000003E-2</c:v>
                </c:pt>
                <c:pt idx="30">
                  <c:v>-0.216</c:v>
                </c:pt>
                <c:pt idx="31">
                  <c:v>-0.27900000000000003</c:v>
                </c:pt>
                <c:pt idx="32">
                  <c:v>-0.184</c:v>
                </c:pt>
                <c:pt idx="33">
                  <c:v>-0.251</c:v>
                </c:pt>
                <c:pt idx="34">
                  <c:v>-0.19500000000000001</c:v>
                </c:pt>
                <c:pt idx="35">
                  <c:v>-0.3</c:v>
                </c:pt>
                <c:pt idx="36">
                  <c:v>-0.28599999999999998</c:v>
                </c:pt>
                <c:pt idx="37">
                  <c:v>-0.27600000000000002</c:v>
                </c:pt>
                <c:pt idx="38">
                  <c:v>-0.16900000000000001</c:v>
                </c:pt>
                <c:pt idx="39">
                  <c:v>-0.158</c:v>
                </c:pt>
                <c:pt idx="40">
                  <c:v>-0.27600000000000002</c:v>
                </c:pt>
                <c:pt idx="41">
                  <c:v>-0.25700000000000001</c:v>
                </c:pt>
                <c:pt idx="42">
                  <c:v>-0.20200000000000001</c:v>
                </c:pt>
                <c:pt idx="43">
                  <c:v>-0.27800000000000002</c:v>
                </c:pt>
                <c:pt idx="44">
                  <c:v>-0.26100000000000001</c:v>
                </c:pt>
                <c:pt idx="45">
                  <c:v>-0.247</c:v>
                </c:pt>
                <c:pt idx="46">
                  <c:v>-0.26400000000000001</c:v>
                </c:pt>
                <c:pt idx="47">
                  <c:v>-0.33600000000000002</c:v>
                </c:pt>
                <c:pt idx="48">
                  <c:v>-0.252</c:v>
                </c:pt>
                <c:pt idx="49">
                  <c:v>-0.30099999999999999</c:v>
                </c:pt>
                <c:pt idx="50">
                  <c:v>-0.12</c:v>
                </c:pt>
                <c:pt idx="51">
                  <c:v>-0.29499999999999998</c:v>
                </c:pt>
                <c:pt idx="52">
                  <c:v>-2.9000000000000001E-2</c:v>
                </c:pt>
                <c:pt idx="53">
                  <c:v>-0.377</c:v>
                </c:pt>
                <c:pt idx="54">
                  <c:v>-0.14000000000000001</c:v>
                </c:pt>
                <c:pt idx="55">
                  <c:v>-0.26700000000000002</c:v>
                </c:pt>
                <c:pt idx="56">
                  <c:v>-0.152</c:v>
                </c:pt>
                <c:pt idx="57">
                  <c:v>-0.32600000000000001</c:v>
                </c:pt>
                <c:pt idx="58">
                  <c:v>-0.28000000000000003</c:v>
                </c:pt>
                <c:pt idx="59">
                  <c:v>-0.104</c:v>
                </c:pt>
                <c:pt idx="60">
                  <c:v>-0.24399999999999999</c:v>
                </c:pt>
                <c:pt idx="61">
                  <c:v>-0.19900000000000001</c:v>
                </c:pt>
                <c:pt idx="62">
                  <c:v>-0.245</c:v>
                </c:pt>
                <c:pt idx="63">
                  <c:v>-0.248</c:v>
                </c:pt>
                <c:pt idx="64">
                  <c:v>-0.22500000000000001</c:v>
                </c:pt>
                <c:pt idx="65">
                  <c:v>-0.255</c:v>
                </c:pt>
                <c:pt idx="66">
                  <c:v>-0.20799999999999999</c:v>
                </c:pt>
                <c:pt idx="67">
                  <c:v>-0.35199999999999998</c:v>
                </c:pt>
                <c:pt idx="68">
                  <c:v>-6.0999999999999999E-2</c:v>
                </c:pt>
                <c:pt idx="69">
                  <c:v>-0.25</c:v>
                </c:pt>
                <c:pt idx="70">
                  <c:v>-0.36499999999999999</c:v>
                </c:pt>
                <c:pt idx="71">
                  <c:v>-0.11600000000000001</c:v>
                </c:pt>
                <c:pt idx="72">
                  <c:v>-0.376</c:v>
                </c:pt>
                <c:pt idx="73">
                  <c:v>-5.8000000000000003E-2</c:v>
                </c:pt>
                <c:pt idx="74">
                  <c:v>-0.45100000000000001</c:v>
                </c:pt>
                <c:pt idx="75">
                  <c:v>-9.9000000000000005E-2</c:v>
                </c:pt>
                <c:pt idx="76">
                  <c:v>-0.34200000000000003</c:v>
                </c:pt>
                <c:pt idx="77">
                  <c:v>-0.104</c:v>
                </c:pt>
                <c:pt idx="78">
                  <c:v>-0.314</c:v>
                </c:pt>
                <c:pt idx="79">
                  <c:v>-3.1E-2</c:v>
                </c:pt>
                <c:pt idx="80">
                  <c:v>-0.40899999999999997</c:v>
                </c:pt>
                <c:pt idx="81">
                  <c:v>-9.6000000000000002E-2</c:v>
                </c:pt>
                <c:pt idx="82">
                  <c:v>-0.33500000000000002</c:v>
                </c:pt>
                <c:pt idx="83">
                  <c:v>-0.13400000000000001</c:v>
                </c:pt>
                <c:pt idx="84">
                  <c:v>-0.222</c:v>
                </c:pt>
                <c:pt idx="85">
                  <c:v>-0.30199999999999999</c:v>
                </c:pt>
                <c:pt idx="86">
                  <c:v>-0.22800000000000001</c:v>
                </c:pt>
                <c:pt idx="87">
                  <c:v>-0.38100000000000001</c:v>
                </c:pt>
                <c:pt idx="88">
                  <c:v>-0.313</c:v>
                </c:pt>
                <c:pt idx="89">
                  <c:v>-0.34</c:v>
                </c:pt>
                <c:pt idx="90">
                  <c:v>-0.2</c:v>
                </c:pt>
                <c:pt idx="91">
                  <c:v>-0.32600000000000001</c:v>
                </c:pt>
                <c:pt idx="92">
                  <c:v>-0.311</c:v>
                </c:pt>
                <c:pt idx="93">
                  <c:v>-0.26</c:v>
                </c:pt>
                <c:pt idx="94">
                  <c:v>-0.21</c:v>
                </c:pt>
                <c:pt idx="95">
                  <c:v>-0.13700000000000001</c:v>
                </c:pt>
                <c:pt idx="96">
                  <c:v>-0.39600000000000002</c:v>
                </c:pt>
                <c:pt idx="97">
                  <c:v>-0.32500000000000001</c:v>
                </c:pt>
                <c:pt idx="98">
                  <c:v>-0.251</c:v>
                </c:pt>
                <c:pt idx="99">
                  <c:v>-0.15</c:v>
                </c:pt>
                <c:pt idx="100">
                  <c:v>-0.245</c:v>
                </c:pt>
                <c:pt idx="101">
                  <c:v>-0.02</c:v>
                </c:pt>
                <c:pt idx="102">
                  <c:v>-0.13900000000000001</c:v>
                </c:pt>
                <c:pt idx="103">
                  <c:v>-0.08</c:v>
                </c:pt>
                <c:pt idx="104">
                  <c:v>-0.161</c:v>
                </c:pt>
                <c:pt idx="105">
                  <c:v>-0.10100000000000001</c:v>
                </c:pt>
                <c:pt idx="106">
                  <c:v>-0.121</c:v>
                </c:pt>
                <c:pt idx="107">
                  <c:v>-0.129</c:v>
                </c:pt>
                <c:pt idx="108">
                  <c:v>-0.17899999999999999</c:v>
                </c:pt>
                <c:pt idx="109">
                  <c:v>-0.20499999999999999</c:v>
                </c:pt>
                <c:pt idx="110">
                  <c:v>-2.7E-2</c:v>
                </c:pt>
                <c:pt idx="111">
                  <c:v>-0.19</c:v>
                </c:pt>
                <c:pt idx="112">
                  <c:v>-0.182</c:v>
                </c:pt>
                <c:pt idx="113">
                  <c:v>-0.20200000000000001</c:v>
                </c:pt>
                <c:pt idx="114">
                  <c:v>-0.12</c:v>
                </c:pt>
                <c:pt idx="115">
                  <c:v>-0.26100000000000001</c:v>
                </c:pt>
                <c:pt idx="116">
                  <c:v>-5.7000000000000002E-2</c:v>
                </c:pt>
                <c:pt idx="117">
                  <c:v>-0.17699999999999999</c:v>
                </c:pt>
                <c:pt idx="118">
                  <c:v>-0.17299999999999999</c:v>
                </c:pt>
                <c:pt idx="119">
                  <c:v>-0.2</c:v>
                </c:pt>
                <c:pt idx="120">
                  <c:v>-0.13200000000000001</c:v>
                </c:pt>
                <c:pt idx="121">
                  <c:v>-0.30199999999999999</c:v>
                </c:pt>
                <c:pt idx="122">
                  <c:v>-0.113</c:v>
                </c:pt>
                <c:pt idx="123">
                  <c:v>-0.255</c:v>
                </c:pt>
                <c:pt idx="124">
                  <c:v>-0.27</c:v>
                </c:pt>
                <c:pt idx="125">
                  <c:v>-0.22700000000000001</c:v>
                </c:pt>
                <c:pt idx="126">
                  <c:v>-0.19</c:v>
                </c:pt>
                <c:pt idx="127">
                  <c:v>-0.43099999999999999</c:v>
                </c:pt>
                <c:pt idx="128">
                  <c:v>-6.8000000000000005E-2</c:v>
                </c:pt>
                <c:pt idx="129">
                  <c:v>-0.20300000000000001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C-48F3-AA52-AA31817759FF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('AMP7-6'!$AI$4,'AMP7-6'!$AI$4)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C-48F3-AA52-AA31817759FF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('AMP7-6'!$C$1,'AMP7-6'!$C$2)</c:f>
              <c:numCache>
                <c:formatCode>m/d/yy\ h:mm;@</c:formatCode>
                <c:ptCount val="2"/>
                <c:pt idx="0">
                  <c:v>43698.853344907409</c:v>
                </c:pt>
                <c:pt idx="1">
                  <c:v>43712.30736111111</c:v>
                </c:pt>
              </c:numCache>
            </c:numRef>
          </c:xVal>
          <c:yVal>
            <c:numRef>
              <c:f>('AMP7-6'!$AI$5,'AMP7-6'!$AI$5)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AC-48F3-AA52-AA3181775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0296"/>
        <c:axId val="573360688"/>
      </c:scatterChart>
      <c:valAx>
        <c:axId val="57336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0688"/>
        <c:crosses val="autoZero"/>
        <c:crossBetween val="midCat"/>
      </c:valAx>
      <c:valAx>
        <c:axId val="5733606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'AMP7-8'!$F$8</c:f>
              <c:strCache>
                <c:ptCount val="1"/>
                <c:pt idx="0">
                  <c:v>Dim 1_1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'AMP7-8'!$F$9:$F$136</c:f>
              <c:numCache>
                <c:formatCode>General</c:formatCode>
                <c:ptCount val="128"/>
                <c:pt idx="0">
                  <c:v>41.206000000000003</c:v>
                </c:pt>
                <c:pt idx="2">
                  <c:v>40.853999999999999</c:v>
                </c:pt>
                <c:pt idx="4">
                  <c:v>41.021999999999998</c:v>
                </c:pt>
                <c:pt idx="6">
                  <c:v>40.826000000000001</c:v>
                </c:pt>
                <c:pt idx="8">
                  <c:v>41.148000000000003</c:v>
                </c:pt>
                <c:pt idx="10">
                  <c:v>41.003</c:v>
                </c:pt>
                <c:pt idx="12">
                  <c:v>40.962000000000003</c:v>
                </c:pt>
                <c:pt idx="14">
                  <c:v>41.015999999999998</c:v>
                </c:pt>
                <c:pt idx="16">
                  <c:v>40.988</c:v>
                </c:pt>
                <c:pt idx="18">
                  <c:v>41.165999999999997</c:v>
                </c:pt>
                <c:pt idx="20">
                  <c:v>41.01</c:v>
                </c:pt>
                <c:pt idx="22">
                  <c:v>40.996000000000002</c:v>
                </c:pt>
                <c:pt idx="24">
                  <c:v>41.084000000000003</c:v>
                </c:pt>
                <c:pt idx="26">
                  <c:v>41.087000000000003</c:v>
                </c:pt>
                <c:pt idx="28">
                  <c:v>40.884</c:v>
                </c:pt>
                <c:pt idx="30">
                  <c:v>40.966000000000001</c:v>
                </c:pt>
                <c:pt idx="32">
                  <c:v>41.058999999999997</c:v>
                </c:pt>
                <c:pt idx="34">
                  <c:v>40.996000000000002</c:v>
                </c:pt>
                <c:pt idx="36">
                  <c:v>41.16</c:v>
                </c:pt>
                <c:pt idx="38">
                  <c:v>40.776000000000003</c:v>
                </c:pt>
                <c:pt idx="40">
                  <c:v>40.9</c:v>
                </c:pt>
                <c:pt idx="42">
                  <c:v>40.987000000000002</c:v>
                </c:pt>
                <c:pt idx="44">
                  <c:v>40.96</c:v>
                </c:pt>
                <c:pt idx="46">
                  <c:v>40.911000000000001</c:v>
                </c:pt>
                <c:pt idx="48">
                  <c:v>41.070999999999998</c:v>
                </c:pt>
                <c:pt idx="50">
                  <c:v>41.021999999999998</c:v>
                </c:pt>
                <c:pt idx="52">
                  <c:v>41.113</c:v>
                </c:pt>
                <c:pt idx="54">
                  <c:v>40.844999999999999</c:v>
                </c:pt>
                <c:pt idx="56">
                  <c:v>41.103000000000002</c:v>
                </c:pt>
                <c:pt idx="58">
                  <c:v>41.191000000000003</c:v>
                </c:pt>
                <c:pt idx="60">
                  <c:v>41.164999999999999</c:v>
                </c:pt>
                <c:pt idx="62">
                  <c:v>41.148000000000003</c:v>
                </c:pt>
                <c:pt idx="64">
                  <c:v>41.109000000000002</c:v>
                </c:pt>
                <c:pt idx="66">
                  <c:v>41.441000000000003</c:v>
                </c:pt>
                <c:pt idx="68">
                  <c:v>41.44</c:v>
                </c:pt>
                <c:pt idx="70">
                  <c:v>41.411000000000001</c:v>
                </c:pt>
                <c:pt idx="72">
                  <c:v>41.491999999999997</c:v>
                </c:pt>
                <c:pt idx="74">
                  <c:v>41.421999999999997</c:v>
                </c:pt>
                <c:pt idx="76">
                  <c:v>40.968000000000004</c:v>
                </c:pt>
                <c:pt idx="78">
                  <c:v>41.06</c:v>
                </c:pt>
                <c:pt idx="80">
                  <c:v>41.195999999999998</c:v>
                </c:pt>
                <c:pt idx="82">
                  <c:v>41.173999999999999</c:v>
                </c:pt>
                <c:pt idx="84">
                  <c:v>41.079000000000001</c:v>
                </c:pt>
                <c:pt idx="86">
                  <c:v>41.027000000000001</c:v>
                </c:pt>
                <c:pt idx="88">
                  <c:v>40.99</c:v>
                </c:pt>
                <c:pt idx="90">
                  <c:v>40.941000000000003</c:v>
                </c:pt>
                <c:pt idx="92">
                  <c:v>41.033000000000001</c:v>
                </c:pt>
                <c:pt idx="94">
                  <c:v>40.883000000000003</c:v>
                </c:pt>
                <c:pt idx="96">
                  <c:v>41.493000000000002</c:v>
                </c:pt>
                <c:pt idx="98">
                  <c:v>41.283000000000001</c:v>
                </c:pt>
                <c:pt idx="100">
                  <c:v>41.264000000000003</c:v>
                </c:pt>
                <c:pt idx="102">
                  <c:v>41.076999999999998</c:v>
                </c:pt>
                <c:pt idx="104">
                  <c:v>41.197000000000003</c:v>
                </c:pt>
                <c:pt idx="106">
                  <c:v>41.197000000000003</c:v>
                </c:pt>
                <c:pt idx="108">
                  <c:v>41.234999999999999</c:v>
                </c:pt>
                <c:pt idx="110">
                  <c:v>41.05</c:v>
                </c:pt>
                <c:pt idx="112">
                  <c:v>41.103000000000002</c:v>
                </c:pt>
                <c:pt idx="114">
                  <c:v>41.082000000000001</c:v>
                </c:pt>
                <c:pt idx="116">
                  <c:v>41.1</c:v>
                </c:pt>
                <c:pt idx="118">
                  <c:v>41.103000000000002</c:v>
                </c:pt>
                <c:pt idx="120">
                  <c:v>41.506</c:v>
                </c:pt>
                <c:pt idx="122">
                  <c:v>40.71</c:v>
                </c:pt>
                <c:pt idx="124">
                  <c:v>41.002000000000002</c:v>
                </c:pt>
                <c:pt idx="126">
                  <c:v>41.103000000000002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1-4654-83D8-65626FAB2C2D}"/>
            </c:ext>
          </c:extLst>
        </c:ser>
        <c:ser>
          <c:idx val="1"/>
          <c:order val="1"/>
          <c:tx>
            <c:v>Min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4C1-4654-83D8-65626FAB2C2D}"/>
              </c:ext>
            </c:extLst>
          </c:dPt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('AMP7-8'!$F$4,'AMP7-8'!$F$4)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C1-4654-83D8-65626FAB2C2D}"/>
            </c:ext>
          </c:extLst>
        </c:ser>
        <c:ser>
          <c:idx val="2"/>
          <c:order val="2"/>
          <c:tx>
            <c:v>Max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1-4654-83D8-65626FAB2C2D}"/>
              </c:ext>
            </c:extLst>
          </c:dPt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('AMP7-8'!$F$5,'AMP7-8'!$F$5)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C1-4654-83D8-65626FAB2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2256"/>
        <c:axId val="573362648"/>
      </c:scatterChart>
      <c:valAx>
        <c:axId val="57336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2648"/>
        <c:crosses val="autoZero"/>
        <c:crossBetween val="midCat"/>
      </c:valAx>
      <c:valAx>
        <c:axId val="5733626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'AMP7-8'!$G$8</c:f>
              <c:strCache>
                <c:ptCount val="1"/>
                <c:pt idx="0">
                  <c:v>Dim 1_2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'AMP7-8'!$G$9:$G$136</c:f>
              <c:numCache>
                <c:formatCode>General</c:formatCode>
                <c:ptCount val="128"/>
                <c:pt idx="0">
                  <c:v>41.460999999999999</c:v>
                </c:pt>
                <c:pt idx="2">
                  <c:v>41.194000000000003</c:v>
                </c:pt>
                <c:pt idx="4">
                  <c:v>41.335000000000001</c:v>
                </c:pt>
                <c:pt idx="6">
                  <c:v>41.091999999999999</c:v>
                </c:pt>
                <c:pt idx="8">
                  <c:v>41.35</c:v>
                </c:pt>
                <c:pt idx="10">
                  <c:v>41.331000000000003</c:v>
                </c:pt>
                <c:pt idx="12">
                  <c:v>41.332000000000001</c:v>
                </c:pt>
                <c:pt idx="14">
                  <c:v>41.280999999999999</c:v>
                </c:pt>
                <c:pt idx="16">
                  <c:v>41.255000000000003</c:v>
                </c:pt>
                <c:pt idx="18">
                  <c:v>41.322000000000003</c:v>
                </c:pt>
                <c:pt idx="20">
                  <c:v>41.243000000000002</c:v>
                </c:pt>
                <c:pt idx="22">
                  <c:v>41.113999999999997</c:v>
                </c:pt>
                <c:pt idx="24">
                  <c:v>41.247999999999998</c:v>
                </c:pt>
                <c:pt idx="26">
                  <c:v>41.295999999999999</c:v>
                </c:pt>
                <c:pt idx="28">
                  <c:v>41.081000000000003</c:v>
                </c:pt>
                <c:pt idx="30">
                  <c:v>41.146000000000001</c:v>
                </c:pt>
                <c:pt idx="32">
                  <c:v>41.271999999999998</c:v>
                </c:pt>
                <c:pt idx="34">
                  <c:v>41.220999999999997</c:v>
                </c:pt>
                <c:pt idx="36">
                  <c:v>41.293999999999997</c:v>
                </c:pt>
                <c:pt idx="38">
                  <c:v>41.012</c:v>
                </c:pt>
                <c:pt idx="40">
                  <c:v>41.209000000000003</c:v>
                </c:pt>
                <c:pt idx="42">
                  <c:v>41.162999999999997</c:v>
                </c:pt>
                <c:pt idx="44">
                  <c:v>41.204999999999998</c:v>
                </c:pt>
                <c:pt idx="46">
                  <c:v>41.295999999999999</c:v>
                </c:pt>
                <c:pt idx="48">
                  <c:v>41.32</c:v>
                </c:pt>
                <c:pt idx="50">
                  <c:v>41.207999999999998</c:v>
                </c:pt>
                <c:pt idx="52">
                  <c:v>41.345999999999997</c:v>
                </c:pt>
                <c:pt idx="54">
                  <c:v>41.216999999999999</c:v>
                </c:pt>
                <c:pt idx="56">
                  <c:v>41.363999999999997</c:v>
                </c:pt>
                <c:pt idx="58">
                  <c:v>41.396999999999998</c:v>
                </c:pt>
                <c:pt idx="60">
                  <c:v>41.567</c:v>
                </c:pt>
                <c:pt idx="62">
                  <c:v>41.473999999999997</c:v>
                </c:pt>
                <c:pt idx="64">
                  <c:v>41.396000000000001</c:v>
                </c:pt>
                <c:pt idx="66">
                  <c:v>41.786999999999999</c:v>
                </c:pt>
                <c:pt idx="68">
                  <c:v>41.869</c:v>
                </c:pt>
                <c:pt idx="70">
                  <c:v>41.808999999999997</c:v>
                </c:pt>
                <c:pt idx="72">
                  <c:v>41.884</c:v>
                </c:pt>
                <c:pt idx="74">
                  <c:v>41.878</c:v>
                </c:pt>
                <c:pt idx="76">
                  <c:v>41.252000000000002</c:v>
                </c:pt>
                <c:pt idx="78">
                  <c:v>41.317999999999998</c:v>
                </c:pt>
                <c:pt idx="80">
                  <c:v>41.44</c:v>
                </c:pt>
                <c:pt idx="82">
                  <c:v>41.222000000000001</c:v>
                </c:pt>
                <c:pt idx="84">
                  <c:v>41.277999999999999</c:v>
                </c:pt>
                <c:pt idx="86">
                  <c:v>41.247</c:v>
                </c:pt>
                <c:pt idx="88">
                  <c:v>41.225999999999999</c:v>
                </c:pt>
                <c:pt idx="90">
                  <c:v>41.145000000000003</c:v>
                </c:pt>
                <c:pt idx="92">
                  <c:v>41.250999999999998</c:v>
                </c:pt>
                <c:pt idx="94">
                  <c:v>41.167999999999999</c:v>
                </c:pt>
                <c:pt idx="96">
                  <c:v>41.707000000000001</c:v>
                </c:pt>
                <c:pt idx="98">
                  <c:v>41.231000000000002</c:v>
                </c:pt>
                <c:pt idx="100">
                  <c:v>41.298999999999999</c:v>
                </c:pt>
                <c:pt idx="102">
                  <c:v>41.220999999999997</c:v>
                </c:pt>
                <c:pt idx="104">
                  <c:v>41.259</c:v>
                </c:pt>
                <c:pt idx="106">
                  <c:v>41.201000000000001</c:v>
                </c:pt>
                <c:pt idx="108">
                  <c:v>41.244</c:v>
                </c:pt>
                <c:pt idx="110">
                  <c:v>41.085000000000001</c:v>
                </c:pt>
                <c:pt idx="112">
                  <c:v>41.078000000000003</c:v>
                </c:pt>
                <c:pt idx="114">
                  <c:v>41.1</c:v>
                </c:pt>
                <c:pt idx="116">
                  <c:v>41.055</c:v>
                </c:pt>
                <c:pt idx="118">
                  <c:v>41.148000000000003</c:v>
                </c:pt>
                <c:pt idx="120">
                  <c:v>41.6</c:v>
                </c:pt>
                <c:pt idx="122">
                  <c:v>40.857999999999997</c:v>
                </c:pt>
                <c:pt idx="124">
                  <c:v>41.036999999999999</c:v>
                </c:pt>
                <c:pt idx="126">
                  <c:v>41.201999999999998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3-4448-8480-C783DE6B9AD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('AMP7-8'!$G$4,'AMP7-8'!$G$4)</c:f>
              <c:numCache>
                <c:formatCode>General</c:formatCode>
                <c:ptCount val="2"/>
                <c:pt idx="0">
                  <c:v>40.795000000000002</c:v>
                </c:pt>
                <c:pt idx="1">
                  <c:v>40.795000000000002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43-4448-8480-C783DE6B9AD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('AMP7-8'!$G$5,'AMP7-8'!$G$5)</c:f>
              <c:numCache>
                <c:formatCode>General</c:formatCode>
                <c:ptCount val="2"/>
                <c:pt idx="0">
                  <c:v>41.805</c:v>
                </c:pt>
                <c:pt idx="1">
                  <c:v>41.805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43-4448-8480-C783DE6B9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3432"/>
        <c:axId val="573363824"/>
      </c:scatterChart>
      <c:valAx>
        <c:axId val="573363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3824"/>
        <c:crosses val="autoZero"/>
        <c:crossBetween val="midCat"/>
      </c:valAx>
      <c:valAx>
        <c:axId val="57336382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3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'AMP7-8'!$H$8</c:f>
              <c:strCache>
                <c:ptCount val="1"/>
                <c:pt idx="0">
                  <c:v>Dim 2_1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'AMP7-8'!$H$9:$H$136</c:f>
              <c:numCache>
                <c:formatCode>General</c:formatCode>
                <c:ptCount val="128"/>
                <c:pt idx="0">
                  <c:v>155.93199999999999</c:v>
                </c:pt>
                <c:pt idx="1">
                  <c:v>155.93100000000001</c:v>
                </c:pt>
                <c:pt idx="2">
                  <c:v>155.97399999999999</c:v>
                </c:pt>
                <c:pt idx="3">
                  <c:v>155.99100000000001</c:v>
                </c:pt>
                <c:pt idx="4">
                  <c:v>155.976</c:v>
                </c:pt>
                <c:pt idx="5">
                  <c:v>155.923</c:v>
                </c:pt>
                <c:pt idx="6">
                  <c:v>156.03100000000001</c:v>
                </c:pt>
                <c:pt idx="7">
                  <c:v>156</c:v>
                </c:pt>
                <c:pt idx="8">
                  <c:v>155.96600000000001</c:v>
                </c:pt>
                <c:pt idx="9">
                  <c:v>155.94800000000001</c:v>
                </c:pt>
                <c:pt idx="10">
                  <c:v>156.02799999999999</c:v>
                </c:pt>
                <c:pt idx="11">
                  <c:v>155.97399999999999</c:v>
                </c:pt>
                <c:pt idx="12">
                  <c:v>156.03100000000001</c:v>
                </c:pt>
                <c:pt idx="13">
                  <c:v>155.976</c:v>
                </c:pt>
                <c:pt idx="14">
                  <c:v>156.024</c:v>
                </c:pt>
                <c:pt idx="15">
                  <c:v>156.04599999999999</c:v>
                </c:pt>
                <c:pt idx="16">
                  <c:v>155.71299999999999</c:v>
                </c:pt>
                <c:pt idx="17">
                  <c:v>155.86199999999999</c:v>
                </c:pt>
                <c:pt idx="18">
                  <c:v>155.80199999999999</c:v>
                </c:pt>
                <c:pt idx="19">
                  <c:v>155.76400000000001</c:v>
                </c:pt>
                <c:pt idx="20">
                  <c:v>155.88900000000001</c:v>
                </c:pt>
                <c:pt idx="21">
                  <c:v>155.86600000000001</c:v>
                </c:pt>
                <c:pt idx="22">
                  <c:v>155.90100000000001</c:v>
                </c:pt>
                <c:pt idx="23">
                  <c:v>155.88200000000001</c:v>
                </c:pt>
                <c:pt idx="24">
                  <c:v>155.91200000000001</c:v>
                </c:pt>
                <c:pt idx="25">
                  <c:v>155.91900000000001</c:v>
                </c:pt>
                <c:pt idx="26">
                  <c:v>155.93100000000001</c:v>
                </c:pt>
                <c:pt idx="27">
                  <c:v>155.95500000000001</c:v>
                </c:pt>
                <c:pt idx="28">
                  <c:v>155.92500000000001</c:v>
                </c:pt>
                <c:pt idx="29">
                  <c:v>155.928</c:v>
                </c:pt>
                <c:pt idx="30">
                  <c:v>155.91300000000001</c:v>
                </c:pt>
                <c:pt idx="31">
                  <c:v>155.887</c:v>
                </c:pt>
                <c:pt idx="32">
                  <c:v>155.90199999999999</c:v>
                </c:pt>
                <c:pt idx="33">
                  <c:v>155.86099999999999</c:v>
                </c:pt>
                <c:pt idx="34">
                  <c:v>155.99700000000001</c:v>
                </c:pt>
                <c:pt idx="35">
                  <c:v>155.97999999999999</c:v>
                </c:pt>
                <c:pt idx="36">
                  <c:v>155.89400000000001</c:v>
                </c:pt>
                <c:pt idx="37">
                  <c:v>155.93899999999999</c:v>
                </c:pt>
                <c:pt idx="38">
                  <c:v>156.05000000000001</c:v>
                </c:pt>
                <c:pt idx="39">
                  <c:v>156.017</c:v>
                </c:pt>
                <c:pt idx="40">
                  <c:v>156.07300000000001</c:v>
                </c:pt>
                <c:pt idx="41">
                  <c:v>156.011</c:v>
                </c:pt>
                <c:pt idx="42">
                  <c:v>156.01599999999999</c:v>
                </c:pt>
                <c:pt idx="43">
                  <c:v>156.04</c:v>
                </c:pt>
                <c:pt idx="44">
                  <c:v>156.059</c:v>
                </c:pt>
                <c:pt idx="45">
                  <c:v>155.99</c:v>
                </c:pt>
                <c:pt idx="46">
                  <c:v>156.08500000000001</c:v>
                </c:pt>
                <c:pt idx="47">
                  <c:v>156.01599999999999</c:v>
                </c:pt>
                <c:pt idx="48">
                  <c:v>156.054</c:v>
                </c:pt>
                <c:pt idx="49">
                  <c:v>156.06200000000001</c:v>
                </c:pt>
                <c:pt idx="50">
                  <c:v>156.06</c:v>
                </c:pt>
                <c:pt idx="51">
                  <c:v>156.059</c:v>
                </c:pt>
                <c:pt idx="52">
                  <c:v>156.077</c:v>
                </c:pt>
                <c:pt idx="53">
                  <c:v>156.047</c:v>
                </c:pt>
                <c:pt idx="54">
                  <c:v>155.85300000000001</c:v>
                </c:pt>
                <c:pt idx="55">
                  <c:v>155.82</c:v>
                </c:pt>
                <c:pt idx="56">
                  <c:v>155.845</c:v>
                </c:pt>
                <c:pt idx="57">
                  <c:v>155.79300000000001</c:v>
                </c:pt>
                <c:pt idx="58">
                  <c:v>155.82499999999999</c:v>
                </c:pt>
                <c:pt idx="59">
                  <c:v>155.714</c:v>
                </c:pt>
                <c:pt idx="60">
                  <c:v>155.89599999999999</c:v>
                </c:pt>
                <c:pt idx="61">
                  <c:v>155.87700000000001</c:v>
                </c:pt>
                <c:pt idx="62">
                  <c:v>155.874</c:v>
                </c:pt>
                <c:pt idx="63">
                  <c:v>155.834</c:v>
                </c:pt>
                <c:pt idx="64">
                  <c:v>155.91900000000001</c:v>
                </c:pt>
                <c:pt idx="65">
                  <c:v>155.84299999999999</c:v>
                </c:pt>
                <c:pt idx="66">
                  <c:v>155.99299999999999</c:v>
                </c:pt>
                <c:pt idx="67">
                  <c:v>155.65600000000001</c:v>
                </c:pt>
                <c:pt idx="68">
                  <c:v>155.97</c:v>
                </c:pt>
                <c:pt idx="69">
                  <c:v>155.673</c:v>
                </c:pt>
                <c:pt idx="70">
                  <c:v>156</c:v>
                </c:pt>
                <c:pt idx="71">
                  <c:v>155.685</c:v>
                </c:pt>
                <c:pt idx="72">
                  <c:v>156.02699999999999</c:v>
                </c:pt>
                <c:pt idx="73">
                  <c:v>155.73400000000001</c:v>
                </c:pt>
                <c:pt idx="74">
                  <c:v>155.98099999999999</c:v>
                </c:pt>
                <c:pt idx="75">
                  <c:v>155.69200000000001</c:v>
                </c:pt>
                <c:pt idx="76">
                  <c:v>155.857</c:v>
                </c:pt>
                <c:pt idx="77">
                  <c:v>155.83799999999999</c:v>
                </c:pt>
                <c:pt idx="78">
                  <c:v>155.893</c:v>
                </c:pt>
                <c:pt idx="79">
                  <c:v>155.87100000000001</c:v>
                </c:pt>
                <c:pt idx="80">
                  <c:v>155.89099999999999</c:v>
                </c:pt>
                <c:pt idx="81">
                  <c:v>155.809</c:v>
                </c:pt>
                <c:pt idx="82">
                  <c:v>155.82400000000001</c:v>
                </c:pt>
                <c:pt idx="83">
                  <c:v>155.81299999999999</c:v>
                </c:pt>
                <c:pt idx="84">
                  <c:v>155.91900000000001</c:v>
                </c:pt>
                <c:pt idx="85">
                  <c:v>155.858</c:v>
                </c:pt>
                <c:pt idx="86">
                  <c:v>155.97999999999999</c:v>
                </c:pt>
                <c:pt idx="87">
                  <c:v>155.96799999999999</c:v>
                </c:pt>
                <c:pt idx="88">
                  <c:v>155.94900000000001</c:v>
                </c:pt>
                <c:pt idx="89">
                  <c:v>155.94300000000001</c:v>
                </c:pt>
                <c:pt idx="90">
                  <c:v>155.952</c:v>
                </c:pt>
                <c:pt idx="91">
                  <c:v>155.94200000000001</c:v>
                </c:pt>
                <c:pt idx="92">
                  <c:v>156.00200000000001</c:v>
                </c:pt>
                <c:pt idx="93">
                  <c:v>155.952</c:v>
                </c:pt>
                <c:pt idx="94">
                  <c:v>156.01900000000001</c:v>
                </c:pt>
                <c:pt idx="95">
                  <c:v>156.04900000000001</c:v>
                </c:pt>
                <c:pt idx="96">
                  <c:v>155.773</c:v>
                </c:pt>
                <c:pt idx="97">
                  <c:v>155.70599999999999</c:v>
                </c:pt>
                <c:pt idx="98">
                  <c:v>155.71100000000001</c:v>
                </c:pt>
                <c:pt idx="99">
                  <c:v>155.71700000000001</c:v>
                </c:pt>
                <c:pt idx="100">
                  <c:v>155.74799999999999</c:v>
                </c:pt>
                <c:pt idx="101">
                  <c:v>155.76</c:v>
                </c:pt>
                <c:pt idx="102">
                  <c:v>155.79900000000001</c:v>
                </c:pt>
                <c:pt idx="103">
                  <c:v>155.76400000000001</c:v>
                </c:pt>
                <c:pt idx="104">
                  <c:v>155.81800000000001</c:v>
                </c:pt>
                <c:pt idx="105">
                  <c:v>155.839</c:v>
                </c:pt>
                <c:pt idx="106">
                  <c:v>155.78100000000001</c:v>
                </c:pt>
                <c:pt idx="107">
                  <c:v>155.74799999999999</c:v>
                </c:pt>
                <c:pt idx="108">
                  <c:v>155.83099999999999</c:v>
                </c:pt>
                <c:pt idx="109">
                  <c:v>155.81700000000001</c:v>
                </c:pt>
                <c:pt idx="110">
                  <c:v>155.79900000000001</c:v>
                </c:pt>
                <c:pt idx="111">
                  <c:v>155.76900000000001</c:v>
                </c:pt>
                <c:pt idx="112">
                  <c:v>155.81299999999999</c:v>
                </c:pt>
                <c:pt idx="113">
                  <c:v>155.85599999999999</c:v>
                </c:pt>
                <c:pt idx="114">
                  <c:v>155.834</c:v>
                </c:pt>
                <c:pt idx="115">
                  <c:v>155.87899999999999</c:v>
                </c:pt>
                <c:pt idx="116">
                  <c:v>155.91200000000001</c:v>
                </c:pt>
                <c:pt idx="117">
                  <c:v>155.89599999999999</c:v>
                </c:pt>
                <c:pt idx="118">
                  <c:v>155.87299999999999</c:v>
                </c:pt>
                <c:pt idx="119">
                  <c:v>155.87</c:v>
                </c:pt>
                <c:pt idx="120">
                  <c:v>155.96100000000001</c:v>
                </c:pt>
                <c:pt idx="121">
                  <c:v>155.93199999999999</c:v>
                </c:pt>
                <c:pt idx="122">
                  <c:v>156.00299999999999</c:v>
                </c:pt>
                <c:pt idx="123">
                  <c:v>155.97999999999999</c:v>
                </c:pt>
                <c:pt idx="124">
                  <c:v>155.96899999999999</c:v>
                </c:pt>
                <c:pt idx="125">
                  <c:v>155.99299999999999</c:v>
                </c:pt>
                <c:pt idx="126">
                  <c:v>155.87799999999999</c:v>
                </c:pt>
                <c:pt idx="127">
                  <c:v>155.91200000000001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D-4544-9AF0-1D8284F0A15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('AMP7-8'!$H$4,'AMP7-8'!$H$4)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ED-4544-9AF0-1D8284F0A15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('AMP7-8'!$H$5,'AMP7-8'!$H$5)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ED-4544-9AF0-1D8284F0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4608"/>
        <c:axId val="573365000"/>
      </c:scatterChart>
      <c:valAx>
        <c:axId val="5733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5000"/>
        <c:crosses val="autoZero"/>
        <c:crossBetween val="midCat"/>
      </c:valAx>
      <c:valAx>
        <c:axId val="5733650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2_2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'AMP7-8'!$I$8</c:f>
              <c:strCache>
                <c:ptCount val="1"/>
                <c:pt idx="0">
                  <c:v>Dim 2_2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'AMP7-8'!$I$9:$I$136</c:f>
              <c:numCache>
                <c:formatCode>General</c:formatCode>
                <c:ptCount val="128"/>
                <c:pt idx="0">
                  <c:v>156.245</c:v>
                </c:pt>
                <c:pt idx="1">
                  <c:v>155.96799999999999</c:v>
                </c:pt>
                <c:pt idx="2">
                  <c:v>156.256</c:v>
                </c:pt>
                <c:pt idx="3">
                  <c:v>156</c:v>
                </c:pt>
                <c:pt idx="4">
                  <c:v>156.227</c:v>
                </c:pt>
                <c:pt idx="5">
                  <c:v>155.952</c:v>
                </c:pt>
                <c:pt idx="6">
                  <c:v>156.33199999999999</c:v>
                </c:pt>
                <c:pt idx="7">
                  <c:v>156.018</c:v>
                </c:pt>
                <c:pt idx="8">
                  <c:v>156.24299999999999</c:v>
                </c:pt>
                <c:pt idx="9">
                  <c:v>156.00899999999999</c:v>
                </c:pt>
                <c:pt idx="10">
                  <c:v>156.27099999999999</c:v>
                </c:pt>
                <c:pt idx="11">
                  <c:v>156.001</c:v>
                </c:pt>
                <c:pt idx="12">
                  <c:v>156.245</c:v>
                </c:pt>
                <c:pt idx="13">
                  <c:v>156.02000000000001</c:v>
                </c:pt>
                <c:pt idx="14">
                  <c:v>156.28</c:v>
                </c:pt>
                <c:pt idx="15">
                  <c:v>156.03299999999999</c:v>
                </c:pt>
                <c:pt idx="16">
                  <c:v>156.09200000000001</c:v>
                </c:pt>
                <c:pt idx="17">
                  <c:v>155.833</c:v>
                </c:pt>
                <c:pt idx="18">
                  <c:v>156.11199999999999</c:v>
                </c:pt>
                <c:pt idx="19">
                  <c:v>155.80000000000001</c:v>
                </c:pt>
                <c:pt idx="20">
                  <c:v>156.209</c:v>
                </c:pt>
                <c:pt idx="21">
                  <c:v>155.86099999999999</c:v>
                </c:pt>
                <c:pt idx="22">
                  <c:v>156.22499999999999</c:v>
                </c:pt>
                <c:pt idx="23">
                  <c:v>155.881</c:v>
                </c:pt>
                <c:pt idx="24">
                  <c:v>156.22999999999999</c:v>
                </c:pt>
                <c:pt idx="25">
                  <c:v>155.91</c:v>
                </c:pt>
                <c:pt idx="26">
                  <c:v>156.245</c:v>
                </c:pt>
                <c:pt idx="27">
                  <c:v>155.96700000000001</c:v>
                </c:pt>
                <c:pt idx="28">
                  <c:v>156.26300000000001</c:v>
                </c:pt>
                <c:pt idx="29">
                  <c:v>155.935</c:v>
                </c:pt>
                <c:pt idx="30">
                  <c:v>156.214</c:v>
                </c:pt>
                <c:pt idx="31">
                  <c:v>155.93100000000001</c:v>
                </c:pt>
                <c:pt idx="32">
                  <c:v>156.21700000000001</c:v>
                </c:pt>
                <c:pt idx="33">
                  <c:v>155.922</c:v>
                </c:pt>
                <c:pt idx="34">
                  <c:v>156.298</c:v>
                </c:pt>
                <c:pt idx="35">
                  <c:v>155.983</c:v>
                </c:pt>
                <c:pt idx="36">
                  <c:v>156.21100000000001</c:v>
                </c:pt>
                <c:pt idx="37">
                  <c:v>155.982</c:v>
                </c:pt>
                <c:pt idx="38">
                  <c:v>156.34100000000001</c:v>
                </c:pt>
                <c:pt idx="39">
                  <c:v>156.023</c:v>
                </c:pt>
                <c:pt idx="40">
                  <c:v>156.37100000000001</c:v>
                </c:pt>
                <c:pt idx="41">
                  <c:v>156.03</c:v>
                </c:pt>
                <c:pt idx="42">
                  <c:v>156.31200000000001</c:v>
                </c:pt>
                <c:pt idx="43">
                  <c:v>155.98599999999999</c:v>
                </c:pt>
                <c:pt idx="44">
                  <c:v>156.363</c:v>
                </c:pt>
                <c:pt idx="45">
                  <c:v>156.00399999999999</c:v>
                </c:pt>
                <c:pt idx="46">
                  <c:v>156.33699999999999</c:v>
                </c:pt>
                <c:pt idx="47">
                  <c:v>156.083</c:v>
                </c:pt>
                <c:pt idx="48">
                  <c:v>156.31100000000001</c:v>
                </c:pt>
                <c:pt idx="49">
                  <c:v>156.05199999999999</c:v>
                </c:pt>
                <c:pt idx="50">
                  <c:v>156.309</c:v>
                </c:pt>
                <c:pt idx="51">
                  <c:v>156.084</c:v>
                </c:pt>
                <c:pt idx="52">
                  <c:v>156.24</c:v>
                </c:pt>
                <c:pt idx="53">
                  <c:v>156.14599999999999</c:v>
                </c:pt>
                <c:pt idx="54">
                  <c:v>156.10599999999999</c:v>
                </c:pt>
                <c:pt idx="55">
                  <c:v>155.85400000000001</c:v>
                </c:pt>
                <c:pt idx="56">
                  <c:v>156.06800000000001</c:v>
                </c:pt>
                <c:pt idx="57">
                  <c:v>155.85499999999999</c:v>
                </c:pt>
                <c:pt idx="58">
                  <c:v>156.065</c:v>
                </c:pt>
                <c:pt idx="59">
                  <c:v>155.91</c:v>
                </c:pt>
                <c:pt idx="60">
                  <c:v>156.131</c:v>
                </c:pt>
                <c:pt idx="61">
                  <c:v>155.95099999999999</c:v>
                </c:pt>
                <c:pt idx="62">
                  <c:v>156.08799999999999</c:v>
                </c:pt>
                <c:pt idx="63">
                  <c:v>155.88999999999999</c:v>
                </c:pt>
                <c:pt idx="64">
                  <c:v>156.12799999999999</c:v>
                </c:pt>
                <c:pt idx="65">
                  <c:v>155.922</c:v>
                </c:pt>
                <c:pt idx="66">
                  <c:v>156.328</c:v>
                </c:pt>
                <c:pt idx="67">
                  <c:v>155.75800000000001</c:v>
                </c:pt>
                <c:pt idx="68">
                  <c:v>156.29400000000001</c:v>
                </c:pt>
                <c:pt idx="69">
                  <c:v>155.75200000000001</c:v>
                </c:pt>
                <c:pt idx="70">
                  <c:v>156.33000000000001</c:v>
                </c:pt>
                <c:pt idx="71">
                  <c:v>155.749</c:v>
                </c:pt>
                <c:pt idx="72">
                  <c:v>156.285</c:v>
                </c:pt>
                <c:pt idx="73">
                  <c:v>155.90100000000001</c:v>
                </c:pt>
                <c:pt idx="74">
                  <c:v>156.34700000000001</c:v>
                </c:pt>
                <c:pt idx="75">
                  <c:v>155.745</c:v>
                </c:pt>
                <c:pt idx="76">
                  <c:v>156.03899999999999</c:v>
                </c:pt>
                <c:pt idx="77">
                  <c:v>155.90799999999999</c:v>
                </c:pt>
                <c:pt idx="78">
                  <c:v>156.04599999999999</c:v>
                </c:pt>
                <c:pt idx="79">
                  <c:v>155.946</c:v>
                </c:pt>
                <c:pt idx="80">
                  <c:v>156.06700000000001</c:v>
                </c:pt>
                <c:pt idx="81">
                  <c:v>155.88200000000001</c:v>
                </c:pt>
                <c:pt idx="82">
                  <c:v>156.03899999999999</c:v>
                </c:pt>
                <c:pt idx="83">
                  <c:v>155.90299999999999</c:v>
                </c:pt>
                <c:pt idx="84">
                  <c:v>156.059</c:v>
                </c:pt>
                <c:pt idx="85">
                  <c:v>155.947</c:v>
                </c:pt>
                <c:pt idx="86">
                  <c:v>156.137</c:v>
                </c:pt>
                <c:pt idx="87">
                  <c:v>156.02799999999999</c:v>
                </c:pt>
                <c:pt idx="88">
                  <c:v>156.119</c:v>
                </c:pt>
                <c:pt idx="89">
                  <c:v>155.97499999999999</c:v>
                </c:pt>
                <c:pt idx="90">
                  <c:v>156.08699999999999</c:v>
                </c:pt>
                <c:pt idx="91">
                  <c:v>155.97499999999999</c:v>
                </c:pt>
                <c:pt idx="92">
                  <c:v>156.14699999999999</c:v>
                </c:pt>
                <c:pt idx="93">
                  <c:v>156.03</c:v>
                </c:pt>
                <c:pt idx="94">
                  <c:v>156.161</c:v>
                </c:pt>
                <c:pt idx="95">
                  <c:v>156.06399999999999</c:v>
                </c:pt>
                <c:pt idx="96">
                  <c:v>155.983</c:v>
                </c:pt>
                <c:pt idx="97">
                  <c:v>155.715</c:v>
                </c:pt>
                <c:pt idx="98">
                  <c:v>156.00899999999999</c:v>
                </c:pt>
                <c:pt idx="99">
                  <c:v>155.70599999999999</c:v>
                </c:pt>
                <c:pt idx="100">
                  <c:v>155.99600000000001</c:v>
                </c:pt>
                <c:pt idx="101">
                  <c:v>155.76499999999999</c:v>
                </c:pt>
                <c:pt idx="102">
                  <c:v>156.03700000000001</c:v>
                </c:pt>
                <c:pt idx="103">
                  <c:v>155.791</c:v>
                </c:pt>
                <c:pt idx="104">
                  <c:v>156.08699999999999</c:v>
                </c:pt>
                <c:pt idx="105">
                  <c:v>155.84100000000001</c:v>
                </c:pt>
                <c:pt idx="106">
                  <c:v>156.07599999999999</c:v>
                </c:pt>
                <c:pt idx="107">
                  <c:v>155.76900000000001</c:v>
                </c:pt>
                <c:pt idx="108">
                  <c:v>156.101</c:v>
                </c:pt>
                <c:pt idx="109">
                  <c:v>155.82900000000001</c:v>
                </c:pt>
                <c:pt idx="110">
                  <c:v>156.07499999999999</c:v>
                </c:pt>
                <c:pt idx="111">
                  <c:v>155.857</c:v>
                </c:pt>
                <c:pt idx="112">
                  <c:v>156.1</c:v>
                </c:pt>
                <c:pt idx="113">
                  <c:v>155.858</c:v>
                </c:pt>
                <c:pt idx="114">
                  <c:v>156.07400000000001</c:v>
                </c:pt>
                <c:pt idx="115">
                  <c:v>155.91200000000001</c:v>
                </c:pt>
                <c:pt idx="116">
                  <c:v>156.161</c:v>
                </c:pt>
                <c:pt idx="117">
                  <c:v>155.91</c:v>
                </c:pt>
                <c:pt idx="118">
                  <c:v>156.149</c:v>
                </c:pt>
                <c:pt idx="119">
                  <c:v>155.87799999999999</c:v>
                </c:pt>
                <c:pt idx="120">
                  <c:v>156.197</c:v>
                </c:pt>
                <c:pt idx="121">
                  <c:v>155.97200000000001</c:v>
                </c:pt>
                <c:pt idx="122">
                  <c:v>156.26900000000001</c:v>
                </c:pt>
                <c:pt idx="123">
                  <c:v>156.018</c:v>
                </c:pt>
                <c:pt idx="124">
                  <c:v>156.16800000000001</c:v>
                </c:pt>
                <c:pt idx="125">
                  <c:v>155.99299999999999</c:v>
                </c:pt>
                <c:pt idx="126">
                  <c:v>156.08600000000001</c:v>
                </c:pt>
                <c:pt idx="127">
                  <c:v>155.916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51-4E1D-B529-1AA3D91385E8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('AMP7-8'!$I$4,'AMP7-8'!$I$4)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51-4E1D-B529-1AA3D91385E8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('AMP7-8'!$I$5,'AMP7-8'!$I$5)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51-4E1D-B529-1AA3D9138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5784"/>
        <c:axId val="598703760"/>
      </c:scatterChart>
      <c:valAx>
        <c:axId val="573365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3760"/>
        <c:crosses val="autoZero"/>
        <c:crossBetween val="midCat"/>
      </c:valAx>
      <c:valAx>
        <c:axId val="59870376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65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'AMP7-8'!$J$8</c:f>
              <c:strCache>
                <c:ptCount val="1"/>
                <c:pt idx="0">
                  <c:v>Dim 3_1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'AMP7-8'!$J$9:$J$136</c:f>
              <c:numCache>
                <c:formatCode>General</c:formatCode>
                <c:ptCount val="128"/>
                <c:pt idx="1">
                  <c:v>169.09800000000001</c:v>
                </c:pt>
                <c:pt idx="3">
                  <c:v>168.821</c:v>
                </c:pt>
                <c:pt idx="5">
                  <c:v>168.89699999999999</c:v>
                </c:pt>
                <c:pt idx="7">
                  <c:v>168.798</c:v>
                </c:pt>
                <c:pt idx="9">
                  <c:v>169.053</c:v>
                </c:pt>
                <c:pt idx="11">
                  <c:v>168.91900000000001</c:v>
                </c:pt>
                <c:pt idx="13">
                  <c:v>168.929</c:v>
                </c:pt>
                <c:pt idx="15">
                  <c:v>168.95699999999999</c:v>
                </c:pt>
                <c:pt idx="17">
                  <c:v>168.73699999999999</c:v>
                </c:pt>
                <c:pt idx="19">
                  <c:v>168.89</c:v>
                </c:pt>
                <c:pt idx="21">
                  <c:v>168.78</c:v>
                </c:pt>
                <c:pt idx="23">
                  <c:v>168.762</c:v>
                </c:pt>
                <c:pt idx="25">
                  <c:v>168.92400000000001</c:v>
                </c:pt>
                <c:pt idx="27">
                  <c:v>168.92599999999999</c:v>
                </c:pt>
                <c:pt idx="29">
                  <c:v>168.75700000000001</c:v>
                </c:pt>
                <c:pt idx="31">
                  <c:v>168.804</c:v>
                </c:pt>
                <c:pt idx="33">
                  <c:v>168.87700000000001</c:v>
                </c:pt>
                <c:pt idx="35">
                  <c:v>168.92699999999999</c:v>
                </c:pt>
                <c:pt idx="37">
                  <c:v>169.05099999999999</c:v>
                </c:pt>
                <c:pt idx="39">
                  <c:v>168.76</c:v>
                </c:pt>
                <c:pt idx="41">
                  <c:v>168.93299999999999</c:v>
                </c:pt>
                <c:pt idx="43">
                  <c:v>168.91200000000001</c:v>
                </c:pt>
                <c:pt idx="45">
                  <c:v>169.05699999999999</c:v>
                </c:pt>
                <c:pt idx="47">
                  <c:v>168.905</c:v>
                </c:pt>
                <c:pt idx="49">
                  <c:v>169.00200000000001</c:v>
                </c:pt>
                <c:pt idx="51">
                  <c:v>169.00800000000001</c:v>
                </c:pt>
                <c:pt idx="53">
                  <c:v>169.107</c:v>
                </c:pt>
                <c:pt idx="55">
                  <c:v>168.60599999999999</c:v>
                </c:pt>
                <c:pt idx="57">
                  <c:v>168.86099999999999</c:v>
                </c:pt>
                <c:pt idx="59">
                  <c:v>168.90700000000001</c:v>
                </c:pt>
                <c:pt idx="61">
                  <c:v>168.95599999999999</c:v>
                </c:pt>
                <c:pt idx="63">
                  <c:v>168.93</c:v>
                </c:pt>
                <c:pt idx="65">
                  <c:v>168.95099999999999</c:v>
                </c:pt>
                <c:pt idx="67">
                  <c:v>168.952</c:v>
                </c:pt>
                <c:pt idx="69">
                  <c:v>168.947</c:v>
                </c:pt>
                <c:pt idx="71">
                  <c:v>168.89099999999999</c:v>
                </c:pt>
                <c:pt idx="73">
                  <c:v>169.06899999999999</c:v>
                </c:pt>
                <c:pt idx="75">
                  <c:v>168.91900000000001</c:v>
                </c:pt>
                <c:pt idx="77">
                  <c:v>168.643</c:v>
                </c:pt>
                <c:pt idx="79">
                  <c:v>168.661</c:v>
                </c:pt>
                <c:pt idx="81">
                  <c:v>168.87</c:v>
                </c:pt>
                <c:pt idx="83">
                  <c:v>168.77</c:v>
                </c:pt>
                <c:pt idx="85">
                  <c:v>168.684</c:v>
                </c:pt>
                <c:pt idx="87">
                  <c:v>168.77</c:v>
                </c:pt>
                <c:pt idx="89">
                  <c:v>168.696</c:v>
                </c:pt>
                <c:pt idx="91">
                  <c:v>168.62700000000001</c:v>
                </c:pt>
                <c:pt idx="93">
                  <c:v>168.804</c:v>
                </c:pt>
                <c:pt idx="95">
                  <c:v>168.678</c:v>
                </c:pt>
                <c:pt idx="97">
                  <c:v>168.85300000000001</c:v>
                </c:pt>
                <c:pt idx="99">
                  <c:v>168.69399999999999</c:v>
                </c:pt>
                <c:pt idx="101">
                  <c:v>168.74700000000001</c:v>
                </c:pt>
                <c:pt idx="103">
                  <c:v>168.393</c:v>
                </c:pt>
                <c:pt idx="105">
                  <c:v>168.75</c:v>
                </c:pt>
                <c:pt idx="107">
                  <c:v>168.66300000000001</c:v>
                </c:pt>
                <c:pt idx="109">
                  <c:v>168.804</c:v>
                </c:pt>
                <c:pt idx="111">
                  <c:v>168.61099999999999</c:v>
                </c:pt>
                <c:pt idx="113">
                  <c:v>168.679</c:v>
                </c:pt>
                <c:pt idx="115">
                  <c:v>168.685</c:v>
                </c:pt>
                <c:pt idx="117">
                  <c:v>168.62799999999999</c:v>
                </c:pt>
                <c:pt idx="119">
                  <c:v>168.72499999999999</c:v>
                </c:pt>
                <c:pt idx="121">
                  <c:v>169.20400000000001</c:v>
                </c:pt>
                <c:pt idx="123">
                  <c:v>168.47399999999999</c:v>
                </c:pt>
                <c:pt idx="125">
                  <c:v>168.744</c:v>
                </c:pt>
                <c:pt idx="127">
                  <c:v>168.65299999999999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6-49C5-96C4-1D969323DA8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('AMP7-8'!$J$4,'AMP7-8'!$J$4)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76-49C5-96C4-1D969323DA8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('AMP7-8'!$J$5,'AMP7-8'!$J$5)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76-49C5-96C4-1D969323D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04544"/>
        <c:axId val="598704936"/>
      </c:scatterChart>
      <c:valAx>
        <c:axId val="59870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4936"/>
        <c:crosses val="autoZero"/>
        <c:crossBetween val="midCat"/>
      </c:valAx>
      <c:valAx>
        <c:axId val="59870493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3_2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'AMP7-8'!$K$8</c:f>
              <c:strCache>
                <c:ptCount val="1"/>
                <c:pt idx="0">
                  <c:v>Dim 3_2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'AMP7-8'!$K$9:$K$136</c:f>
              <c:numCache>
                <c:formatCode>General</c:formatCode>
                <c:ptCount val="128"/>
                <c:pt idx="1">
                  <c:v>169.36199999999999</c:v>
                </c:pt>
                <c:pt idx="3">
                  <c:v>169.148</c:v>
                </c:pt>
                <c:pt idx="5">
                  <c:v>169.11600000000001</c:v>
                </c:pt>
                <c:pt idx="7">
                  <c:v>169.08099999999999</c:v>
                </c:pt>
                <c:pt idx="9">
                  <c:v>169.35</c:v>
                </c:pt>
                <c:pt idx="11">
                  <c:v>169.261</c:v>
                </c:pt>
                <c:pt idx="13">
                  <c:v>169.30500000000001</c:v>
                </c:pt>
                <c:pt idx="15">
                  <c:v>169.321</c:v>
                </c:pt>
                <c:pt idx="17">
                  <c:v>169.06100000000001</c:v>
                </c:pt>
                <c:pt idx="19">
                  <c:v>169.059</c:v>
                </c:pt>
                <c:pt idx="21">
                  <c:v>169.017</c:v>
                </c:pt>
                <c:pt idx="23">
                  <c:v>169.45500000000001</c:v>
                </c:pt>
                <c:pt idx="25">
                  <c:v>169.12799999999999</c:v>
                </c:pt>
                <c:pt idx="27">
                  <c:v>169.131</c:v>
                </c:pt>
                <c:pt idx="29">
                  <c:v>168.971</c:v>
                </c:pt>
                <c:pt idx="31">
                  <c:v>168.98500000000001</c:v>
                </c:pt>
                <c:pt idx="33">
                  <c:v>169.03700000000001</c:v>
                </c:pt>
                <c:pt idx="35">
                  <c:v>169.17</c:v>
                </c:pt>
                <c:pt idx="37">
                  <c:v>169.233</c:v>
                </c:pt>
                <c:pt idx="39">
                  <c:v>168.96899999999999</c:v>
                </c:pt>
                <c:pt idx="41">
                  <c:v>169.137</c:v>
                </c:pt>
                <c:pt idx="43">
                  <c:v>169.14500000000001</c:v>
                </c:pt>
                <c:pt idx="45">
                  <c:v>169.36</c:v>
                </c:pt>
                <c:pt idx="47">
                  <c:v>169.14400000000001</c:v>
                </c:pt>
                <c:pt idx="49">
                  <c:v>169.28200000000001</c:v>
                </c:pt>
                <c:pt idx="51">
                  <c:v>169.322</c:v>
                </c:pt>
                <c:pt idx="53">
                  <c:v>169.41200000000001</c:v>
                </c:pt>
                <c:pt idx="55">
                  <c:v>169.07300000000001</c:v>
                </c:pt>
                <c:pt idx="57">
                  <c:v>169.11600000000001</c:v>
                </c:pt>
                <c:pt idx="59">
                  <c:v>169.19499999999999</c:v>
                </c:pt>
                <c:pt idx="61">
                  <c:v>169.4</c:v>
                </c:pt>
                <c:pt idx="63">
                  <c:v>169.19900000000001</c:v>
                </c:pt>
                <c:pt idx="65">
                  <c:v>169.251</c:v>
                </c:pt>
                <c:pt idx="67">
                  <c:v>169.35</c:v>
                </c:pt>
                <c:pt idx="69">
                  <c:v>169.33</c:v>
                </c:pt>
                <c:pt idx="71">
                  <c:v>169.381</c:v>
                </c:pt>
                <c:pt idx="73">
                  <c:v>169.44499999999999</c:v>
                </c:pt>
                <c:pt idx="75">
                  <c:v>169.32499999999999</c:v>
                </c:pt>
                <c:pt idx="77">
                  <c:v>169.02799999999999</c:v>
                </c:pt>
                <c:pt idx="79">
                  <c:v>168.93100000000001</c:v>
                </c:pt>
                <c:pt idx="81">
                  <c:v>169.09399999999999</c:v>
                </c:pt>
                <c:pt idx="83">
                  <c:v>168.98699999999999</c:v>
                </c:pt>
                <c:pt idx="85">
                  <c:v>168.93</c:v>
                </c:pt>
                <c:pt idx="87">
                  <c:v>169.00800000000001</c:v>
                </c:pt>
                <c:pt idx="89">
                  <c:v>169.011</c:v>
                </c:pt>
                <c:pt idx="91">
                  <c:v>168.828</c:v>
                </c:pt>
                <c:pt idx="93">
                  <c:v>168.98099999999999</c:v>
                </c:pt>
                <c:pt idx="95">
                  <c:v>168.88399999999999</c:v>
                </c:pt>
                <c:pt idx="97">
                  <c:v>169.24100000000001</c:v>
                </c:pt>
                <c:pt idx="99">
                  <c:v>168.679</c:v>
                </c:pt>
                <c:pt idx="101">
                  <c:v>168.76900000000001</c:v>
                </c:pt>
                <c:pt idx="103">
                  <c:v>168.56200000000001</c:v>
                </c:pt>
                <c:pt idx="105">
                  <c:v>168.827</c:v>
                </c:pt>
                <c:pt idx="107">
                  <c:v>168.64400000000001</c:v>
                </c:pt>
                <c:pt idx="109">
                  <c:v>168.86099999999999</c:v>
                </c:pt>
                <c:pt idx="111">
                  <c:v>168.66300000000001</c:v>
                </c:pt>
                <c:pt idx="113">
                  <c:v>168.761</c:v>
                </c:pt>
                <c:pt idx="115">
                  <c:v>168.76</c:v>
                </c:pt>
                <c:pt idx="117">
                  <c:v>168.67500000000001</c:v>
                </c:pt>
                <c:pt idx="119">
                  <c:v>168.726</c:v>
                </c:pt>
                <c:pt idx="121">
                  <c:v>169.315</c:v>
                </c:pt>
                <c:pt idx="123">
                  <c:v>168.75200000000001</c:v>
                </c:pt>
                <c:pt idx="125">
                  <c:v>168.839</c:v>
                </c:pt>
                <c:pt idx="127">
                  <c:v>168.74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27-410B-B605-AA089B5C32F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('AMP7-8'!$K$4,'AMP7-8'!$K$4)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7-410B-B605-AA089B5C32F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('AMP7-8'!$K$5,'AMP7-8'!$K$5)</c:f>
              <c:numCache>
                <c:formatCode>General</c:formatCode>
                <c:ptCount val="2"/>
                <c:pt idx="0">
                  <c:v>169.4</c:v>
                </c:pt>
                <c:pt idx="1">
                  <c:v>169.4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27-410B-B605-AA089B5C3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05720"/>
        <c:axId val="598706112"/>
      </c:scatterChart>
      <c:valAx>
        <c:axId val="59870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6112"/>
        <c:crosses val="autoZero"/>
        <c:crossBetween val="midCat"/>
      </c:valAx>
      <c:valAx>
        <c:axId val="59870611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5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'AMP7-8'!$L$8</c:f>
              <c:strCache>
                <c:ptCount val="1"/>
                <c:pt idx="0">
                  <c:v>Dim 4_1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'AMP7-8'!$L$9:$L$136</c:f>
              <c:numCache>
                <c:formatCode>General</c:formatCode>
                <c:ptCount val="128"/>
                <c:pt idx="0">
                  <c:v>155.98699999999999</c:v>
                </c:pt>
                <c:pt idx="1">
                  <c:v>156.06399999999999</c:v>
                </c:pt>
                <c:pt idx="2">
                  <c:v>156.06800000000001</c:v>
                </c:pt>
                <c:pt idx="3">
                  <c:v>156.08500000000001</c:v>
                </c:pt>
                <c:pt idx="4">
                  <c:v>156.05600000000001</c:v>
                </c:pt>
                <c:pt idx="5">
                  <c:v>156.01300000000001</c:v>
                </c:pt>
                <c:pt idx="6">
                  <c:v>156.084</c:v>
                </c:pt>
                <c:pt idx="7">
                  <c:v>156.077</c:v>
                </c:pt>
                <c:pt idx="8">
                  <c:v>156.08699999999999</c:v>
                </c:pt>
                <c:pt idx="9">
                  <c:v>156.005</c:v>
                </c:pt>
                <c:pt idx="10">
                  <c:v>156.101</c:v>
                </c:pt>
                <c:pt idx="11">
                  <c:v>156.05600000000001</c:v>
                </c:pt>
                <c:pt idx="12">
                  <c:v>156.089</c:v>
                </c:pt>
                <c:pt idx="13">
                  <c:v>156.07</c:v>
                </c:pt>
                <c:pt idx="14">
                  <c:v>156.02199999999999</c:v>
                </c:pt>
                <c:pt idx="15">
                  <c:v>155.846</c:v>
                </c:pt>
                <c:pt idx="16">
                  <c:v>155.904</c:v>
                </c:pt>
                <c:pt idx="17">
                  <c:v>155.91300000000001</c:v>
                </c:pt>
                <c:pt idx="18">
                  <c:v>155.88900000000001</c:v>
                </c:pt>
                <c:pt idx="19">
                  <c:v>155.899</c:v>
                </c:pt>
                <c:pt idx="20">
                  <c:v>155.97200000000001</c:v>
                </c:pt>
                <c:pt idx="21">
                  <c:v>155.90700000000001</c:v>
                </c:pt>
                <c:pt idx="22">
                  <c:v>156.00299999999999</c:v>
                </c:pt>
                <c:pt idx="23">
                  <c:v>155.94</c:v>
                </c:pt>
                <c:pt idx="24">
                  <c:v>155.99799999999999</c:v>
                </c:pt>
                <c:pt idx="25">
                  <c:v>155.98699999999999</c:v>
                </c:pt>
                <c:pt idx="26">
                  <c:v>155.99199999999999</c:v>
                </c:pt>
                <c:pt idx="27">
                  <c:v>156.001</c:v>
                </c:pt>
                <c:pt idx="28">
                  <c:v>156.02000000000001</c:v>
                </c:pt>
                <c:pt idx="29">
                  <c:v>155.98699999999999</c:v>
                </c:pt>
                <c:pt idx="30">
                  <c:v>155.99100000000001</c:v>
                </c:pt>
                <c:pt idx="31">
                  <c:v>155.959</c:v>
                </c:pt>
                <c:pt idx="32">
                  <c:v>156</c:v>
                </c:pt>
                <c:pt idx="33">
                  <c:v>155.947</c:v>
                </c:pt>
                <c:pt idx="34">
                  <c:v>156.065</c:v>
                </c:pt>
                <c:pt idx="35">
                  <c:v>156.06100000000001</c:v>
                </c:pt>
                <c:pt idx="36">
                  <c:v>156.011</c:v>
                </c:pt>
                <c:pt idx="37">
                  <c:v>156.047</c:v>
                </c:pt>
                <c:pt idx="38">
                  <c:v>156.10499999999999</c:v>
                </c:pt>
                <c:pt idx="39">
                  <c:v>156.095</c:v>
                </c:pt>
                <c:pt idx="40">
                  <c:v>156.142</c:v>
                </c:pt>
                <c:pt idx="41">
                  <c:v>156.084</c:v>
                </c:pt>
                <c:pt idx="42">
                  <c:v>156.119</c:v>
                </c:pt>
                <c:pt idx="43">
                  <c:v>156.06100000000001</c:v>
                </c:pt>
                <c:pt idx="44">
                  <c:v>156.16499999999999</c:v>
                </c:pt>
                <c:pt idx="45">
                  <c:v>156.05000000000001</c:v>
                </c:pt>
                <c:pt idx="46">
                  <c:v>156.143</c:v>
                </c:pt>
                <c:pt idx="47">
                  <c:v>156.11000000000001</c:v>
                </c:pt>
                <c:pt idx="48">
                  <c:v>156.14599999999999</c:v>
                </c:pt>
                <c:pt idx="49">
                  <c:v>156.078</c:v>
                </c:pt>
                <c:pt idx="50">
                  <c:v>156.143</c:v>
                </c:pt>
                <c:pt idx="51">
                  <c:v>156.125</c:v>
                </c:pt>
                <c:pt idx="52">
                  <c:v>156.18100000000001</c:v>
                </c:pt>
                <c:pt idx="53">
                  <c:v>156.11099999999999</c:v>
                </c:pt>
                <c:pt idx="54">
                  <c:v>155.916</c:v>
                </c:pt>
                <c:pt idx="55">
                  <c:v>155.88900000000001</c:v>
                </c:pt>
                <c:pt idx="56">
                  <c:v>155.91399999999999</c:v>
                </c:pt>
                <c:pt idx="57">
                  <c:v>155.881</c:v>
                </c:pt>
                <c:pt idx="58">
                  <c:v>155.899</c:v>
                </c:pt>
                <c:pt idx="59">
                  <c:v>155.85900000000001</c:v>
                </c:pt>
                <c:pt idx="60">
                  <c:v>155.971</c:v>
                </c:pt>
                <c:pt idx="61">
                  <c:v>155.96799999999999</c:v>
                </c:pt>
                <c:pt idx="62">
                  <c:v>155.94499999999999</c:v>
                </c:pt>
                <c:pt idx="63">
                  <c:v>155.90600000000001</c:v>
                </c:pt>
                <c:pt idx="64">
                  <c:v>155.98599999999999</c:v>
                </c:pt>
                <c:pt idx="65">
                  <c:v>155.92099999999999</c:v>
                </c:pt>
                <c:pt idx="66">
                  <c:v>155.934</c:v>
                </c:pt>
                <c:pt idx="67">
                  <c:v>155.65299999999999</c:v>
                </c:pt>
                <c:pt idx="68">
                  <c:v>155.928</c:v>
                </c:pt>
                <c:pt idx="69">
                  <c:v>155.64400000000001</c:v>
                </c:pt>
                <c:pt idx="70">
                  <c:v>155.94399999999999</c:v>
                </c:pt>
                <c:pt idx="71">
                  <c:v>155.684</c:v>
                </c:pt>
                <c:pt idx="72">
                  <c:v>155.96700000000001</c:v>
                </c:pt>
                <c:pt idx="73">
                  <c:v>155.70599999999999</c:v>
                </c:pt>
                <c:pt idx="74">
                  <c:v>155.917</c:v>
                </c:pt>
                <c:pt idx="75">
                  <c:v>155.66999999999999</c:v>
                </c:pt>
                <c:pt idx="76">
                  <c:v>155.92699999999999</c:v>
                </c:pt>
                <c:pt idx="77">
                  <c:v>155.92699999999999</c:v>
                </c:pt>
                <c:pt idx="78">
                  <c:v>155.982</c:v>
                </c:pt>
                <c:pt idx="79">
                  <c:v>155.95599999999999</c:v>
                </c:pt>
                <c:pt idx="80">
                  <c:v>155.96799999999999</c:v>
                </c:pt>
                <c:pt idx="81">
                  <c:v>155.928</c:v>
                </c:pt>
                <c:pt idx="82">
                  <c:v>155.928</c:v>
                </c:pt>
                <c:pt idx="83">
                  <c:v>155.93299999999999</c:v>
                </c:pt>
                <c:pt idx="84">
                  <c:v>155.977</c:v>
                </c:pt>
                <c:pt idx="85">
                  <c:v>155.98500000000001</c:v>
                </c:pt>
                <c:pt idx="86">
                  <c:v>156.08799999999999</c:v>
                </c:pt>
                <c:pt idx="87">
                  <c:v>156.089</c:v>
                </c:pt>
                <c:pt idx="88">
                  <c:v>156.03700000000001</c:v>
                </c:pt>
                <c:pt idx="89">
                  <c:v>156.04499999999999</c:v>
                </c:pt>
                <c:pt idx="90">
                  <c:v>156.04</c:v>
                </c:pt>
                <c:pt idx="91">
                  <c:v>156.072</c:v>
                </c:pt>
                <c:pt idx="92">
                  <c:v>156.077</c:v>
                </c:pt>
                <c:pt idx="93">
                  <c:v>156.10599999999999</c:v>
                </c:pt>
                <c:pt idx="94">
                  <c:v>156.12</c:v>
                </c:pt>
                <c:pt idx="95">
                  <c:v>156.12700000000001</c:v>
                </c:pt>
                <c:pt idx="96">
                  <c:v>155.80799999999999</c:v>
                </c:pt>
                <c:pt idx="97">
                  <c:v>155.80500000000001</c:v>
                </c:pt>
                <c:pt idx="98">
                  <c:v>155.76300000000001</c:v>
                </c:pt>
                <c:pt idx="99">
                  <c:v>155.80500000000001</c:v>
                </c:pt>
                <c:pt idx="100">
                  <c:v>155.81399999999999</c:v>
                </c:pt>
                <c:pt idx="101">
                  <c:v>155.86600000000001</c:v>
                </c:pt>
                <c:pt idx="102">
                  <c:v>155.852</c:v>
                </c:pt>
                <c:pt idx="103">
                  <c:v>155.864</c:v>
                </c:pt>
                <c:pt idx="104">
                  <c:v>155.89099999999999</c:v>
                </c:pt>
                <c:pt idx="105">
                  <c:v>155.91499999999999</c:v>
                </c:pt>
                <c:pt idx="106">
                  <c:v>155.83500000000001</c:v>
                </c:pt>
                <c:pt idx="107">
                  <c:v>155.852</c:v>
                </c:pt>
                <c:pt idx="108">
                  <c:v>155.893</c:v>
                </c:pt>
                <c:pt idx="109">
                  <c:v>155.98099999999999</c:v>
                </c:pt>
                <c:pt idx="110">
                  <c:v>155.90799999999999</c:v>
                </c:pt>
                <c:pt idx="111">
                  <c:v>155.87299999999999</c:v>
                </c:pt>
                <c:pt idx="112">
                  <c:v>155.911</c:v>
                </c:pt>
                <c:pt idx="113">
                  <c:v>155.86600000000001</c:v>
                </c:pt>
                <c:pt idx="114">
                  <c:v>155.91200000000001</c:v>
                </c:pt>
                <c:pt idx="115">
                  <c:v>155.90799999999999</c:v>
                </c:pt>
                <c:pt idx="116">
                  <c:v>155.983</c:v>
                </c:pt>
                <c:pt idx="117">
                  <c:v>155.97900000000001</c:v>
                </c:pt>
                <c:pt idx="118">
                  <c:v>155.94800000000001</c:v>
                </c:pt>
                <c:pt idx="119">
                  <c:v>155.94200000000001</c:v>
                </c:pt>
                <c:pt idx="120">
                  <c:v>156.05699999999999</c:v>
                </c:pt>
                <c:pt idx="121">
                  <c:v>156.036</c:v>
                </c:pt>
                <c:pt idx="122">
                  <c:v>156.08199999999999</c:v>
                </c:pt>
                <c:pt idx="123">
                  <c:v>156.07599999999999</c:v>
                </c:pt>
                <c:pt idx="124">
                  <c:v>156.04300000000001</c:v>
                </c:pt>
                <c:pt idx="125">
                  <c:v>156.01900000000001</c:v>
                </c:pt>
                <c:pt idx="126">
                  <c:v>155.97499999999999</c:v>
                </c:pt>
                <c:pt idx="127">
                  <c:v>155.97800000000001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10-4667-9069-CD9A757184B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('AMP7-8'!$L$4,'AMP7-8'!$L$4)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10-4667-9069-CD9A757184B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('AMP7-8'!$L$5,'AMP7-8'!$L$5)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10-4667-9069-CD9A7571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06896"/>
        <c:axId val="598707288"/>
      </c:scatterChart>
      <c:valAx>
        <c:axId val="59870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7288"/>
        <c:crosses val="autoZero"/>
        <c:crossBetween val="midCat"/>
      </c:valAx>
      <c:valAx>
        <c:axId val="59870728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4_2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'AMP7-8'!$M$8</c:f>
              <c:strCache>
                <c:ptCount val="1"/>
                <c:pt idx="0">
                  <c:v>Dim 4_2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'AMP7-8'!$M$9:$M$136</c:f>
              <c:numCache>
                <c:formatCode>General</c:formatCode>
                <c:ptCount val="128"/>
                <c:pt idx="0">
                  <c:v>155.91999999999999</c:v>
                </c:pt>
                <c:pt idx="1">
                  <c:v>155.73400000000001</c:v>
                </c:pt>
                <c:pt idx="2">
                  <c:v>155.95099999999999</c:v>
                </c:pt>
                <c:pt idx="3">
                  <c:v>155.75899999999999</c:v>
                </c:pt>
                <c:pt idx="4">
                  <c:v>155.934</c:v>
                </c:pt>
                <c:pt idx="5">
                  <c:v>155.69499999999999</c:v>
                </c:pt>
                <c:pt idx="6">
                  <c:v>155.97800000000001</c:v>
                </c:pt>
                <c:pt idx="7">
                  <c:v>155.761</c:v>
                </c:pt>
                <c:pt idx="8">
                  <c:v>155.96</c:v>
                </c:pt>
                <c:pt idx="9">
                  <c:v>155.75700000000001</c:v>
                </c:pt>
                <c:pt idx="10">
                  <c:v>156.01499999999999</c:v>
                </c:pt>
                <c:pt idx="11">
                  <c:v>155.745</c:v>
                </c:pt>
                <c:pt idx="12">
                  <c:v>155.90100000000001</c:v>
                </c:pt>
                <c:pt idx="13">
                  <c:v>155.77000000000001</c:v>
                </c:pt>
                <c:pt idx="14">
                  <c:v>155.864</c:v>
                </c:pt>
                <c:pt idx="15">
                  <c:v>155.48099999999999</c:v>
                </c:pt>
                <c:pt idx="16">
                  <c:v>155.84800000000001</c:v>
                </c:pt>
                <c:pt idx="17">
                  <c:v>155.55000000000001</c:v>
                </c:pt>
                <c:pt idx="18">
                  <c:v>155.827</c:v>
                </c:pt>
                <c:pt idx="19">
                  <c:v>155.56700000000001</c:v>
                </c:pt>
                <c:pt idx="20">
                  <c:v>155.916</c:v>
                </c:pt>
                <c:pt idx="21">
                  <c:v>155.57900000000001</c:v>
                </c:pt>
                <c:pt idx="22">
                  <c:v>155.999</c:v>
                </c:pt>
                <c:pt idx="23">
                  <c:v>155.6</c:v>
                </c:pt>
                <c:pt idx="24">
                  <c:v>155.93299999999999</c:v>
                </c:pt>
                <c:pt idx="25">
                  <c:v>155.65899999999999</c:v>
                </c:pt>
                <c:pt idx="26">
                  <c:v>155.93100000000001</c:v>
                </c:pt>
                <c:pt idx="27">
                  <c:v>155.672</c:v>
                </c:pt>
                <c:pt idx="28">
                  <c:v>155.97</c:v>
                </c:pt>
                <c:pt idx="29">
                  <c:v>155.661</c:v>
                </c:pt>
                <c:pt idx="30">
                  <c:v>155.88900000000001</c:v>
                </c:pt>
                <c:pt idx="31">
                  <c:v>155.66</c:v>
                </c:pt>
                <c:pt idx="32">
                  <c:v>155.946</c:v>
                </c:pt>
                <c:pt idx="33">
                  <c:v>155.61600000000001</c:v>
                </c:pt>
                <c:pt idx="34">
                  <c:v>155.98400000000001</c:v>
                </c:pt>
                <c:pt idx="35">
                  <c:v>155.73500000000001</c:v>
                </c:pt>
                <c:pt idx="36">
                  <c:v>155.93299999999999</c:v>
                </c:pt>
                <c:pt idx="37">
                  <c:v>155.727</c:v>
                </c:pt>
                <c:pt idx="38">
                  <c:v>156.02600000000001</c:v>
                </c:pt>
                <c:pt idx="39">
                  <c:v>155.77099999999999</c:v>
                </c:pt>
                <c:pt idx="40">
                  <c:v>156.04300000000001</c:v>
                </c:pt>
                <c:pt idx="41">
                  <c:v>155.768</c:v>
                </c:pt>
                <c:pt idx="42">
                  <c:v>155.995</c:v>
                </c:pt>
                <c:pt idx="43">
                  <c:v>155.76300000000001</c:v>
                </c:pt>
                <c:pt idx="44">
                  <c:v>156.059</c:v>
                </c:pt>
                <c:pt idx="45">
                  <c:v>155.738</c:v>
                </c:pt>
                <c:pt idx="46">
                  <c:v>156.018</c:v>
                </c:pt>
                <c:pt idx="47">
                  <c:v>155.79</c:v>
                </c:pt>
                <c:pt idx="48">
                  <c:v>155.982</c:v>
                </c:pt>
                <c:pt idx="49">
                  <c:v>155.745</c:v>
                </c:pt>
                <c:pt idx="50">
                  <c:v>156.00800000000001</c:v>
                </c:pt>
                <c:pt idx="51">
                  <c:v>155.82900000000001</c:v>
                </c:pt>
                <c:pt idx="52">
                  <c:v>155.91399999999999</c:v>
                </c:pt>
                <c:pt idx="53">
                  <c:v>155.892</c:v>
                </c:pt>
                <c:pt idx="54">
                  <c:v>155.81200000000001</c:v>
                </c:pt>
                <c:pt idx="55">
                  <c:v>155.584</c:v>
                </c:pt>
                <c:pt idx="56">
                  <c:v>155.756</c:v>
                </c:pt>
                <c:pt idx="57">
                  <c:v>155.614</c:v>
                </c:pt>
                <c:pt idx="58">
                  <c:v>155.732</c:v>
                </c:pt>
                <c:pt idx="59">
                  <c:v>155.61199999999999</c:v>
                </c:pt>
                <c:pt idx="60">
                  <c:v>155.79400000000001</c:v>
                </c:pt>
                <c:pt idx="61">
                  <c:v>155.69</c:v>
                </c:pt>
                <c:pt idx="62">
                  <c:v>155.73699999999999</c:v>
                </c:pt>
                <c:pt idx="63">
                  <c:v>155.62799999999999</c:v>
                </c:pt>
                <c:pt idx="64">
                  <c:v>155.81299999999999</c:v>
                </c:pt>
                <c:pt idx="65">
                  <c:v>155.637</c:v>
                </c:pt>
                <c:pt idx="66">
                  <c:v>155.81</c:v>
                </c:pt>
                <c:pt idx="67">
                  <c:v>155.434</c:v>
                </c:pt>
                <c:pt idx="68">
                  <c:v>155.80199999999999</c:v>
                </c:pt>
                <c:pt idx="69">
                  <c:v>155.417</c:v>
                </c:pt>
                <c:pt idx="70">
                  <c:v>155.84200000000001</c:v>
                </c:pt>
                <c:pt idx="71">
                  <c:v>155.428</c:v>
                </c:pt>
                <c:pt idx="72">
                  <c:v>155.744</c:v>
                </c:pt>
                <c:pt idx="73">
                  <c:v>155.583</c:v>
                </c:pt>
                <c:pt idx="74">
                  <c:v>155.79400000000001</c:v>
                </c:pt>
                <c:pt idx="75">
                  <c:v>155.434</c:v>
                </c:pt>
                <c:pt idx="76">
                  <c:v>155.68</c:v>
                </c:pt>
                <c:pt idx="77">
                  <c:v>155.744</c:v>
                </c:pt>
                <c:pt idx="78">
                  <c:v>155.732</c:v>
                </c:pt>
                <c:pt idx="79">
                  <c:v>155.76400000000001</c:v>
                </c:pt>
                <c:pt idx="80">
                  <c:v>155.684</c:v>
                </c:pt>
                <c:pt idx="81">
                  <c:v>155.74700000000001</c:v>
                </c:pt>
                <c:pt idx="82">
                  <c:v>155.696</c:v>
                </c:pt>
                <c:pt idx="83">
                  <c:v>155.76499999999999</c:v>
                </c:pt>
                <c:pt idx="84">
                  <c:v>155.673</c:v>
                </c:pt>
                <c:pt idx="85">
                  <c:v>155.804</c:v>
                </c:pt>
                <c:pt idx="86">
                  <c:v>155.81100000000001</c:v>
                </c:pt>
                <c:pt idx="87">
                  <c:v>155.89400000000001</c:v>
                </c:pt>
                <c:pt idx="88">
                  <c:v>155.78399999999999</c:v>
                </c:pt>
                <c:pt idx="89">
                  <c:v>155.845</c:v>
                </c:pt>
                <c:pt idx="90">
                  <c:v>155.75200000000001</c:v>
                </c:pt>
                <c:pt idx="91">
                  <c:v>155.864</c:v>
                </c:pt>
                <c:pt idx="92">
                  <c:v>155.78200000000001</c:v>
                </c:pt>
                <c:pt idx="93">
                  <c:v>155.90899999999999</c:v>
                </c:pt>
                <c:pt idx="94">
                  <c:v>155.84100000000001</c:v>
                </c:pt>
                <c:pt idx="95">
                  <c:v>155.93899999999999</c:v>
                </c:pt>
                <c:pt idx="96">
                  <c:v>155.626</c:v>
                </c:pt>
                <c:pt idx="97">
                  <c:v>155.50299999999999</c:v>
                </c:pt>
                <c:pt idx="98">
                  <c:v>155.70599999999999</c:v>
                </c:pt>
                <c:pt idx="99">
                  <c:v>155.49299999999999</c:v>
                </c:pt>
                <c:pt idx="100">
                  <c:v>155.643</c:v>
                </c:pt>
                <c:pt idx="101">
                  <c:v>155.55099999999999</c:v>
                </c:pt>
                <c:pt idx="102">
                  <c:v>155.68600000000001</c:v>
                </c:pt>
                <c:pt idx="103">
                  <c:v>155.59399999999999</c:v>
                </c:pt>
                <c:pt idx="104">
                  <c:v>155.72499999999999</c:v>
                </c:pt>
                <c:pt idx="105">
                  <c:v>155.63499999999999</c:v>
                </c:pt>
                <c:pt idx="106">
                  <c:v>155.755</c:v>
                </c:pt>
                <c:pt idx="107">
                  <c:v>155.554</c:v>
                </c:pt>
                <c:pt idx="108">
                  <c:v>155.76599999999999</c:v>
                </c:pt>
                <c:pt idx="109">
                  <c:v>155.70500000000001</c:v>
                </c:pt>
                <c:pt idx="110">
                  <c:v>155.79400000000001</c:v>
                </c:pt>
                <c:pt idx="111">
                  <c:v>155.64099999999999</c:v>
                </c:pt>
                <c:pt idx="112">
                  <c:v>155.78</c:v>
                </c:pt>
                <c:pt idx="113">
                  <c:v>155.595</c:v>
                </c:pt>
                <c:pt idx="114">
                  <c:v>155.732</c:v>
                </c:pt>
                <c:pt idx="115">
                  <c:v>155.62</c:v>
                </c:pt>
                <c:pt idx="116">
                  <c:v>155.83699999999999</c:v>
                </c:pt>
                <c:pt idx="117">
                  <c:v>155.69300000000001</c:v>
                </c:pt>
                <c:pt idx="118">
                  <c:v>155.79400000000001</c:v>
                </c:pt>
                <c:pt idx="119">
                  <c:v>155.66399999999999</c:v>
                </c:pt>
                <c:pt idx="120">
                  <c:v>155.87299999999999</c:v>
                </c:pt>
                <c:pt idx="121">
                  <c:v>155.78100000000001</c:v>
                </c:pt>
                <c:pt idx="122">
                  <c:v>155.965</c:v>
                </c:pt>
                <c:pt idx="123">
                  <c:v>155.84</c:v>
                </c:pt>
                <c:pt idx="124">
                  <c:v>155.809</c:v>
                </c:pt>
                <c:pt idx="125">
                  <c:v>155.739</c:v>
                </c:pt>
                <c:pt idx="126">
                  <c:v>155.74</c:v>
                </c:pt>
                <c:pt idx="127">
                  <c:v>155.71100000000001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AD-4ED0-B678-EE7F32A24D3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('AMP7-8'!$M$4,'AMP7-8'!$M$4)</c:f>
              <c:numCache>
                <c:formatCode>General</c:formatCode>
                <c:ptCount val="2"/>
                <c:pt idx="0">
                  <c:v>155.1</c:v>
                </c:pt>
                <c:pt idx="1">
                  <c:v>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AD-4ED0-B678-EE7F32A24D3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('AMP7-8'!$M$5,'AMP7-8'!$M$5)</c:f>
              <c:numCache>
                <c:formatCode>General</c:formatCode>
                <c:ptCount val="2"/>
                <c:pt idx="0">
                  <c:v>156.5</c:v>
                </c:pt>
                <c:pt idx="1">
                  <c:v>156.5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AD-4ED0-B678-EE7F32A2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08072"/>
        <c:axId val="598708464"/>
      </c:scatterChart>
      <c:valAx>
        <c:axId val="59870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8464"/>
        <c:crosses val="autoZero"/>
        <c:crossBetween val="midCat"/>
      </c:valAx>
      <c:valAx>
        <c:axId val="59870846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8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'AMP7-8'!$N$8</c:f>
              <c:strCache>
                <c:ptCount val="1"/>
                <c:pt idx="0">
                  <c:v>Dim 5_1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'AMP7-8'!$N$9:$N$136</c:f>
              <c:numCache>
                <c:formatCode>General</c:formatCode>
                <c:ptCount val="128"/>
                <c:pt idx="0">
                  <c:v>27.202000000000002</c:v>
                </c:pt>
                <c:pt idx="1">
                  <c:v>27.157</c:v>
                </c:pt>
                <c:pt idx="2">
                  <c:v>27.096</c:v>
                </c:pt>
                <c:pt idx="3">
                  <c:v>27.167999999999999</c:v>
                </c:pt>
                <c:pt idx="4">
                  <c:v>27.138999999999999</c:v>
                </c:pt>
                <c:pt idx="5">
                  <c:v>27.202000000000002</c:v>
                </c:pt>
                <c:pt idx="6">
                  <c:v>27.123000000000001</c:v>
                </c:pt>
                <c:pt idx="7">
                  <c:v>27.125</c:v>
                </c:pt>
                <c:pt idx="8">
                  <c:v>27.132000000000001</c:v>
                </c:pt>
                <c:pt idx="9">
                  <c:v>27.183</c:v>
                </c:pt>
                <c:pt idx="10">
                  <c:v>27.111000000000001</c:v>
                </c:pt>
                <c:pt idx="11">
                  <c:v>27.126999999999999</c:v>
                </c:pt>
                <c:pt idx="12">
                  <c:v>27.117999999999999</c:v>
                </c:pt>
                <c:pt idx="13">
                  <c:v>27.135999999999999</c:v>
                </c:pt>
                <c:pt idx="14">
                  <c:v>27.177</c:v>
                </c:pt>
                <c:pt idx="15">
                  <c:v>27.114999999999998</c:v>
                </c:pt>
                <c:pt idx="16">
                  <c:v>27.265999999999998</c:v>
                </c:pt>
                <c:pt idx="17">
                  <c:v>27.34</c:v>
                </c:pt>
                <c:pt idx="18">
                  <c:v>27.295999999999999</c:v>
                </c:pt>
                <c:pt idx="19">
                  <c:v>27.323</c:v>
                </c:pt>
                <c:pt idx="20">
                  <c:v>27.221</c:v>
                </c:pt>
                <c:pt idx="21">
                  <c:v>27.324000000000002</c:v>
                </c:pt>
                <c:pt idx="22">
                  <c:v>27.207999999999998</c:v>
                </c:pt>
                <c:pt idx="23">
                  <c:v>27.292000000000002</c:v>
                </c:pt>
                <c:pt idx="24">
                  <c:v>27.195</c:v>
                </c:pt>
                <c:pt idx="25">
                  <c:v>27.25</c:v>
                </c:pt>
                <c:pt idx="26">
                  <c:v>27.2</c:v>
                </c:pt>
                <c:pt idx="27">
                  <c:v>27.219000000000001</c:v>
                </c:pt>
                <c:pt idx="28">
                  <c:v>27.132000000000001</c:v>
                </c:pt>
                <c:pt idx="29">
                  <c:v>27.268000000000001</c:v>
                </c:pt>
                <c:pt idx="30">
                  <c:v>27.187000000000001</c:v>
                </c:pt>
                <c:pt idx="31">
                  <c:v>27.283000000000001</c:v>
                </c:pt>
                <c:pt idx="32">
                  <c:v>27.207999999999998</c:v>
                </c:pt>
                <c:pt idx="33">
                  <c:v>27.274999999999999</c:v>
                </c:pt>
                <c:pt idx="34">
                  <c:v>27.172000000000001</c:v>
                </c:pt>
                <c:pt idx="35">
                  <c:v>27.145</c:v>
                </c:pt>
                <c:pt idx="36">
                  <c:v>27.19</c:v>
                </c:pt>
                <c:pt idx="37">
                  <c:v>27.181000000000001</c:v>
                </c:pt>
                <c:pt idx="38">
                  <c:v>27.088000000000001</c:v>
                </c:pt>
                <c:pt idx="39">
                  <c:v>27.122</c:v>
                </c:pt>
                <c:pt idx="40">
                  <c:v>27.036999999999999</c:v>
                </c:pt>
                <c:pt idx="41">
                  <c:v>27.132999999999999</c:v>
                </c:pt>
                <c:pt idx="42">
                  <c:v>27.096</c:v>
                </c:pt>
                <c:pt idx="43">
                  <c:v>27.161999999999999</c:v>
                </c:pt>
                <c:pt idx="44">
                  <c:v>27.042999999999999</c:v>
                </c:pt>
                <c:pt idx="45">
                  <c:v>27.154</c:v>
                </c:pt>
                <c:pt idx="46">
                  <c:v>27.036999999999999</c:v>
                </c:pt>
                <c:pt idx="47">
                  <c:v>27.116</c:v>
                </c:pt>
                <c:pt idx="48">
                  <c:v>27.05</c:v>
                </c:pt>
                <c:pt idx="49">
                  <c:v>27.140999999999998</c:v>
                </c:pt>
                <c:pt idx="50">
                  <c:v>27.048999999999999</c:v>
                </c:pt>
                <c:pt idx="51">
                  <c:v>27.105</c:v>
                </c:pt>
                <c:pt idx="52">
                  <c:v>27.018999999999998</c:v>
                </c:pt>
                <c:pt idx="53">
                  <c:v>27.117000000000001</c:v>
                </c:pt>
                <c:pt idx="54">
                  <c:v>27.251999999999999</c:v>
                </c:pt>
                <c:pt idx="55">
                  <c:v>27.35</c:v>
                </c:pt>
                <c:pt idx="56">
                  <c:v>27.276</c:v>
                </c:pt>
                <c:pt idx="57">
                  <c:v>27.344000000000001</c:v>
                </c:pt>
                <c:pt idx="58">
                  <c:v>27.295999999999999</c:v>
                </c:pt>
                <c:pt idx="59">
                  <c:v>27.353999999999999</c:v>
                </c:pt>
                <c:pt idx="60">
                  <c:v>27.251999999999999</c:v>
                </c:pt>
                <c:pt idx="61">
                  <c:v>27.248000000000001</c:v>
                </c:pt>
                <c:pt idx="62">
                  <c:v>27.222999999999999</c:v>
                </c:pt>
                <c:pt idx="63">
                  <c:v>27.331</c:v>
                </c:pt>
                <c:pt idx="64">
                  <c:v>27.183</c:v>
                </c:pt>
                <c:pt idx="65">
                  <c:v>27.294</c:v>
                </c:pt>
                <c:pt idx="66">
                  <c:v>27.251000000000001</c:v>
                </c:pt>
                <c:pt idx="67">
                  <c:v>27.548999999999999</c:v>
                </c:pt>
                <c:pt idx="68">
                  <c:v>27.251000000000001</c:v>
                </c:pt>
                <c:pt idx="69">
                  <c:v>27.574999999999999</c:v>
                </c:pt>
                <c:pt idx="70">
                  <c:v>27.245999999999999</c:v>
                </c:pt>
                <c:pt idx="71">
                  <c:v>27.539000000000001</c:v>
                </c:pt>
                <c:pt idx="72">
                  <c:v>27.224</c:v>
                </c:pt>
                <c:pt idx="73">
                  <c:v>27.5</c:v>
                </c:pt>
                <c:pt idx="74">
                  <c:v>27.289000000000001</c:v>
                </c:pt>
                <c:pt idx="75">
                  <c:v>27.524000000000001</c:v>
                </c:pt>
                <c:pt idx="76">
                  <c:v>27.280999999999999</c:v>
                </c:pt>
                <c:pt idx="77">
                  <c:v>27.286999999999999</c:v>
                </c:pt>
                <c:pt idx="78">
                  <c:v>27.213000000000001</c:v>
                </c:pt>
                <c:pt idx="79">
                  <c:v>27.277000000000001</c:v>
                </c:pt>
                <c:pt idx="80">
                  <c:v>27.234000000000002</c:v>
                </c:pt>
                <c:pt idx="81">
                  <c:v>27.295000000000002</c:v>
                </c:pt>
                <c:pt idx="82">
                  <c:v>27.28</c:v>
                </c:pt>
                <c:pt idx="83">
                  <c:v>27.298999999999999</c:v>
                </c:pt>
                <c:pt idx="84">
                  <c:v>27.219000000000001</c:v>
                </c:pt>
                <c:pt idx="85">
                  <c:v>27.241</c:v>
                </c:pt>
                <c:pt idx="86">
                  <c:v>27.109000000000002</c:v>
                </c:pt>
                <c:pt idx="87">
                  <c:v>27.134</c:v>
                </c:pt>
                <c:pt idx="88">
                  <c:v>27.132999999999999</c:v>
                </c:pt>
                <c:pt idx="89">
                  <c:v>27.201000000000001</c:v>
                </c:pt>
                <c:pt idx="90">
                  <c:v>27.15</c:v>
                </c:pt>
                <c:pt idx="91">
                  <c:v>27.169</c:v>
                </c:pt>
                <c:pt idx="92">
                  <c:v>27.134</c:v>
                </c:pt>
                <c:pt idx="93">
                  <c:v>27.106000000000002</c:v>
                </c:pt>
                <c:pt idx="94">
                  <c:v>27.117999999999999</c:v>
                </c:pt>
                <c:pt idx="95">
                  <c:v>27.094000000000001</c:v>
                </c:pt>
                <c:pt idx="96">
                  <c:v>27.393000000000001</c:v>
                </c:pt>
                <c:pt idx="97">
                  <c:v>27.411000000000001</c:v>
                </c:pt>
                <c:pt idx="98">
                  <c:v>27.439</c:v>
                </c:pt>
                <c:pt idx="99">
                  <c:v>27.41</c:v>
                </c:pt>
                <c:pt idx="100">
                  <c:v>27.388000000000002</c:v>
                </c:pt>
                <c:pt idx="101">
                  <c:v>27.358000000000001</c:v>
                </c:pt>
                <c:pt idx="102">
                  <c:v>27.321999999999999</c:v>
                </c:pt>
                <c:pt idx="103">
                  <c:v>27.379000000000001</c:v>
                </c:pt>
                <c:pt idx="104">
                  <c:v>27.315999999999999</c:v>
                </c:pt>
                <c:pt idx="105">
                  <c:v>27.315000000000001</c:v>
                </c:pt>
                <c:pt idx="106">
                  <c:v>27.353000000000002</c:v>
                </c:pt>
                <c:pt idx="107">
                  <c:v>27.38</c:v>
                </c:pt>
                <c:pt idx="108">
                  <c:v>27.254000000000001</c:v>
                </c:pt>
                <c:pt idx="109">
                  <c:v>27.289000000000001</c:v>
                </c:pt>
                <c:pt idx="110">
                  <c:v>27.311</c:v>
                </c:pt>
                <c:pt idx="111">
                  <c:v>27.355</c:v>
                </c:pt>
                <c:pt idx="112">
                  <c:v>27.279</c:v>
                </c:pt>
                <c:pt idx="113">
                  <c:v>27.376000000000001</c:v>
                </c:pt>
                <c:pt idx="114">
                  <c:v>27.268999999999998</c:v>
                </c:pt>
                <c:pt idx="115">
                  <c:v>27.300999999999998</c:v>
                </c:pt>
                <c:pt idx="116">
                  <c:v>27.245999999999999</c:v>
                </c:pt>
                <c:pt idx="117">
                  <c:v>27.23</c:v>
                </c:pt>
                <c:pt idx="118">
                  <c:v>27.242000000000001</c:v>
                </c:pt>
                <c:pt idx="119">
                  <c:v>27.283999999999999</c:v>
                </c:pt>
                <c:pt idx="120">
                  <c:v>27.155000000000001</c:v>
                </c:pt>
                <c:pt idx="121">
                  <c:v>27.186</c:v>
                </c:pt>
                <c:pt idx="122">
                  <c:v>27.096</c:v>
                </c:pt>
                <c:pt idx="123">
                  <c:v>27.169</c:v>
                </c:pt>
                <c:pt idx="124">
                  <c:v>27.129000000000001</c:v>
                </c:pt>
                <c:pt idx="125">
                  <c:v>27.195</c:v>
                </c:pt>
                <c:pt idx="126">
                  <c:v>27.213999999999999</c:v>
                </c:pt>
                <c:pt idx="127">
                  <c:v>27.253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AB-454D-B858-7398482AE1B4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('AMP7-8'!$N$4,'AMP7-8'!$N$4)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AB-454D-B858-7398482AE1B4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('AMP7-8'!$N$5,'AMP7-8'!$N$5)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AB-454D-B858-7398482AE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09248"/>
        <c:axId val="598709640"/>
      </c:scatterChart>
      <c:valAx>
        <c:axId val="59870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9640"/>
        <c:crosses val="autoZero"/>
        <c:crossBetween val="midCat"/>
      </c:valAx>
      <c:valAx>
        <c:axId val="59870964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0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5_2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'AMP7-8'!$O$8</c:f>
              <c:strCache>
                <c:ptCount val="1"/>
                <c:pt idx="0">
                  <c:v>Dim 5_2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'AMP7-8'!$O$9:$O$136</c:f>
              <c:numCache>
                <c:formatCode>General</c:formatCode>
                <c:ptCount val="128"/>
                <c:pt idx="0">
                  <c:v>27.123000000000001</c:v>
                </c:pt>
                <c:pt idx="1">
                  <c:v>27.524999999999999</c:v>
                </c:pt>
                <c:pt idx="2">
                  <c:v>27.1</c:v>
                </c:pt>
                <c:pt idx="3">
                  <c:v>27.52</c:v>
                </c:pt>
                <c:pt idx="4">
                  <c:v>27.146999999999998</c:v>
                </c:pt>
                <c:pt idx="5">
                  <c:v>27.559000000000001</c:v>
                </c:pt>
                <c:pt idx="6">
                  <c:v>27.065000000000001</c:v>
                </c:pt>
                <c:pt idx="7">
                  <c:v>27.484000000000002</c:v>
                </c:pt>
                <c:pt idx="8">
                  <c:v>27.132999999999999</c:v>
                </c:pt>
                <c:pt idx="9">
                  <c:v>27.5</c:v>
                </c:pt>
                <c:pt idx="10">
                  <c:v>27.073</c:v>
                </c:pt>
                <c:pt idx="11">
                  <c:v>27.494</c:v>
                </c:pt>
                <c:pt idx="12">
                  <c:v>27.175999999999998</c:v>
                </c:pt>
                <c:pt idx="13">
                  <c:v>27.484000000000002</c:v>
                </c:pt>
                <c:pt idx="14">
                  <c:v>27.138999999999999</c:v>
                </c:pt>
                <c:pt idx="15">
                  <c:v>27.468</c:v>
                </c:pt>
                <c:pt idx="16">
                  <c:v>27.24</c:v>
                </c:pt>
                <c:pt idx="17">
                  <c:v>27.702000000000002</c:v>
                </c:pt>
                <c:pt idx="18">
                  <c:v>27.244</c:v>
                </c:pt>
                <c:pt idx="19">
                  <c:v>27.693000000000001</c:v>
                </c:pt>
                <c:pt idx="20">
                  <c:v>27.181000000000001</c:v>
                </c:pt>
                <c:pt idx="21">
                  <c:v>27.667999999999999</c:v>
                </c:pt>
                <c:pt idx="22">
                  <c:v>27.143000000000001</c:v>
                </c:pt>
                <c:pt idx="23">
                  <c:v>27.585999999999999</c:v>
                </c:pt>
                <c:pt idx="24">
                  <c:v>27.135000000000002</c:v>
                </c:pt>
                <c:pt idx="25">
                  <c:v>27.622</c:v>
                </c:pt>
                <c:pt idx="26">
                  <c:v>27.152000000000001</c:v>
                </c:pt>
                <c:pt idx="27">
                  <c:v>27.584</c:v>
                </c:pt>
                <c:pt idx="28">
                  <c:v>27.087</c:v>
                </c:pt>
                <c:pt idx="29">
                  <c:v>27.626000000000001</c:v>
                </c:pt>
                <c:pt idx="30">
                  <c:v>27.146000000000001</c:v>
                </c:pt>
                <c:pt idx="31">
                  <c:v>27.602</c:v>
                </c:pt>
                <c:pt idx="32">
                  <c:v>27.102</c:v>
                </c:pt>
                <c:pt idx="33">
                  <c:v>27.617999999999999</c:v>
                </c:pt>
                <c:pt idx="34">
                  <c:v>27.119</c:v>
                </c:pt>
                <c:pt idx="35">
                  <c:v>27.515000000000001</c:v>
                </c:pt>
                <c:pt idx="36">
                  <c:v>27.146999999999998</c:v>
                </c:pt>
                <c:pt idx="37">
                  <c:v>27.547000000000001</c:v>
                </c:pt>
                <c:pt idx="38">
                  <c:v>27.061</c:v>
                </c:pt>
                <c:pt idx="39">
                  <c:v>27.486999999999998</c:v>
                </c:pt>
                <c:pt idx="40">
                  <c:v>27.01</c:v>
                </c:pt>
                <c:pt idx="41">
                  <c:v>27.488</c:v>
                </c:pt>
                <c:pt idx="42">
                  <c:v>27.062000000000001</c:v>
                </c:pt>
                <c:pt idx="43">
                  <c:v>27.510999999999999</c:v>
                </c:pt>
                <c:pt idx="44">
                  <c:v>27.024000000000001</c:v>
                </c:pt>
                <c:pt idx="45">
                  <c:v>27.5</c:v>
                </c:pt>
                <c:pt idx="46">
                  <c:v>27.036999999999999</c:v>
                </c:pt>
                <c:pt idx="47">
                  <c:v>27.460999999999999</c:v>
                </c:pt>
                <c:pt idx="48">
                  <c:v>27.059000000000001</c:v>
                </c:pt>
                <c:pt idx="49">
                  <c:v>27.507000000000001</c:v>
                </c:pt>
                <c:pt idx="50">
                  <c:v>27.024000000000001</c:v>
                </c:pt>
                <c:pt idx="51">
                  <c:v>27.402000000000001</c:v>
                </c:pt>
                <c:pt idx="52">
                  <c:v>27.16</c:v>
                </c:pt>
                <c:pt idx="53">
                  <c:v>27.375</c:v>
                </c:pt>
                <c:pt idx="54">
                  <c:v>27.27</c:v>
                </c:pt>
                <c:pt idx="55">
                  <c:v>27.648</c:v>
                </c:pt>
                <c:pt idx="56">
                  <c:v>27.352</c:v>
                </c:pt>
                <c:pt idx="57">
                  <c:v>27.62</c:v>
                </c:pt>
                <c:pt idx="58">
                  <c:v>27.32</c:v>
                </c:pt>
                <c:pt idx="59">
                  <c:v>27.61</c:v>
                </c:pt>
                <c:pt idx="60">
                  <c:v>27.283000000000001</c:v>
                </c:pt>
                <c:pt idx="61">
                  <c:v>27.513999999999999</c:v>
                </c:pt>
                <c:pt idx="62">
                  <c:v>27.314</c:v>
                </c:pt>
                <c:pt idx="63">
                  <c:v>27.587</c:v>
                </c:pt>
                <c:pt idx="64">
                  <c:v>27.222999999999999</c:v>
                </c:pt>
                <c:pt idx="65">
                  <c:v>27.605</c:v>
                </c:pt>
                <c:pt idx="66">
                  <c:v>27.248999999999999</c:v>
                </c:pt>
                <c:pt idx="67">
                  <c:v>27.844999999999999</c:v>
                </c:pt>
                <c:pt idx="68">
                  <c:v>27.268000000000001</c:v>
                </c:pt>
                <c:pt idx="69">
                  <c:v>27.876999999999999</c:v>
                </c:pt>
                <c:pt idx="70">
                  <c:v>27.218</c:v>
                </c:pt>
                <c:pt idx="71">
                  <c:v>27.844000000000001</c:v>
                </c:pt>
                <c:pt idx="72">
                  <c:v>27.329000000000001</c:v>
                </c:pt>
                <c:pt idx="73">
                  <c:v>27.699000000000002</c:v>
                </c:pt>
                <c:pt idx="74">
                  <c:v>27.245000000000001</c:v>
                </c:pt>
                <c:pt idx="75">
                  <c:v>27.867000000000001</c:v>
                </c:pt>
                <c:pt idx="76">
                  <c:v>27.401</c:v>
                </c:pt>
                <c:pt idx="77">
                  <c:v>27.484000000000002</c:v>
                </c:pt>
                <c:pt idx="78">
                  <c:v>27.332000000000001</c:v>
                </c:pt>
                <c:pt idx="79">
                  <c:v>27.489000000000001</c:v>
                </c:pt>
                <c:pt idx="80">
                  <c:v>27.364999999999998</c:v>
                </c:pt>
                <c:pt idx="81">
                  <c:v>27.5</c:v>
                </c:pt>
                <c:pt idx="82">
                  <c:v>27.382999999999999</c:v>
                </c:pt>
                <c:pt idx="83">
                  <c:v>27.478999999999999</c:v>
                </c:pt>
                <c:pt idx="84">
                  <c:v>27.373999999999999</c:v>
                </c:pt>
                <c:pt idx="85">
                  <c:v>27.442</c:v>
                </c:pt>
                <c:pt idx="86">
                  <c:v>27.27</c:v>
                </c:pt>
                <c:pt idx="87">
                  <c:v>27.361000000000001</c:v>
                </c:pt>
                <c:pt idx="88">
                  <c:v>27.268000000000001</c:v>
                </c:pt>
                <c:pt idx="89">
                  <c:v>27.414999999999999</c:v>
                </c:pt>
                <c:pt idx="90">
                  <c:v>27.309000000000001</c:v>
                </c:pt>
                <c:pt idx="91">
                  <c:v>27.436</c:v>
                </c:pt>
                <c:pt idx="92">
                  <c:v>27.282</c:v>
                </c:pt>
                <c:pt idx="93">
                  <c:v>27.356000000000002</c:v>
                </c:pt>
                <c:pt idx="94">
                  <c:v>27.283999999999999</c:v>
                </c:pt>
                <c:pt idx="95">
                  <c:v>27.356999999999999</c:v>
                </c:pt>
                <c:pt idx="96">
                  <c:v>27.454000000000001</c:v>
                </c:pt>
                <c:pt idx="97">
                  <c:v>27.73</c:v>
                </c:pt>
                <c:pt idx="98">
                  <c:v>27.373999999999999</c:v>
                </c:pt>
                <c:pt idx="99">
                  <c:v>27.751000000000001</c:v>
                </c:pt>
                <c:pt idx="100">
                  <c:v>27.425999999999998</c:v>
                </c:pt>
                <c:pt idx="101">
                  <c:v>27.681999999999999</c:v>
                </c:pt>
                <c:pt idx="102">
                  <c:v>27.388000000000002</c:v>
                </c:pt>
                <c:pt idx="103">
                  <c:v>27.673999999999999</c:v>
                </c:pt>
                <c:pt idx="104">
                  <c:v>27.367000000000001</c:v>
                </c:pt>
                <c:pt idx="105">
                  <c:v>27.626999999999999</c:v>
                </c:pt>
                <c:pt idx="106">
                  <c:v>27.35</c:v>
                </c:pt>
                <c:pt idx="107">
                  <c:v>27.707000000000001</c:v>
                </c:pt>
                <c:pt idx="108">
                  <c:v>27.297000000000001</c:v>
                </c:pt>
                <c:pt idx="109">
                  <c:v>27.587</c:v>
                </c:pt>
                <c:pt idx="110">
                  <c:v>27.303000000000001</c:v>
                </c:pt>
                <c:pt idx="111">
                  <c:v>27.643999999999998</c:v>
                </c:pt>
                <c:pt idx="112">
                  <c:v>27.276</c:v>
                </c:pt>
                <c:pt idx="113">
                  <c:v>27.673999999999999</c:v>
                </c:pt>
                <c:pt idx="114">
                  <c:v>27.315999999999999</c:v>
                </c:pt>
                <c:pt idx="115">
                  <c:v>27.632000000000001</c:v>
                </c:pt>
                <c:pt idx="116">
                  <c:v>27.29</c:v>
                </c:pt>
                <c:pt idx="117">
                  <c:v>27.562999999999999</c:v>
                </c:pt>
                <c:pt idx="118">
                  <c:v>27.271999999999998</c:v>
                </c:pt>
                <c:pt idx="119">
                  <c:v>27.6</c:v>
                </c:pt>
                <c:pt idx="120">
                  <c:v>27.242999999999999</c:v>
                </c:pt>
                <c:pt idx="121">
                  <c:v>27.5</c:v>
                </c:pt>
                <c:pt idx="122">
                  <c:v>27.109000000000002</c:v>
                </c:pt>
                <c:pt idx="123">
                  <c:v>27.452000000000002</c:v>
                </c:pt>
                <c:pt idx="124">
                  <c:v>27.262</c:v>
                </c:pt>
                <c:pt idx="125">
                  <c:v>27.504999999999999</c:v>
                </c:pt>
                <c:pt idx="126">
                  <c:v>27.321000000000002</c:v>
                </c:pt>
                <c:pt idx="127">
                  <c:v>27.542000000000002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29-4FEF-AE22-6AD6702A0279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('AMP7-8'!$O$4,'AMP7-8'!$O$4)</c:f>
              <c:numCache>
                <c:formatCode>General</c:formatCode>
                <c:ptCount val="2"/>
                <c:pt idx="0">
                  <c:v>26.7</c:v>
                </c:pt>
                <c:pt idx="1">
                  <c:v>26.7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29-4FEF-AE22-6AD6702A0279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('AMP7-8'!$O$5,'AMP7-8'!$O$5)</c:f>
              <c:numCache>
                <c:formatCode>General</c:formatCode>
                <c:ptCount val="2"/>
                <c:pt idx="0">
                  <c:v>28.1</c:v>
                </c:pt>
                <c:pt idx="1">
                  <c:v>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29-4FEF-AE22-6AD6702A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0424"/>
        <c:axId val="598710816"/>
      </c:scatterChart>
      <c:valAx>
        <c:axId val="59871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0816"/>
        <c:crosses val="autoZero"/>
        <c:crossBetween val="midCat"/>
      </c:valAx>
      <c:valAx>
        <c:axId val="5987108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0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'AMP7-8'!$R$8</c:f>
              <c:strCache>
                <c:ptCount val="1"/>
                <c:pt idx="0">
                  <c:v>Dim 9_1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'AMP7-8'!$R$9:$R$136</c:f>
              <c:numCache>
                <c:formatCode>General</c:formatCode>
                <c:ptCount val="128"/>
                <c:pt idx="0">
                  <c:v>17.298999999999999</c:v>
                </c:pt>
                <c:pt idx="1">
                  <c:v>17.280999999999999</c:v>
                </c:pt>
                <c:pt idx="2">
                  <c:v>17.247</c:v>
                </c:pt>
                <c:pt idx="3">
                  <c:v>17.292000000000002</c:v>
                </c:pt>
                <c:pt idx="4">
                  <c:v>17.253</c:v>
                </c:pt>
                <c:pt idx="5">
                  <c:v>17.254000000000001</c:v>
                </c:pt>
                <c:pt idx="6">
                  <c:v>17.27</c:v>
                </c:pt>
                <c:pt idx="7">
                  <c:v>17.254000000000001</c:v>
                </c:pt>
                <c:pt idx="8">
                  <c:v>17.219000000000001</c:v>
                </c:pt>
                <c:pt idx="9">
                  <c:v>17.268000000000001</c:v>
                </c:pt>
                <c:pt idx="10">
                  <c:v>17.254999999999999</c:v>
                </c:pt>
                <c:pt idx="11">
                  <c:v>17.260000000000002</c:v>
                </c:pt>
                <c:pt idx="12">
                  <c:v>17.248000000000001</c:v>
                </c:pt>
                <c:pt idx="13">
                  <c:v>17.253</c:v>
                </c:pt>
                <c:pt idx="14">
                  <c:v>17.312000000000001</c:v>
                </c:pt>
                <c:pt idx="15">
                  <c:v>17.254999999999999</c:v>
                </c:pt>
                <c:pt idx="16">
                  <c:v>17.248000000000001</c:v>
                </c:pt>
                <c:pt idx="17">
                  <c:v>17.276</c:v>
                </c:pt>
                <c:pt idx="18">
                  <c:v>17.263000000000002</c:v>
                </c:pt>
                <c:pt idx="19">
                  <c:v>17.209</c:v>
                </c:pt>
                <c:pt idx="20">
                  <c:v>17.231000000000002</c:v>
                </c:pt>
                <c:pt idx="21">
                  <c:v>17.285</c:v>
                </c:pt>
                <c:pt idx="22">
                  <c:v>17.251000000000001</c:v>
                </c:pt>
                <c:pt idx="23">
                  <c:v>17.263999999999999</c:v>
                </c:pt>
                <c:pt idx="24">
                  <c:v>17.251000000000001</c:v>
                </c:pt>
                <c:pt idx="25">
                  <c:v>17.251000000000001</c:v>
                </c:pt>
                <c:pt idx="26">
                  <c:v>17.253</c:v>
                </c:pt>
                <c:pt idx="27">
                  <c:v>17.265999999999998</c:v>
                </c:pt>
                <c:pt idx="28">
                  <c:v>17.256</c:v>
                </c:pt>
                <c:pt idx="29">
                  <c:v>17.234000000000002</c:v>
                </c:pt>
                <c:pt idx="30">
                  <c:v>17.219000000000001</c:v>
                </c:pt>
                <c:pt idx="31">
                  <c:v>17.257000000000001</c:v>
                </c:pt>
                <c:pt idx="32">
                  <c:v>17.22</c:v>
                </c:pt>
                <c:pt idx="33">
                  <c:v>17.262</c:v>
                </c:pt>
                <c:pt idx="34">
                  <c:v>17.242000000000001</c:v>
                </c:pt>
                <c:pt idx="35">
                  <c:v>17.256</c:v>
                </c:pt>
                <c:pt idx="36">
                  <c:v>17.245000000000001</c:v>
                </c:pt>
                <c:pt idx="37">
                  <c:v>17.247</c:v>
                </c:pt>
                <c:pt idx="38">
                  <c:v>17.262</c:v>
                </c:pt>
                <c:pt idx="39">
                  <c:v>17.274000000000001</c:v>
                </c:pt>
                <c:pt idx="40">
                  <c:v>17.227</c:v>
                </c:pt>
                <c:pt idx="41">
                  <c:v>17.248999999999999</c:v>
                </c:pt>
                <c:pt idx="42">
                  <c:v>17.239000000000001</c:v>
                </c:pt>
                <c:pt idx="43">
                  <c:v>17.204000000000001</c:v>
                </c:pt>
                <c:pt idx="44">
                  <c:v>17.222999999999999</c:v>
                </c:pt>
                <c:pt idx="45">
                  <c:v>17.276</c:v>
                </c:pt>
                <c:pt idx="46">
                  <c:v>17.236000000000001</c:v>
                </c:pt>
                <c:pt idx="47">
                  <c:v>17.228999999999999</c:v>
                </c:pt>
                <c:pt idx="48">
                  <c:v>17.225999999999999</c:v>
                </c:pt>
                <c:pt idx="49">
                  <c:v>17.266999999999999</c:v>
                </c:pt>
                <c:pt idx="50">
                  <c:v>17.218</c:v>
                </c:pt>
                <c:pt idx="51">
                  <c:v>17.236999999999998</c:v>
                </c:pt>
                <c:pt idx="52">
                  <c:v>17.215</c:v>
                </c:pt>
                <c:pt idx="53">
                  <c:v>17.263000000000002</c:v>
                </c:pt>
                <c:pt idx="54">
                  <c:v>17.245000000000001</c:v>
                </c:pt>
                <c:pt idx="55">
                  <c:v>17.238</c:v>
                </c:pt>
                <c:pt idx="56">
                  <c:v>17.271999999999998</c:v>
                </c:pt>
                <c:pt idx="57">
                  <c:v>17.213999999999999</c:v>
                </c:pt>
                <c:pt idx="58">
                  <c:v>17.274999999999999</c:v>
                </c:pt>
                <c:pt idx="59">
                  <c:v>17.202000000000002</c:v>
                </c:pt>
                <c:pt idx="60">
                  <c:v>17.253</c:v>
                </c:pt>
                <c:pt idx="61">
                  <c:v>17.236000000000001</c:v>
                </c:pt>
                <c:pt idx="62">
                  <c:v>17.248000000000001</c:v>
                </c:pt>
                <c:pt idx="63">
                  <c:v>17.202999999999999</c:v>
                </c:pt>
                <c:pt idx="64">
                  <c:v>17.260000000000002</c:v>
                </c:pt>
                <c:pt idx="65">
                  <c:v>17.196000000000002</c:v>
                </c:pt>
                <c:pt idx="66">
                  <c:v>17.234999999999999</c:v>
                </c:pt>
                <c:pt idx="67">
                  <c:v>17.277999999999999</c:v>
                </c:pt>
                <c:pt idx="68">
                  <c:v>17.254000000000001</c:v>
                </c:pt>
                <c:pt idx="69">
                  <c:v>17.291</c:v>
                </c:pt>
                <c:pt idx="70">
                  <c:v>17.219000000000001</c:v>
                </c:pt>
                <c:pt idx="71">
                  <c:v>17.271999999999998</c:v>
                </c:pt>
                <c:pt idx="72">
                  <c:v>17.242000000000001</c:v>
                </c:pt>
                <c:pt idx="73">
                  <c:v>17.309999999999999</c:v>
                </c:pt>
                <c:pt idx="74">
                  <c:v>17.212</c:v>
                </c:pt>
                <c:pt idx="75">
                  <c:v>17.317</c:v>
                </c:pt>
                <c:pt idx="76">
                  <c:v>17.268999999999998</c:v>
                </c:pt>
                <c:pt idx="77">
                  <c:v>17.225999999999999</c:v>
                </c:pt>
                <c:pt idx="78">
                  <c:v>17.268000000000001</c:v>
                </c:pt>
                <c:pt idx="79">
                  <c:v>17.238</c:v>
                </c:pt>
                <c:pt idx="80">
                  <c:v>17.283000000000001</c:v>
                </c:pt>
                <c:pt idx="81">
                  <c:v>17.23</c:v>
                </c:pt>
                <c:pt idx="82">
                  <c:v>17.236000000000001</c:v>
                </c:pt>
                <c:pt idx="83">
                  <c:v>17.213999999999999</c:v>
                </c:pt>
                <c:pt idx="84">
                  <c:v>17.277000000000001</c:v>
                </c:pt>
                <c:pt idx="85">
                  <c:v>17.215</c:v>
                </c:pt>
                <c:pt idx="86">
                  <c:v>17.228999999999999</c:v>
                </c:pt>
                <c:pt idx="87">
                  <c:v>17.231000000000002</c:v>
                </c:pt>
                <c:pt idx="88">
                  <c:v>17.231999999999999</c:v>
                </c:pt>
                <c:pt idx="89">
                  <c:v>17.187000000000001</c:v>
                </c:pt>
                <c:pt idx="90">
                  <c:v>17.247</c:v>
                </c:pt>
                <c:pt idx="91">
                  <c:v>17.213000000000001</c:v>
                </c:pt>
                <c:pt idx="92">
                  <c:v>17.228000000000002</c:v>
                </c:pt>
                <c:pt idx="93">
                  <c:v>17.231000000000002</c:v>
                </c:pt>
                <c:pt idx="94">
                  <c:v>17.241</c:v>
                </c:pt>
                <c:pt idx="95">
                  <c:v>17.262</c:v>
                </c:pt>
                <c:pt idx="96">
                  <c:v>17.279</c:v>
                </c:pt>
                <c:pt idx="97">
                  <c:v>17.274999999999999</c:v>
                </c:pt>
                <c:pt idx="98">
                  <c:v>17.265999999999998</c:v>
                </c:pt>
                <c:pt idx="99">
                  <c:v>17.251999999999999</c:v>
                </c:pt>
                <c:pt idx="100">
                  <c:v>17.248000000000001</c:v>
                </c:pt>
                <c:pt idx="101">
                  <c:v>17.254000000000001</c:v>
                </c:pt>
                <c:pt idx="102">
                  <c:v>17.245000000000001</c:v>
                </c:pt>
                <c:pt idx="103">
                  <c:v>17.254999999999999</c:v>
                </c:pt>
                <c:pt idx="104">
                  <c:v>17.256</c:v>
                </c:pt>
                <c:pt idx="105">
                  <c:v>17.27</c:v>
                </c:pt>
                <c:pt idx="106">
                  <c:v>17.259</c:v>
                </c:pt>
                <c:pt idx="107">
                  <c:v>17.247</c:v>
                </c:pt>
                <c:pt idx="108">
                  <c:v>17.263000000000002</c:v>
                </c:pt>
                <c:pt idx="109">
                  <c:v>17.239999999999998</c:v>
                </c:pt>
                <c:pt idx="110">
                  <c:v>17.245999999999999</c:v>
                </c:pt>
                <c:pt idx="111">
                  <c:v>17.335000000000001</c:v>
                </c:pt>
                <c:pt idx="112">
                  <c:v>17.228999999999999</c:v>
                </c:pt>
                <c:pt idx="113">
                  <c:v>17.248999999999999</c:v>
                </c:pt>
                <c:pt idx="114">
                  <c:v>17.234000000000002</c:v>
                </c:pt>
                <c:pt idx="115">
                  <c:v>17.27</c:v>
                </c:pt>
                <c:pt idx="116">
                  <c:v>17.291</c:v>
                </c:pt>
                <c:pt idx="117">
                  <c:v>17.280999999999999</c:v>
                </c:pt>
                <c:pt idx="118">
                  <c:v>17.234999999999999</c:v>
                </c:pt>
                <c:pt idx="119">
                  <c:v>17.231000000000002</c:v>
                </c:pt>
                <c:pt idx="120">
                  <c:v>17.239000000000001</c:v>
                </c:pt>
                <c:pt idx="121">
                  <c:v>17.262</c:v>
                </c:pt>
                <c:pt idx="122">
                  <c:v>17.251000000000001</c:v>
                </c:pt>
                <c:pt idx="123">
                  <c:v>17.251999999999999</c:v>
                </c:pt>
                <c:pt idx="124">
                  <c:v>17.254000000000001</c:v>
                </c:pt>
                <c:pt idx="125">
                  <c:v>17.282</c:v>
                </c:pt>
                <c:pt idx="126">
                  <c:v>17.239999999999998</c:v>
                </c:pt>
                <c:pt idx="127">
                  <c:v>17.265999999999998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4-4A02-AD8C-52520FCF7965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('AMP7-8'!$R$4,'AMP7-8'!$R$4)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4-4A02-AD8C-52520FCF7965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('AMP7-8'!$R$5,'AMP7-8'!$R$5)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D4-4A02-AD8C-52520FCF7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1600"/>
        <c:axId val="598711992"/>
      </c:scatterChart>
      <c:valAx>
        <c:axId val="59871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1992"/>
        <c:crosses val="autoZero"/>
        <c:crossBetween val="midCat"/>
      </c:valAx>
      <c:valAx>
        <c:axId val="59871199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9_2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'AMP7-8'!$S$8</c:f>
              <c:strCache>
                <c:ptCount val="1"/>
                <c:pt idx="0">
                  <c:v>Dim 9_2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'AMP7-8'!$S$9:$S$136</c:f>
              <c:numCache>
                <c:formatCode>General</c:formatCode>
                <c:ptCount val="128"/>
                <c:pt idx="0">
                  <c:v>17.236000000000001</c:v>
                </c:pt>
                <c:pt idx="1">
                  <c:v>17.292000000000002</c:v>
                </c:pt>
                <c:pt idx="2">
                  <c:v>17.23</c:v>
                </c:pt>
                <c:pt idx="3">
                  <c:v>17.260000000000002</c:v>
                </c:pt>
                <c:pt idx="4">
                  <c:v>17.279</c:v>
                </c:pt>
                <c:pt idx="5">
                  <c:v>17.263999999999999</c:v>
                </c:pt>
                <c:pt idx="6">
                  <c:v>17.175999999999998</c:v>
                </c:pt>
                <c:pt idx="7">
                  <c:v>17.236999999999998</c:v>
                </c:pt>
                <c:pt idx="8">
                  <c:v>17.149000000000001</c:v>
                </c:pt>
                <c:pt idx="9">
                  <c:v>17.263000000000002</c:v>
                </c:pt>
                <c:pt idx="10">
                  <c:v>17.2</c:v>
                </c:pt>
                <c:pt idx="11">
                  <c:v>17.277000000000001</c:v>
                </c:pt>
                <c:pt idx="12">
                  <c:v>17.181999999999999</c:v>
                </c:pt>
                <c:pt idx="13">
                  <c:v>17.303999999999998</c:v>
                </c:pt>
                <c:pt idx="14">
                  <c:v>17.087</c:v>
                </c:pt>
                <c:pt idx="15">
                  <c:v>17.498999999999999</c:v>
                </c:pt>
                <c:pt idx="16">
                  <c:v>17.327999999999999</c:v>
                </c:pt>
                <c:pt idx="17">
                  <c:v>17.36</c:v>
                </c:pt>
                <c:pt idx="18">
                  <c:v>17.385999999999999</c:v>
                </c:pt>
                <c:pt idx="19">
                  <c:v>17.238</c:v>
                </c:pt>
                <c:pt idx="20">
                  <c:v>17.29</c:v>
                </c:pt>
                <c:pt idx="21">
                  <c:v>17.427</c:v>
                </c:pt>
                <c:pt idx="22">
                  <c:v>17.247</c:v>
                </c:pt>
                <c:pt idx="23">
                  <c:v>17.318999999999999</c:v>
                </c:pt>
                <c:pt idx="24">
                  <c:v>17.277999999999999</c:v>
                </c:pt>
                <c:pt idx="25">
                  <c:v>17.315000000000001</c:v>
                </c:pt>
                <c:pt idx="26">
                  <c:v>17.344000000000001</c:v>
                </c:pt>
                <c:pt idx="27">
                  <c:v>17.321000000000002</c:v>
                </c:pt>
                <c:pt idx="28">
                  <c:v>17.233000000000001</c:v>
                </c:pt>
                <c:pt idx="29">
                  <c:v>17.263999999999999</c:v>
                </c:pt>
                <c:pt idx="30">
                  <c:v>17.350000000000001</c:v>
                </c:pt>
                <c:pt idx="31">
                  <c:v>17.346</c:v>
                </c:pt>
                <c:pt idx="32">
                  <c:v>17.260000000000002</c:v>
                </c:pt>
                <c:pt idx="33">
                  <c:v>17.231000000000002</c:v>
                </c:pt>
                <c:pt idx="34">
                  <c:v>17.265999999999998</c:v>
                </c:pt>
                <c:pt idx="35">
                  <c:v>17.207000000000001</c:v>
                </c:pt>
                <c:pt idx="36">
                  <c:v>17.238</c:v>
                </c:pt>
                <c:pt idx="37">
                  <c:v>17.209</c:v>
                </c:pt>
                <c:pt idx="38">
                  <c:v>17.196000000000002</c:v>
                </c:pt>
                <c:pt idx="39">
                  <c:v>17.241</c:v>
                </c:pt>
                <c:pt idx="40">
                  <c:v>17.242999999999999</c:v>
                </c:pt>
                <c:pt idx="41">
                  <c:v>17.286000000000001</c:v>
                </c:pt>
                <c:pt idx="42">
                  <c:v>17.242999999999999</c:v>
                </c:pt>
                <c:pt idx="43">
                  <c:v>17.062000000000001</c:v>
                </c:pt>
                <c:pt idx="44">
                  <c:v>17.117999999999999</c:v>
                </c:pt>
                <c:pt idx="45">
                  <c:v>17.274000000000001</c:v>
                </c:pt>
                <c:pt idx="46">
                  <c:v>17.138999999999999</c:v>
                </c:pt>
                <c:pt idx="47">
                  <c:v>17.268999999999998</c:v>
                </c:pt>
                <c:pt idx="48">
                  <c:v>17.123000000000001</c:v>
                </c:pt>
                <c:pt idx="49">
                  <c:v>17.263999999999999</c:v>
                </c:pt>
                <c:pt idx="50">
                  <c:v>17.062999999999999</c:v>
                </c:pt>
                <c:pt idx="51">
                  <c:v>17.266999999999999</c:v>
                </c:pt>
                <c:pt idx="52">
                  <c:v>17.029</c:v>
                </c:pt>
                <c:pt idx="53">
                  <c:v>17.256</c:v>
                </c:pt>
                <c:pt idx="54">
                  <c:v>17.390999999999998</c:v>
                </c:pt>
                <c:pt idx="55">
                  <c:v>17.282</c:v>
                </c:pt>
                <c:pt idx="56">
                  <c:v>17.298999999999999</c:v>
                </c:pt>
                <c:pt idx="57">
                  <c:v>17.32</c:v>
                </c:pt>
                <c:pt idx="58">
                  <c:v>17.359000000000002</c:v>
                </c:pt>
                <c:pt idx="59">
                  <c:v>17.259</c:v>
                </c:pt>
                <c:pt idx="60">
                  <c:v>17.331</c:v>
                </c:pt>
                <c:pt idx="61">
                  <c:v>17.303999999999998</c:v>
                </c:pt>
                <c:pt idx="62">
                  <c:v>17.321000000000002</c:v>
                </c:pt>
                <c:pt idx="63">
                  <c:v>17.213000000000001</c:v>
                </c:pt>
                <c:pt idx="64">
                  <c:v>17.251999999999999</c:v>
                </c:pt>
                <c:pt idx="65">
                  <c:v>17.262</c:v>
                </c:pt>
                <c:pt idx="66">
                  <c:v>17.388999999999999</c:v>
                </c:pt>
                <c:pt idx="67">
                  <c:v>17.382999999999999</c:v>
                </c:pt>
                <c:pt idx="68">
                  <c:v>17.419</c:v>
                </c:pt>
                <c:pt idx="69">
                  <c:v>17.353000000000002</c:v>
                </c:pt>
                <c:pt idx="70">
                  <c:v>17.395</c:v>
                </c:pt>
                <c:pt idx="71">
                  <c:v>17.364999999999998</c:v>
                </c:pt>
                <c:pt idx="72">
                  <c:v>17.439</c:v>
                </c:pt>
                <c:pt idx="73">
                  <c:v>17.43</c:v>
                </c:pt>
                <c:pt idx="74">
                  <c:v>17.420000000000002</c:v>
                </c:pt>
                <c:pt idx="75">
                  <c:v>17.425000000000001</c:v>
                </c:pt>
                <c:pt idx="76">
                  <c:v>17.311</c:v>
                </c:pt>
                <c:pt idx="77">
                  <c:v>17.245000000000001</c:v>
                </c:pt>
                <c:pt idx="78">
                  <c:v>17.236999999999998</c:v>
                </c:pt>
                <c:pt idx="79">
                  <c:v>17.28</c:v>
                </c:pt>
                <c:pt idx="80">
                  <c:v>17.216999999999999</c:v>
                </c:pt>
                <c:pt idx="81">
                  <c:v>17.29</c:v>
                </c:pt>
                <c:pt idx="82">
                  <c:v>17.274000000000001</c:v>
                </c:pt>
                <c:pt idx="83">
                  <c:v>17.225999999999999</c:v>
                </c:pt>
                <c:pt idx="84">
                  <c:v>17.16</c:v>
                </c:pt>
                <c:pt idx="85">
                  <c:v>17.253</c:v>
                </c:pt>
                <c:pt idx="86">
                  <c:v>17.09</c:v>
                </c:pt>
                <c:pt idx="87">
                  <c:v>17.236999999999998</c:v>
                </c:pt>
                <c:pt idx="88">
                  <c:v>17.202999999999999</c:v>
                </c:pt>
                <c:pt idx="89">
                  <c:v>17.273</c:v>
                </c:pt>
                <c:pt idx="90">
                  <c:v>17.145</c:v>
                </c:pt>
                <c:pt idx="91">
                  <c:v>17.225999999999999</c:v>
                </c:pt>
                <c:pt idx="92">
                  <c:v>17.152999999999999</c:v>
                </c:pt>
                <c:pt idx="93">
                  <c:v>17.190000000000001</c:v>
                </c:pt>
                <c:pt idx="94">
                  <c:v>17.138999999999999</c:v>
                </c:pt>
                <c:pt idx="95">
                  <c:v>17.224</c:v>
                </c:pt>
                <c:pt idx="96">
                  <c:v>17.309000000000001</c:v>
                </c:pt>
                <c:pt idx="97">
                  <c:v>17.241</c:v>
                </c:pt>
                <c:pt idx="98">
                  <c:v>17.343</c:v>
                </c:pt>
                <c:pt idx="99">
                  <c:v>17.337</c:v>
                </c:pt>
                <c:pt idx="100">
                  <c:v>17.338999999999999</c:v>
                </c:pt>
                <c:pt idx="101">
                  <c:v>17.327999999999999</c:v>
                </c:pt>
                <c:pt idx="102">
                  <c:v>17.324000000000002</c:v>
                </c:pt>
                <c:pt idx="103">
                  <c:v>17.116</c:v>
                </c:pt>
                <c:pt idx="104">
                  <c:v>17.248999999999999</c:v>
                </c:pt>
                <c:pt idx="105">
                  <c:v>17.265000000000001</c:v>
                </c:pt>
                <c:pt idx="106">
                  <c:v>17.271999999999998</c:v>
                </c:pt>
                <c:pt idx="107">
                  <c:v>17.361000000000001</c:v>
                </c:pt>
                <c:pt idx="108">
                  <c:v>17.265999999999998</c:v>
                </c:pt>
                <c:pt idx="109">
                  <c:v>17.231999999999999</c:v>
                </c:pt>
                <c:pt idx="110">
                  <c:v>17.234000000000002</c:v>
                </c:pt>
                <c:pt idx="111">
                  <c:v>17.452000000000002</c:v>
                </c:pt>
                <c:pt idx="112">
                  <c:v>17.239000000000001</c:v>
                </c:pt>
                <c:pt idx="113">
                  <c:v>17.321000000000002</c:v>
                </c:pt>
                <c:pt idx="114">
                  <c:v>17.207999999999998</c:v>
                </c:pt>
                <c:pt idx="115">
                  <c:v>17.306999999999999</c:v>
                </c:pt>
                <c:pt idx="116">
                  <c:v>17.218</c:v>
                </c:pt>
                <c:pt idx="117">
                  <c:v>17.228000000000002</c:v>
                </c:pt>
                <c:pt idx="118">
                  <c:v>17.234999999999999</c:v>
                </c:pt>
                <c:pt idx="119">
                  <c:v>17.295000000000002</c:v>
                </c:pt>
                <c:pt idx="120">
                  <c:v>17.204999999999998</c:v>
                </c:pt>
                <c:pt idx="121">
                  <c:v>17.29</c:v>
                </c:pt>
                <c:pt idx="122">
                  <c:v>17.157</c:v>
                </c:pt>
                <c:pt idx="123">
                  <c:v>17.323</c:v>
                </c:pt>
                <c:pt idx="124">
                  <c:v>17.123000000000001</c:v>
                </c:pt>
                <c:pt idx="125">
                  <c:v>17.25</c:v>
                </c:pt>
                <c:pt idx="126">
                  <c:v>17.225999999999999</c:v>
                </c:pt>
                <c:pt idx="127">
                  <c:v>17.321999999999999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5B-40CC-BFF6-7E24764740CC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('AMP7-8'!$S$4,'AMP7-8'!$S$4)</c:f>
              <c:numCache>
                <c:formatCode>General</c:formatCode>
                <c:ptCount val="2"/>
                <c:pt idx="0">
                  <c:v>16.55</c:v>
                </c:pt>
                <c:pt idx="1">
                  <c:v>16.55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5B-40CC-BFF6-7E24764740CC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('AMP7-8'!$S$5,'AMP7-8'!$S$5)</c:f>
              <c:numCache>
                <c:formatCode>General</c:formatCode>
                <c:ptCount val="2"/>
                <c:pt idx="0">
                  <c:v>17.95</c:v>
                </c:pt>
                <c:pt idx="1">
                  <c:v>17.95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5B-40CC-BFF6-7E2476474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2776"/>
        <c:axId val="598713168"/>
      </c:scatterChart>
      <c:valAx>
        <c:axId val="598712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3168"/>
        <c:crosses val="autoZero"/>
        <c:crossBetween val="midCat"/>
      </c:valAx>
      <c:valAx>
        <c:axId val="59871316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'AMP7-8'!$T$8</c:f>
              <c:strCache>
                <c:ptCount val="1"/>
                <c:pt idx="0">
                  <c:v>Dim 10_1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'AMP7-8'!$T$9:$T$136</c:f>
              <c:numCache>
                <c:formatCode>General</c:formatCode>
                <c:ptCount val="128"/>
                <c:pt idx="0">
                  <c:v>32.899000000000001</c:v>
                </c:pt>
                <c:pt idx="1">
                  <c:v>38.601999999999997</c:v>
                </c:pt>
                <c:pt idx="2">
                  <c:v>33.335000000000001</c:v>
                </c:pt>
                <c:pt idx="3">
                  <c:v>35.945</c:v>
                </c:pt>
                <c:pt idx="4">
                  <c:v>32.805999999999997</c:v>
                </c:pt>
                <c:pt idx="5">
                  <c:v>38.012999999999998</c:v>
                </c:pt>
                <c:pt idx="6">
                  <c:v>32.915999999999997</c:v>
                </c:pt>
                <c:pt idx="7">
                  <c:v>36.893000000000001</c:v>
                </c:pt>
                <c:pt idx="8">
                  <c:v>32.999000000000002</c:v>
                </c:pt>
                <c:pt idx="9">
                  <c:v>38.145000000000003</c:v>
                </c:pt>
                <c:pt idx="10">
                  <c:v>32.832000000000001</c:v>
                </c:pt>
                <c:pt idx="11">
                  <c:v>37.628</c:v>
                </c:pt>
                <c:pt idx="12">
                  <c:v>32.603999999999999</c:v>
                </c:pt>
                <c:pt idx="13">
                  <c:v>39.116</c:v>
                </c:pt>
                <c:pt idx="14">
                  <c:v>32.630000000000003</c:v>
                </c:pt>
                <c:pt idx="15">
                  <c:v>36.567999999999998</c:v>
                </c:pt>
                <c:pt idx="16">
                  <c:v>33.122</c:v>
                </c:pt>
                <c:pt idx="17">
                  <c:v>36.539000000000001</c:v>
                </c:pt>
                <c:pt idx="18">
                  <c:v>33.024999999999999</c:v>
                </c:pt>
                <c:pt idx="19">
                  <c:v>37.216000000000001</c:v>
                </c:pt>
                <c:pt idx="20">
                  <c:v>32.908999999999999</c:v>
                </c:pt>
                <c:pt idx="21">
                  <c:v>38.515000000000001</c:v>
                </c:pt>
                <c:pt idx="22">
                  <c:v>32.835999999999999</c:v>
                </c:pt>
                <c:pt idx="23">
                  <c:v>37.090000000000003</c:v>
                </c:pt>
                <c:pt idx="24">
                  <c:v>32.768999999999998</c:v>
                </c:pt>
                <c:pt idx="25">
                  <c:v>40.003</c:v>
                </c:pt>
                <c:pt idx="26">
                  <c:v>32.948</c:v>
                </c:pt>
                <c:pt idx="27">
                  <c:v>37.927999999999997</c:v>
                </c:pt>
                <c:pt idx="28">
                  <c:v>32.959000000000003</c:v>
                </c:pt>
                <c:pt idx="29">
                  <c:v>37.331000000000003</c:v>
                </c:pt>
                <c:pt idx="30">
                  <c:v>32.984999999999999</c:v>
                </c:pt>
                <c:pt idx="31">
                  <c:v>38.228000000000002</c:v>
                </c:pt>
                <c:pt idx="32">
                  <c:v>32.889000000000003</c:v>
                </c:pt>
                <c:pt idx="33">
                  <c:v>37.942</c:v>
                </c:pt>
                <c:pt idx="34">
                  <c:v>32.835999999999999</c:v>
                </c:pt>
                <c:pt idx="35">
                  <c:v>37.121000000000002</c:v>
                </c:pt>
                <c:pt idx="36">
                  <c:v>32.9</c:v>
                </c:pt>
                <c:pt idx="37">
                  <c:v>39.026000000000003</c:v>
                </c:pt>
                <c:pt idx="38">
                  <c:v>32.826999999999998</c:v>
                </c:pt>
                <c:pt idx="39">
                  <c:v>39.362000000000002</c:v>
                </c:pt>
                <c:pt idx="40">
                  <c:v>32.884</c:v>
                </c:pt>
                <c:pt idx="41">
                  <c:v>36.642000000000003</c:v>
                </c:pt>
                <c:pt idx="42">
                  <c:v>32.799999999999997</c:v>
                </c:pt>
                <c:pt idx="43">
                  <c:v>39.270000000000003</c:v>
                </c:pt>
                <c:pt idx="44">
                  <c:v>32.734999999999999</c:v>
                </c:pt>
                <c:pt idx="45">
                  <c:v>37.454999999999998</c:v>
                </c:pt>
                <c:pt idx="46">
                  <c:v>32.817</c:v>
                </c:pt>
                <c:pt idx="47">
                  <c:v>37.94</c:v>
                </c:pt>
                <c:pt idx="48">
                  <c:v>32.487000000000002</c:v>
                </c:pt>
                <c:pt idx="49">
                  <c:v>38.482999999999997</c:v>
                </c:pt>
                <c:pt idx="50">
                  <c:v>32.911000000000001</c:v>
                </c:pt>
                <c:pt idx="51">
                  <c:v>38.341999999999999</c:v>
                </c:pt>
                <c:pt idx="52">
                  <c:v>33.113</c:v>
                </c:pt>
                <c:pt idx="53">
                  <c:v>37.566000000000003</c:v>
                </c:pt>
                <c:pt idx="54">
                  <c:v>32.886000000000003</c:v>
                </c:pt>
                <c:pt idx="55">
                  <c:v>37.253</c:v>
                </c:pt>
                <c:pt idx="56">
                  <c:v>32.927</c:v>
                </c:pt>
                <c:pt idx="57">
                  <c:v>37.829000000000001</c:v>
                </c:pt>
                <c:pt idx="58">
                  <c:v>32.970999999999997</c:v>
                </c:pt>
                <c:pt idx="59">
                  <c:v>37.834000000000003</c:v>
                </c:pt>
                <c:pt idx="60">
                  <c:v>32.753999999999998</c:v>
                </c:pt>
                <c:pt idx="61">
                  <c:v>37.509</c:v>
                </c:pt>
                <c:pt idx="62">
                  <c:v>32.767000000000003</c:v>
                </c:pt>
                <c:pt idx="63">
                  <c:v>39.106999999999999</c:v>
                </c:pt>
                <c:pt idx="64">
                  <c:v>32.709000000000003</c:v>
                </c:pt>
                <c:pt idx="65">
                  <c:v>39.015999999999998</c:v>
                </c:pt>
                <c:pt idx="66">
                  <c:v>33.052999999999997</c:v>
                </c:pt>
                <c:pt idx="67">
                  <c:v>37.648000000000003</c:v>
                </c:pt>
                <c:pt idx="68">
                  <c:v>33.008000000000003</c:v>
                </c:pt>
                <c:pt idx="69">
                  <c:v>37.215000000000003</c:v>
                </c:pt>
                <c:pt idx="70">
                  <c:v>33.040999999999997</c:v>
                </c:pt>
                <c:pt idx="71">
                  <c:v>38.027000000000001</c:v>
                </c:pt>
                <c:pt idx="72">
                  <c:v>33.417999999999999</c:v>
                </c:pt>
                <c:pt idx="73">
                  <c:v>38.031999999999996</c:v>
                </c:pt>
                <c:pt idx="74">
                  <c:v>33.097999999999999</c:v>
                </c:pt>
                <c:pt idx="75">
                  <c:v>40.009</c:v>
                </c:pt>
                <c:pt idx="76">
                  <c:v>32.902000000000001</c:v>
                </c:pt>
                <c:pt idx="77">
                  <c:v>37.244</c:v>
                </c:pt>
                <c:pt idx="78">
                  <c:v>32.658000000000001</c:v>
                </c:pt>
                <c:pt idx="79">
                  <c:v>39.052</c:v>
                </c:pt>
                <c:pt idx="80">
                  <c:v>32.229999999999997</c:v>
                </c:pt>
                <c:pt idx="81">
                  <c:v>38.063000000000002</c:v>
                </c:pt>
                <c:pt idx="82">
                  <c:v>32.753999999999998</c:v>
                </c:pt>
                <c:pt idx="83">
                  <c:v>38.643999999999998</c:v>
                </c:pt>
                <c:pt idx="84">
                  <c:v>32.985999999999997</c:v>
                </c:pt>
                <c:pt idx="85">
                  <c:v>39.07</c:v>
                </c:pt>
                <c:pt idx="86">
                  <c:v>32.750999999999998</c:v>
                </c:pt>
                <c:pt idx="87">
                  <c:v>36.868000000000002</c:v>
                </c:pt>
                <c:pt idx="88">
                  <c:v>32.691000000000003</c:v>
                </c:pt>
                <c:pt idx="89">
                  <c:v>37.152000000000001</c:v>
                </c:pt>
                <c:pt idx="90">
                  <c:v>32.676000000000002</c:v>
                </c:pt>
                <c:pt idx="91">
                  <c:v>37.136000000000003</c:v>
                </c:pt>
                <c:pt idx="92">
                  <c:v>32.805999999999997</c:v>
                </c:pt>
                <c:pt idx="93">
                  <c:v>37.863</c:v>
                </c:pt>
                <c:pt idx="94">
                  <c:v>32.731000000000002</c:v>
                </c:pt>
                <c:pt idx="95">
                  <c:v>37.451000000000001</c:v>
                </c:pt>
                <c:pt idx="96">
                  <c:v>32.601999999999997</c:v>
                </c:pt>
                <c:pt idx="97">
                  <c:v>37.317999999999998</c:v>
                </c:pt>
                <c:pt idx="98">
                  <c:v>33.015999999999998</c:v>
                </c:pt>
                <c:pt idx="99">
                  <c:v>39.042000000000002</c:v>
                </c:pt>
                <c:pt idx="100">
                  <c:v>32.564999999999998</c:v>
                </c:pt>
                <c:pt idx="101">
                  <c:v>38.478000000000002</c:v>
                </c:pt>
                <c:pt idx="102">
                  <c:v>33.000999999999998</c:v>
                </c:pt>
                <c:pt idx="103">
                  <c:v>38.792999999999999</c:v>
                </c:pt>
                <c:pt idx="104">
                  <c:v>32.869999999999997</c:v>
                </c:pt>
                <c:pt idx="105">
                  <c:v>36.468000000000004</c:v>
                </c:pt>
                <c:pt idx="106">
                  <c:v>32.786000000000001</c:v>
                </c:pt>
                <c:pt idx="107">
                  <c:v>39.247999999999998</c:v>
                </c:pt>
                <c:pt idx="108">
                  <c:v>33.207999999999998</c:v>
                </c:pt>
                <c:pt idx="109">
                  <c:v>37.424999999999997</c:v>
                </c:pt>
                <c:pt idx="110">
                  <c:v>33.161000000000001</c:v>
                </c:pt>
                <c:pt idx="111">
                  <c:v>39.89</c:v>
                </c:pt>
                <c:pt idx="112">
                  <c:v>32.926000000000002</c:v>
                </c:pt>
                <c:pt idx="113">
                  <c:v>36.231000000000002</c:v>
                </c:pt>
                <c:pt idx="114">
                  <c:v>32.845999999999997</c:v>
                </c:pt>
                <c:pt idx="115">
                  <c:v>37.238999999999997</c:v>
                </c:pt>
                <c:pt idx="116">
                  <c:v>32.732999999999997</c:v>
                </c:pt>
                <c:pt idx="117">
                  <c:v>39.444000000000003</c:v>
                </c:pt>
                <c:pt idx="118">
                  <c:v>32.752000000000002</c:v>
                </c:pt>
                <c:pt idx="119">
                  <c:v>39.261000000000003</c:v>
                </c:pt>
                <c:pt idx="120">
                  <c:v>32.866</c:v>
                </c:pt>
                <c:pt idx="121">
                  <c:v>37.537999999999997</c:v>
                </c:pt>
                <c:pt idx="122">
                  <c:v>32.948999999999998</c:v>
                </c:pt>
                <c:pt idx="123">
                  <c:v>38.945999999999998</c:v>
                </c:pt>
                <c:pt idx="124">
                  <c:v>32.787999999999997</c:v>
                </c:pt>
                <c:pt idx="125">
                  <c:v>38.113</c:v>
                </c:pt>
                <c:pt idx="126">
                  <c:v>32.761000000000003</c:v>
                </c:pt>
                <c:pt idx="127">
                  <c:v>38.459000000000003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9-4855-8FCE-E026124733A1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('AMP7-8'!$T$4,'AMP7-8'!$T$4)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79-4855-8FCE-E026124733A1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('AMP7-8'!$T$5,'AMP7-8'!$T$5)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79-4855-8FCE-E0261247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3952"/>
        <c:axId val="598714344"/>
      </c:scatterChart>
      <c:valAx>
        <c:axId val="59871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4344"/>
        <c:crosses val="autoZero"/>
        <c:crossBetween val="midCat"/>
      </c:valAx>
      <c:valAx>
        <c:axId val="598714344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10_2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'AMP7-8'!$U$8</c:f>
              <c:strCache>
                <c:ptCount val="1"/>
                <c:pt idx="0">
                  <c:v>Dim 10_2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'AMP7-8'!$U$9:$U$136</c:f>
              <c:numCache>
                <c:formatCode>General</c:formatCode>
                <c:ptCount val="128"/>
                <c:pt idx="0">
                  <c:v>33.865000000000002</c:v>
                </c:pt>
                <c:pt idx="1">
                  <c:v>40.183999999999997</c:v>
                </c:pt>
                <c:pt idx="2">
                  <c:v>33.466999999999999</c:v>
                </c:pt>
                <c:pt idx="3">
                  <c:v>36.924999999999997</c:v>
                </c:pt>
                <c:pt idx="4">
                  <c:v>33.875</c:v>
                </c:pt>
                <c:pt idx="5">
                  <c:v>38.676000000000002</c:v>
                </c:pt>
                <c:pt idx="6">
                  <c:v>33.712000000000003</c:v>
                </c:pt>
                <c:pt idx="7">
                  <c:v>39.307000000000002</c:v>
                </c:pt>
                <c:pt idx="8">
                  <c:v>33.686999999999998</c:v>
                </c:pt>
                <c:pt idx="9">
                  <c:v>38.921999999999997</c:v>
                </c:pt>
                <c:pt idx="10">
                  <c:v>33.963000000000001</c:v>
                </c:pt>
                <c:pt idx="11">
                  <c:v>37.68</c:v>
                </c:pt>
                <c:pt idx="12">
                  <c:v>34.046999999999997</c:v>
                </c:pt>
                <c:pt idx="13">
                  <c:v>39.994999999999997</c:v>
                </c:pt>
                <c:pt idx="14">
                  <c:v>34.003999999999998</c:v>
                </c:pt>
                <c:pt idx="15">
                  <c:v>40.590000000000003</c:v>
                </c:pt>
                <c:pt idx="16">
                  <c:v>33.993000000000002</c:v>
                </c:pt>
                <c:pt idx="17">
                  <c:v>37.030999999999999</c:v>
                </c:pt>
                <c:pt idx="18">
                  <c:v>33.887999999999998</c:v>
                </c:pt>
                <c:pt idx="19">
                  <c:v>36.892000000000003</c:v>
                </c:pt>
                <c:pt idx="20">
                  <c:v>33.927</c:v>
                </c:pt>
                <c:pt idx="21">
                  <c:v>37.555</c:v>
                </c:pt>
                <c:pt idx="22">
                  <c:v>33.909999999999997</c:v>
                </c:pt>
                <c:pt idx="23">
                  <c:v>35.607999999999997</c:v>
                </c:pt>
                <c:pt idx="24">
                  <c:v>33.856000000000002</c:v>
                </c:pt>
                <c:pt idx="25">
                  <c:v>39.741999999999997</c:v>
                </c:pt>
                <c:pt idx="26">
                  <c:v>33.945</c:v>
                </c:pt>
                <c:pt idx="27">
                  <c:v>36.953000000000003</c:v>
                </c:pt>
                <c:pt idx="28">
                  <c:v>34.026000000000003</c:v>
                </c:pt>
                <c:pt idx="29">
                  <c:v>38.229999999999997</c:v>
                </c:pt>
                <c:pt idx="30">
                  <c:v>33.826999999999998</c:v>
                </c:pt>
                <c:pt idx="31">
                  <c:v>38.844000000000001</c:v>
                </c:pt>
                <c:pt idx="32">
                  <c:v>33.942999999999998</c:v>
                </c:pt>
                <c:pt idx="33">
                  <c:v>38.792999999999999</c:v>
                </c:pt>
                <c:pt idx="34">
                  <c:v>33.814</c:v>
                </c:pt>
                <c:pt idx="35">
                  <c:v>36.834000000000003</c:v>
                </c:pt>
                <c:pt idx="36">
                  <c:v>34.048000000000002</c:v>
                </c:pt>
                <c:pt idx="37">
                  <c:v>38.686999999999998</c:v>
                </c:pt>
                <c:pt idx="38">
                  <c:v>33.970999999999997</c:v>
                </c:pt>
                <c:pt idx="39">
                  <c:v>39.817</c:v>
                </c:pt>
                <c:pt idx="40">
                  <c:v>33.875999999999998</c:v>
                </c:pt>
                <c:pt idx="41">
                  <c:v>37.353000000000002</c:v>
                </c:pt>
                <c:pt idx="42">
                  <c:v>33.878999999999998</c:v>
                </c:pt>
                <c:pt idx="43">
                  <c:v>39.505000000000003</c:v>
                </c:pt>
                <c:pt idx="44">
                  <c:v>33.874000000000002</c:v>
                </c:pt>
                <c:pt idx="45">
                  <c:v>36.360999999999997</c:v>
                </c:pt>
                <c:pt idx="46">
                  <c:v>33.96</c:v>
                </c:pt>
                <c:pt idx="47">
                  <c:v>37.709000000000003</c:v>
                </c:pt>
                <c:pt idx="48">
                  <c:v>34.186999999999998</c:v>
                </c:pt>
                <c:pt idx="49">
                  <c:v>39.447000000000003</c:v>
                </c:pt>
                <c:pt idx="50">
                  <c:v>33.850999999999999</c:v>
                </c:pt>
                <c:pt idx="51">
                  <c:v>39.091999999999999</c:v>
                </c:pt>
                <c:pt idx="52">
                  <c:v>33.804000000000002</c:v>
                </c:pt>
                <c:pt idx="53">
                  <c:v>37.69</c:v>
                </c:pt>
                <c:pt idx="54">
                  <c:v>33.902000000000001</c:v>
                </c:pt>
                <c:pt idx="55">
                  <c:v>37.462000000000003</c:v>
                </c:pt>
                <c:pt idx="56">
                  <c:v>33.859000000000002</c:v>
                </c:pt>
                <c:pt idx="57">
                  <c:v>37.561999999999998</c:v>
                </c:pt>
                <c:pt idx="58">
                  <c:v>33.716999999999999</c:v>
                </c:pt>
                <c:pt idx="59">
                  <c:v>36.948</c:v>
                </c:pt>
                <c:pt idx="60">
                  <c:v>33.904000000000003</c:v>
                </c:pt>
                <c:pt idx="61">
                  <c:v>38.018000000000001</c:v>
                </c:pt>
                <c:pt idx="62">
                  <c:v>33.709000000000003</c:v>
                </c:pt>
                <c:pt idx="63">
                  <c:v>39.094000000000001</c:v>
                </c:pt>
                <c:pt idx="64">
                  <c:v>33.664999999999999</c:v>
                </c:pt>
                <c:pt idx="65">
                  <c:v>38.738999999999997</c:v>
                </c:pt>
                <c:pt idx="66">
                  <c:v>33.709000000000003</c:v>
                </c:pt>
                <c:pt idx="67">
                  <c:v>38.151000000000003</c:v>
                </c:pt>
                <c:pt idx="68">
                  <c:v>33.65</c:v>
                </c:pt>
                <c:pt idx="69">
                  <c:v>37.302999999999997</c:v>
                </c:pt>
                <c:pt idx="70">
                  <c:v>33.668999999999997</c:v>
                </c:pt>
                <c:pt idx="71">
                  <c:v>38.332999999999998</c:v>
                </c:pt>
                <c:pt idx="72">
                  <c:v>33.445</c:v>
                </c:pt>
                <c:pt idx="73">
                  <c:v>39.598999999999997</c:v>
                </c:pt>
                <c:pt idx="74">
                  <c:v>33.799999999999997</c:v>
                </c:pt>
                <c:pt idx="75">
                  <c:v>40.267000000000003</c:v>
                </c:pt>
                <c:pt idx="76">
                  <c:v>33.654000000000003</c:v>
                </c:pt>
                <c:pt idx="77">
                  <c:v>36.655999999999999</c:v>
                </c:pt>
                <c:pt idx="78">
                  <c:v>33.841999999999999</c:v>
                </c:pt>
                <c:pt idx="79">
                  <c:v>39.317</c:v>
                </c:pt>
                <c:pt idx="80">
                  <c:v>33.551000000000002</c:v>
                </c:pt>
                <c:pt idx="81">
                  <c:v>38.61</c:v>
                </c:pt>
                <c:pt idx="82">
                  <c:v>33.744</c:v>
                </c:pt>
                <c:pt idx="83">
                  <c:v>38.18</c:v>
                </c:pt>
                <c:pt idx="84">
                  <c:v>33.64</c:v>
                </c:pt>
                <c:pt idx="85">
                  <c:v>39.628</c:v>
                </c:pt>
                <c:pt idx="86">
                  <c:v>33.75</c:v>
                </c:pt>
                <c:pt idx="87">
                  <c:v>36.703000000000003</c:v>
                </c:pt>
                <c:pt idx="88">
                  <c:v>33.709000000000003</c:v>
                </c:pt>
                <c:pt idx="89">
                  <c:v>37.186</c:v>
                </c:pt>
                <c:pt idx="90">
                  <c:v>33.796999999999997</c:v>
                </c:pt>
                <c:pt idx="91">
                  <c:v>39.08</c:v>
                </c:pt>
                <c:pt idx="92">
                  <c:v>33.970999999999997</c:v>
                </c:pt>
                <c:pt idx="93">
                  <c:v>37.801000000000002</c:v>
                </c:pt>
                <c:pt idx="94">
                  <c:v>33.834000000000003</c:v>
                </c:pt>
                <c:pt idx="95">
                  <c:v>39.261000000000003</c:v>
                </c:pt>
                <c:pt idx="96">
                  <c:v>34.101999999999997</c:v>
                </c:pt>
                <c:pt idx="97">
                  <c:v>38.015999999999998</c:v>
                </c:pt>
                <c:pt idx="98">
                  <c:v>33.698999999999998</c:v>
                </c:pt>
                <c:pt idx="99">
                  <c:v>39.793999999999997</c:v>
                </c:pt>
                <c:pt idx="100">
                  <c:v>33.988</c:v>
                </c:pt>
                <c:pt idx="101">
                  <c:v>39.036999999999999</c:v>
                </c:pt>
                <c:pt idx="102">
                  <c:v>33.853999999999999</c:v>
                </c:pt>
                <c:pt idx="103">
                  <c:v>39.94</c:v>
                </c:pt>
                <c:pt idx="104">
                  <c:v>33.924999999999997</c:v>
                </c:pt>
                <c:pt idx="105">
                  <c:v>36.548999999999999</c:v>
                </c:pt>
                <c:pt idx="106">
                  <c:v>33.97</c:v>
                </c:pt>
                <c:pt idx="107">
                  <c:v>40.121000000000002</c:v>
                </c:pt>
                <c:pt idx="108">
                  <c:v>33.908000000000001</c:v>
                </c:pt>
                <c:pt idx="109">
                  <c:v>38.366</c:v>
                </c:pt>
                <c:pt idx="110">
                  <c:v>33.920999999999999</c:v>
                </c:pt>
                <c:pt idx="111">
                  <c:v>40.567999999999998</c:v>
                </c:pt>
                <c:pt idx="112">
                  <c:v>33.905999999999999</c:v>
                </c:pt>
                <c:pt idx="113">
                  <c:v>37.914999999999999</c:v>
                </c:pt>
                <c:pt idx="114">
                  <c:v>33.944000000000003</c:v>
                </c:pt>
                <c:pt idx="115">
                  <c:v>37.966000000000001</c:v>
                </c:pt>
                <c:pt idx="116">
                  <c:v>33.976999999999997</c:v>
                </c:pt>
                <c:pt idx="117">
                  <c:v>38.906999999999996</c:v>
                </c:pt>
                <c:pt idx="118">
                  <c:v>33.951999999999998</c:v>
                </c:pt>
                <c:pt idx="119">
                  <c:v>38.908000000000001</c:v>
                </c:pt>
                <c:pt idx="120">
                  <c:v>33.856000000000002</c:v>
                </c:pt>
                <c:pt idx="121">
                  <c:v>38.890999999999998</c:v>
                </c:pt>
                <c:pt idx="122">
                  <c:v>33.744</c:v>
                </c:pt>
                <c:pt idx="123">
                  <c:v>41.048000000000002</c:v>
                </c:pt>
                <c:pt idx="124">
                  <c:v>34.067</c:v>
                </c:pt>
                <c:pt idx="125">
                  <c:v>39.185000000000002</c:v>
                </c:pt>
                <c:pt idx="126">
                  <c:v>34.244999999999997</c:v>
                </c:pt>
                <c:pt idx="127">
                  <c:v>40.911000000000001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B-4FA1-B092-801D8D646B3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('AMP7-8'!$U$4,'AMP7-8'!$U$4)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B-4FA1-B092-801D8D646B3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('AMP7-8'!$U$5,'AMP7-8'!$U$5)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B-4FA1-B092-801D8D646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5128"/>
        <c:axId val="598715520"/>
      </c:scatterChart>
      <c:valAx>
        <c:axId val="59871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5520"/>
        <c:crosses val="autoZero"/>
        <c:crossBetween val="midCat"/>
      </c:valAx>
      <c:valAx>
        <c:axId val="59871552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'AMP7-8'!$AB$8</c:f>
              <c:strCache>
                <c:ptCount val="1"/>
                <c:pt idx="0">
                  <c:v>T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'AMP7-8'!$AB$9:$AB$136</c:f>
              <c:numCache>
                <c:formatCode>General</c:formatCode>
                <c:ptCount val="128"/>
                <c:pt idx="0">
                  <c:v>-0.223</c:v>
                </c:pt>
                <c:pt idx="1">
                  <c:v>-1.6E-2</c:v>
                </c:pt>
                <c:pt idx="2">
                  <c:v>-0.26400000000000001</c:v>
                </c:pt>
                <c:pt idx="3">
                  <c:v>2.1000000000000001E-2</c:v>
                </c:pt>
                <c:pt idx="4">
                  <c:v>-0.26800000000000002</c:v>
                </c:pt>
                <c:pt idx="5">
                  <c:v>-8.9999999999999993E-3</c:v>
                </c:pt>
                <c:pt idx="6">
                  <c:v>-0.29099999999999998</c:v>
                </c:pt>
                <c:pt idx="7">
                  <c:v>-0.20399999999999999</c:v>
                </c:pt>
                <c:pt idx="8">
                  <c:v>-0.22700000000000001</c:v>
                </c:pt>
                <c:pt idx="9">
                  <c:v>-0.13700000000000001</c:v>
                </c:pt>
                <c:pt idx="10">
                  <c:v>-0.312</c:v>
                </c:pt>
                <c:pt idx="11">
                  <c:v>-0.19700000000000001</c:v>
                </c:pt>
                <c:pt idx="12">
                  <c:v>-0.22600000000000001</c:v>
                </c:pt>
                <c:pt idx="13">
                  <c:v>-0.11700000000000001</c:v>
                </c:pt>
                <c:pt idx="14">
                  <c:v>0.10299999999999999</c:v>
                </c:pt>
                <c:pt idx="15">
                  <c:v>-0.188</c:v>
                </c:pt>
                <c:pt idx="16">
                  <c:v>-0.09</c:v>
                </c:pt>
                <c:pt idx="17">
                  <c:v>0.13700000000000001</c:v>
                </c:pt>
                <c:pt idx="18">
                  <c:v>-7.9000000000000001E-2</c:v>
                </c:pt>
                <c:pt idx="19">
                  <c:v>0.113</c:v>
                </c:pt>
                <c:pt idx="20">
                  <c:v>-0.128</c:v>
                </c:pt>
                <c:pt idx="21">
                  <c:v>2.5000000000000001E-2</c:v>
                </c:pt>
                <c:pt idx="22">
                  <c:v>-0.14799999999999999</c:v>
                </c:pt>
                <c:pt idx="23">
                  <c:v>-2.9000000000000001E-2</c:v>
                </c:pt>
                <c:pt idx="24">
                  <c:v>-0.17799999999999999</c:v>
                </c:pt>
                <c:pt idx="25">
                  <c:v>-3.3000000000000002E-2</c:v>
                </c:pt>
                <c:pt idx="26">
                  <c:v>-0.14899999999999999</c:v>
                </c:pt>
                <c:pt idx="27">
                  <c:v>0.01</c:v>
                </c:pt>
                <c:pt idx="28">
                  <c:v>-0.23599999999999999</c:v>
                </c:pt>
                <c:pt idx="29">
                  <c:v>-2.5999999999999999E-2</c:v>
                </c:pt>
                <c:pt idx="30">
                  <c:v>-0.16600000000000001</c:v>
                </c:pt>
                <c:pt idx="31">
                  <c:v>-1.7000000000000001E-2</c:v>
                </c:pt>
                <c:pt idx="32">
                  <c:v>-0.192</c:v>
                </c:pt>
                <c:pt idx="33">
                  <c:v>-0.04</c:v>
                </c:pt>
                <c:pt idx="34">
                  <c:v>-0.187</c:v>
                </c:pt>
                <c:pt idx="35">
                  <c:v>-0.115</c:v>
                </c:pt>
                <c:pt idx="36">
                  <c:v>-0.17199999999999999</c:v>
                </c:pt>
                <c:pt idx="37">
                  <c:v>1.2E-2</c:v>
                </c:pt>
                <c:pt idx="38">
                  <c:v>-0.27600000000000002</c:v>
                </c:pt>
                <c:pt idx="39">
                  <c:v>-0.11600000000000001</c:v>
                </c:pt>
                <c:pt idx="40">
                  <c:v>-0.29599999999999999</c:v>
                </c:pt>
                <c:pt idx="41">
                  <c:v>-7.6999999999999999E-2</c:v>
                </c:pt>
                <c:pt idx="42">
                  <c:v>-0.29799999999999999</c:v>
                </c:pt>
                <c:pt idx="43">
                  <c:v>-0.157</c:v>
                </c:pt>
                <c:pt idx="44">
                  <c:v>-0.30199999999999999</c:v>
                </c:pt>
                <c:pt idx="45">
                  <c:v>-0.09</c:v>
                </c:pt>
                <c:pt idx="46">
                  <c:v>-0.36099999999999999</c:v>
                </c:pt>
                <c:pt idx="47">
                  <c:v>-0.11799999999999999</c:v>
                </c:pt>
                <c:pt idx="48">
                  <c:v>-0.214</c:v>
                </c:pt>
                <c:pt idx="49">
                  <c:v>-0.17199999999999999</c:v>
                </c:pt>
                <c:pt idx="50">
                  <c:v>-0.315</c:v>
                </c:pt>
                <c:pt idx="51">
                  <c:v>-0.20100000000000001</c:v>
                </c:pt>
                <c:pt idx="52">
                  <c:v>-0.249</c:v>
                </c:pt>
                <c:pt idx="53">
                  <c:v>-0.20300000000000001</c:v>
                </c:pt>
                <c:pt idx="54">
                  <c:v>-0.113</c:v>
                </c:pt>
                <c:pt idx="55">
                  <c:v>0.155</c:v>
                </c:pt>
                <c:pt idx="56">
                  <c:v>-8.2000000000000003E-2</c:v>
                </c:pt>
                <c:pt idx="57">
                  <c:v>0.115</c:v>
                </c:pt>
                <c:pt idx="58">
                  <c:v>-0.109</c:v>
                </c:pt>
                <c:pt idx="59">
                  <c:v>3.5999999999999997E-2</c:v>
                </c:pt>
                <c:pt idx="60">
                  <c:v>-0.17199999999999999</c:v>
                </c:pt>
                <c:pt idx="61">
                  <c:v>7.0000000000000001E-3</c:v>
                </c:pt>
                <c:pt idx="62">
                  <c:v>-0.14699999999999999</c:v>
                </c:pt>
                <c:pt idx="63">
                  <c:v>7.4999999999999997E-2</c:v>
                </c:pt>
                <c:pt idx="64">
                  <c:v>-0.214</c:v>
                </c:pt>
                <c:pt idx="65">
                  <c:v>-2.1999999999999999E-2</c:v>
                </c:pt>
                <c:pt idx="66">
                  <c:v>-0.111</c:v>
                </c:pt>
                <c:pt idx="67">
                  <c:v>-4.5999999999999999E-2</c:v>
                </c:pt>
                <c:pt idx="68">
                  <c:v>-0.10199999999999999</c:v>
                </c:pt>
                <c:pt idx="69">
                  <c:v>-6.0999999999999999E-2</c:v>
                </c:pt>
                <c:pt idx="70">
                  <c:v>-0.14499999999999999</c:v>
                </c:pt>
                <c:pt idx="71">
                  <c:v>-6.9000000000000006E-2</c:v>
                </c:pt>
                <c:pt idx="72">
                  <c:v>-9.5000000000000001E-2</c:v>
                </c:pt>
                <c:pt idx="73">
                  <c:v>-0.115</c:v>
                </c:pt>
                <c:pt idx="74">
                  <c:v>-0.124</c:v>
                </c:pt>
                <c:pt idx="75">
                  <c:v>-4.7E-2</c:v>
                </c:pt>
                <c:pt idx="76">
                  <c:v>-9.9000000000000005E-2</c:v>
                </c:pt>
                <c:pt idx="77">
                  <c:v>-5.7000000000000002E-2</c:v>
                </c:pt>
                <c:pt idx="78">
                  <c:v>-0.192</c:v>
                </c:pt>
                <c:pt idx="79">
                  <c:v>-5.8999999999999997E-2</c:v>
                </c:pt>
                <c:pt idx="80">
                  <c:v>-0.18099999999999999</c:v>
                </c:pt>
                <c:pt idx="81">
                  <c:v>5.7000000000000002E-2</c:v>
                </c:pt>
                <c:pt idx="82">
                  <c:v>-8.8999999999999996E-2</c:v>
                </c:pt>
                <c:pt idx="83">
                  <c:v>-8.2000000000000003E-2</c:v>
                </c:pt>
                <c:pt idx="84">
                  <c:v>-0.12</c:v>
                </c:pt>
                <c:pt idx="85">
                  <c:v>-0.122</c:v>
                </c:pt>
                <c:pt idx="86">
                  <c:v>-0.29499999999999998</c:v>
                </c:pt>
                <c:pt idx="87">
                  <c:v>-0.125</c:v>
                </c:pt>
                <c:pt idx="88">
                  <c:v>-0.17899999999999999</c:v>
                </c:pt>
                <c:pt idx="89">
                  <c:v>-0.14699999999999999</c:v>
                </c:pt>
                <c:pt idx="90">
                  <c:v>-0.15</c:v>
                </c:pt>
                <c:pt idx="91">
                  <c:v>-0.14099999999999999</c:v>
                </c:pt>
                <c:pt idx="92">
                  <c:v>-0.27300000000000002</c:v>
                </c:pt>
                <c:pt idx="93">
                  <c:v>-3.6999999999999998E-2</c:v>
                </c:pt>
                <c:pt idx="94">
                  <c:v>-0.191</c:v>
                </c:pt>
                <c:pt idx="95">
                  <c:v>-0.18099999999999999</c:v>
                </c:pt>
                <c:pt idx="96">
                  <c:v>7.0999999999999994E-2</c:v>
                </c:pt>
                <c:pt idx="97">
                  <c:v>0.03</c:v>
                </c:pt>
                <c:pt idx="98">
                  <c:v>0</c:v>
                </c:pt>
                <c:pt idx="99">
                  <c:v>1.4999999999999999E-2</c:v>
                </c:pt>
                <c:pt idx="100">
                  <c:v>0.1</c:v>
                </c:pt>
                <c:pt idx="101">
                  <c:v>9.7000000000000003E-2</c:v>
                </c:pt>
                <c:pt idx="102">
                  <c:v>7.4999999999999997E-2</c:v>
                </c:pt>
                <c:pt idx="103">
                  <c:v>-3.5999999999999997E-2</c:v>
                </c:pt>
                <c:pt idx="104">
                  <c:v>-5.2999999999999999E-2</c:v>
                </c:pt>
                <c:pt idx="105">
                  <c:v>-5.0999999999999997E-2</c:v>
                </c:pt>
                <c:pt idx="106">
                  <c:v>-3.6999999999999998E-2</c:v>
                </c:pt>
                <c:pt idx="107">
                  <c:v>4.0000000000000001E-3</c:v>
                </c:pt>
                <c:pt idx="108">
                  <c:v>-4.1000000000000002E-2</c:v>
                </c:pt>
                <c:pt idx="109">
                  <c:v>3.6999999999999998E-2</c:v>
                </c:pt>
                <c:pt idx="110">
                  <c:v>-2.5999999999999999E-2</c:v>
                </c:pt>
                <c:pt idx="111">
                  <c:v>1.7999999999999999E-2</c:v>
                </c:pt>
                <c:pt idx="112">
                  <c:v>-5.0999999999999997E-2</c:v>
                </c:pt>
                <c:pt idx="113">
                  <c:v>4.0000000000000001E-3</c:v>
                </c:pt>
                <c:pt idx="114">
                  <c:v>1.7999999999999999E-2</c:v>
                </c:pt>
                <c:pt idx="115">
                  <c:v>-8.3000000000000004E-2</c:v>
                </c:pt>
                <c:pt idx="116">
                  <c:v>-0.16900000000000001</c:v>
                </c:pt>
                <c:pt idx="117">
                  <c:v>-0.13500000000000001</c:v>
                </c:pt>
                <c:pt idx="118">
                  <c:v>-7.1999999999999995E-2</c:v>
                </c:pt>
                <c:pt idx="119">
                  <c:v>-8.5000000000000006E-2</c:v>
                </c:pt>
                <c:pt idx="120">
                  <c:v>-0.184</c:v>
                </c:pt>
                <c:pt idx="121">
                  <c:v>-0.187</c:v>
                </c:pt>
                <c:pt idx="122">
                  <c:v>-0.36699999999999999</c:v>
                </c:pt>
                <c:pt idx="123">
                  <c:v>-0.29699999999999999</c:v>
                </c:pt>
                <c:pt idx="124">
                  <c:v>-0.10100000000000001</c:v>
                </c:pt>
                <c:pt idx="125">
                  <c:v>-0.20100000000000001</c:v>
                </c:pt>
                <c:pt idx="126">
                  <c:v>-6.9000000000000006E-2</c:v>
                </c:pt>
                <c:pt idx="127">
                  <c:v>-5.1999999999999998E-2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E9-4667-9920-E13FD54BA25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('AMP7-8'!$AB$4,'AMP7-8'!$AB$4)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E9-4667-9920-E13FD54BA25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('AMP7-8'!$AB$5,'AMP7-8'!$AB$5)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E9-4667-9920-E13FD54BA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6304"/>
        <c:axId val="598716696"/>
      </c:scatterChart>
      <c:valAx>
        <c:axId val="59871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6696"/>
        <c:crosses val="autoZero"/>
        <c:crossBetween val="midCat"/>
      </c:valAx>
      <c:valAx>
        <c:axId val="59871669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'AMP7-8'!$AC$8</c:f>
              <c:strCache>
                <c:ptCount val="1"/>
                <c:pt idx="0">
                  <c:v>T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'AMP7-8'!$AC$9:$AC$136</c:f>
              <c:numCache>
                <c:formatCode>General</c:formatCode>
                <c:ptCount val="128"/>
                <c:pt idx="0">
                  <c:v>-0.14399999999999999</c:v>
                </c:pt>
                <c:pt idx="1">
                  <c:v>7.1999999999999995E-2</c:v>
                </c:pt>
                <c:pt idx="2">
                  <c:v>-0.17899999999999999</c:v>
                </c:pt>
                <c:pt idx="3">
                  <c:v>0.115</c:v>
                </c:pt>
                <c:pt idx="4">
                  <c:v>-0.20899999999999999</c:v>
                </c:pt>
                <c:pt idx="5">
                  <c:v>9.0999999999999998E-2</c:v>
                </c:pt>
                <c:pt idx="6">
                  <c:v>-0.22500000000000001</c:v>
                </c:pt>
                <c:pt idx="7">
                  <c:v>-0.107</c:v>
                </c:pt>
                <c:pt idx="8">
                  <c:v>-0.13600000000000001</c:v>
                </c:pt>
                <c:pt idx="9">
                  <c:v>-5.0999999999999997E-2</c:v>
                </c:pt>
                <c:pt idx="10">
                  <c:v>-0.23499999999999999</c:v>
                </c:pt>
                <c:pt idx="11">
                  <c:v>-8.6999999999999994E-2</c:v>
                </c:pt>
                <c:pt idx="12">
                  <c:v>-0.13400000000000001</c:v>
                </c:pt>
                <c:pt idx="13">
                  <c:v>-0.01</c:v>
                </c:pt>
                <c:pt idx="14">
                  <c:v>0.16300000000000001</c:v>
                </c:pt>
                <c:pt idx="15">
                  <c:v>-9.1999999999999998E-2</c:v>
                </c:pt>
                <c:pt idx="16">
                  <c:v>5.0000000000000001E-3</c:v>
                </c:pt>
                <c:pt idx="17">
                  <c:v>0.215</c:v>
                </c:pt>
                <c:pt idx="18">
                  <c:v>-3.0000000000000001E-3</c:v>
                </c:pt>
                <c:pt idx="19">
                  <c:v>0.20899999999999999</c:v>
                </c:pt>
                <c:pt idx="20">
                  <c:v>-5.6000000000000001E-2</c:v>
                </c:pt>
                <c:pt idx="21">
                  <c:v>0.109</c:v>
                </c:pt>
                <c:pt idx="22">
                  <c:v>-7.2999999999999995E-2</c:v>
                </c:pt>
                <c:pt idx="23">
                  <c:v>4.9000000000000002E-2</c:v>
                </c:pt>
                <c:pt idx="24">
                  <c:v>-0.105</c:v>
                </c:pt>
                <c:pt idx="25">
                  <c:v>6.0999999999999999E-2</c:v>
                </c:pt>
                <c:pt idx="26">
                  <c:v>-0.13500000000000001</c:v>
                </c:pt>
                <c:pt idx="27">
                  <c:v>9.8000000000000004E-2</c:v>
                </c:pt>
                <c:pt idx="28">
                  <c:v>-0.157</c:v>
                </c:pt>
                <c:pt idx="29">
                  <c:v>6.6000000000000003E-2</c:v>
                </c:pt>
                <c:pt idx="30">
                  <c:v>-8.5999999999999993E-2</c:v>
                </c:pt>
                <c:pt idx="31">
                  <c:v>0.08</c:v>
                </c:pt>
                <c:pt idx="32">
                  <c:v>-0.113</c:v>
                </c:pt>
                <c:pt idx="33">
                  <c:v>4.9000000000000002E-2</c:v>
                </c:pt>
                <c:pt idx="34">
                  <c:v>-0.122</c:v>
                </c:pt>
                <c:pt idx="35">
                  <c:v>-0.02</c:v>
                </c:pt>
                <c:pt idx="36">
                  <c:v>-0.09</c:v>
                </c:pt>
                <c:pt idx="37">
                  <c:v>0.127</c:v>
                </c:pt>
                <c:pt idx="38">
                  <c:v>-0.19900000000000001</c:v>
                </c:pt>
                <c:pt idx="39">
                  <c:v>-1.6E-2</c:v>
                </c:pt>
                <c:pt idx="40">
                  <c:v>-0.223</c:v>
                </c:pt>
                <c:pt idx="41">
                  <c:v>2.3E-2</c:v>
                </c:pt>
                <c:pt idx="42">
                  <c:v>-0.217</c:v>
                </c:pt>
                <c:pt idx="43">
                  <c:v>-4.1000000000000002E-2</c:v>
                </c:pt>
                <c:pt idx="44">
                  <c:v>-0.21</c:v>
                </c:pt>
                <c:pt idx="45">
                  <c:v>0</c:v>
                </c:pt>
                <c:pt idx="46">
                  <c:v>-0.27700000000000002</c:v>
                </c:pt>
                <c:pt idx="47">
                  <c:v>-7.0000000000000001E-3</c:v>
                </c:pt>
                <c:pt idx="48">
                  <c:v>-0.15</c:v>
                </c:pt>
                <c:pt idx="49">
                  <c:v>-4.8000000000000001E-2</c:v>
                </c:pt>
                <c:pt idx="50">
                  <c:v>-0.24299999999999999</c:v>
                </c:pt>
                <c:pt idx="51">
                  <c:v>-9.1999999999999998E-2</c:v>
                </c:pt>
                <c:pt idx="52">
                  <c:v>-0.17100000000000001</c:v>
                </c:pt>
                <c:pt idx="53">
                  <c:v>-0.10299999999999999</c:v>
                </c:pt>
                <c:pt idx="54">
                  <c:v>-7.4999999999999997E-2</c:v>
                </c:pt>
                <c:pt idx="55">
                  <c:v>0.218</c:v>
                </c:pt>
                <c:pt idx="56">
                  <c:v>-7.0000000000000001E-3</c:v>
                </c:pt>
                <c:pt idx="57">
                  <c:v>0.19700000000000001</c:v>
                </c:pt>
                <c:pt idx="58">
                  <c:v>-0.02</c:v>
                </c:pt>
                <c:pt idx="59">
                  <c:v>0.11600000000000001</c:v>
                </c:pt>
                <c:pt idx="60">
                  <c:v>-9.9000000000000005E-2</c:v>
                </c:pt>
                <c:pt idx="61">
                  <c:v>8.5000000000000006E-2</c:v>
                </c:pt>
                <c:pt idx="62">
                  <c:v>-7.9000000000000001E-2</c:v>
                </c:pt>
                <c:pt idx="63">
                  <c:v>0.16800000000000001</c:v>
                </c:pt>
                <c:pt idx="64">
                  <c:v>-0.21099999999999999</c:v>
                </c:pt>
                <c:pt idx="65">
                  <c:v>6.4000000000000001E-2</c:v>
                </c:pt>
                <c:pt idx="66">
                  <c:v>-4.4999999999999998E-2</c:v>
                </c:pt>
                <c:pt idx="67">
                  <c:v>3.5999999999999997E-2</c:v>
                </c:pt>
                <c:pt idx="68">
                  <c:v>-0.03</c:v>
                </c:pt>
                <c:pt idx="69">
                  <c:v>2.8000000000000001E-2</c:v>
                </c:pt>
                <c:pt idx="70">
                  <c:v>-7.8E-2</c:v>
                </c:pt>
                <c:pt idx="71">
                  <c:v>1.2999999999999999E-2</c:v>
                </c:pt>
                <c:pt idx="72">
                  <c:v>-3.3000000000000002E-2</c:v>
                </c:pt>
                <c:pt idx="73">
                  <c:v>-2.1000000000000001E-2</c:v>
                </c:pt>
                <c:pt idx="74">
                  <c:v>-6.2E-2</c:v>
                </c:pt>
                <c:pt idx="75">
                  <c:v>3.9E-2</c:v>
                </c:pt>
                <c:pt idx="76">
                  <c:v>-4.4999999999999998E-2</c:v>
                </c:pt>
                <c:pt idx="77">
                  <c:v>2.8000000000000001E-2</c:v>
                </c:pt>
                <c:pt idx="78">
                  <c:v>-0.114</c:v>
                </c:pt>
                <c:pt idx="79">
                  <c:v>2.3E-2</c:v>
                </c:pt>
                <c:pt idx="80">
                  <c:v>-9.5000000000000001E-2</c:v>
                </c:pt>
                <c:pt idx="81">
                  <c:v>0.14399999999999999</c:v>
                </c:pt>
                <c:pt idx="82">
                  <c:v>-3.1E-2</c:v>
                </c:pt>
                <c:pt idx="83">
                  <c:v>5.0000000000000001E-3</c:v>
                </c:pt>
                <c:pt idx="84">
                  <c:v>-2.8000000000000001E-2</c:v>
                </c:pt>
                <c:pt idx="85">
                  <c:v>-3.3000000000000002E-2</c:v>
                </c:pt>
                <c:pt idx="86">
                  <c:v>-0.20100000000000001</c:v>
                </c:pt>
                <c:pt idx="87">
                  <c:v>-1.7999999999999999E-2</c:v>
                </c:pt>
                <c:pt idx="88">
                  <c:v>-9.1999999999999998E-2</c:v>
                </c:pt>
                <c:pt idx="89">
                  <c:v>-4.1000000000000002E-2</c:v>
                </c:pt>
                <c:pt idx="90">
                  <c:v>-7.5999999999999998E-2</c:v>
                </c:pt>
                <c:pt idx="91">
                  <c:v>-3.5000000000000003E-2</c:v>
                </c:pt>
                <c:pt idx="92">
                  <c:v>-0.193</c:v>
                </c:pt>
                <c:pt idx="93">
                  <c:v>6.8000000000000005E-2</c:v>
                </c:pt>
                <c:pt idx="94">
                  <c:v>-0.11600000000000001</c:v>
                </c:pt>
                <c:pt idx="95">
                  <c:v>-9.1999999999999998E-2</c:v>
                </c:pt>
                <c:pt idx="96">
                  <c:v>0.14099999999999999</c:v>
                </c:pt>
                <c:pt idx="97">
                  <c:v>0.11</c:v>
                </c:pt>
                <c:pt idx="98">
                  <c:v>5.0999999999999997E-2</c:v>
                </c:pt>
                <c:pt idx="99">
                  <c:v>0.107</c:v>
                </c:pt>
                <c:pt idx="100">
                  <c:v>0.16900000000000001</c:v>
                </c:pt>
                <c:pt idx="101">
                  <c:v>0.191</c:v>
                </c:pt>
                <c:pt idx="102">
                  <c:v>0.124</c:v>
                </c:pt>
                <c:pt idx="103">
                  <c:v>5.7000000000000002E-2</c:v>
                </c:pt>
                <c:pt idx="104">
                  <c:v>0.02</c:v>
                </c:pt>
                <c:pt idx="105">
                  <c:v>0.03</c:v>
                </c:pt>
                <c:pt idx="106">
                  <c:v>5.8999999999999997E-2</c:v>
                </c:pt>
                <c:pt idx="107">
                  <c:v>9.9000000000000005E-2</c:v>
                </c:pt>
                <c:pt idx="108">
                  <c:v>0.05</c:v>
                </c:pt>
                <c:pt idx="109">
                  <c:v>0.13600000000000001</c:v>
                </c:pt>
                <c:pt idx="110">
                  <c:v>2.8000000000000001E-2</c:v>
                </c:pt>
                <c:pt idx="111">
                  <c:v>0.111</c:v>
                </c:pt>
                <c:pt idx="112">
                  <c:v>0.03</c:v>
                </c:pt>
                <c:pt idx="113">
                  <c:v>0.09</c:v>
                </c:pt>
                <c:pt idx="114">
                  <c:v>9.6000000000000002E-2</c:v>
                </c:pt>
                <c:pt idx="115">
                  <c:v>0</c:v>
                </c:pt>
                <c:pt idx="116">
                  <c:v>-0.09</c:v>
                </c:pt>
                <c:pt idx="117">
                  <c:v>-9.6000000000000002E-2</c:v>
                </c:pt>
                <c:pt idx="118">
                  <c:v>1.4E-2</c:v>
                </c:pt>
                <c:pt idx="119">
                  <c:v>5.0000000000000001E-3</c:v>
                </c:pt>
                <c:pt idx="120">
                  <c:v>-9.9000000000000005E-2</c:v>
                </c:pt>
                <c:pt idx="121">
                  <c:v>-7.9000000000000001E-2</c:v>
                </c:pt>
                <c:pt idx="122">
                  <c:v>-0.27100000000000002</c:v>
                </c:pt>
                <c:pt idx="123">
                  <c:v>-0.20799999999999999</c:v>
                </c:pt>
                <c:pt idx="124">
                  <c:v>-3.3000000000000002E-2</c:v>
                </c:pt>
                <c:pt idx="125">
                  <c:v>-0.11700000000000001</c:v>
                </c:pt>
                <c:pt idx="126">
                  <c:v>1.7999999999999999E-2</c:v>
                </c:pt>
                <c:pt idx="127">
                  <c:v>5.1999999999999998E-2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D-4362-8329-7A0CC3F0322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('AMP7-8'!$AC$4,'AMP7-8'!$AC$4)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ED-4362-8329-7A0CC3F0322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('AMP7-8'!$AC$5,'AMP7-8'!$AC$5)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ED-4362-8329-7A0CC3F03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7480"/>
        <c:axId val="598717872"/>
      </c:scatterChart>
      <c:valAx>
        <c:axId val="59871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7872"/>
        <c:crosses val="autoZero"/>
        <c:crossBetween val="midCat"/>
      </c:valAx>
      <c:valAx>
        <c:axId val="59871787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'AMP7-8'!$AD$8</c:f>
              <c:strCache>
                <c:ptCount val="1"/>
                <c:pt idx="0">
                  <c:v>T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'AMP7-8'!$AD$9:$AD$136</c:f>
              <c:numCache>
                <c:formatCode>General</c:formatCode>
                <c:ptCount val="128"/>
                <c:pt idx="0">
                  <c:v>-0.21199999999999999</c:v>
                </c:pt>
                <c:pt idx="1">
                  <c:v>-6.3E-2</c:v>
                </c:pt>
                <c:pt idx="2">
                  <c:v>-0.26400000000000001</c:v>
                </c:pt>
                <c:pt idx="3">
                  <c:v>2.4E-2</c:v>
                </c:pt>
                <c:pt idx="4">
                  <c:v>-0.307</c:v>
                </c:pt>
                <c:pt idx="5">
                  <c:v>-0.14199999999999999</c:v>
                </c:pt>
                <c:pt idx="6">
                  <c:v>-0.24199999999999999</c:v>
                </c:pt>
                <c:pt idx="7">
                  <c:v>-0.17699999999999999</c:v>
                </c:pt>
                <c:pt idx="8">
                  <c:v>-0.16700000000000001</c:v>
                </c:pt>
                <c:pt idx="9">
                  <c:v>-0.20799999999999999</c:v>
                </c:pt>
                <c:pt idx="10">
                  <c:v>-0.308</c:v>
                </c:pt>
                <c:pt idx="11">
                  <c:v>-0.26900000000000002</c:v>
                </c:pt>
                <c:pt idx="12">
                  <c:v>-0.20399999999999999</c:v>
                </c:pt>
                <c:pt idx="13">
                  <c:v>-0.188</c:v>
                </c:pt>
                <c:pt idx="14">
                  <c:v>0.27400000000000002</c:v>
                </c:pt>
                <c:pt idx="15">
                  <c:v>-0.38500000000000001</c:v>
                </c:pt>
                <c:pt idx="16">
                  <c:v>-0.214</c:v>
                </c:pt>
                <c:pt idx="17">
                  <c:v>3.1E-2</c:v>
                </c:pt>
                <c:pt idx="18">
                  <c:v>-0.27200000000000002</c:v>
                </c:pt>
                <c:pt idx="19">
                  <c:v>-6.0000000000000001E-3</c:v>
                </c:pt>
                <c:pt idx="20">
                  <c:v>-0.25800000000000001</c:v>
                </c:pt>
                <c:pt idx="21">
                  <c:v>-0.13900000000000001</c:v>
                </c:pt>
                <c:pt idx="22">
                  <c:v>-0.19900000000000001</c:v>
                </c:pt>
                <c:pt idx="23">
                  <c:v>-0.20200000000000001</c:v>
                </c:pt>
                <c:pt idx="24">
                  <c:v>-0.29399999999999998</c:v>
                </c:pt>
                <c:pt idx="25">
                  <c:v>-0.153</c:v>
                </c:pt>
                <c:pt idx="26">
                  <c:v>-0.23200000000000001</c:v>
                </c:pt>
                <c:pt idx="27">
                  <c:v>-0.17299999999999999</c:v>
                </c:pt>
                <c:pt idx="28">
                  <c:v>-0.24299999999999999</c:v>
                </c:pt>
                <c:pt idx="29">
                  <c:v>-0.12</c:v>
                </c:pt>
                <c:pt idx="30">
                  <c:v>-0.34599999999999997</c:v>
                </c:pt>
                <c:pt idx="31">
                  <c:v>-0.18099999999999999</c:v>
                </c:pt>
                <c:pt idx="32">
                  <c:v>-0.31900000000000001</c:v>
                </c:pt>
                <c:pt idx="33">
                  <c:v>-0.16800000000000001</c:v>
                </c:pt>
                <c:pt idx="34">
                  <c:v>-0.29699999999999999</c:v>
                </c:pt>
                <c:pt idx="35">
                  <c:v>-0.14299999999999999</c:v>
                </c:pt>
                <c:pt idx="36">
                  <c:v>-0.28199999999999997</c:v>
                </c:pt>
                <c:pt idx="37">
                  <c:v>-7.0000000000000007E-2</c:v>
                </c:pt>
                <c:pt idx="38">
                  <c:v>-0.29299999999999998</c:v>
                </c:pt>
                <c:pt idx="39">
                  <c:v>-0.14000000000000001</c:v>
                </c:pt>
                <c:pt idx="40">
                  <c:v>-0.30299999999999999</c:v>
                </c:pt>
                <c:pt idx="41">
                  <c:v>-0.26500000000000001</c:v>
                </c:pt>
                <c:pt idx="42">
                  <c:v>-0.38500000000000001</c:v>
                </c:pt>
                <c:pt idx="43">
                  <c:v>-0.16600000000000001</c:v>
                </c:pt>
                <c:pt idx="44">
                  <c:v>-0.27700000000000002</c:v>
                </c:pt>
                <c:pt idx="45">
                  <c:v>-0.23200000000000001</c:v>
                </c:pt>
                <c:pt idx="46">
                  <c:v>-0.23100000000000001</c:v>
                </c:pt>
                <c:pt idx="47">
                  <c:v>-0.27800000000000002</c:v>
                </c:pt>
                <c:pt idx="48">
                  <c:v>-0.156</c:v>
                </c:pt>
                <c:pt idx="49">
                  <c:v>-0.19900000000000001</c:v>
                </c:pt>
                <c:pt idx="50">
                  <c:v>-0.20699999999999999</c:v>
                </c:pt>
                <c:pt idx="51">
                  <c:v>-0.25800000000000001</c:v>
                </c:pt>
                <c:pt idx="52">
                  <c:v>-9.6000000000000002E-2</c:v>
                </c:pt>
                <c:pt idx="53">
                  <c:v>-0.26800000000000002</c:v>
                </c:pt>
                <c:pt idx="54">
                  <c:v>-0.29699999999999999</c:v>
                </c:pt>
                <c:pt idx="55">
                  <c:v>7.8E-2</c:v>
                </c:pt>
                <c:pt idx="56">
                  <c:v>-0.156</c:v>
                </c:pt>
                <c:pt idx="57">
                  <c:v>-7.6999999999999999E-2</c:v>
                </c:pt>
                <c:pt idx="58">
                  <c:v>-0.63100000000000001</c:v>
                </c:pt>
                <c:pt idx="59">
                  <c:v>-0.16600000000000001</c:v>
                </c:pt>
                <c:pt idx="60">
                  <c:v>-0.27100000000000002</c:v>
                </c:pt>
                <c:pt idx="61">
                  <c:v>-0.13600000000000001</c:v>
                </c:pt>
                <c:pt idx="62">
                  <c:v>-0.32700000000000001</c:v>
                </c:pt>
                <c:pt idx="63">
                  <c:v>-4.1000000000000002E-2</c:v>
                </c:pt>
                <c:pt idx="64">
                  <c:v>-0.29399999999999998</c:v>
                </c:pt>
                <c:pt idx="65">
                  <c:v>-0.20699999999999999</c:v>
                </c:pt>
                <c:pt idx="66">
                  <c:v>-0.30299999999999999</c:v>
                </c:pt>
                <c:pt idx="67">
                  <c:v>-0.17100000000000001</c:v>
                </c:pt>
                <c:pt idx="68">
                  <c:v>-0.28100000000000003</c:v>
                </c:pt>
                <c:pt idx="69">
                  <c:v>-0.127</c:v>
                </c:pt>
                <c:pt idx="70">
                  <c:v>-0.373</c:v>
                </c:pt>
                <c:pt idx="71">
                  <c:v>-0.13500000000000001</c:v>
                </c:pt>
                <c:pt idx="72">
                  <c:v>-0.30499999999999999</c:v>
                </c:pt>
                <c:pt idx="73">
                  <c:v>-0.129</c:v>
                </c:pt>
                <c:pt idx="74">
                  <c:v>-0.379</c:v>
                </c:pt>
                <c:pt idx="75">
                  <c:v>-0.09</c:v>
                </c:pt>
                <c:pt idx="76">
                  <c:v>-0.28199999999999997</c:v>
                </c:pt>
                <c:pt idx="77">
                  <c:v>-0.19900000000000001</c:v>
                </c:pt>
                <c:pt idx="78">
                  <c:v>-0.23499999999999999</c:v>
                </c:pt>
                <c:pt idx="79">
                  <c:v>-0.246</c:v>
                </c:pt>
                <c:pt idx="80">
                  <c:v>-0.218</c:v>
                </c:pt>
                <c:pt idx="81">
                  <c:v>-6.5000000000000002E-2</c:v>
                </c:pt>
                <c:pt idx="82">
                  <c:v>-0.26200000000000001</c:v>
                </c:pt>
                <c:pt idx="83">
                  <c:v>-0.23100000000000001</c:v>
                </c:pt>
                <c:pt idx="84">
                  <c:v>-0.104</c:v>
                </c:pt>
                <c:pt idx="85">
                  <c:v>-0.245</c:v>
                </c:pt>
                <c:pt idx="86">
                  <c:v>-0.14000000000000001</c:v>
                </c:pt>
                <c:pt idx="87">
                  <c:v>-0.255</c:v>
                </c:pt>
                <c:pt idx="88">
                  <c:v>-0.214</c:v>
                </c:pt>
                <c:pt idx="89">
                  <c:v>-0.27900000000000003</c:v>
                </c:pt>
                <c:pt idx="90">
                  <c:v>-0.14699999999999999</c:v>
                </c:pt>
                <c:pt idx="91">
                  <c:v>-0.26100000000000001</c:v>
                </c:pt>
                <c:pt idx="92">
                  <c:v>-0.19700000000000001</c:v>
                </c:pt>
                <c:pt idx="93">
                  <c:v>-5.8000000000000003E-2</c:v>
                </c:pt>
                <c:pt idx="94">
                  <c:v>-0.193</c:v>
                </c:pt>
                <c:pt idx="95">
                  <c:v>-0.22900000000000001</c:v>
                </c:pt>
                <c:pt idx="96">
                  <c:v>2.7E-2</c:v>
                </c:pt>
                <c:pt idx="97">
                  <c:v>-6.3E-2</c:v>
                </c:pt>
                <c:pt idx="98">
                  <c:v>-0.11799999999999999</c:v>
                </c:pt>
                <c:pt idx="99">
                  <c:v>-0.24199999999999999</c:v>
                </c:pt>
                <c:pt idx="100">
                  <c:v>-4.8000000000000001E-2</c:v>
                </c:pt>
                <c:pt idx="101">
                  <c:v>-9.1999999999999998E-2</c:v>
                </c:pt>
                <c:pt idx="102">
                  <c:v>-5.2999999999999999E-2</c:v>
                </c:pt>
                <c:pt idx="103">
                  <c:v>4.1000000000000002E-2</c:v>
                </c:pt>
                <c:pt idx="104">
                  <c:v>-5.6000000000000001E-2</c:v>
                </c:pt>
                <c:pt idx="105">
                  <c:v>-0.20499999999999999</c:v>
                </c:pt>
                <c:pt idx="106">
                  <c:v>-0.16900000000000001</c:v>
                </c:pt>
                <c:pt idx="107">
                  <c:v>-0.188</c:v>
                </c:pt>
                <c:pt idx="108">
                  <c:v>-8.5999999999999993E-2</c:v>
                </c:pt>
                <c:pt idx="109">
                  <c:v>-0.1</c:v>
                </c:pt>
                <c:pt idx="110">
                  <c:v>-4.0000000000000001E-3</c:v>
                </c:pt>
                <c:pt idx="111">
                  <c:v>-0.30299999999999999</c:v>
                </c:pt>
                <c:pt idx="112">
                  <c:v>-7.9000000000000001E-2</c:v>
                </c:pt>
                <c:pt idx="113">
                  <c:v>-0.185</c:v>
                </c:pt>
                <c:pt idx="114">
                  <c:v>0.189</c:v>
                </c:pt>
                <c:pt idx="115">
                  <c:v>-0.38400000000000001</c:v>
                </c:pt>
                <c:pt idx="116">
                  <c:v>-0.129</c:v>
                </c:pt>
                <c:pt idx="117">
                  <c:v>-0.26600000000000001</c:v>
                </c:pt>
                <c:pt idx="118">
                  <c:v>-9.8000000000000004E-2</c:v>
                </c:pt>
                <c:pt idx="119">
                  <c:v>-0.24</c:v>
                </c:pt>
                <c:pt idx="120">
                  <c:v>-0.128</c:v>
                </c:pt>
                <c:pt idx="121">
                  <c:v>-0.29299999999999998</c:v>
                </c:pt>
                <c:pt idx="122">
                  <c:v>-0.22700000000000001</c:v>
                </c:pt>
                <c:pt idx="123">
                  <c:v>-0.36299999999999999</c:v>
                </c:pt>
                <c:pt idx="124">
                  <c:v>7.2999999999999995E-2</c:v>
                </c:pt>
                <c:pt idx="125">
                  <c:v>-0.30399999999999999</c:v>
                </c:pt>
                <c:pt idx="126">
                  <c:v>-5.6000000000000001E-2</c:v>
                </c:pt>
                <c:pt idx="127">
                  <c:v>-0.21099999999999999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5-4918-ABEB-F9D3A31211E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('AMP7-8'!$AD$4,'AMP7-8'!$AD$4)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5-4918-ABEB-F9D3A31211E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('AMP7-8'!$AD$5,'AMP7-8'!$AD$5)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B5-4918-ABEB-F9D3A3121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18656"/>
        <c:axId val="598719048"/>
      </c:scatterChart>
      <c:valAx>
        <c:axId val="59871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9048"/>
        <c:crosses val="autoZero"/>
        <c:crossBetween val="midCat"/>
      </c:valAx>
      <c:valAx>
        <c:axId val="59871904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1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'AMP7-8'!$AE$8</c:f>
              <c:strCache>
                <c:ptCount val="1"/>
                <c:pt idx="0">
                  <c:v>T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'AMP7-8'!$AE$9:$AE$136</c:f>
              <c:numCache>
                <c:formatCode>General</c:formatCode>
                <c:ptCount val="128"/>
                <c:pt idx="0">
                  <c:v>0.126</c:v>
                </c:pt>
                <c:pt idx="1">
                  <c:v>0.35799999999999998</c:v>
                </c:pt>
                <c:pt idx="2">
                  <c:v>7.1999999999999995E-2</c:v>
                </c:pt>
                <c:pt idx="3">
                  <c:v>0.42899999999999999</c:v>
                </c:pt>
                <c:pt idx="4">
                  <c:v>0.13700000000000001</c:v>
                </c:pt>
                <c:pt idx="5">
                  <c:v>0.27400000000000002</c:v>
                </c:pt>
                <c:pt idx="6">
                  <c:v>5.8000000000000003E-2</c:v>
                </c:pt>
                <c:pt idx="7">
                  <c:v>0.21199999999999999</c:v>
                </c:pt>
                <c:pt idx="8">
                  <c:v>0.189</c:v>
                </c:pt>
                <c:pt idx="9">
                  <c:v>0.20599999999999999</c:v>
                </c:pt>
                <c:pt idx="10">
                  <c:v>2.1000000000000001E-2</c:v>
                </c:pt>
                <c:pt idx="11">
                  <c:v>0.182</c:v>
                </c:pt>
                <c:pt idx="12">
                  <c:v>0.13</c:v>
                </c:pt>
                <c:pt idx="13">
                  <c:v>0.30399999999999999</c:v>
                </c:pt>
                <c:pt idx="14">
                  <c:v>0.56000000000000005</c:v>
                </c:pt>
                <c:pt idx="15">
                  <c:v>6.6000000000000003E-2</c:v>
                </c:pt>
                <c:pt idx="16">
                  <c:v>0.183</c:v>
                </c:pt>
                <c:pt idx="17">
                  <c:v>0.376</c:v>
                </c:pt>
                <c:pt idx="18">
                  <c:v>5.7000000000000002E-2</c:v>
                </c:pt>
                <c:pt idx="19">
                  <c:v>0.41099999999999998</c:v>
                </c:pt>
                <c:pt idx="20">
                  <c:v>4.2999999999999997E-2</c:v>
                </c:pt>
                <c:pt idx="21">
                  <c:v>0.249</c:v>
                </c:pt>
                <c:pt idx="22">
                  <c:v>9.9000000000000005E-2</c:v>
                </c:pt>
                <c:pt idx="23">
                  <c:v>0.23400000000000001</c:v>
                </c:pt>
                <c:pt idx="24">
                  <c:v>-6.0000000000000001E-3</c:v>
                </c:pt>
                <c:pt idx="25">
                  <c:v>0.26600000000000001</c:v>
                </c:pt>
                <c:pt idx="26">
                  <c:v>-2.9000000000000001E-2</c:v>
                </c:pt>
                <c:pt idx="27">
                  <c:v>0.25800000000000001</c:v>
                </c:pt>
                <c:pt idx="28">
                  <c:v>2.5999999999999999E-2</c:v>
                </c:pt>
                <c:pt idx="29">
                  <c:v>0.33</c:v>
                </c:pt>
                <c:pt idx="30">
                  <c:v>2.1999999999999999E-2</c:v>
                </c:pt>
                <c:pt idx="31">
                  <c:v>0.23400000000000001</c:v>
                </c:pt>
                <c:pt idx="32">
                  <c:v>-5.0999999999999997E-2</c:v>
                </c:pt>
                <c:pt idx="33">
                  <c:v>0.224</c:v>
                </c:pt>
                <c:pt idx="34">
                  <c:v>1.0999999999999999E-2</c:v>
                </c:pt>
                <c:pt idx="35">
                  <c:v>0.29899999999999999</c:v>
                </c:pt>
                <c:pt idx="36">
                  <c:v>1.6E-2</c:v>
                </c:pt>
                <c:pt idx="37">
                  <c:v>0.37</c:v>
                </c:pt>
                <c:pt idx="38">
                  <c:v>6.0000000000000001E-3</c:v>
                </c:pt>
                <c:pt idx="39">
                  <c:v>0.28399999999999997</c:v>
                </c:pt>
                <c:pt idx="40">
                  <c:v>-5.0999999999999997E-2</c:v>
                </c:pt>
                <c:pt idx="41">
                  <c:v>0.189</c:v>
                </c:pt>
                <c:pt idx="42">
                  <c:v>-0.11700000000000001</c:v>
                </c:pt>
                <c:pt idx="43">
                  <c:v>0.28000000000000003</c:v>
                </c:pt>
                <c:pt idx="44">
                  <c:v>5.5E-2</c:v>
                </c:pt>
                <c:pt idx="45">
                  <c:v>0.218</c:v>
                </c:pt>
                <c:pt idx="46">
                  <c:v>4.3999999999999997E-2</c:v>
                </c:pt>
                <c:pt idx="47">
                  <c:v>0.19600000000000001</c:v>
                </c:pt>
                <c:pt idx="48">
                  <c:v>6.9000000000000006E-2</c:v>
                </c:pt>
                <c:pt idx="49">
                  <c:v>0.28299999999999997</c:v>
                </c:pt>
                <c:pt idx="50">
                  <c:v>0.161</c:v>
                </c:pt>
                <c:pt idx="51">
                  <c:v>0.27600000000000002</c:v>
                </c:pt>
                <c:pt idx="52">
                  <c:v>0.21099999999999999</c:v>
                </c:pt>
                <c:pt idx="53">
                  <c:v>0.23300000000000001</c:v>
                </c:pt>
                <c:pt idx="54">
                  <c:v>3.1E-2</c:v>
                </c:pt>
                <c:pt idx="55">
                  <c:v>0.44400000000000001</c:v>
                </c:pt>
                <c:pt idx="56">
                  <c:v>0.161</c:v>
                </c:pt>
                <c:pt idx="57">
                  <c:v>0.316</c:v>
                </c:pt>
                <c:pt idx="58">
                  <c:v>0.03</c:v>
                </c:pt>
                <c:pt idx="59">
                  <c:v>0.22800000000000001</c:v>
                </c:pt>
                <c:pt idx="60">
                  <c:v>-0.02</c:v>
                </c:pt>
                <c:pt idx="61">
                  <c:v>0.28399999999999997</c:v>
                </c:pt>
                <c:pt idx="62">
                  <c:v>-1E-3</c:v>
                </c:pt>
                <c:pt idx="63">
                  <c:v>0.376</c:v>
                </c:pt>
                <c:pt idx="64">
                  <c:v>4.0000000000000001E-3</c:v>
                </c:pt>
                <c:pt idx="65">
                  <c:v>0.23400000000000001</c:v>
                </c:pt>
                <c:pt idx="66">
                  <c:v>2.9000000000000001E-2</c:v>
                </c:pt>
                <c:pt idx="67">
                  <c:v>0.193</c:v>
                </c:pt>
                <c:pt idx="68">
                  <c:v>9.9000000000000005E-2</c:v>
                </c:pt>
                <c:pt idx="69">
                  <c:v>0.29199999999999998</c:v>
                </c:pt>
                <c:pt idx="70">
                  <c:v>5.0000000000000001E-3</c:v>
                </c:pt>
                <c:pt idx="71">
                  <c:v>0.249</c:v>
                </c:pt>
                <c:pt idx="72">
                  <c:v>0.03</c:v>
                </c:pt>
                <c:pt idx="73">
                  <c:v>0.19900000000000001</c:v>
                </c:pt>
                <c:pt idx="74">
                  <c:v>2E-3</c:v>
                </c:pt>
                <c:pt idx="75">
                  <c:v>0.26600000000000001</c:v>
                </c:pt>
                <c:pt idx="76">
                  <c:v>4.7E-2</c:v>
                </c:pt>
                <c:pt idx="77">
                  <c:v>0.41299999999999998</c:v>
                </c:pt>
                <c:pt idx="78">
                  <c:v>5.6000000000000001E-2</c:v>
                </c:pt>
                <c:pt idx="79">
                  <c:v>0.22800000000000001</c:v>
                </c:pt>
                <c:pt idx="80">
                  <c:v>7.0999999999999994E-2</c:v>
                </c:pt>
                <c:pt idx="81">
                  <c:v>0.41599999999999998</c:v>
                </c:pt>
                <c:pt idx="82">
                  <c:v>9.6000000000000002E-2</c:v>
                </c:pt>
                <c:pt idx="83">
                  <c:v>0.23699999999999999</c:v>
                </c:pt>
                <c:pt idx="84">
                  <c:v>0.19600000000000001</c:v>
                </c:pt>
                <c:pt idx="85">
                  <c:v>0.246</c:v>
                </c:pt>
                <c:pt idx="86">
                  <c:v>0.14399999999999999</c:v>
                </c:pt>
                <c:pt idx="87">
                  <c:v>0.26300000000000001</c:v>
                </c:pt>
                <c:pt idx="88">
                  <c:v>9.8000000000000004E-2</c:v>
                </c:pt>
                <c:pt idx="89">
                  <c:v>0.254</c:v>
                </c:pt>
                <c:pt idx="90">
                  <c:v>0.14899999999999999</c:v>
                </c:pt>
                <c:pt idx="91">
                  <c:v>0.23699999999999999</c:v>
                </c:pt>
                <c:pt idx="92">
                  <c:v>8.2000000000000003E-2</c:v>
                </c:pt>
                <c:pt idx="93">
                  <c:v>0.41499999999999998</c:v>
                </c:pt>
                <c:pt idx="94">
                  <c:v>0.108</c:v>
                </c:pt>
                <c:pt idx="95">
                  <c:v>0.28100000000000003</c:v>
                </c:pt>
                <c:pt idx="96">
                  <c:v>0.36399999999999999</c:v>
                </c:pt>
                <c:pt idx="97">
                  <c:v>0.38900000000000001</c:v>
                </c:pt>
                <c:pt idx="98">
                  <c:v>0.221</c:v>
                </c:pt>
                <c:pt idx="99">
                  <c:v>0.253</c:v>
                </c:pt>
                <c:pt idx="100">
                  <c:v>0.32100000000000001</c:v>
                </c:pt>
                <c:pt idx="101">
                  <c:v>0.41299999999999998</c:v>
                </c:pt>
                <c:pt idx="102">
                  <c:v>0.24299999999999999</c:v>
                </c:pt>
                <c:pt idx="103">
                  <c:v>0.47499999999999998</c:v>
                </c:pt>
                <c:pt idx="104">
                  <c:v>0.253</c:v>
                </c:pt>
                <c:pt idx="105">
                  <c:v>0.20200000000000001</c:v>
                </c:pt>
                <c:pt idx="106">
                  <c:v>0.22500000000000001</c:v>
                </c:pt>
                <c:pt idx="107">
                  <c:v>0.28399999999999997</c:v>
                </c:pt>
                <c:pt idx="108">
                  <c:v>0.42199999999999999</c:v>
                </c:pt>
                <c:pt idx="109">
                  <c:v>0.41499999999999998</c:v>
                </c:pt>
                <c:pt idx="110">
                  <c:v>0.32400000000000001</c:v>
                </c:pt>
                <c:pt idx="111">
                  <c:v>0.184</c:v>
                </c:pt>
                <c:pt idx="112">
                  <c:v>0.224</c:v>
                </c:pt>
                <c:pt idx="113">
                  <c:v>0.29299999999999998</c:v>
                </c:pt>
                <c:pt idx="114">
                  <c:v>0.47299999999999998</c:v>
                </c:pt>
                <c:pt idx="115">
                  <c:v>9.1999999999999998E-2</c:v>
                </c:pt>
                <c:pt idx="116">
                  <c:v>0.192</c:v>
                </c:pt>
                <c:pt idx="117">
                  <c:v>0.216</c:v>
                </c:pt>
                <c:pt idx="118">
                  <c:v>0.224</c:v>
                </c:pt>
                <c:pt idx="119">
                  <c:v>0.21</c:v>
                </c:pt>
                <c:pt idx="120">
                  <c:v>0.16900000000000001</c:v>
                </c:pt>
                <c:pt idx="121">
                  <c:v>0.10100000000000001</c:v>
                </c:pt>
                <c:pt idx="122">
                  <c:v>4.2000000000000003E-2</c:v>
                </c:pt>
                <c:pt idx="123">
                  <c:v>3.4000000000000002E-2</c:v>
                </c:pt>
                <c:pt idx="124">
                  <c:v>0.34799999999999998</c:v>
                </c:pt>
                <c:pt idx="125">
                  <c:v>0.13</c:v>
                </c:pt>
                <c:pt idx="126">
                  <c:v>0.26300000000000001</c:v>
                </c:pt>
                <c:pt idx="127">
                  <c:v>0.308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51-4C93-B315-459A883C3C22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('AMP7-8'!$AE$4,'AMP7-8'!$AE$4)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51-4C93-B315-459A883C3C22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('AMP7-8'!$AE$5,'AMP7-8'!$AE$5)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51-4C93-B315-459A883C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20224"/>
        <c:axId val="598720616"/>
      </c:scatterChart>
      <c:valAx>
        <c:axId val="59872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0616"/>
        <c:crosses val="autoZero"/>
        <c:crossBetween val="midCat"/>
      </c:valAx>
      <c:valAx>
        <c:axId val="59872061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'AMP7-8'!$AF$8</c:f>
              <c:strCache>
                <c:ptCount val="1"/>
                <c:pt idx="0">
                  <c:v>T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'AMP7-8'!$AF$9:$AF$136</c:f>
              <c:numCache>
                <c:formatCode>General</c:formatCode>
                <c:ptCount val="128"/>
                <c:pt idx="0">
                  <c:v>-0.11</c:v>
                </c:pt>
                <c:pt idx="1">
                  <c:v>-5.2999999999999999E-2</c:v>
                </c:pt>
                <c:pt idx="2">
                  <c:v>-7.0000000000000001E-3</c:v>
                </c:pt>
                <c:pt idx="3">
                  <c:v>-1.6E-2</c:v>
                </c:pt>
                <c:pt idx="4">
                  <c:v>-0.11899999999999999</c:v>
                </c:pt>
                <c:pt idx="5">
                  <c:v>0.02</c:v>
                </c:pt>
                <c:pt idx="6">
                  <c:v>-0.23100000000000001</c:v>
                </c:pt>
                <c:pt idx="7">
                  <c:v>-0.21299999999999999</c:v>
                </c:pt>
                <c:pt idx="8">
                  <c:v>-9.5000000000000001E-2</c:v>
                </c:pt>
                <c:pt idx="9">
                  <c:v>-0.17100000000000001</c:v>
                </c:pt>
                <c:pt idx="10">
                  <c:v>-0.19900000000000001</c:v>
                </c:pt>
                <c:pt idx="11">
                  <c:v>-0.24199999999999999</c:v>
                </c:pt>
                <c:pt idx="12">
                  <c:v>-0.16800000000000001</c:v>
                </c:pt>
                <c:pt idx="13">
                  <c:v>-0.10299999999999999</c:v>
                </c:pt>
                <c:pt idx="14">
                  <c:v>-0.185</c:v>
                </c:pt>
                <c:pt idx="15">
                  <c:v>-0.372</c:v>
                </c:pt>
                <c:pt idx="16">
                  <c:v>0.14899999999999999</c:v>
                </c:pt>
                <c:pt idx="17">
                  <c:v>4.4999999999999998E-2</c:v>
                </c:pt>
                <c:pt idx="18">
                  <c:v>0.10199999999999999</c:v>
                </c:pt>
                <c:pt idx="19">
                  <c:v>0.16300000000000001</c:v>
                </c:pt>
                <c:pt idx="20">
                  <c:v>0.03</c:v>
                </c:pt>
                <c:pt idx="21">
                  <c:v>-5.3999999999999999E-2</c:v>
                </c:pt>
                <c:pt idx="22">
                  <c:v>-3.4000000000000002E-2</c:v>
                </c:pt>
                <c:pt idx="23">
                  <c:v>-9.1999999999999998E-2</c:v>
                </c:pt>
                <c:pt idx="24">
                  <c:v>-6.0999999999999999E-2</c:v>
                </c:pt>
                <c:pt idx="25">
                  <c:v>-5.3999999999999999E-2</c:v>
                </c:pt>
                <c:pt idx="26">
                  <c:v>-4.0000000000000001E-3</c:v>
                </c:pt>
                <c:pt idx="27">
                  <c:v>1.9E-2</c:v>
                </c:pt>
                <c:pt idx="28">
                  <c:v>-4.3999999999999997E-2</c:v>
                </c:pt>
                <c:pt idx="29">
                  <c:v>-9.7000000000000003E-2</c:v>
                </c:pt>
                <c:pt idx="30">
                  <c:v>8.9999999999999993E-3</c:v>
                </c:pt>
                <c:pt idx="31">
                  <c:v>-7.5999999999999998E-2</c:v>
                </c:pt>
                <c:pt idx="32">
                  <c:v>-4.2000000000000003E-2</c:v>
                </c:pt>
                <c:pt idx="33">
                  <c:v>-1.7999999999999999E-2</c:v>
                </c:pt>
                <c:pt idx="34">
                  <c:v>-0.157</c:v>
                </c:pt>
                <c:pt idx="35">
                  <c:v>-0.113</c:v>
                </c:pt>
                <c:pt idx="36">
                  <c:v>1.6E-2</c:v>
                </c:pt>
                <c:pt idx="37">
                  <c:v>0.126</c:v>
                </c:pt>
                <c:pt idx="38">
                  <c:v>-0.156</c:v>
                </c:pt>
                <c:pt idx="39">
                  <c:v>-0.14000000000000001</c:v>
                </c:pt>
                <c:pt idx="40">
                  <c:v>-0.14199999999999999</c:v>
                </c:pt>
                <c:pt idx="41">
                  <c:v>-8.6999999999999994E-2</c:v>
                </c:pt>
                <c:pt idx="42">
                  <c:v>-0.17699999999999999</c:v>
                </c:pt>
                <c:pt idx="43">
                  <c:v>-0.10299999999999999</c:v>
                </c:pt>
                <c:pt idx="44">
                  <c:v>-0.127</c:v>
                </c:pt>
                <c:pt idx="45">
                  <c:v>-0.11</c:v>
                </c:pt>
                <c:pt idx="46">
                  <c:v>-0.19800000000000001</c:v>
                </c:pt>
                <c:pt idx="47">
                  <c:v>-0.11799999999999999</c:v>
                </c:pt>
                <c:pt idx="48">
                  <c:v>-0.14599999999999999</c:v>
                </c:pt>
                <c:pt idx="49">
                  <c:v>-0.26</c:v>
                </c:pt>
                <c:pt idx="50">
                  <c:v>-0.17799999999999999</c:v>
                </c:pt>
                <c:pt idx="51">
                  <c:v>-0.255</c:v>
                </c:pt>
                <c:pt idx="52">
                  <c:v>-0.189</c:v>
                </c:pt>
                <c:pt idx="53">
                  <c:v>-0.247</c:v>
                </c:pt>
                <c:pt idx="54">
                  <c:v>5.6000000000000001E-2</c:v>
                </c:pt>
                <c:pt idx="55">
                  <c:v>-8.9999999999999993E-3</c:v>
                </c:pt>
                <c:pt idx="56">
                  <c:v>2.5999999999999999E-2</c:v>
                </c:pt>
                <c:pt idx="57">
                  <c:v>2.1000000000000001E-2</c:v>
                </c:pt>
                <c:pt idx="58">
                  <c:v>-6.0000000000000001E-3</c:v>
                </c:pt>
                <c:pt idx="59">
                  <c:v>-6.6000000000000003E-2</c:v>
                </c:pt>
                <c:pt idx="60">
                  <c:v>-0.08</c:v>
                </c:pt>
                <c:pt idx="61">
                  <c:v>-7.9000000000000001E-2</c:v>
                </c:pt>
                <c:pt idx="62">
                  <c:v>-1E-3</c:v>
                </c:pt>
                <c:pt idx="63">
                  <c:v>-3.2000000000000001E-2</c:v>
                </c:pt>
                <c:pt idx="64">
                  <c:v>-7.2999999999999995E-2</c:v>
                </c:pt>
                <c:pt idx="65">
                  <c:v>-0.153</c:v>
                </c:pt>
                <c:pt idx="66">
                  <c:v>-5.8999999999999997E-2</c:v>
                </c:pt>
                <c:pt idx="67">
                  <c:v>-0.115</c:v>
                </c:pt>
                <c:pt idx="68">
                  <c:v>-5.1999999999999998E-2</c:v>
                </c:pt>
                <c:pt idx="69">
                  <c:v>-0.13300000000000001</c:v>
                </c:pt>
                <c:pt idx="70">
                  <c:v>-6.6000000000000003E-2</c:v>
                </c:pt>
                <c:pt idx="71">
                  <c:v>-0.112</c:v>
                </c:pt>
                <c:pt idx="72">
                  <c:v>-6.5000000000000002E-2</c:v>
                </c:pt>
                <c:pt idx="73">
                  <c:v>-0.17699999999999999</c:v>
                </c:pt>
                <c:pt idx="74">
                  <c:v>-6.8000000000000005E-2</c:v>
                </c:pt>
                <c:pt idx="75">
                  <c:v>-0.13300000000000001</c:v>
                </c:pt>
                <c:pt idx="76">
                  <c:v>7.0000000000000001E-3</c:v>
                </c:pt>
                <c:pt idx="77">
                  <c:v>-5.2999999999999999E-2</c:v>
                </c:pt>
                <c:pt idx="78">
                  <c:v>-4.8000000000000001E-2</c:v>
                </c:pt>
                <c:pt idx="79">
                  <c:v>-3.6999999999999998E-2</c:v>
                </c:pt>
                <c:pt idx="80">
                  <c:v>3.0000000000000001E-3</c:v>
                </c:pt>
                <c:pt idx="81">
                  <c:v>-7.0999999999999994E-2</c:v>
                </c:pt>
                <c:pt idx="82">
                  <c:v>3.4000000000000002E-2</c:v>
                </c:pt>
                <c:pt idx="83">
                  <c:v>-7.1999999999999995E-2</c:v>
                </c:pt>
                <c:pt idx="84">
                  <c:v>-4.3999999999999997E-2</c:v>
                </c:pt>
                <c:pt idx="85">
                  <c:v>-0.159</c:v>
                </c:pt>
                <c:pt idx="86">
                  <c:v>-0.106</c:v>
                </c:pt>
                <c:pt idx="87">
                  <c:v>-6.8000000000000005E-2</c:v>
                </c:pt>
                <c:pt idx="88">
                  <c:v>-2.4E-2</c:v>
                </c:pt>
                <c:pt idx="89">
                  <c:v>-0.14199999999999999</c:v>
                </c:pt>
                <c:pt idx="90">
                  <c:v>-4.2000000000000003E-2</c:v>
                </c:pt>
                <c:pt idx="91">
                  <c:v>-0.108</c:v>
                </c:pt>
                <c:pt idx="92">
                  <c:v>-3.5000000000000003E-2</c:v>
                </c:pt>
                <c:pt idx="93">
                  <c:v>3.1E-2</c:v>
                </c:pt>
                <c:pt idx="94">
                  <c:v>-0.10299999999999999</c:v>
                </c:pt>
                <c:pt idx="95">
                  <c:v>-0.12</c:v>
                </c:pt>
                <c:pt idx="96">
                  <c:v>0.16700000000000001</c:v>
                </c:pt>
                <c:pt idx="97">
                  <c:v>0.17199999999999999</c:v>
                </c:pt>
                <c:pt idx="98">
                  <c:v>9.6000000000000002E-2</c:v>
                </c:pt>
                <c:pt idx="99">
                  <c:v>0.10199999999999999</c:v>
                </c:pt>
                <c:pt idx="100">
                  <c:v>0.25</c:v>
                </c:pt>
                <c:pt idx="101">
                  <c:v>0.223</c:v>
                </c:pt>
                <c:pt idx="102">
                  <c:v>0.159</c:v>
                </c:pt>
                <c:pt idx="103">
                  <c:v>1.7000000000000001E-2</c:v>
                </c:pt>
                <c:pt idx="104">
                  <c:v>6.7000000000000004E-2</c:v>
                </c:pt>
                <c:pt idx="105">
                  <c:v>6.5000000000000002E-2</c:v>
                </c:pt>
                <c:pt idx="106">
                  <c:v>0.12</c:v>
                </c:pt>
                <c:pt idx="107">
                  <c:v>0.129</c:v>
                </c:pt>
                <c:pt idx="108">
                  <c:v>0.14099999999999999</c:v>
                </c:pt>
                <c:pt idx="109">
                  <c:v>0.192</c:v>
                </c:pt>
                <c:pt idx="110">
                  <c:v>8.7999999999999995E-2</c:v>
                </c:pt>
                <c:pt idx="111">
                  <c:v>0.20699999999999999</c:v>
                </c:pt>
                <c:pt idx="112">
                  <c:v>0.13600000000000001</c:v>
                </c:pt>
                <c:pt idx="113">
                  <c:v>-0.01</c:v>
                </c:pt>
                <c:pt idx="114">
                  <c:v>-4.9000000000000002E-2</c:v>
                </c:pt>
                <c:pt idx="115">
                  <c:v>-0.18099999999999999</c:v>
                </c:pt>
                <c:pt idx="116">
                  <c:v>-4.8000000000000001E-2</c:v>
                </c:pt>
                <c:pt idx="117">
                  <c:v>-1.4999999999999999E-2</c:v>
                </c:pt>
                <c:pt idx="118">
                  <c:v>5.2999999999999999E-2</c:v>
                </c:pt>
                <c:pt idx="119">
                  <c:v>-2.7E-2</c:v>
                </c:pt>
                <c:pt idx="120">
                  <c:v>-5.8000000000000003E-2</c:v>
                </c:pt>
                <c:pt idx="121">
                  <c:v>-9.2999999999999999E-2</c:v>
                </c:pt>
                <c:pt idx="122">
                  <c:v>-0.21299999999999999</c:v>
                </c:pt>
                <c:pt idx="123">
                  <c:v>-0.20799999999999999</c:v>
                </c:pt>
                <c:pt idx="124">
                  <c:v>-0.06</c:v>
                </c:pt>
                <c:pt idx="125">
                  <c:v>-0.22500000000000001</c:v>
                </c:pt>
                <c:pt idx="126">
                  <c:v>7.6999999999999999E-2</c:v>
                </c:pt>
                <c:pt idx="127">
                  <c:v>7.8E-2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AF-4DA3-8FC0-3489684A1B1A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('AMP7-8'!$AF$4,'AMP7-8'!$AF$4)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AF-4DA3-8FC0-3489684A1B1A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('AMP7-8'!$AF$5,'AMP7-8'!$AF$5)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AF-4DA3-8FC0-3489684A1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21008"/>
        <c:axId val="598721400"/>
      </c:scatterChart>
      <c:valAx>
        <c:axId val="59872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1400"/>
        <c:crosses val="autoZero"/>
        <c:crossBetween val="midCat"/>
      </c:valAx>
      <c:valAx>
        <c:axId val="598721400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'AMP7-8'!$AG$8</c:f>
              <c:strCache>
                <c:ptCount val="1"/>
                <c:pt idx="0">
                  <c:v>T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'AMP7-8'!$AG$9:$AG$136</c:f>
              <c:numCache>
                <c:formatCode>General</c:formatCode>
                <c:ptCount val="128"/>
                <c:pt idx="0">
                  <c:v>-0.20799999999999999</c:v>
                </c:pt>
                <c:pt idx="1">
                  <c:v>-0.161</c:v>
                </c:pt>
                <c:pt idx="2">
                  <c:v>-9.9000000000000005E-2</c:v>
                </c:pt>
                <c:pt idx="3">
                  <c:v>-0.16</c:v>
                </c:pt>
                <c:pt idx="4">
                  <c:v>-0.22</c:v>
                </c:pt>
                <c:pt idx="5">
                  <c:v>-0.10199999999999999</c:v>
                </c:pt>
                <c:pt idx="6">
                  <c:v>-0.30099999999999999</c:v>
                </c:pt>
                <c:pt idx="7">
                  <c:v>-0.33200000000000002</c:v>
                </c:pt>
                <c:pt idx="8">
                  <c:v>-0.20799999999999999</c:v>
                </c:pt>
                <c:pt idx="9">
                  <c:v>-0.29899999999999999</c:v>
                </c:pt>
                <c:pt idx="10">
                  <c:v>-0.32400000000000001</c:v>
                </c:pt>
                <c:pt idx="11">
                  <c:v>-0.28299999999999997</c:v>
                </c:pt>
                <c:pt idx="12">
                  <c:v>-0.28000000000000003</c:v>
                </c:pt>
                <c:pt idx="13">
                  <c:v>-0.246</c:v>
                </c:pt>
                <c:pt idx="14">
                  <c:v>-0.315</c:v>
                </c:pt>
                <c:pt idx="15">
                  <c:v>-0.52100000000000002</c:v>
                </c:pt>
                <c:pt idx="16">
                  <c:v>4.4999999999999998E-2</c:v>
                </c:pt>
                <c:pt idx="17">
                  <c:v>-7.4999999999999997E-2</c:v>
                </c:pt>
                <c:pt idx="18">
                  <c:v>1.0999999999999999E-2</c:v>
                </c:pt>
                <c:pt idx="19">
                  <c:v>3.7999999999999999E-2</c:v>
                </c:pt>
                <c:pt idx="20">
                  <c:v>-5.6000000000000001E-2</c:v>
                </c:pt>
                <c:pt idx="21">
                  <c:v>-0.15</c:v>
                </c:pt>
                <c:pt idx="22">
                  <c:v>-0.122</c:v>
                </c:pt>
                <c:pt idx="23">
                  <c:v>-0.214</c:v>
                </c:pt>
                <c:pt idx="24">
                  <c:v>-0.151</c:v>
                </c:pt>
                <c:pt idx="25">
                  <c:v>-0.18</c:v>
                </c:pt>
                <c:pt idx="26">
                  <c:v>-0.105</c:v>
                </c:pt>
                <c:pt idx="27">
                  <c:v>-0.106</c:v>
                </c:pt>
                <c:pt idx="28">
                  <c:v>-0.13900000000000001</c:v>
                </c:pt>
                <c:pt idx="29">
                  <c:v>-0.221</c:v>
                </c:pt>
                <c:pt idx="30">
                  <c:v>-8.5999999999999993E-2</c:v>
                </c:pt>
                <c:pt idx="31">
                  <c:v>-0.19400000000000001</c:v>
                </c:pt>
                <c:pt idx="32">
                  <c:v>-0.13600000000000001</c:v>
                </c:pt>
                <c:pt idx="33">
                  <c:v>-0.155</c:v>
                </c:pt>
                <c:pt idx="34">
                  <c:v>-0.23799999999999999</c:v>
                </c:pt>
                <c:pt idx="35">
                  <c:v>-0.251</c:v>
                </c:pt>
                <c:pt idx="36">
                  <c:v>-0.107</c:v>
                </c:pt>
                <c:pt idx="37">
                  <c:v>-2E-3</c:v>
                </c:pt>
                <c:pt idx="38">
                  <c:v>-0.25600000000000001</c:v>
                </c:pt>
                <c:pt idx="39">
                  <c:v>-0.26400000000000001</c:v>
                </c:pt>
                <c:pt idx="40">
                  <c:v>-0.23799999999999999</c:v>
                </c:pt>
                <c:pt idx="41">
                  <c:v>-0.20100000000000001</c:v>
                </c:pt>
                <c:pt idx="42">
                  <c:v>-0.24399999999999999</c:v>
                </c:pt>
                <c:pt idx="43">
                  <c:v>-0.30399999999999999</c:v>
                </c:pt>
                <c:pt idx="44">
                  <c:v>-0.20799999999999999</c:v>
                </c:pt>
                <c:pt idx="45">
                  <c:v>-0.246</c:v>
                </c:pt>
                <c:pt idx="46">
                  <c:v>-0.30199999999999999</c:v>
                </c:pt>
                <c:pt idx="47">
                  <c:v>-0.255</c:v>
                </c:pt>
                <c:pt idx="48">
                  <c:v>-0.26300000000000001</c:v>
                </c:pt>
                <c:pt idx="49">
                  <c:v>-0.39200000000000002</c:v>
                </c:pt>
                <c:pt idx="50">
                  <c:v>-0.28599999999999998</c:v>
                </c:pt>
                <c:pt idx="51">
                  <c:v>-0.39200000000000002</c:v>
                </c:pt>
                <c:pt idx="52">
                  <c:v>-0.307</c:v>
                </c:pt>
                <c:pt idx="53">
                  <c:v>-0.38</c:v>
                </c:pt>
                <c:pt idx="54">
                  <c:v>-3.3000000000000002E-2</c:v>
                </c:pt>
                <c:pt idx="55">
                  <c:v>-0.13300000000000001</c:v>
                </c:pt>
                <c:pt idx="56">
                  <c:v>-7.0999999999999994E-2</c:v>
                </c:pt>
                <c:pt idx="57">
                  <c:v>-9.5000000000000001E-2</c:v>
                </c:pt>
                <c:pt idx="58">
                  <c:v>-9.0999999999999998E-2</c:v>
                </c:pt>
                <c:pt idx="59">
                  <c:v>-0.191</c:v>
                </c:pt>
                <c:pt idx="60">
                  <c:v>-0.16700000000000001</c:v>
                </c:pt>
                <c:pt idx="61">
                  <c:v>-0.185</c:v>
                </c:pt>
                <c:pt idx="62">
                  <c:v>-0.10299999999999999</c:v>
                </c:pt>
                <c:pt idx="63">
                  <c:v>-0.153</c:v>
                </c:pt>
                <c:pt idx="64">
                  <c:v>-0.192</c:v>
                </c:pt>
                <c:pt idx="65">
                  <c:v>-0.27</c:v>
                </c:pt>
                <c:pt idx="66">
                  <c:v>-0.14699999999999999</c:v>
                </c:pt>
                <c:pt idx="67">
                  <c:v>-0.22800000000000001</c:v>
                </c:pt>
                <c:pt idx="68">
                  <c:v>-0.125</c:v>
                </c:pt>
                <c:pt idx="69">
                  <c:v>-0.249</c:v>
                </c:pt>
                <c:pt idx="70">
                  <c:v>-0.155</c:v>
                </c:pt>
                <c:pt idx="71">
                  <c:v>-0.23200000000000001</c:v>
                </c:pt>
                <c:pt idx="72">
                  <c:v>-0.16200000000000001</c:v>
                </c:pt>
                <c:pt idx="73">
                  <c:v>-0.25900000000000001</c:v>
                </c:pt>
                <c:pt idx="74">
                  <c:v>-0.157</c:v>
                </c:pt>
                <c:pt idx="75">
                  <c:v>-0.24399999999999999</c:v>
                </c:pt>
                <c:pt idx="76">
                  <c:v>-0.09</c:v>
                </c:pt>
                <c:pt idx="77">
                  <c:v>-0.16800000000000001</c:v>
                </c:pt>
                <c:pt idx="78">
                  <c:v>-0.13300000000000001</c:v>
                </c:pt>
                <c:pt idx="79">
                  <c:v>-0.157</c:v>
                </c:pt>
                <c:pt idx="80">
                  <c:v>-9.2999999999999999E-2</c:v>
                </c:pt>
                <c:pt idx="81">
                  <c:v>-0.185</c:v>
                </c:pt>
                <c:pt idx="82">
                  <c:v>-6.6000000000000003E-2</c:v>
                </c:pt>
                <c:pt idx="83">
                  <c:v>-0.17299999999999999</c:v>
                </c:pt>
                <c:pt idx="84">
                  <c:v>-0.16500000000000001</c:v>
                </c:pt>
                <c:pt idx="85">
                  <c:v>-0.27500000000000002</c:v>
                </c:pt>
                <c:pt idx="86">
                  <c:v>-0.214</c:v>
                </c:pt>
                <c:pt idx="87">
                  <c:v>-0.193</c:v>
                </c:pt>
                <c:pt idx="88">
                  <c:v>-0.127</c:v>
                </c:pt>
                <c:pt idx="89">
                  <c:v>-0.29399999999999998</c:v>
                </c:pt>
                <c:pt idx="90">
                  <c:v>-0.14099999999999999</c:v>
                </c:pt>
                <c:pt idx="91">
                  <c:v>-0.25</c:v>
                </c:pt>
                <c:pt idx="92">
                  <c:v>-0.151</c:v>
                </c:pt>
                <c:pt idx="93">
                  <c:v>-9.5000000000000001E-2</c:v>
                </c:pt>
                <c:pt idx="94">
                  <c:v>-0.19800000000000001</c:v>
                </c:pt>
                <c:pt idx="95">
                  <c:v>-0.25800000000000001</c:v>
                </c:pt>
                <c:pt idx="96">
                  <c:v>7.0000000000000007E-2</c:v>
                </c:pt>
                <c:pt idx="97">
                  <c:v>4.2000000000000003E-2</c:v>
                </c:pt>
                <c:pt idx="98">
                  <c:v>8.0000000000000002E-3</c:v>
                </c:pt>
                <c:pt idx="99">
                  <c:v>-2.3E-2</c:v>
                </c:pt>
                <c:pt idx="100">
                  <c:v>0.15</c:v>
                </c:pt>
                <c:pt idx="101">
                  <c:v>9.9000000000000005E-2</c:v>
                </c:pt>
                <c:pt idx="102">
                  <c:v>6.4000000000000001E-2</c:v>
                </c:pt>
                <c:pt idx="103">
                  <c:v>-0.106</c:v>
                </c:pt>
                <c:pt idx="104">
                  <c:v>-2.1999999999999999E-2</c:v>
                </c:pt>
                <c:pt idx="105">
                  <c:v>-5.1999999999999998E-2</c:v>
                </c:pt>
                <c:pt idx="106">
                  <c:v>1.2E-2</c:v>
                </c:pt>
                <c:pt idx="107">
                  <c:v>-1E-3</c:v>
                </c:pt>
                <c:pt idx="108">
                  <c:v>0.04</c:v>
                </c:pt>
                <c:pt idx="109">
                  <c:v>7.5999999999999998E-2</c:v>
                </c:pt>
                <c:pt idx="110">
                  <c:v>-0.01</c:v>
                </c:pt>
                <c:pt idx="111">
                  <c:v>9.2999999999999999E-2</c:v>
                </c:pt>
                <c:pt idx="112">
                  <c:v>0.03</c:v>
                </c:pt>
                <c:pt idx="113">
                  <c:v>-0.15</c:v>
                </c:pt>
                <c:pt idx="114">
                  <c:v>-0.14899999999999999</c:v>
                </c:pt>
                <c:pt idx="115">
                  <c:v>-0.34100000000000003</c:v>
                </c:pt>
                <c:pt idx="116">
                  <c:v>-0.17499999999999999</c:v>
                </c:pt>
                <c:pt idx="117">
                  <c:v>-0.121</c:v>
                </c:pt>
                <c:pt idx="118">
                  <c:v>-5.5E-2</c:v>
                </c:pt>
                <c:pt idx="119">
                  <c:v>-0.16300000000000001</c:v>
                </c:pt>
                <c:pt idx="120">
                  <c:v>-0.16500000000000001</c:v>
                </c:pt>
                <c:pt idx="121">
                  <c:v>-0.223</c:v>
                </c:pt>
                <c:pt idx="122">
                  <c:v>-0.30199999999999999</c:v>
                </c:pt>
                <c:pt idx="123">
                  <c:v>-0.33800000000000002</c:v>
                </c:pt>
                <c:pt idx="124">
                  <c:v>-0.158</c:v>
                </c:pt>
                <c:pt idx="125">
                  <c:v>-0.35699999999999998</c:v>
                </c:pt>
                <c:pt idx="126">
                  <c:v>-2.9000000000000001E-2</c:v>
                </c:pt>
                <c:pt idx="127">
                  <c:v>-7.3999999999999996E-2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B4-4CEF-A1E0-21483CB1F937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('AMP7-8'!$AG$4,'AMP7-8'!$AG$4)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B4-4CEF-A1E0-21483CB1F937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('AMP7-8'!$AG$5,'AMP7-8'!$AG$5)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B4-4CEF-A1E0-21483CB1F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22184"/>
        <c:axId val="598722576"/>
      </c:scatterChart>
      <c:valAx>
        <c:axId val="59872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2576"/>
        <c:crosses val="autoZero"/>
        <c:crossBetween val="midCat"/>
      </c:valAx>
      <c:valAx>
        <c:axId val="598722576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'AMP7-8'!$AH$8</c:f>
              <c:strCache>
                <c:ptCount val="1"/>
                <c:pt idx="0">
                  <c:v>T 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'AMP7-8'!$AH$9:$AH$136</c:f>
              <c:numCache>
                <c:formatCode>General</c:formatCode>
                <c:ptCount val="128"/>
                <c:pt idx="0">
                  <c:v>-9.5000000000000001E-2</c:v>
                </c:pt>
                <c:pt idx="1">
                  <c:v>0.14199999999999999</c:v>
                </c:pt>
                <c:pt idx="2">
                  <c:v>-2.5999999999999999E-2</c:v>
                </c:pt>
                <c:pt idx="3">
                  <c:v>0.19600000000000001</c:v>
                </c:pt>
                <c:pt idx="4">
                  <c:v>-0.152</c:v>
                </c:pt>
                <c:pt idx="5">
                  <c:v>0.16300000000000001</c:v>
                </c:pt>
                <c:pt idx="6">
                  <c:v>-0.14099999999999999</c:v>
                </c:pt>
                <c:pt idx="7">
                  <c:v>-6.0000000000000001E-3</c:v>
                </c:pt>
                <c:pt idx="8">
                  <c:v>-7.5999999999999998E-2</c:v>
                </c:pt>
                <c:pt idx="9">
                  <c:v>-3.7999999999999999E-2</c:v>
                </c:pt>
                <c:pt idx="10">
                  <c:v>-0.24199999999999999</c:v>
                </c:pt>
                <c:pt idx="11">
                  <c:v>-0.19900000000000001</c:v>
                </c:pt>
                <c:pt idx="12">
                  <c:v>-0.154</c:v>
                </c:pt>
                <c:pt idx="13">
                  <c:v>-1.7999999999999999E-2</c:v>
                </c:pt>
                <c:pt idx="14">
                  <c:v>-1.2999999999999999E-2</c:v>
                </c:pt>
                <c:pt idx="15">
                  <c:v>-0.39900000000000002</c:v>
                </c:pt>
                <c:pt idx="16">
                  <c:v>1.0999999999999999E-2</c:v>
                </c:pt>
                <c:pt idx="17">
                  <c:v>0.214</c:v>
                </c:pt>
                <c:pt idx="18">
                  <c:v>-0.10299999999999999</c:v>
                </c:pt>
                <c:pt idx="19">
                  <c:v>0.27100000000000002</c:v>
                </c:pt>
                <c:pt idx="20">
                  <c:v>-0.14000000000000001</c:v>
                </c:pt>
                <c:pt idx="21">
                  <c:v>1.7999999999999999E-2</c:v>
                </c:pt>
                <c:pt idx="22">
                  <c:v>-6.7000000000000004E-2</c:v>
                </c:pt>
                <c:pt idx="23">
                  <c:v>-3.1E-2</c:v>
                </c:pt>
                <c:pt idx="24">
                  <c:v>-0.17799999999999999</c:v>
                </c:pt>
                <c:pt idx="25">
                  <c:v>5.1999999999999998E-2</c:v>
                </c:pt>
                <c:pt idx="26">
                  <c:v>-0.15</c:v>
                </c:pt>
                <c:pt idx="27">
                  <c:v>7.0999999999999994E-2</c:v>
                </c:pt>
                <c:pt idx="28">
                  <c:v>-0.128</c:v>
                </c:pt>
                <c:pt idx="29">
                  <c:v>7.9000000000000001E-2</c:v>
                </c:pt>
                <c:pt idx="30">
                  <c:v>-0.26700000000000002</c:v>
                </c:pt>
                <c:pt idx="31">
                  <c:v>-2.4E-2</c:v>
                </c:pt>
                <c:pt idx="32">
                  <c:v>-0.16300000000000001</c:v>
                </c:pt>
                <c:pt idx="33">
                  <c:v>4.3999999999999997E-2</c:v>
                </c:pt>
                <c:pt idx="34">
                  <c:v>-0.20799999999999999</c:v>
                </c:pt>
                <c:pt idx="35">
                  <c:v>0.06</c:v>
                </c:pt>
                <c:pt idx="36">
                  <c:v>-9.4E-2</c:v>
                </c:pt>
                <c:pt idx="37">
                  <c:v>0.251</c:v>
                </c:pt>
                <c:pt idx="38">
                  <c:v>-0.13100000000000001</c:v>
                </c:pt>
                <c:pt idx="39">
                  <c:v>6.0999999999999999E-2</c:v>
                </c:pt>
                <c:pt idx="40">
                  <c:v>-0.187</c:v>
                </c:pt>
                <c:pt idx="41">
                  <c:v>-1.9E-2</c:v>
                </c:pt>
                <c:pt idx="42">
                  <c:v>-0.20399999999999999</c:v>
                </c:pt>
                <c:pt idx="43">
                  <c:v>5.5E-2</c:v>
                </c:pt>
                <c:pt idx="44">
                  <c:v>-0.10100000000000001</c:v>
                </c:pt>
                <c:pt idx="45">
                  <c:v>-1.2E-2</c:v>
                </c:pt>
                <c:pt idx="46">
                  <c:v>-0.10199999999999999</c:v>
                </c:pt>
                <c:pt idx="47">
                  <c:v>-3.5999999999999997E-2</c:v>
                </c:pt>
                <c:pt idx="48">
                  <c:v>-0.16800000000000001</c:v>
                </c:pt>
                <c:pt idx="49">
                  <c:v>-5.2999999999999999E-2</c:v>
                </c:pt>
                <c:pt idx="50">
                  <c:v>-0.125</c:v>
                </c:pt>
                <c:pt idx="51">
                  <c:v>-6.0999999999999999E-2</c:v>
                </c:pt>
                <c:pt idx="52">
                  <c:v>-8.5000000000000006E-2</c:v>
                </c:pt>
                <c:pt idx="53">
                  <c:v>-9.7000000000000003E-2</c:v>
                </c:pt>
                <c:pt idx="54">
                  <c:v>-0.183</c:v>
                </c:pt>
                <c:pt idx="55">
                  <c:v>7.4999999999999997E-2</c:v>
                </c:pt>
                <c:pt idx="56">
                  <c:v>-8.5999999999999993E-2</c:v>
                </c:pt>
                <c:pt idx="57">
                  <c:v>7.0000000000000001E-3</c:v>
                </c:pt>
                <c:pt idx="58">
                  <c:v>-0.26200000000000001</c:v>
                </c:pt>
                <c:pt idx="59">
                  <c:v>-0.122</c:v>
                </c:pt>
                <c:pt idx="60">
                  <c:v>-0.23300000000000001</c:v>
                </c:pt>
                <c:pt idx="61">
                  <c:v>-5.6000000000000001E-2</c:v>
                </c:pt>
                <c:pt idx="62">
                  <c:v>-0.24399999999999999</c:v>
                </c:pt>
                <c:pt idx="63">
                  <c:v>8.6999999999999994E-2</c:v>
                </c:pt>
                <c:pt idx="64">
                  <c:v>-0.27200000000000002</c:v>
                </c:pt>
                <c:pt idx="65">
                  <c:v>-0.14299999999999999</c:v>
                </c:pt>
                <c:pt idx="66">
                  <c:v>-0.252</c:v>
                </c:pt>
                <c:pt idx="67">
                  <c:v>-6.2E-2</c:v>
                </c:pt>
                <c:pt idx="68">
                  <c:v>-0.25800000000000001</c:v>
                </c:pt>
                <c:pt idx="69">
                  <c:v>-4.1000000000000002E-2</c:v>
                </c:pt>
                <c:pt idx="70">
                  <c:v>-0.311</c:v>
                </c:pt>
                <c:pt idx="71">
                  <c:v>-0.05</c:v>
                </c:pt>
                <c:pt idx="72">
                  <c:v>-0.27400000000000002</c:v>
                </c:pt>
                <c:pt idx="73">
                  <c:v>1.4999999999999999E-2</c:v>
                </c:pt>
                <c:pt idx="74">
                  <c:v>-0.30599999999999999</c:v>
                </c:pt>
                <c:pt idx="75">
                  <c:v>-3.2000000000000001E-2</c:v>
                </c:pt>
                <c:pt idx="76">
                  <c:v>-9.9000000000000005E-2</c:v>
                </c:pt>
                <c:pt idx="77">
                  <c:v>6.4000000000000001E-2</c:v>
                </c:pt>
                <c:pt idx="78">
                  <c:v>-0.05</c:v>
                </c:pt>
                <c:pt idx="79">
                  <c:v>-1.2999999999999999E-2</c:v>
                </c:pt>
                <c:pt idx="80">
                  <c:v>-4.2000000000000003E-2</c:v>
                </c:pt>
                <c:pt idx="81">
                  <c:v>2.1999999999999999E-2</c:v>
                </c:pt>
                <c:pt idx="82">
                  <c:v>-5.6000000000000001E-2</c:v>
                </c:pt>
                <c:pt idx="83">
                  <c:v>8.0000000000000002E-3</c:v>
                </c:pt>
                <c:pt idx="84">
                  <c:v>-2.8000000000000001E-2</c:v>
                </c:pt>
                <c:pt idx="85">
                  <c:v>-4.0000000000000001E-3</c:v>
                </c:pt>
                <c:pt idx="86">
                  <c:v>0.11899999999999999</c:v>
                </c:pt>
                <c:pt idx="87">
                  <c:v>0.11700000000000001</c:v>
                </c:pt>
                <c:pt idx="88">
                  <c:v>-5.8000000000000003E-2</c:v>
                </c:pt>
                <c:pt idx="89">
                  <c:v>-2.8000000000000001E-2</c:v>
                </c:pt>
                <c:pt idx="90">
                  <c:v>3.1E-2</c:v>
                </c:pt>
                <c:pt idx="91">
                  <c:v>9.2999999999999999E-2</c:v>
                </c:pt>
                <c:pt idx="92">
                  <c:v>6.4000000000000001E-2</c:v>
                </c:pt>
                <c:pt idx="93">
                  <c:v>0.22500000000000001</c:v>
                </c:pt>
                <c:pt idx="94">
                  <c:v>-0.01</c:v>
                </c:pt>
                <c:pt idx="95">
                  <c:v>8.2000000000000003E-2</c:v>
                </c:pt>
                <c:pt idx="96">
                  <c:v>0.13100000000000001</c:v>
                </c:pt>
                <c:pt idx="97">
                  <c:v>0.317</c:v>
                </c:pt>
                <c:pt idx="98">
                  <c:v>4.2999999999999997E-2</c:v>
                </c:pt>
                <c:pt idx="99">
                  <c:v>0.126</c:v>
                </c:pt>
                <c:pt idx="100">
                  <c:v>0.15</c:v>
                </c:pt>
                <c:pt idx="101">
                  <c:v>0.33300000000000002</c:v>
                </c:pt>
                <c:pt idx="102">
                  <c:v>9.6000000000000002E-2</c:v>
                </c:pt>
                <c:pt idx="103">
                  <c:v>0.41699999999999998</c:v>
                </c:pt>
                <c:pt idx="104">
                  <c:v>0.107</c:v>
                </c:pt>
                <c:pt idx="105">
                  <c:v>0.23799999999999999</c:v>
                </c:pt>
                <c:pt idx="106">
                  <c:v>0.06</c:v>
                </c:pt>
                <c:pt idx="107">
                  <c:v>0.19600000000000001</c:v>
                </c:pt>
                <c:pt idx="108">
                  <c:v>0.125</c:v>
                </c:pt>
                <c:pt idx="109">
                  <c:v>0.35</c:v>
                </c:pt>
                <c:pt idx="110">
                  <c:v>0.158</c:v>
                </c:pt>
                <c:pt idx="111">
                  <c:v>0.154</c:v>
                </c:pt>
                <c:pt idx="112">
                  <c:v>0.13100000000000001</c:v>
                </c:pt>
                <c:pt idx="113">
                  <c:v>7.0999999999999994E-2</c:v>
                </c:pt>
                <c:pt idx="114">
                  <c:v>0.36799999999999999</c:v>
                </c:pt>
                <c:pt idx="115">
                  <c:v>-0.16600000000000001</c:v>
                </c:pt>
                <c:pt idx="116">
                  <c:v>2.4E-2</c:v>
                </c:pt>
                <c:pt idx="117">
                  <c:v>0.184</c:v>
                </c:pt>
                <c:pt idx="118">
                  <c:v>9.9000000000000005E-2</c:v>
                </c:pt>
                <c:pt idx="119">
                  <c:v>0.13500000000000001</c:v>
                </c:pt>
                <c:pt idx="120">
                  <c:v>6.0999999999999999E-2</c:v>
                </c:pt>
                <c:pt idx="121">
                  <c:v>0.14099999999999999</c:v>
                </c:pt>
                <c:pt idx="122">
                  <c:v>-0.111</c:v>
                </c:pt>
                <c:pt idx="123">
                  <c:v>8.0000000000000002E-3</c:v>
                </c:pt>
                <c:pt idx="124">
                  <c:v>0.17699999999999999</c:v>
                </c:pt>
                <c:pt idx="125">
                  <c:v>8.0000000000000002E-3</c:v>
                </c:pt>
                <c:pt idx="126">
                  <c:v>0.13500000000000001</c:v>
                </c:pt>
                <c:pt idx="127">
                  <c:v>0.22600000000000001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4-4F4E-A3A0-92F809E48353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('AMP7-8'!$AH$4,'AMP7-8'!$AH$4)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C4-4F4E-A3A0-92F809E48353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('AMP7-8'!$AH$5,'AMP7-8'!$AH$5)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C4-4F4E-A3A0-92F809E48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23360"/>
        <c:axId val="598723752"/>
      </c:scatterChart>
      <c:valAx>
        <c:axId val="59872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3752"/>
        <c:crosses val="autoZero"/>
        <c:crossBetween val="midCat"/>
      </c:valAx>
      <c:valAx>
        <c:axId val="598723752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Dim T8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'AMP7-8'!$AI$8</c:f>
              <c:strCache>
                <c:ptCount val="1"/>
                <c:pt idx="0">
                  <c:v>T 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'AMP7-8'!$C$9:$C$136</c:f>
              <c:numCache>
                <c:formatCode>m/d/yy\ h:mm;@</c:formatCode>
                <c:ptCount val="128"/>
                <c:pt idx="0">
                  <c:v>43698.857430555552</c:v>
                </c:pt>
                <c:pt idx="1">
                  <c:v>43698.859525462962</c:v>
                </c:pt>
                <c:pt idx="2">
                  <c:v>43699.342187499999</c:v>
                </c:pt>
                <c:pt idx="3">
                  <c:v>43699.344583333332</c:v>
                </c:pt>
                <c:pt idx="4">
                  <c:v>43699.428217592591</c:v>
                </c:pt>
                <c:pt idx="5">
                  <c:v>43699.430231481485</c:v>
                </c:pt>
                <c:pt idx="6">
                  <c:v>43699.486157407409</c:v>
                </c:pt>
                <c:pt idx="7">
                  <c:v>43699.488194444442</c:v>
                </c:pt>
                <c:pt idx="8">
                  <c:v>43699.567488425928</c:v>
                </c:pt>
                <c:pt idx="9">
                  <c:v>43699.569537037038</c:v>
                </c:pt>
                <c:pt idx="10">
                  <c:v>43699.686365740738</c:v>
                </c:pt>
                <c:pt idx="11">
                  <c:v>43699.688449074078</c:v>
                </c:pt>
                <c:pt idx="12">
                  <c:v>43699.794583333336</c:v>
                </c:pt>
                <c:pt idx="13">
                  <c:v>43699.796770833331</c:v>
                </c:pt>
                <c:pt idx="14">
                  <c:v>43700.453252314815</c:v>
                </c:pt>
                <c:pt idx="15">
                  <c:v>43700.455520833333</c:v>
                </c:pt>
                <c:pt idx="16">
                  <c:v>43701.360682870371</c:v>
                </c:pt>
                <c:pt idx="17">
                  <c:v>43701.362384259257</c:v>
                </c:pt>
                <c:pt idx="18">
                  <c:v>43701.42454861111</c:v>
                </c:pt>
                <c:pt idx="19">
                  <c:v>43701.426469907405</c:v>
                </c:pt>
                <c:pt idx="20">
                  <c:v>43701.506168981483</c:v>
                </c:pt>
                <c:pt idx="21">
                  <c:v>43701.507824074077</c:v>
                </c:pt>
                <c:pt idx="22">
                  <c:v>43701.600555555553</c:v>
                </c:pt>
                <c:pt idx="23">
                  <c:v>43701.602175925924</c:v>
                </c:pt>
                <c:pt idx="24">
                  <c:v>43701.682187500002</c:v>
                </c:pt>
                <c:pt idx="25">
                  <c:v>43701.683796296296</c:v>
                </c:pt>
                <c:pt idx="26">
                  <c:v>43702.339699074073</c:v>
                </c:pt>
                <c:pt idx="27">
                  <c:v>43702.341331018521</c:v>
                </c:pt>
                <c:pt idx="28">
                  <c:v>43702.413124999999</c:v>
                </c:pt>
                <c:pt idx="29">
                  <c:v>43702.415150462963</c:v>
                </c:pt>
                <c:pt idx="30">
                  <c:v>43702.49391203704</c:v>
                </c:pt>
                <c:pt idx="31">
                  <c:v>43702.495648148149</c:v>
                </c:pt>
                <c:pt idx="32">
                  <c:v>43702.588553240741</c:v>
                </c:pt>
                <c:pt idx="33">
                  <c:v>43702.59039351852</c:v>
                </c:pt>
                <c:pt idx="34">
                  <c:v>43702.679745370369</c:v>
                </c:pt>
                <c:pt idx="35">
                  <c:v>43702.681342592594</c:v>
                </c:pt>
                <c:pt idx="36">
                  <c:v>43703.320439814815</c:v>
                </c:pt>
                <c:pt idx="37">
                  <c:v>43703.322395833333</c:v>
                </c:pt>
                <c:pt idx="38">
                  <c:v>43703.407372685186</c:v>
                </c:pt>
                <c:pt idx="39">
                  <c:v>43703.409583333334</c:v>
                </c:pt>
                <c:pt idx="40">
                  <c:v>43703.487604166665</c:v>
                </c:pt>
                <c:pt idx="41">
                  <c:v>43703.489178240743</c:v>
                </c:pt>
                <c:pt idx="42">
                  <c:v>43703.648981481485</c:v>
                </c:pt>
                <c:pt idx="43">
                  <c:v>43703.650555555556</c:v>
                </c:pt>
                <c:pt idx="44">
                  <c:v>43703.707650462966</c:v>
                </c:pt>
                <c:pt idx="45">
                  <c:v>43703.70921296296</c:v>
                </c:pt>
                <c:pt idx="46">
                  <c:v>43703.789733796293</c:v>
                </c:pt>
                <c:pt idx="47">
                  <c:v>43703.79278935185</c:v>
                </c:pt>
                <c:pt idx="48">
                  <c:v>43703.8828587963</c:v>
                </c:pt>
                <c:pt idx="49">
                  <c:v>43703.884351851855</c:v>
                </c:pt>
                <c:pt idx="50">
                  <c:v>43703.9840625</c:v>
                </c:pt>
                <c:pt idx="51">
                  <c:v>43703.985555555555</c:v>
                </c:pt>
                <c:pt idx="52">
                  <c:v>43704.038194444445</c:v>
                </c:pt>
                <c:pt idx="53">
                  <c:v>43704.041851851849</c:v>
                </c:pt>
                <c:pt idx="54">
                  <c:v>43704.348252314812</c:v>
                </c:pt>
                <c:pt idx="55">
                  <c:v>43704.350381944445</c:v>
                </c:pt>
                <c:pt idx="56">
                  <c:v>43704.419224537036</c:v>
                </c:pt>
                <c:pt idx="57">
                  <c:v>43704.421342592592</c:v>
                </c:pt>
                <c:pt idx="58">
                  <c:v>43704.523287037038</c:v>
                </c:pt>
                <c:pt idx="59">
                  <c:v>43704.52616898148</c:v>
                </c:pt>
                <c:pt idx="60">
                  <c:v>43704.607546296298</c:v>
                </c:pt>
                <c:pt idx="61">
                  <c:v>43704.6096412037</c:v>
                </c:pt>
                <c:pt idx="62">
                  <c:v>43704.705081018517</c:v>
                </c:pt>
                <c:pt idx="63">
                  <c:v>43704.713206018518</c:v>
                </c:pt>
                <c:pt idx="64">
                  <c:v>43704.784930555557</c:v>
                </c:pt>
                <c:pt idx="65">
                  <c:v>43704.786724537036</c:v>
                </c:pt>
                <c:pt idx="66">
                  <c:v>43704.861111111109</c:v>
                </c:pt>
                <c:pt idx="67">
                  <c:v>43704.864421296297</c:v>
                </c:pt>
                <c:pt idx="68">
                  <c:v>43704.935011574074</c:v>
                </c:pt>
                <c:pt idx="69">
                  <c:v>43704.936967592592</c:v>
                </c:pt>
                <c:pt idx="70">
                  <c:v>43705.035196759258</c:v>
                </c:pt>
                <c:pt idx="71">
                  <c:v>43705.037268518521</c:v>
                </c:pt>
                <c:pt idx="72">
                  <c:v>43705.352696759262</c:v>
                </c:pt>
                <c:pt idx="73">
                  <c:v>43705.355810185189</c:v>
                </c:pt>
                <c:pt idx="74">
                  <c:v>43705.42664351852</c:v>
                </c:pt>
                <c:pt idx="75">
                  <c:v>43705.429375</c:v>
                </c:pt>
                <c:pt idx="76">
                  <c:v>43705.541215277779</c:v>
                </c:pt>
                <c:pt idx="77">
                  <c:v>43705.543622685182</c:v>
                </c:pt>
                <c:pt idx="78">
                  <c:v>43705.579745370371</c:v>
                </c:pt>
                <c:pt idx="79">
                  <c:v>43705.582384259258</c:v>
                </c:pt>
                <c:pt idx="80">
                  <c:v>43705.634976851848</c:v>
                </c:pt>
                <c:pt idx="81">
                  <c:v>43705.637291666666</c:v>
                </c:pt>
                <c:pt idx="82">
                  <c:v>43705.751319444447</c:v>
                </c:pt>
                <c:pt idx="83">
                  <c:v>43705.752835648149</c:v>
                </c:pt>
                <c:pt idx="84">
                  <c:v>43705.820185185185</c:v>
                </c:pt>
                <c:pt idx="85">
                  <c:v>43705.82167824074</c:v>
                </c:pt>
                <c:pt idx="86">
                  <c:v>43705.948321759257</c:v>
                </c:pt>
                <c:pt idx="87">
                  <c:v>43705.950243055559</c:v>
                </c:pt>
                <c:pt idx="88">
                  <c:v>43706.008842592593</c:v>
                </c:pt>
                <c:pt idx="89">
                  <c:v>43706.010625000003</c:v>
                </c:pt>
                <c:pt idx="90">
                  <c:v>43706.053310185183</c:v>
                </c:pt>
                <c:pt idx="91">
                  <c:v>43706.054803240739</c:v>
                </c:pt>
                <c:pt idx="92">
                  <c:v>43706.736770833333</c:v>
                </c:pt>
                <c:pt idx="93">
                  <c:v>43706.738819444443</c:v>
                </c:pt>
                <c:pt idx="94">
                  <c:v>43706.819421296299</c:v>
                </c:pt>
                <c:pt idx="95">
                  <c:v>43706.821469907409</c:v>
                </c:pt>
                <c:pt idx="96">
                  <c:v>43706.967766203707</c:v>
                </c:pt>
                <c:pt idx="97">
                  <c:v>43706.970358796294</c:v>
                </c:pt>
                <c:pt idx="98">
                  <c:v>43707.021053240744</c:v>
                </c:pt>
                <c:pt idx="99">
                  <c:v>43707.023101851853</c:v>
                </c:pt>
                <c:pt idx="100">
                  <c:v>43707.331886574073</c:v>
                </c:pt>
                <c:pt idx="101">
                  <c:v>43707.334085648145</c:v>
                </c:pt>
                <c:pt idx="102">
                  <c:v>43707.415254629632</c:v>
                </c:pt>
                <c:pt idx="103">
                  <c:v>43707.417662037034</c:v>
                </c:pt>
                <c:pt idx="104">
                  <c:v>43707.501608796294</c:v>
                </c:pt>
                <c:pt idx="105">
                  <c:v>43707.503969907404</c:v>
                </c:pt>
                <c:pt idx="106">
                  <c:v>43707.67659722222</c:v>
                </c:pt>
                <c:pt idx="107">
                  <c:v>43707.678877314815</c:v>
                </c:pt>
                <c:pt idx="108">
                  <c:v>43711.383738425924</c:v>
                </c:pt>
                <c:pt idx="109">
                  <c:v>43711.385879629626</c:v>
                </c:pt>
                <c:pt idx="110">
                  <c:v>43711.470543981479</c:v>
                </c:pt>
                <c:pt idx="111">
                  <c:v>43711.472696759258</c:v>
                </c:pt>
                <c:pt idx="112">
                  <c:v>43711.560532407406</c:v>
                </c:pt>
                <c:pt idx="113">
                  <c:v>43711.562638888892</c:v>
                </c:pt>
                <c:pt idx="114">
                  <c:v>43711.671666666669</c:v>
                </c:pt>
                <c:pt idx="115">
                  <c:v>43711.673715277779</c:v>
                </c:pt>
                <c:pt idx="116">
                  <c:v>43711.751354166663</c:v>
                </c:pt>
                <c:pt idx="117">
                  <c:v>43711.753449074073</c:v>
                </c:pt>
                <c:pt idx="118">
                  <c:v>43711.802581018521</c:v>
                </c:pt>
                <c:pt idx="119">
                  <c:v>43711.804780092592</c:v>
                </c:pt>
                <c:pt idx="120">
                  <c:v>43711.887106481481</c:v>
                </c:pt>
                <c:pt idx="121">
                  <c:v>43711.889143518521</c:v>
                </c:pt>
                <c:pt idx="122">
                  <c:v>43711.980416666665</c:v>
                </c:pt>
                <c:pt idx="123">
                  <c:v>43711.982499999998</c:v>
                </c:pt>
                <c:pt idx="124">
                  <c:v>43712.046331018515</c:v>
                </c:pt>
                <c:pt idx="125">
                  <c:v>43712.048391203702</c:v>
                </c:pt>
                <c:pt idx="126">
                  <c:v>43712.30945601852</c:v>
                </c:pt>
                <c:pt idx="127">
                  <c:v>43712.311585648145</c:v>
                </c:pt>
              </c:numCache>
            </c:numRef>
          </c:xVal>
          <c:yVal>
            <c:numRef>
              <c:f>'AMP7-8'!$AI$9:$AI$136</c:f>
              <c:numCache>
                <c:formatCode>General</c:formatCode>
                <c:ptCount val="128"/>
                <c:pt idx="0">
                  <c:v>-0.28999999999999998</c:v>
                </c:pt>
                <c:pt idx="1">
                  <c:v>-0.20799999999999999</c:v>
                </c:pt>
                <c:pt idx="2">
                  <c:v>-0.23</c:v>
                </c:pt>
                <c:pt idx="3">
                  <c:v>-0.161</c:v>
                </c:pt>
                <c:pt idx="4">
                  <c:v>-0.34100000000000003</c:v>
                </c:pt>
                <c:pt idx="5">
                  <c:v>-0.20599999999999999</c:v>
                </c:pt>
                <c:pt idx="6">
                  <c:v>-0.32800000000000001</c:v>
                </c:pt>
                <c:pt idx="7">
                  <c:v>-0.36599999999999999</c:v>
                </c:pt>
                <c:pt idx="8">
                  <c:v>-0.23799999999999999</c:v>
                </c:pt>
                <c:pt idx="9">
                  <c:v>-0.40300000000000002</c:v>
                </c:pt>
                <c:pt idx="10">
                  <c:v>-0.4</c:v>
                </c:pt>
                <c:pt idx="11">
                  <c:v>-0.39100000000000001</c:v>
                </c:pt>
                <c:pt idx="12">
                  <c:v>-0.35899999999999999</c:v>
                </c:pt>
                <c:pt idx="13">
                  <c:v>-0.34699999999999998</c:v>
                </c:pt>
                <c:pt idx="14">
                  <c:v>-0.191</c:v>
                </c:pt>
                <c:pt idx="15">
                  <c:v>-0.745</c:v>
                </c:pt>
                <c:pt idx="16">
                  <c:v>-0.16800000000000001</c:v>
                </c:pt>
                <c:pt idx="17">
                  <c:v>-0.11799999999999999</c:v>
                </c:pt>
                <c:pt idx="18">
                  <c:v>-0.28399999999999997</c:v>
                </c:pt>
                <c:pt idx="19">
                  <c:v>-3.9E-2</c:v>
                </c:pt>
                <c:pt idx="20">
                  <c:v>-0.28399999999999997</c:v>
                </c:pt>
                <c:pt idx="21">
                  <c:v>-0.29399999999999998</c:v>
                </c:pt>
                <c:pt idx="22">
                  <c:v>-0.27200000000000002</c:v>
                </c:pt>
                <c:pt idx="23">
                  <c:v>-0.33800000000000002</c:v>
                </c:pt>
                <c:pt idx="24">
                  <c:v>-0.34799999999999998</c:v>
                </c:pt>
                <c:pt idx="25">
                  <c:v>-0.26300000000000001</c:v>
                </c:pt>
                <c:pt idx="26">
                  <c:v>-0.34899999999999998</c:v>
                </c:pt>
                <c:pt idx="27">
                  <c:v>-0.26500000000000001</c:v>
                </c:pt>
                <c:pt idx="28">
                  <c:v>-0.30299999999999999</c:v>
                </c:pt>
                <c:pt idx="29">
                  <c:v>-0.30099999999999999</c:v>
                </c:pt>
                <c:pt idx="30">
                  <c:v>-0.41</c:v>
                </c:pt>
                <c:pt idx="31">
                  <c:v>-0.35599999999999998</c:v>
                </c:pt>
                <c:pt idx="32">
                  <c:v>-0.34599999999999997</c:v>
                </c:pt>
                <c:pt idx="33">
                  <c:v>-0.27</c:v>
                </c:pt>
                <c:pt idx="34">
                  <c:v>-0.40799999999999997</c:v>
                </c:pt>
                <c:pt idx="35">
                  <c:v>-0.25600000000000001</c:v>
                </c:pt>
                <c:pt idx="36">
                  <c:v>-0.28100000000000003</c:v>
                </c:pt>
                <c:pt idx="37">
                  <c:v>-8.3000000000000004E-2</c:v>
                </c:pt>
                <c:pt idx="38">
                  <c:v>-0.35199999999999998</c:v>
                </c:pt>
                <c:pt idx="39">
                  <c:v>-0.29599999999999999</c:v>
                </c:pt>
                <c:pt idx="40">
                  <c:v>-0.36799999999999999</c:v>
                </c:pt>
                <c:pt idx="41">
                  <c:v>-0.377</c:v>
                </c:pt>
                <c:pt idx="42">
                  <c:v>-0.42399999999999999</c:v>
                </c:pt>
                <c:pt idx="43">
                  <c:v>-0.35199999999999998</c:v>
                </c:pt>
                <c:pt idx="44">
                  <c:v>-0.29099999999999998</c:v>
                </c:pt>
                <c:pt idx="45">
                  <c:v>-0.371</c:v>
                </c:pt>
                <c:pt idx="46">
                  <c:v>-0.28499999999999998</c:v>
                </c:pt>
                <c:pt idx="47">
                  <c:v>-0.434</c:v>
                </c:pt>
                <c:pt idx="48">
                  <c:v>-0.29699999999999999</c:v>
                </c:pt>
                <c:pt idx="49">
                  <c:v>-0.48599999999999999</c:v>
                </c:pt>
                <c:pt idx="50">
                  <c:v>-0.28199999999999997</c:v>
                </c:pt>
                <c:pt idx="51">
                  <c:v>-0.499</c:v>
                </c:pt>
                <c:pt idx="52">
                  <c:v>-0.24299999999999999</c:v>
                </c:pt>
                <c:pt idx="53">
                  <c:v>-0.51200000000000001</c:v>
                </c:pt>
                <c:pt idx="54">
                  <c:v>-0.309</c:v>
                </c:pt>
                <c:pt idx="55">
                  <c:v>-0.17799999999999999</c:v>
                </c:pt>
                <c:pt idx="56">
                  <c:v>-0.247</c:v>
                </c:pt>
                <c:pt idx="57">
                  <c:v>-0.25</c:v>
                </c:pt>
                <c:pt idx="58">
                  <c:v>-0.35699999999999998</c:v>
                </c:pt>
                <c:pt idx="59">
                  <c:v>-0.36499999999999999</c:v>
                </c:pt>
                <c:pt idx="60">
                  <c:v>-0.374</c:v>
                </c:pt>
                <c:pt idx="61">
                  <c:v>-0.33900000000000002</c:v>
                </c:pt>
                <c:pt idx="62">
                  <c:v>-0.33800000000000002</c:v>
                </c:pt>
                <c:pt idx="63">
                  <c:v>-0.248</c:v>
                </c:pt>
                <c:pt idx="64">
                  <c:v>-0.35599999999999998</c:v>
                </c:pt>
                <c:pt idx="65">
                  <c:v>-0.45900000000000002</c:v>
                </c:pt>
                <c:pt idx="66">
                  <c:v>-0.48799999999999999</c:v>
                </c:pt>
                <c:pt idx="67">
                  <c:v>-0.248</c:v>
                </c:pt>
                <c:pt idx="68">
                  <c:v>-0.48399999999999999</c:v>
                </c:pt>
                <c:pt idx="69">
                  <c:v>-0.217</c:v>
                </c:pt>
                <c:pt idx="70">
                  <c:v>-0.51800000000000002</c:v>
                </c:pt>
                <c:pt idx="71">
                  <c:v>-0.22600000000000001</c:v>
                </c:pt>
                <c:pt idx="72">
                  <c:v>-0.54500000000000004</c:v>
                </c:pt>
                <c:pt idx="73">
                  <c:v>-0.20599999999999999</c:v>
                </c:pt>
                <c:pt idx="74">
                  <c:v>-0.56799999999999995</c:v>
                </c:pt>
                <c:pt idx="75">
                  <c:v>-0.214</c:v>
                </c:pt>
                <c:pt idx="76">
                  <c:v>-0.23599999999999999</c:v>
                </c:pt>
                <c:pt idx="77">
                  <c:v>-0.26400000000000001</c:v>
                </c:pt>
                <c:pt idx="78">
                  <c:v>-0.19900000000000001</c:v>
                </c:pt>
                <c:pt idx="79">
                  <c:v>-0.30199999999999999</c:v>
                </c:pt>
                <c:pt idx="80">
                  <c:v>-0.16600000000000001</c:v>
                </c:pt>
                <c:pt idx="81">
                  <c:v>-0.30099999999999999</c:v>
                </c:pt>
                <c:pt idx="82">
                  <c:v>-0.23300000000000001</c:v>
                </c:pt>
                <c:pt idx="83">
                  <c:v>-0.33900000000000002</c:v>
                </c:pt>
                <c:pt idx="84">
                  <c:v>-0.17599999999999999</c:v>
                </c:pt>
                <c:pt idx="85">
                  <c:v>-0.40400000000000003</c:v>
                </c:pt>
                <c:pt idx="86">
                  <c:v>-7.2999999999999995E-2</c:v>
                </c:pt>
                <c:pt idx="87">
                  <c:v>-0.28000000000000003</c:v>
                </c:pt>
                <c:pt idx="88">
                  <c:v>-0.218</c:v>
                </c:pt>
                <c:pt idx="89">
                  <c:v>-0.39800000000000002</c:v>
                </c:pt>
                <c:pt idx="90">
                  <c:v>-0.14499999999999999</c:v>
                </c:pt>
                <c:pt idx="91">
                  <c:v>-0.34499999999999997</c:v>
                </c:pt>
                <c:pt idx="92">
                  <c:v>-0.113</c:v>
                </c:pt>
                <c:pt idx="93">
                  <c:v>-0.121</c:v>
                </c:pt>
                <c:pt idx="94">
                  <c:v>-0.191</c:v>
                </c:pt>
                <c:pt idx="95">
                  <c:v>-0.30099999999999999</c:v>
                </c:pt>
                <c:pt idx="96">
                  <c:v>-1.6E-2</c:v>
                </c:pt>
                <c:pt idx="97">
                  <c:v>5.8000000000000003E-2</c:v>
                </c:pt>
                <c:pt idx="98">
                  <c:v>-0.13100000000000001</c:v>
                </c:pt>
                <c:pt idx="99">
                  <c:v>-0.14099999999999999</c:v>
                </c:pt>
                <c:pt idx="100">
                  <c:v>-2.3E-2</c:v>
                </c:pt>
                <c:pt idx="101">
                  <c:v>4.2000000000000003E-2</c:v>
                </c:pt>
                <c:pt idx="102">
                  <c:v>-8.5000000000000006E-2</c:v>
                </c:pt>
                <c:pt idx="103">
                  <c:v>8.5000000000000006E-2</c:v>
                </c:pt>
                <c:pt idx="104">
                  <c:v>-6.8000000000000005E-2</c:v>
                </c:pt>
                <c:pt idx="105">
                  <c:v>-0.104</c:v>
                </c:pt>
                <c:pt idx="106">
                  <c:v>-7.0999999999999994E-2</c:v>
                </c:pt>
                <c:pt idx="107">
                  <c:v>-0.13700000000000001</c:v>
                </c:pt>
                <c:pt idx="108">
                  <c:v>-0.02</c:v>
                </c:pt>
                <c:pt idx="109">
                  <c:v>2.5999999999999999E-2</c:v>
                </c:pt>
                <c:pt idx="110">
                  <c:v>8.9999999999999993E-3</c:v>
                </c:pt>
                <c:pt idx="111">
                  <c:v>-0.14599999999999999</c:v>
                </c:pt>
                <c:pt idx="112">
                  <c:v>-4.3999999999999997E-2</c:v>
                </c:pt>
                <c:pt idx="113">
                  <c:v>-0.27200000000000002</c:v>
                </c:pt>
                <c:pt idx="114">
                  <c:v>-2.5000000000000001E-2</c:v>
                </c:pt>
                <c:pt idx="115">
                  <c:v>-0.56399999999999995</c:v>
                </c:pt>
                <c:pt idx="116">
                  <c:v>-0.125</c:v>
                </c:pt>
                <c:pt idx="117">
                  <c:v>-0.161</c:v>
                </c:pt>
                <c:pt idx="118">
                  <c:v>-9.6000000000000002E-2</c:v>
                </c:pt>
                <c:pt idx="119">
                  <c:v>-0.253</c:v>
                </c:pt>
                <c:pt idx="120">
                  <c:v>-0.13200000000000001</c:v>
                </c:pt>
                <c:pt idx="121">
                  <c:v>-0.25600000000000001</c:v>
                </c:pt>
                <c:pt idx="122">
                  <c:v>-0.218</c:v>
                </c:pt>
                <c:pt idx="123">
                  <c:v>-0.33300000000000002</c:v>
                </c:pt>
                <c:pt idx="124">
                  <c:v>-5.5E-2</c:v>
                </c:pt>
                <c:pt idx="125">
                  <c:v>-0.39700000000000002</c:v>
                </c:pt>
                <c:pt idx="126">
                  <c:v>-7.0999999999999994E-2</c:v>
                </c:pt>
                <c:pt idx="127">
                  <c:v>-0.183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A-4C32-80CD-3A761E52E9C0}"/>
            </c:ext>
          </c:extLst>
        </c:ser>
        <c:ser>
          <c:idx val="1"/>
          <c:order val="1"/>
          <c:tx>
            <c:v>Min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('AMP7-8'!$AI$4,'AMP7-8'!$AI$4)</c:f>
              <c:numCache>
                <c:formatCode>General</c:formatCode>
                <c:ptCount val="2"/>
                <c:pt idx="0">
                  <c:v>-0.7</c:v>
                </c:pt>
                <c:pt idx="1">
                  <c:v>-0.7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4A-4C32-80CD-3A761E52E9C0}"/>
            </c:ext>
          </c:extLst>
        </c:ser>
        <c:ser>
          <c:idx val="2"/>
          <c:order val="2"/>
          <c:tx>
            <c:v>Max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('AMP7-8'!$C$1,'AMP7-8'!$C$2)</c:f>
              <c:numCache>
                <c:formatCode>m/d/yy\ h:mm;@</c:formatCode>
                <c:ptCount val="2"/>
                <c:pt idx="0">
                  <c:v>43698.857430555552</c:v>
                </c:pt>
                <c:pt idx="1">
                  <c:v>43712.311585648145</c:v>
                </c:pt>
              </c:numCache>
            </c:numRef>
          </c:xVal>
          <c:yVal>
            <c:numRef>
              <c:f>('AMP7-8'!$AI$5,'AMP7-8'!$AI$5)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4A-4C32-80CD-3A761E52E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24536"/>
        <c:axId val="598724928"/>
      </c:scatterChart>
      <c:valAx>
        <c:axId val="59872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4928"/>
        <c:crosses val="autoZero"/>
        <c:crossBetween val="midCat"/>
      </c:valAx>
      <c:valAx>
        <c:axId val="598724928"/>
        <c:scaling>
          <c:orientation val="minMax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31875661560004E-2"/>
          <c:y val="2.0278833967046894E-2"/>
          <c:w val="0.97770258647243169"/>
          <c:h val="0.95665618793848484"/>
        </c:manualLayout>
      </c:layout>
      <c:scatterChart>
        <c:scatterStyle val="lineMarker"/>
        <c:varyColors val="0"/>
        <c:ser>
          <c:idx val="0"/>
          <c:order val="0"/>
          <c:tx>
            <c:v>"Top Contour"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chemeClr val="accent1">
                    <a:lumMod val="60000"/>
                    <a:lumOff val="40000"/>
                  </a:schemeClr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08-4464-8BDC-7655FCE879A7}"/>
              </c:ext>
            </c:extLst>
          </c:dPt>
          <c:xVal>
            <c:numRef>
              <c:f>'Nominal Data'!$D$5:$D$74</c:f>
              <c:numCache>
                <c:formatCode>General</c:formatCode>
                <c:ptCount val="70"/>
                <c:pt idx="0">
                  <c:v>5.2699999999999997E-2</c:v>
                </c:pt>
                <c:pt idx="1">
                  <c:v>16.2316</c:v>
                </c:pt>
                <c:pt idx="2">
                  <c:v>16.2316</c:v>
                </c:pt>
                <c:pt idx="3">
                  <c:v>16.2316</c:v>
                </c:pt>
                <c:pt idx="4">
                  <c:v>16.2316</c:v>
                </c:pt>
                <c:pt idx="5">
                  <c:v>16.2316</c:v>
                </c:pt>
                <c:pt idx="6">
                  <c:v>16.2316</c:v>
                </c:pt>
                <c:pt idx="7">
                  <c:v>16.2316</c:v>
                </c:pt>
                <c:pt idx="8">
                  <c:v>16.285</c:v>
                </c:pt>
                <c:pt idx="9">
                  <c:v>7.8456999999999999</c:v>
                </c:pt>
                <c:pt idx="10">
                  <c:v>7.8456999999999999</c:v>
                </c:pt>
                <c:pt idx="11">
                  <c:v>8.0031999999999996</c:v>
                </c:pt>
                <c:pt idx="12">
                  <c:v>9.6292000000000009</c:v>
                </c:pt>
                <c:pt idx="13">
                  <c:v>9.6292000000000009</c:v>
                </c:pt>
                <c:pt idx="14">
                  <c:v>9.6685999999999996</c:v>
                </c:pt>
                <c:pt idx="15">
                  <c:v>10.141</c:v>
                </c:pt>
                <c:pt idx="16">
                  <c:v>14.9757</c:v>
                </c:pt>
                <c:pt idx="17">
                  <c:v>15.723699999999999</c:v>
                </c:pt>
                <c:pt idx="18">
                  <c:v>15.7631</c:v>
                </c:pt>
                <c:pt idx="19">
                  <c:v>15.7631</c:v>
                </c:pt>
                <c:pt idx="20">
                  <c:v>15.7631</c:v>
                </c:pt>
                <c:pt idx="21">
                  <c:v>15.7631</c:v>
                </c:pt>
                <c:pt idx="22">
                  <c:v>14.6449</c:v>
                </c:pt>
                <c:pt idx="23">
                  <c:v>16.4284</c:v>
                </c:pt>
                <c:pt idx="24">
                  <c:v>16.4284</c:v>
                </c:pt>
                <c:pt idx="25">
                  <c:v>16.270900999999999</c:v>
                </c:pt>
                <c:pt idx="26">
                  <c:v>14.6449</c:v>
                </c:pt>
                <c:pt idx="27">
                  <c:v>14.6449</c:v>
                </c:pt>
                <c:pt idx="28">
                  <c:v>14.605600000000001</c:v>
                </c:pt>
                <c:pt idx="29">
                  <c:v>14.133100000000001</c:v>
                </c:pt>
                <c:pt idx="30">
                  <c:v>9.2985000000000007</c:v>
                </c:pt>
                <c:pt idx="31">
                  <c:v>8.5504999999999995</c:v>
                </c:pt>
                <c:pt idx="32">
                  <c:v>8.5111000000000008</c:v>
                </c:pt>
                <c:pt idx="33">
                  <c:v>8.5111000000000008</c:v>
                </c:pt>
                <c:pt idx="34">
                  <c:v>8.5111000000000008</c:v>
                </c:pt>
                <c:pt idx="35">
                  <c:v>8.5111000000000008</c:v>
                </c:pt>
                <c:pt idx="36">
                  <c:v>9.6292000000000009</c:v>
                </c:pt>
                <c:pt idx="37">
                  <c:v>7.9245000000000001</c:v>
                </c:pt>
                <c:pt idx="38">
                  <c:v>7.9245000000000001</c:v>
                </c:pt>
                <c:pt idx="39">
                  <c:v>8.0031999999999996</c:v>
                </c:pt>
                <c:pt idx="40">
                  <c:v>8.4323999999999995</c:v>
                </c:pt>
                <c:pt idx="41">
                  <c:v>8.5111000000000008</c:v>
                </c:pt>
                <c:pt idx="42">
                  <c:v>8.5111000000000008</c:v>
                </c:pt>
                <c:pt idx="43">
                  <c:v>8.5898000000000003</c:v>
                </c:pt>
                <c:pt idx="44">
                  <c:v>15.6449</c:v>
                </c:pt>
                <c:pt idx="45">
                  <c:v>15.723699999999999</c:v>
                </c:pt>
                <c:pt idx="46">
                  <c:v>15.723699999999999</c:v>
                </c:pt>
                <c:pt idx="47">
                  <c:v>15.8024</c:v>
                </c:pt>
                <c:pt idx="48">
                  <c:v>16.270900999999999</c:v>
                </c:pt>
                <c:pt idx="49">
                  <c:v>16.274899999999999</c:v>
                </c:pt>
                <c:pt idx="50">
                  <c:v>16.5898</c:v>
                </c:pt>
                <c:pt idx="51">
                  <c:v>16.5898</c:v>
                </c:pt>
                <c:pt idx="52">
                  <c:v>20.127300000000002</c:v>
                </c:pt>
                <c:pt idx="53">
                  <c:v>20.171399999999998</c:v>
                </c:pt>
                <c:pt idx="54">
                  <c:v>32.373299000000003</c:v>
                </c:pt>
                <c:pt idx="55">
                  <c:v>32.373299000000003</c:v>
                </c:pt>
                <c:pt idx="56">
                  <c:v>32.373299000000003</c:v>
                </c:pt>
                <c:pt idx="57">
                  <c:v>32.373299000000003</c:v>
                </c:pt>
                <c:pt idx="58">
                  <c:v>32.373299000000003</c:v>
                </c:pt>
                <c:pt idx="59">
                  <c:v>32.373299000000003</c:v>
                </c:pt>
                <c:pt idx="60">
                  <c:v>32.373299000000003</c:v>
                </c:pt>
                <c:pt idx="61">
                  <c:v>32.416901000000003</c:v>
                </c:pt>
                <c:pt idx="62">
                  <c:v>23.987499</c:v>
                </c:pt>
                <c:pt idx="63">
                  <c:v>23.987499</c:v>
                </c:pt>
                <c:pt idx="64">
                  <c:v>24.144898999999999</c:v>
                </c:pt>
                <c:pt idx="65">
                  <c:v>25.770900999999999</c:v>
                </c:pt>
                <c:pt idx="66">
                  <c:v>25.770900999999999</c:v>
                </c:pt>
                <c:pt idx="67">
                  <c:v>25.810300999999999</c:v>
                </c:pt>
                <c:pt idx="68">
                  <c:v>26.282699999999998</c:v>
                </c:pt>
                <c:pt idx="69">
                  <c:v>31.117398999999999</c:v>
                </c:pt>
              </c:numCache>
            </c:numRef>
          </c:xVal>
          <c:yVal>
            <c:numRef>
              <c:f>'Nominal Data'!$E$5:$E$74</c:f>
              <c:numCache>
                <c:formatCode>General</c:formatCode>
                <c:ptCount val="70"/>
                <c:pt idx="0">
                  <c:v>2.2700000000000001E-2</c:v>
                </c:pt>
                <c:pt idx="1">
                  <c:v>2.8254000000000001</c:v>
                </c:pt>
                <c:pt idx="2">
                  <c:v>2.8254000000000001</c:v>
                </c:pt>
                <c:pt idx="3">
                  <c:v>2.9434999999999998</c:v>
                </c:pt>
                <c:pt idx="4">
                  <c:v>3.0222000000000002</c:v>
                </c:pt>
                <c:pt idx="5">
                  <c:v>6.0251000000000001</c:v>
                </c:pt>
                <c:pt idx="6">
                  <c:v>6.0289999999999999</c:v>
                </c:pt>
                <c:pt idx="7">
                  <c:v>6.0289999999999999</c:v>
                </c:pt>
                <c:pt idx="8">
                  <c:v>8.9953000000000003</c:v>
                </c:pt>
                <c:pt idx="9">
                  <c:v>17.137599999999999</c:v>
                </c:pt>
                <c:pt idx="10">
                  <c:v>17.137599999999999</c:v>
                </c:pt>
                <c:pt idx="11">
                  <c:v>17.137198999999999</c:v>
                </c:pt>
                <c:pt idx="12">
                  <c:v>17.137198999999999</c:v>
                </c:pt>
                <c:pt idx="13">
                  <c:v>17.561501</c:v>
                </c:pt>
                <c:pt idx="14">
                  <c:v>17.601700000000001</c:v>
                </c:pt>
                <c:pt idx="15">
                  <c:v>17.601700000000001</c:v>
                </c:pt>
                <c:pt idx="16">
                  <c:v>17.992201000000001</c:v>
                </c:pt>
                <c:pt idx="17">
                  <c:v>17.992201000000001</c:v>
                </c:pt>
                <c:pt idx="18">
                  <c:v>17.950500000000002</c:v>
                </c:pt>
                <c:pt idx="19">
                  <c:v>16.461300000000001</c:v>
                </c:pt>
                <c:pt idx="20">
                  <c:v>16.457398999999999</c:v>
                </c:pt>
                <c:pt idx="21">
                  <c:v>16.457398999999999</c:v>
                </c:pt>
                <c:pt idx="22">
                  <c:v>19.125298999999998</c:v>
                </c:pt>
                <c:pt idx="23">
                  <c:v>19.1845</c:v>
                </c:pt>
                <c:pt idx="24">
                  <c:v>19.1845</c:v>
                </c:pt>
                <c:pt idx="25">
                  <c:v>19.1845</c:v>
                </c:pt>
                <c:pt idx="26">
                  <c:v>19.1845</c:v>
                </c:pt>
                <c:pt idx="27">
                  <c:v>18.760200999999999</c:v>
                </c:pt>
                <c:pt idx="28">
                  <c:v>18.720099999999999</c:v>
                </c:pt>
                <c:pt idx="29">
                  <c:v>18.720099999999999</c:v>
                </c:pt>
                <c:pt idx="30">
                  <c:v>18.329599000000002</c:v>
                </c:pt>
                <c:pt idx="31">
                  <c:v>18.329599000000002</c:v>
                </c:pt>
                <c:pt idx="32">
                  <c:v>18.371300000000002</c:v>
                </c:pt>
                <c:pt idx="33">
                  <c:v>19.466298999999999</c:v>
                </c:pt>
                <c:pt idx="34">
                  <c:v>19.470199999999998</c:v>
                </c:pt>
                <c:pt idx="35">
                  <c:v>19.470199999999998</c:v>
                </c:pt>
                <c:pt idx="36">
                  <c:v>17.196501000000001</c:v>
                </c:pt>
                <c:pt idx="37">
                  <c:v>17.5014</c:v>
                </c:pt>
                <c:pt idx="38">
                  <c:v>17.5014</c:v>
                </c:pt>
                <c:pt idx="39">
                  <c:v>17.5014</c:v>
                </c:pt>
                <c:pt idx="40">
                  <c:v>17.5014</c:v>
                </c:pt>
                <c:pt idx="41">
                  <c:v>17.580200000000001</c:v>
                </c:pt>
                <c:pt idx="42">
                  <c:v>18.101800999999998</c:v>
                </c:pt>
                <c:pt idx="43">
                  <c:v>18.180599000000001</c:v>
                </c:pt>
                <c:pt idx="44">
                  <c:v>18.180599000000001</c:v>
                </c:pt>
                <c:pt idx="45">
                  <c:v>18.2593</c:v>
                </c:pt>
                <c:pt idx="46">
                  <c:v>18.780999999999999</c:v>
                </c:pt>
                <c:pt idx="47">
                  <c:v>18.859698999999999</c:v>
                </c:pt>
                <c:pt idx="48">
                  <c:v>18.859698999999999</c:v>
                </c:pt>
                <c:pt idx="49">
                  <c:v>18.859698999999999</c:v>
                </c:pt>
                <c:pt idx="50">
                  <c:v>18.859698999999999</c:v>
                </c:pt>
                <c:pt idx="51">
                  <c:v>18.859698999999999</c:v>
                </c:pt>
                <c:pt idx="52">
                  <c:v>19.758499</c:v>
                </c:pt>
                <c:pt idx="53">
                  <c:v>0.3886</c:v>
                </c:pt>
                <c:pt idx="54">
                  <c:v>2.8254000000000001</c:v>
                </c:pt>
                <c:pt idx="55">
                  <c:v>2.8254000000000001</c:v>
                </c:pt>
                <c:pt idx="56">
                  <c:v>2.9434999999999998</c:v>
                </c:pt>
                <c:pt idx="57">
                  <c:v>3.0222000000000002</c:v>
                </c:pt>
                <c:pt idx="58">
                  <c:v>6.0251000000000001</c:v>
                </c:pt>
                <c:pt idx="59">
                  <c:v>6.0289999999999999</c:v>
                </c:pt>
                <c:pt idx="60">
                  <c:v>6.0289999999999999</c:v>
                </c:pt>
                <c:pt idx="61">
                  <c:v>8.9953000000000003</c:v>
                </c:pt>
                <c:pt idx="62">
                  <c:v>17.137599999999999</c:v>
                </c:pt>
                <c:pt idx="63">
                  <c:v>17.137599999999999</c:v>
                </c:pt>
                <c:pt idx="64">
                  <c:v>17.137198999999999</c:v>
                </c:pt>
                <c:pt idx="65">
                  <c:v>17.137198999999999</c:v>
                </c:pt>
                <c:pt idx="66">
                  <c:v>17.561501</c:v>
                </c:pt>
                <c:pt idx="67">
                  <c:v>17.601700000000001</c:v>
                </c:pt>
                <c:pt idx="68">
                  <c:v>17.601700000000001</c:v>
                </c:pt>
                <c:pt idx="69">
                  <c:v>17.992201000000001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8-4464-8BDC-7655FCE879A7}"/>
            </c:ext>
          </c:extLst>
        </c:ser>
        <c:ser>
          <c:idx val="1"/>
          <c:order val="1"/>
          <c:tx>
            <c:v>"Top Contour Offset"</c:v>
          </c:tx>
          <c:spPr>
            <a:ln w="1905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8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9525" cap="rnd">
                <a:solidFill>
                  <a:srgbClr val="FFC000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E08-4464-8BDC-7655FCE879A7}"/>
              </c:ext>
            </c:extLst>
          </c:dPt>
          <c:xVal>
            <c:numRef>
              <c:f>'New Data'!$D$5:$D$74</c:f>
              <c:numCache>
                <c:formatCode>##0.000000</c:formatCode>
                <c:ptCount val="70"/>
                <c:pt idx="0">
                  <c:v>5.2699999999999997E-2</c:v>
                </c:pt>
                <c:pt idx="1">
                  <c:v>60.691335000000002</c:v>
                </c:pt>
                <c:pt idx="2">
                  <c:v>60.691335000000002</c:v>
                </c:pt>
                <c:pt idx="3">
                  <c:v>60.673734000000003</c:v>
                </c:pt>
                <c:pt idx="4">
                  <c:v>60.673436000000002</c:v>
                </c:pt>
                <c:pt idx="5">
                  <c:v>60.659497000000002</c:v>
                </c:pt>
                <c:pt idx="6">
                  <c:v>60.659398000000003</c:v>
                </c:pt>
                <c:pt idx="7">
                  <c:v>60.659398000000003</c:v>
                </c:pt>
                <c:pt idx="8">
                  <c:v>60.661396999999994</c:v>
                </c:pt>
                <c:pt idx="9">
                  <c:v>52.281518999999996</c:v>
                </c:pt>
                <c:pt idx="10">
                  <c:v>52.281518999999996</c:v>
                </c:pt>
                <c:pt idx="11">
                  <c:v>52.439019999999999</c:v>
                </c:pt>
                <c:pt idx="12">
                  <c:v>54.08464</c:v>
                </c:pt>
                <c:pt idx="13">
                  <c:v>54.08464</c:v>
                </c:pt>
                <c:pt idx="14">
                  <c:v>54.124041999999996</c:v>
                </c:pt>
                <c:pt idx="15">
                  <c:v>54.584719</c:v>
                </c:pt>
                <c:pt idx="16">
                  <c:v>59.414121999999999</c:v>
                </c:pt>
                <c:pt idx="17">
                  <c:v>60.157665000000001</c:v>
                </c:pt>
                <c:pt idx="18">
                  <c:v>60.197066999999997</c:v>
                </c:pt>
                <c:pt idx="19">
                  <c:v>60.197066999999997</c:v>
                </c:pt>
                <c:pt idx="20">
                  <c:v>60.196967000000001</c:v>
                </c:pt>
                <c:pt idx="21">
                  <c:v>60.196967000000001</c:v>
                </c:pt>
                <c:pt idx="22">
                  <c:v>59.080721000000004</c:v>
                </c:pt>
                <c:pt idx="23">
                  <c:v>60.864222000000005</c:v>
                </c:pt>
                <c:pt idx="24">
                  <c:v>60.864222000000005</c:v>
                </c:pt>
                <c:pt idx="25">
                  <c:v>60.706721000000002</c:v>
                </c:pt>
                <c:pt idx="26">
                  <c:v>59.080721000000004</c:v>
                </c:pt>
                <c:pt idx="27">
                  <c:v>59.080721000000004</c:v>
                </c:pt>
                <c:pt idx="28">
                  <c:v>59.041418</c:v>
                </c:pt>
                <c:pt idx="29">
                  <c:v>58.565020000000004</c:v>
                </c:pt>
                <c:pt idx="30">
                  <c:v>53.765822</c:v>
                </c:pt>
                <c:pt idx="31">
                  <c:v>52.983708999999998</c:v>
                </c:pt>
                <c:pt idx="32">
                  <c:v>52.944409999999998</c:v>
                </c:pt>
                <c:pt idx="33">
                  <c:v>52.946908000000001</c:v>
                </c:pt>
                <c:pt idx="34">
                  <c:v>52.946908000000001</c:v>
                </c:pt>
                <c:pt idx="35">
                  <c:v>52.946908000000001</c:v>
                </c:pt>
                <c:pt idx="36">
                  <c:v>54.080720999999997</c:v>
                </c:pt>
                <c:pt idx="37">
                  <c:v>52.360318999999997</c:v>
                </c:pt>
                <c:pt idx="38">
                  <c:v>52.360318999999997</c:v>
                </c:pt>
                <c:pt idx="39">
                  <c:v>52.439019999999999</c:v>
                </c:pt>
                <c:pt idx="40">
                  <c:v>52.868257999999997</c:v>
                </c:pt>
                <c:pt idx="41">
                  <c:v>52.946955000000003</c:v>
                </c:pt>
                <c:pt idx="42">
                  <c:v>52.946955000000003</c:v>
                </c:pt>
                <c:pt idx="43">
                  <c:v>53.025755000000004</c:v>
                </c:pt>
                <c:pt idx="44">
                  <c:v>60.080756000000001</c:v>
                </c:pt>
                <c:pt idx="45">
                  <c:v>60.159556000000002</c:v>
                </c:pt>
                <c:pt idx="46">
                  <c:v>60.159556000000002</c:v>
                </c:pt>
                <c:pt idx="47">
                  <c:v>60.238257000000004</c:v>
                </c:pt>
                <c:pt idx="48">
                  <c:v>60.708719000000002</c:v>
                </c:pt>
                <c:pt idx="49">
                  <c:v>60.712721000000002</c:v>
                </c:pt>
                <c:pt idx="50">
                  <c:v>61.025622000000006</c:v>
                </c:pt>
                <c:pt idx="51">
                  <c:v>61.025622000000006</c:v>
                </c:pt>
                <c:pt idx="52">
                  <c:v>60.964818999999999</c:v>
                </c:pt>
                <c:pt idx="53">
                  <c:v>32.807499</c:v>
                </c:pt>
                <c:pt idx="54">
                  <c:v>17.7209</c:v>
                </c:pt>
                <c:pt idx="55">
                  <c:v>0.93969999999999998</c:v>
                </c:pt>
                <c:pt idx="56">
                  <c:v>5.2699999999999997E-2</c:v>
                </c:pt>
              </c:numCache>
            </c:numRef>
          </c:xVal>
          <c:yVal>
            <c:numRef>
              <c:f>'New Data'!$E$5:$E$74</c:f>
              <c:numCache>
                <c:formatCode>##0.000000</c:formatCode>
                <c:ptCount val="70"/>
                <c:pt idx="0">
                  <c:v>2.2700000000000001E-2</c:v>
                </c:pt>
                <c:pt idx="1">
                  <c:v>1.7912320000000002</c:v>
                </c:pt>
                <c:pt idx="2">
                  <c:v>1.7912320000000002</c:v>
                </c:pt>
                <c:pt idx="3">
                  <c:v>1.8503319999999999</c:v>
                </c:pt>
                <c:pt idx="4">
                  <c:v>1.9290320000000003</c:v>
                </c:pt>
                <c:pt idx="5">
                  <c:v>5.0668319999999998</c:v>
                </c:pt>
                <c:pt idx="6">
                  <c:v>5.0708320000000002</c:v>
                </c:pt>
                <c:pt idx="7">
                  <c:v>5.0708320000000002</c:v>
                </c:pt>
                <c:pt idx="8">
                  <c:v>8.274832</c:v>
                </c:pt>
                <c:pt idx="9">
                  <c:v>16.129231999999998</c:v>
                </c:pt>
                <c:pt idx="10">
                  <c:v>16.129231999999998</c:v>
                </c:pt>
                <c:pt idx="11">
                  <c:v>16.129231999999998</c:v>
                </c:pt>
                <c:pt idx="12">
                  <c:v>16.099232000000001</c:v>
                </c:pt>
                <c:pt idx="13">
                  <c:v>16.474254999999999</c:v>
                </c:pt>
                <c:pt idx="14">
                  <c:v>16.514254000000001</c:v>
                </c:pt>
                <c:pt idx="15">
                  <c:v>16.514155000000002</c:v>
                </c:pt>
                <c:pt idx="16">
                  <c:v>16.909764000000003</c:v>
                </c:pt>
                <c:pt idx="17">
                  <c:v>16.909764000000003</c:v>
                </c:pt>
                <c:pt idx="18">
                  <c:v>16.868063000000003</c:v>
                </c:pt>
                <c:pt idx="19">
                  <c:v>15.379332000000002</c:v>
                </c:pt>
                <c:pt idx="20">
                  <c:v>15.375431999999998</c:v>
                </c:pt>
                <c:pt idx="21">
                  <c:v>15.375431999999998</c:v>
                </c:pt>
                <c:pt idx="22">
                  <c:v>18.051731999999998</c:v>
                </c:pt>
                <c:pt idx="23">
                  <c:v>18.021833000000001</c:v>
                </c:pt>
                <c:pt idx="24">
                  <c:v>18.021833000000001</c:v>
                </c:pt>
                <c:pt idx="25">
                  <c:v>18.021833000000001</c:v>
                </c:pt>
                <c:pt idx="26">
                  <c:v>18.021833000000001</c:v>
                </c:pt>
                <c:pt idx="27">
                  <c:v>17.672771999999998</c:v>
                </c:pt>
                <c:pt idx="28">
                  <c:v>17.632671999999999</c:v>
                </c:pt>
                <c:pt idx="29">
                  <c:v>17.632773</c:v>
                </c:pt>
                <c:pt idx="30">
                  <c:v>17.237362000000001</c:v>
                </c:pt>
                <c:pt idx="31">
                  <c:v>17.237362000000001</c:v>
                </c:pt>
                <c:pt idx="32">
                  <c:v>17.278862</c:v>
                </c:pt>
                <c:pt idx="33">
                  <c:v>18.397431000000001</c:v>
                </c:pt>
                <c:pt idx="34">
                  <c:v>18.401432999999997</c:v>
                </c:pt>
                <c:pt idx="35">
                  <c:v>18.401432999999997</c:v>
                </c:pt>
                <c:pt idx="36">
                  <c:v>16.099232000000001</c:v>
                </c:pt>
                <c:pt idx="37">
                  <c:v>16.418233000000001</c:v>
                </c:pt>
                <c:pt idx="38">
                  <c:v>16.418233000000001</c:v>
                </c:pt>
                <c:pt idx="39">
                  <c:v>16.418233000000001</c:v>
                </c:pt>
                <c:pt idx="40">
                  <c:v>16.418233000000001</c:v>
                </c:pt>
                <c:pt idx="41">
                  <c:v>16.496932000000001</c:v>
                </c:pt>
                <c:pt idx="42">
                  <c:v>17.018732999999997</c:v>
                </c:pt>
                <c:pt idx="43">
                  <c:v>17.097531</c:v>
                </c:pt>
                <c:pt idx="44">
                  <c:v>17.097531</c:v>
                </c:pt>
                <c:pt idx="45">
                  <c:v>17.176231999999999</c:v>
                </c:pt>
                <c:pt idx="46">
                  <c:v>17.701905</c:v>
                </c:pt>
                <c:pt idx="47">
                  <c:v>17.780607</c:v>
                </c:pt>
                <c:pt idx="48">
                  <c:v>17.780607</c:v>
                </c:pt>
                <c:pt idx="49">
                  <c:v>17.780607</c:v>
                </c:pt>
                <c:pt idx="50">
                  <c:v>17.784504999999999</c:v>
                </c:pt>
                <c:pt idx="51">
                  <c:v>17.784504999999999</c:v>
                </c:pt>
                <c:pt idx="52">
                  <c:v>37.903331999999999</c:v>
                </c:pt>
                <c:pt idx="53">
                  <c:v>39.261600000000001</c:v>
                </c:pt>
                <c:pt idx="54">
                  <c:v>39.261600000000001</c:v>
                </c:pt>
                <c:pt idx="55">
                  <c:v>39.261600000000001</c:v>
                </c:pt>
                <c:pt idx="56">
                  <c:v>2.2700000000000001E-2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08-4464-8BDC-7655FCE87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26104"/>
        <c:axId val="598726496"/>
      </c:scatterChart>
      <c:valAx>
        <c:axId val="598726104"/>
        <c:scaling>
          <c:orientation val="minMax"/>
          <c:max val="78"/>
          <c:min val="6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6496"/>
        <c:crosses val="autoZero"/>
        <c:crossBetween val="midCat"/>
        <c:majorUnit val="5"/>
      </c:valAx>
      <c:valAx>
        <c:axId val="598726496"/>
        <c:scaling>
          <c:orientation val="minMax"/>
          <c:max val="22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610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31875661560004E-2"/>
          <c:y val="2.0278833967046894E-2"/>
          <c:w val="0.97770258647243169"/>
          <c:h val="0.95665618793848484"/>
        </c:manualLayout>
      </c:layout>
      <c:scatterChart>
        <c:scatterStyle val="lineMarker"/>
        <c:varyColors val="0"/>
        <c:ser>
          <c:idx val="0"/>
          <c:order val="0"/>
          <c:tx>
            <c:v>Bottom Contour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'Nominal Data'!$L$5:$L$217</c:f>
              <c:numCache>
                <c:formatCode>General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</c:numCache>
            </c:numRef>
          </c:xVal>
          <c:yVal>
            <c:numRef>
              <c:f>'Nominal Data'!$M$5:$M$217</c:f>
              <c:numCache>
                <c:formatCode>General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E5-4C78-83F0-F15AB09E5F88}"/>
            </c:ext>
          </c:extLst>
        </c:ser>
        <c:ser>
          <c:idx val="1"/>
          <c:order val="1"/>
          <c:tx>
            <c:v>Bottom Contour Offset</c:v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'New Data'!$L$5:$L$217</c:f>
              <c:numCache>
                <c:formatCode>##0.0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xVal>
          <c:yVal>
            <c:numRef>
              <c:f>'New Data'!$M$5:$M$217</c:f>
              <c:numCache>
                <c:formatCode>##0.0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E5-4C78-83F0-F15AB09E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27280"/>
        <c:axId val="598727672"/>
      </c:scatterChart>
      <c:valAx>
        <c:axId val="59872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7672"/>
        <c:crosses val="autoZero"/>
        <c:crossBetween val="midCat"/>
      </c:valAx>
      <c:valAx>
        <c:axId val="59872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27280"/>
        <c:crosses val="autoZero"/>
        <c:crossBetween val="midCat"/>
      </c:valAx>
      <c:spPr>
        <a:noFill/>
        <a:ln>
          <a:solidFill>
            <a:schemeClr val="accent1"/>
          </a:solidFill>
          <a:prstDash val="dash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Settings!$E$2" fmlaRange="Settings!$E$3:$E$10" noThreeD="1" sel="7" val="0"/>
</file>

<file path=xl/ctrlProps/ctrlProp5.xml><?xml version="1.0" encoding="utf-8"?>
<formControlPr xmlns="http://schemas.microsoft.com/office/spreadsheetml/2009/9/main" objectType="Drop" dropLines="4" dropStyle="combo" dx="22" fmlaLink="Settings!$I$2" fmlaRange="Settings!$I$3:$I$6" noThreeD="1" sel="2" val="0"/>
</file>

<file path=xl/ctrlProps/ctrlProp6.xml><?xml version="1.0" encoding="utf-8"?>
<formControlPr xmlns="http://schemas.microsoft.com/office/spreadsheetml/2009/9/main" objectType="CheckBox" fmlaLink="Settings!$J$3" lockText="1" noThreeD="1"/>
</file>

<file path=xl/ctrlProps/ctrlProp7.xml><?xml version="1.0" encoding="utf-8"?>
<formControlPr xmlns="http://schemas.microsoft.com/office/spreadsheetml/2009/9/main" objectType="CheckBox" fmlaLink="Settings!$J$4" lockText="1" noThreeD="1"/>
</file>

<file path=xl/ctrlProps/ctrlProp8.xml><?xml version="1.0" encoding="utf-8"?>
<formControlPr xmlns="http://schemas.microsoft.com/office/spreadsheetml/2009/9/main" objectType="CheckBox" fmlaLink="Settings!$J$5" lockText="1" noThreeD="1"/>
</file>

<file path=xl/ctrlProps/ctrlProp9.xml><?xml version="1.0" encoding="utf-8"?>
<formControlPr xmlns="http://schemas.microsoft.com/office/spreadsheetml/2009/9/main" objectType="CheckBox" fmlaLink="Settings!$J$6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3" dropStyle="combo" dx="22" fmlaLink="Settings!$D$2" fmlaRange="Settings!$D$3:$D$5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3" dropStyle="combo" dx="22" fmlaLink="Settings!$K$2" fmlaRange="Settings!$K$3:$K$5" noThreeD="1" sel="1" val="0"/>
</file>

<file path=xl/ctrlProps/ctrlProp16.xml><?xml version="1.0" encoding="utf-8"?>
<formControlPr xmlns="http://schemas.microsoft.com/office/spreadsheetml/2009/9/main" objectType="Drop" dropLines="2" dropStyle="combo" dx="22" fmlaLink="Settings!$L$2" fmlaRange="Settings!$L$3:$L$4" noThreeD="1" sel="2" val="0"/>
</file>

<file path=xl/ctrlProps/ctrlProp17.xml><?xml version="1.0" encoding="utf-8"?>
<formControlPr xmlns="http://schemas.microsoft.com/office/spreadsheetml/2009/9/main" objectType="Drop" dropLines="6" dropStyle="combo" dx="22" fmlaLink="Settings!$M$2" fmlaRange="Settings!$M$3:$M$11" noThreeD="1" sel="2" val="0"/>
</file>

<file path=xl/ctrlProps/ctrlProp18.xml><?xml version="1.0" encoding="utf-8"?>
<formControlPr xmlns="http://schemas.microsoft.com/office/spreadsheetml/2009/9/main" objectType="CheckBox" checked="Checked" fmlaLink="Settings!$B$2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fmlaLink="Settings!$C$2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Drop" dropStyle="combo" dx="22" fmlaLink="E5" fmlaRange="Setup!$C$32:$C$37" noThreeD="1" sel="6" val="0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Style="combo" dx="22" fmlaLink="E7" fmlaRange="Setup!$C$43:$C$46" noThreeD="1" sel="2" val="0"/>
</file>

<file path=xl/ctrlProps/ctrlProp26.xml><?xml version="1.0" encoding="utf-8"?>
<formControlPr xmlns="http://schemas.microsoft.com/office/spreadsheetml/2009/9/main" objectType="CheckBox" checked="Checked" fmlaLink="$E$17" lockText="1" noThreeD="1"/>
</file>

<file path=xl/ctrlProps/ctrlProp27.xml><?xml version="1.0" encoding="utf-8"?>
<formControlPr xmlns="http://schemas.microsoft.com/office/spreadsheetml/2009/9/main" objectType="CheckBox" fmlaLink="$E$18" lockText="1" noThreeD="1"/>
</file>

<file path=xl/ctrlProps/ctrlProp28.xml><?xml version="1.0" encoding="utf-8"?>
<formControlPr xmlns="http://schemas.microsoft.com/office/spreadsheetml/2009/9/main" objectType="CheckBox" checked="Checked" fmlaLink="$E$19" lockText="1" noThreeD="1"/>
</file>

<file path=xl/ctrlProps/ctrlProp29.xml><?xml version="1.0" encoding="utf-8"?>
<formControlPr xmlns="http://schemas.microsoft.com/office/spreadsheetml/2009/9/main" objectType="CheckBox" fmlaLink="$E20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Drop" dropStyle="combo" dx="22" fmlaLink="E5" fmlaRange="Setup!$C$32:$C$37" noThreeD="1" sel="6" val="0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checked="Checked" fmlaLink="$E$17" lockText="1" noThreeD="1"/>
</file>

<file path=xl/ctrlProps/ctrlProp36.xml><?xml version="1.0" encoding="utf-8"?>
<formControlPr xmlns="http://schemas.microsoft.com/office/spreadsheetml/2009/9/main" objectType="CheckBox" fmlaLink="$E$18" lockText="1" noThreeD="1"/>
</file>

<file path=xl/ctrlProps/ctrlProp37.xml><?xml version="1.0" encoding="utf-8"?>
<formControlPr xmlns="http://schemas.microsoft.com/office/spreadsheetml/2009/9/main" objectType="CheckBox" checked="Checked" fmlaLink="$E$19" lockText="1" noThreeD="1"/>
</file>

<file path=xl/ctrlProps/ctrlProp38.xml><?xml version="1.0" encoding="utf-8"?>
<formControlPr xmlns="http://schemas.microsoft.com/office/spreadsheetml/2009/9/main" objectType="CheckBox" fmlaLink="$E20" lockText="1" noThreeD="1"/>
</file>

<file path=xl/ctrlProps/ctrlProp3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18" Type="http://schemas.openxmlformats.org/officeDocument/2006/relationships/chart" Target="../charts/chart84.xml"/><Relationship Id="rId3" Type="http://schemas.openxmlformats.org/officeDocument/2006/relationships/chart" Target="../charts/chart69.xml"/><Relationship Id="rId21" Type="http://schemas.openxmlformats.org/officeDocument/2006/relationships/chart" Target="../charts/chart87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17" Type="http://schemas.openxmlformats.org/officeDocument/2006/relationships/chart" Target="../charts/chart83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20" Type="http://schemas.openxmlformats.org/officeDocument/2006/relationships/chart" Target="../charts/chart86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19" Type="http://schemas.openxmlformats.org/officeDocument/2006/relationships/chart" Target="../charts/chart85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Relationship Id="rId22" Type="http://schemas.openxmlformats.org/officeDocument/2006/relationships/chart" Target="../charts/chart88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6.xml"/><Relationship Id="rId13" Type="http://schemas.openxmlformats.org/officeDocument/2006/relationships/chart" Target="../charts/chart101.xml"/><Relationship Id="rId18" Type="http://schemas.openxmlformats.org/officeDocument/2006/relationships/chart" Target="../charts/chart106.xml"/><Relationship Id="rId3" Type="http://schemas.openxmlformats.org/officeDocument/2006/relationships/chart" Target="../charts/chart91.xml"/><Relationship Id="rId21" Type="http://schemas.openxmlformats.org/officeDocument/2006/relationships/chart" Target="../charts/chart109.xml"/><Relationship Id="rId7" Type="http://schemas.openxmlformats.org/officeDocument/2006/relationships/chart" Target="../charts/chart95.xml"/><Relationship Id="rId12" Type="http://schemas.openxmlformats.org/officeDocument/2006/relationships/chart" Target="../charts/chart100.xml"/><Relationship Id="rId17" Type="http://schemas.openxmlformats.org/officeDocument/2006/relationships/chart" Target="../charts/chart105.xml"/><Relationship Id="rId2" Type="http://schemas.openxmlformats.org/officeDocument/2006/relationships/chart" Target="../charts/chart90.xml"/><Relationship Id="rId16" Type="http://schemas.openxmlformats.org/officeDocument/2006/relationships/chart" Target="../charts/chart104.xml"/><Relationship Id="rId20" Type="http://schemas.openxmlformats.org/officeDocument/2006/relationships/chart" Target="../charts/chart108.xml"/><Relationship Id="rId1" Type="http://schemas.openxmlformats.org/officeDocument/2006/relationships/chart" Target="../charts/chart89.xml"/><Relationship Id="rId6" Type="http://schemas.openxmlformats.org/officeDocument/2006/relationships/chart" Target="../charts/chart94.xml"/><Relationship Id="rId11" Type="http://schemas.openxmlformats.org/officeDocument/2006/relationships/chart" Target="../charts/chart99.xml"/><Relationship Id="rId5" Type="http://schemas.openxmlformats.org/officeDocument/2006/relationships/chart" Target="../charts/chart93.xml"/><Relationship Id="rId15" Type="http://schemas.openxmlformats.org/officeDocument/2006/relationships/chart" Target="../charts/chart103.xml"/><Relationship Id="rId10" Type="http://schemas.openxmlformats.org/officeDocument/2006/relationships/chart" Target="../charts/chart98.xml"/><Relationship Id="rId19" Type="http://schemas.openxmlformats.org/officeDocument/2006/relationships/chart" Target="../charts/chart107.xml"/><Relationship Id="rId4" Type="http://schemas.openxmlformats.org/officeDocument/2006/relationships/chart" Target="../charts/chart92.xml"/><Relationship Id="rId9" Type="http://schemas.openxmlformats.org/officeDocument/2006/relationships/chart" Target="../charts/chart97.xml"/><Relationship Id="rId14" Type="http://schemas.openxmlformats.org/officeDocument/2006/relationships/chart" Target="../charts/chart102.xml"/><Relationship Id="rId22" Type="http://schemas.openxmlformats.org/officeDocument/2006/relationships/chart" Target="../charts/chart11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8.xml"/><Relationship Id="rId13" Type="http://schemas.openxmlformats.org/officeDocument/2006/relationships/chart" Target="../charts/chart123.xml"/><Relationship Id="rId18" Type="http://schemas.openxmlformats.org/officeDocument/2006/relationships/chart" Target="../charts/chart128.xml"/><Relationship Id="rId3" Type="http://schemas.openxmlformats.org/officeDocument/2006/relationships/chart" Target="../charts/chart113.xml"/><Relationship Id="rId21" Type="http://schemas.openxmlformats.org/officeDocument/2006/relationships/chart" Target="../charts/chart131.xml"/><Relationship Id="rId7" Type="http://schemas.openxmlformats.org/officeDocument/2006/relationships/chart" Target="../charts/chart117.xml"/><Relationship Id="rId12" Type="http://schemas.openxmlformats.org/officeDocument/2006/relationships/chart" Target="../charts/chart122.xml"/><Relationship Id="rId17" Type="http://schemas.openxmlformats.org/officeDocument/2006/relationships/chart" Target="../charts/chart127.xml"/><Relationship Id="rId2" Type="http://schemas.openxmlformats.org/officeDocument/2006/relationships/chart" Target="../charts/chart112.xml"/><Relationship Id="rId16" Type="http://schemas.openxmlformats.org/officeDocument/2006/relationships/chart" Target="../charts/chart126.xml"/><Relationship Id="rId20" Type="http://schemas.openxmlformats.org/officeDocument/2006/relationships/chart" Target="../charts/chart130.xml"/><Relationship Id="rId1" Type="http://schemas.openxmlformats.org/officeDocument/2006/relationships/chart" Target="../charts/chart111.xml"/><Relationship Id="rId6" Type="http://schemas.openxmlformats.org/officeDocument/2006/relationships/chart" Target="../charts/chart116.xml"/><Relationship Id="rId11" Type="http://schemas.openxmlformats.org/officeDocument/2006/relationships/chart" Target="../charts/chart121.xml"/><Relationship Id="rId5" Type="http://schemas.openxmlformats.org/officeDocument/2006/relationships/chart" Target="../charts/chart115.xml"/><Relationship Id="rId15" Type="http://schemas.openxmlformats.org/officeDocument/2006/relationships/chart" Target="../charts/chart125.xml"/><Relationship Id="rId10" Type="http://schemas.openxmlformats.org/officeDocument/2006/relationships/chart" Target="../charts/chart120.xml"/><Relationship Id="rId19" Type="http://schemas.openxmlformats.org/officeDocument/2006/relationships/chart" Target="../charts/chart129.xml"/><Relationship Id="rId4" Type="http://schemas.openxmlformats.org/officeDocument/2006/relationships/chart" Target="../charts/chart114.xml"/><Relationship Id="rId9" Type="http://schemas.openxmlformats.org/officeDocument/2006/relationships/chart" Target="../charts/chart119.xml"/><Relationship Id="rId14" Type="http://schemas.openxmlformats.org/officeDocument/2006/relationships/chart" Target="../charts/chart124.xml"/><Relationship Id="rId22" Type="http://schemas.openxmlformats.org/officeDocument/2006/relationships/chart" Target="../charts/chart13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0.xml"/><Relationship Id="rId13" Type="http://schemas.openxmlformats.org/officeDocument/2006/relationships/chart" Target="../charts/chart145.xml"/><Relationship Id="rId18" Type="http://schemas.openxmlformats.org/officeDocument/2006/relationships/chart" Target="../charts/chart150.xml"/><Relationship Id="rId3" Type="http://schemas.openxmlformats.org/officeDocument/2006/relationships/chart" Target="../charts/chart135.xml"/><Relationship Id="rId21" Type="http://schemas.openxmlformats.org/officeDocument/2006/relationships/chart" Target="../charts/chart153.xml"/><Relationship Id="rId7" Type="http://schemas.openxmlformats.org/officeDocument/2006/relationships/chart" Target="../charts/chart139.xml"/><Relationship Id="rId12" Type="http://schemas.openxmlformats.org/officeDocument/2006/relationships/chart" Target="../charts/chart144.xml"/><Relationship Id="rId17" Type="http://schemas.openxmlformats.org/officeDocument/2006/relationships/chart" Target="../charts/chart149.xml"/><Relationship Id="rId2" Type="http://schemas.openxmlformats.org/officeDocument/2006/relationships/chart" Target="../charts/chart134.xml"/><Relationship Id="rId16" Type="http://schemas.openxmlformats.org/officeDocument/2006/relationships/chart" Target="../charts/chart148.xml"/><Relationship Id="rId20" Type="http://schemas.openxmlformats.org/officeDocument/2006/relationships/chart" Target="../charts/chart152.xml"/><Relationship Id="rId1" Type="http://schemas.openxmlformats.org/officeDocument/2006/relationships/chart" Target="../charts/chart133.xml"/><Relationship Id="rId6" Type="http://schemas.openxmlformats.org/officeDocument/2006/relationships/chart" Target="../charts/chart138.xml"/><Relationship Id="rId11" Type="http://schemas.openxmlformats.org/officeDocument/2006/relationships/chart" Target="../charts/chart143.xml"/><Relationship Id="rId5" Type="http://schemas.openxmlformats.org/officeDocument/2006/relationships/chart" Target="../charts/chart137.xml"/><Relationship Id="rId15" Type="http://schemas.openxmlformats.org/officeDocument/2006/relationships/chart" Target="../charts/chart147.xml"/><Relationship Id="rId10" Type="http://schemas.openxmlformats.org/officeDocument/2006/relationships/chart" Target="../charts/chart142.xml"/><Relationship Id="rId19" Type="http://schemas.openxmlformats.org/officeDocument/2006/relationships/chart" Target="../charts/chart151.xml"/><Relationship Id="rId4" Type="http://schemas.openxmlformats.org/officeDocument/2006/relationships/chart" Target="../charts/chart136.xml"/><Relationship Id="rId9" Type="http://schemas.openxmlformats.org/officeDocument/2006/relationships/chart" Target="../charts/chart141.xml"/><Relationship Id="rId14" Type="http://schemas.openxmlformats.org/officeDocument/2006/relationships/chart" Target="../charts/chart146.xml"/><Relationship Id="rId22" Type="http://schemas.openxmlformats.org/officeDocument/2006/relationships/chart" Target="../charts/chart15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2.xml"/><Relationship Id="rId13" Type="http://schemas.openxmlformats.org/officeDocument/2006/relationships/chart" Target="../charts/chart167.xml"/><Relationship Id="rId18" Type="http://schemas.openxmlformats.org/officeDocument/2006/relationships/chart" Target="../charts/chart172.xml"/><Relationship Id="rId3" Type="http://schemas.openxmlformats.org/officeDocument/2006/relationships/chart" Target="../charts/chart157.xml"/><Relationship Id="rId21" Type="http://schemas.openxmlformats.org/officeDocument/2006/relationships/chart" Target="../charts/chart175.xml"/><Relationship Id="rId7" Type="http://schemas.openxmlformats.org/officeDocument/2006/relationships/chart" Target="../charts/chart161.xml"/><Relationship Id="rId12" Type="http://schemas.openxmlformats.org/officeDocument/2006/relationships/chart" Target="../charts/chart166.xml"/><Relationship Id="rId17" Type="http://schemas.openxmlformats.org/officeDocument/2006/relationships/chart" Target="../charts/chart171.xml"/><Relationship Id="rId2" Type="http://schemas.openxmlformats.org/officeDocument/2006/relationships/chart" Target="../charts/chart156.xml"/><Relationship Id="rId16" Type="http://schemas.openxmlformats.org/officeDocument/2006/relationships/chart" Target="../charts/chart170.xml"/><Relationship Id="rId20" Type="http://schemas.openxmlformats.org/officeDocument/2006/relationships/chart" Target="../charts/chart174.xml"/><Relationship Id="rId1" Type="http://schemas.openxmlformats.org/officeDocument/2006/relationships/chart" Target="../charts/chart155.xml"/><Relationship Id="rId6" Type="http://schemas.openxmlformats.org/officeDocument/2006/relationships/chart" Target="../charts/chart160.xml"/><Relationship Id="rId11" Type="http://schemas.openxmlformats.org/officeDocument/2006/relationships/chart" Target="../charts/chart165.xml"/><Relationship Id="rId5" Type="http://schemas.openxmlformats.org/officeDocument/2006/relationships/chart" Target="../charts/chart159.xml"/><Relationship Id="rId15" Type="http://schemas.openxmlformats.org/officeDocument/2006/relationships/chart" Target="../charts/chart169.xml"/><Relationship Id="rId10" Type="http://schemas.openxmlformats.org/officeDocument/2006/relationships/chart" Target="../charts/chart164.xml"/><Relationship Id="rId19" Type="http://schemas.openxmlformats.org/officeDocument/2006/relationships/chart" Target="../charts/chart173.xml"/><Relationship Id="rId4" Type="http://schemas.openxmlformats.org/officeDocument/2006/relationships/chart" Target="../charts/chart158.xml"/><Relationship Id="rId9" Type="http://schemas.openxmlformats.org/officeDocument/2006/relationships/chart" Target="../charts/chart163.xml"/><Relationship Id="rId14" Type="http://schemas.openxmlformats.org/officeDocument/2006/relationships/chart" Target="../charts/chart168.xml"/><Relationship Id="rId22" Type="http://schemas.openxmlformats.org/officeDocument/2006/relationships/chart" Target="../charts/chart17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4.xml"/><Relationship Id="rId13" Type="http://schemas.openxmlformats.org/officeDocument/2006/relationships/chart" Target="../charts/chart189.xml"/><Relationship Id="rId18" Type="http://schemas.openxmlformats.org/officeDocument/2006/relationships/chart" Target="../charts/chart194.xml"/><Relationship Id="rId3" Type="http://schemas.openxmlformats.org/officeDocument/2006/relationships/chart" Target="../charts/chart179.xml"/><Relationship Id="rId21" Type="http://schemas.openxmlformats.org/officeDocument/2006/relationships/chart" Target="../charts/chart197.xml"/><Relationship Id="rId7" Type="http://schemas.openxmlformats.org/officeDocument/2006/relationships/chart" Target="../charts/chart183.xml"/><Relationship Id="rId12" Type="http://schemas.openxmlformats.org/officeDocument/2006/relationships/chart" Target="../charts/chart188.xml"/><Relationship Id="rId17" Type="http://schemas.openxmlformats.org/officeDocument/2006/relationships/chart" Target="../charts/chart193.xml"/><Relationship Id="rId2" Type="http://schemas.openxmlformats.org/officeDocument/2006/relationships/chart" Target="../charts/chart178.xml"/><Relationship Id="rId16" Type="http://schemas.openxmlformats.org/officeDocument/2006/relationships/chart" Target="../charts/chart192.xml"/><Relationship Id="rId20" Type="http://schemas.openxmlformats.org/officeDocument/2006/relationships/chart" Target="../charts/chart196.xml"/><Relationship Id="rId1" Type="http://schemas.openxmlformats.org/officeDocument/2006/relationships/chart" Target="../charts/chart177.xml"/><Relationship Id="rId6" Type="http://schemas.openxmlformats.org/officeDocument/2006/relationships/chart" Target="../charts/chart182.xml"/><Relationship Id="rId11" Type="http://schemas.openxmlformats.org/officeDocument/2006/relationships/chart" Target="../charts/chart187.xml"/><Relationship Id="rId5" Type="http://schemas.openxmlformats.org/officeDocument/2006/relationships/chart" Target="../charts/chart181.xml"/><Relationship Id="rId15" Type="http://schemas.openxmlformats.org/officeDocument/2006/relationships/chart" Target="../charts/chart191.xml"/><Relationship Id="rId10" Type="http://schemas.openxmlformats.org/officeDocument/2006/relationships/chart" Target="../charts/chart186.xml"/><Relationship Id="rId19" Type="http://schemas.openxmlformats.org/officeDocument/2006/relationships/chart" Target="../charts/chart195.xml"/><Relationship Id="rId4" Type="http://schemas.openxmlformats.org/officeDocument/2006/relationships/chart" Target="../charts/chart180.xml"/><Relationship Id="rId9" Type="http://schemas.openxmlformats.org/officeDocument/2006/relationships/chart" Target="../charts/chart185.xml"/><Relationship Id="rId14" Type="http://schemas.openxmlformats.org/officeDocument/2006/relationships/chart" Target="../charts/chart190.xml"/><Relationship Id="rId22" Type="http://schemas.openxmlformats.org/officeDocument/2006/relationships/chart" Target="../charts/chart198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6.xml"/><Relationship Id="rId13" Type="http://schemas.openxmlformats.org/officeDocument/2006/relationships/chart" Target="../charts/chart211.xml"/><Relationship Id="rId18" Type="http://schemas.openxmlformats.org/officeDocument/2006/relationships/chart" Target="../charts/chart216.xml"/><Relationship Id="rId3" Type="http://schemas.openxmlformats.org/officeDocument/2006/relationships/chart" Target="../charts/chart201.xml"/><Relationship Id="rId21" Type="http://schemas.openxmlformats.org/officeDocument/2006/relationships/chart" Target="../charts/chart219.xml"/><Relationship Id="rId7" Type="http://schemas.openxmlformats.org/officeDocument/2006/relationships/chart" Target="../charts/chart205.xml"/><Relationship Id="rId12" Type="http://schemas.openxmlformats.org/officeDocument/2006/relationships/chart" Target="../charts/chart210.xml"/><Relationship Id="rId17" Type="http://schemas.openxmlformats.org/officeDocument/2006/relationships/chart" Target="../charts/chart215.xml"/><Relationship Id="rId2" Type="http://schemas.openxmlformats.org/officeDocument/2006/relationships/chart" Target="../charts/chart200.xml"/><Relationship Id="rId16" Type="http://schemas.openxmlformats.org/officeDocument/2006/relationships/chart" Target="../charts/chart214.xml"/><Relationship Id="rId20" Type="http://schemas.openxmlformats.org/officeDocument/2006/relationships/chart" Target="../charts/chart218.xml"/><Relationship Id="rId1" Type="http://schemas.openxmlformats.org/officeDocument/2006/relationships/chart" Target="../charts/chart199.xml"/><Relationship Id="rId6" Type="http://schemas.openxmlformats.org/officeDocument/2006/relationships/chart" Target="../charts/chart204.xml"/><Relationship Id="rId11" Type="http://schemas.openxmlformats.org/officeDocument/2006/relationships/chart" Target="../charts/chart209.xml"/><Relationship Id="rId5" Type="http://schemas.openxmlformats.org/officeDocument/2006/relationships/chart" Target="../charts/chart203.xml"/><Relationship Id="rId15" Type="http://schemas.openxmlformats.org/officeDocument/2006/relationships/chart" Target="../charts/chart213.xml"/><Relationship Id="rId10" Type="http://schemas.openxmlformats.org/officeDocument/2006/relationships/chart" Target="../charts/chart208.xml"/><Relationship Id="rId19" Type="http://schemas.openxmlformats.org/officeDocument/2006/relationships/chart" Target="../charts/chart217.xml"/><Relationship Id="rId4" Type="http://schemas.openxmlformats.org/officeDocument/2006/relationships/chart" Target="../charts/chart202.xml"/><Relationship Id="rId9" Type="http://schemas.openxmlformats.org/officeDocument/2006/relationships/chart" Target="../charts/chart207.xml"/><Relationship Id="rId14" Type="http://schemas.openxmlformats.org/officeDocument/2006/relationships/chart" Target="../charts/chart212.xml"/><Relationship Id="rId22" Type="http://schemas.openxmlformats.org/officeDocument/2006/relationships/chart" Target="../charts/chart220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8.xml"/><Relationship Id="rId13" Type="http://schemas.openxmlformats.org/officeDocument/2006/relationships/chart" Target="../charts/chart233.xml"/><Relationship Id="rId18" Type="http://schemas.openxmlformats.org/officeDocument/2006/relationships/chart" Target="../charts/chart238.xml"/><Relationship Id="rId3" Type="http://schemas.openxmlformats.org/officeDocument/2006/relationships/chart" Target="../charts/chart223.xml"/><Relationship Id="rId21" Type="http://schemas.openxmlformats.org/officeDocument/2006/relationships/chart" Target="../charts/chart241.xml"/><Relationship Id="rId7" Type="http://schemas.openxmlformats.org/officeDocument/2006/relationships/chart" Target="../charts/chart227.xml"/><Relationship Id="rId12" Type="http://schemas.openxmlformats.org/officeDocument/2006/relationships/chart" Target="../charts/chart232.xml"/><Relationship Id="rId17" Type="http://schemas.openxmlformats.org/officeDocument/2006/relationships/chart" Target="../charts/chart237.xml"/><Relationship Id="rId2" Type="http://schemas.openxmlformats.org/officeDocument/2006/relationships/chart" Target="../charts/chart222.xml"/><Relationship Id="rId16" Type="http://schemas.openxmlformats.org/officeDocument/2006/relationships/chart" Target="../charts/chart236.xml"/><Relationship Id="rId20" Type="http://schemas.openxmlformats.org/officeDocument/2006/relationships/chart" Target="../charts/chart240.xml"/><Relationship Id="rId1" Type="http://schemas.openxmlformats.org/officeDocument/2006/relationships/chart" Target="../charts/chart221.xml"/><Relationship Id="rId6" Type="http://schemas.openxmlformats.org/officeDocument/2006/relationships/chart" Target="../charts/chart226.xml"/><Relationship Id="rId11" Type="http://schemas.openxmlformats.org/officeDocument/2006/relationships/chart" Target="../charts/chart231.xml"/><Relationship Id="rId5" Type="http://schemas.openxmlformats.org/officeDocument/2006/relationships/chart" Target="../charts/chart225.xml"/><Relationship Id="rId15" Type="http://schemas.openxmlformats.org/officeDocument/2006/relationships/chart" Target="../charts/chart235.xml"/><Relationship Id="rId10" Type="http://schemas.openxmlformats.org/officeDocument/2006/relationships/chart" Target="../charts/chart230.xml"/><Relationship Id="rId19" Type="http://schemas.openxmlformats.org/officeDocument/2006/relationships/chart" Target="../charts/chart239.xml"/><Relationship Id="rId4" Type="http://schemas.openxmlformats.org/officeDocument/2006/relationships/chart" Target="../charts/chart224.xml"/><Relationship Id="rId9" Type="http://schemas.openxmlformats.org/officeDocument/2006/relationships/chart" Target="../charts/chart229.xml"/><Relationship Id="rId14" Type="http://schemas.openxmlformats.org/officeDocument/2006/relationships/chart" Target="../charts/chart234.xml"/><Relationship Id="rId22" Type="http://schemas.openxmlformats.org/officeDocument/2006/relationships/chart" Target="../charts/chart242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0.xml"/><Relationship Id="rId13" Type="http://schemas.openxmlformats.org/officeDocument/2006/relationships/chart" Target="../charts/chart255.xml"/><Relationship Id="rId18" Type="http://schemas.openxmlformats.org/officeDocument/2006/relationships/chart" Target="../charts/chart260.xml"/><Relationship Id="rId3" Type="http://schemas.openxmlformats.org/officeDocument/2006/relationships/chart" Target="../charts/chart245.xml"/><Relationship Id="rId21" Type="http://schemas.openxmlformats.org/officeDocument/2006/relationships/chart" Target="../charts/chart263.xml"/><Relationship Id="rId7" Type="http://schemas.openxmlformats.org/officeDocument/2006/relationships/chart" Target="../charts/chart249.xml"/><Relationship Id="rId12" Type="http://schemas.openxmlformats.org/officeDocument/2006/relationships/chart" Target="../charts/chart254.xml"/><Relationship Id="rId17" Type="http://schemas.openxmlformats.org/officeDocument/2006/relationships/chart" Target="../charts/chart259.xml"/><Relationship Id="rId2" Type="http://schemas.openxmlformats.org/officeDocument/2006/relationships/chart" Target="../charts/chart244.xml"/><Relationship Id="rId16" Type="http://schemas.openxmlformats.org/officeDocument/2006/relationships/chart" Target="../charts/chart258.xml"/><Relationship Id="rId20" Type="http://schemas.openxmlformats.org/officeDocument/2006/relationships/chart" Target="../charts/chart262.xml"/><Relationship Id="rId1" Type="http://schemas.openxmlformats.org/officeDocument/2006/relationships/chart" Target="../charts/chart243.xml"/><Relationship Id="rId6" Type="http://schemas.openxmlformats.org/officeDocument/2006/relationships/chart" Target="../charts/chart248.xml"/><Relationship Id="rId11" Type="http://schemas.openxmlformats.org/officeDocument/2006/relationships/chart" Target="../charts/chart253.xml"/><Relationship Id="rId5" Type="http://schemas.openxmlformats.org/officeDocument/2006/relationships/chart" Target="../charts/chart247.xml"/><Relationship Id="rId15" Type="http://schemas.openxmlformats.org/officeDocument/2006/relationships/chart" Target="../charts/chart257.xml"/><Relationship Id="rId10" Type="http://schemas.openxmlformats.org/officeDocument/2006/relationships/chart" Target="../charts/chart252.xml"/><Relationship Id="rId19" Type="http://schemas.openxmlformats.org/officeDocument/2006/relationships/chart" Target="../charts/chart261.xml"/><Relationship Id="rId4" Type="http://schemas.openxmlformats.org/officeDocument/2006/relationships/chart" Target="../charts/chart246.xml"/><Relationship Id="rId9" Type="http://schemas.openxmlformats.org/officeDocument/2006/relationships/chart" Target="../charts/chart251.xml"/><Relationship Id="rId14" Type="http://schemas.openxmlformats.org/officeDocument/2006/relationships/chart" Target="../charts/chart256.xml"/><Relationship Id="rId22" Type="http://schemas.openxmlformats.org/officeDocument/2006/relationships/chart" Target="../charts/chart264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2.xml"/><Relationship Id="rId13" Type="http://schemas.openxmlformats.org/officeDocument/2006/relationships/chart" Target="../charts/chart277.xml"/><Relationship Id="rId18" Type="http://schemas.openxmlformats.org/officeDocument/2006/relationships/chart" Target="../charts/chart282.xml"/><Relationship Id="rId3" Type="http://schemas.openxmlformats.org/officeDocument/2006/relationships/chart" Target="../charts/chart267.xml"/><Relationship Id="rId21" Type="http://schemas.openxmlformats.org/officeDocument/2006/relationships/chart" Target="../charts/chart285.xml"/><Relationship Id="rId7" Type="http://schemas.openxmlformats.org/officeDocument/2006/relationships/chart" Target="../charts/chart271.xml"/><Relationship Id="rId12" Type="http://schemas.openxmlformats.org/officeDocument/2006/relationships/chart" Target="../charts/chart276.xml"/><Relationship Id="rId17" Type="http://schemas.openxmlformats.org/officeDocument/2006/relationships/chart" Target="../charts/chart281.xml"/><Relationship Id="rId2" Type="http://schemas.openxmlformats.org/officeDocument/2006/relationships/chart" Target="../charts/chart266.xml"/><Relationship Id="rId16" Type="http://schemas.openxmlformats.org/officeDocument/2006/relationships/chart" Target="../charts/chart280.xml"/><Relationship Id="rId20" Type="http://schemas.openxmlformats.org/officeDocument/2006/relationships/chart" Target="../charts/chart284.xml"/><Relationship Id="rId1" Type="http://schemas.openxmlformats.org/officeDocument/2006/relationships/chart" Target="../charts/chart265.xml"/><Relationship Id="rId6" Type="http://schemas.openxmlformats.org/officeDocument/2006/relationships/chart" Target="../charts/chart270.xml"/><Relationship Id="rId11" Type="http://schemas.openxmlformats.org/officeDocument/2006/relationships/chart" Target="../charts/chart275.xml"/><Relationship Id="rId5" Type="http://schemas.openxmlformats.org/officeDocument/2006/relationships/chart" Target="../charts/chart269.xml"/><Relationship Id="rId15" Type="http://schemas.openxmlformats.org/officeDocument/2006/relationships/chart" Target="../charts/chart279.xml"/><Relationship Id="rId10" Type="http://schemas.openxmlformats.org/officeDocument/2006/relationships/chart" Target="../charts/chart274.xml"/><Relationship Id="rId19" Type="http://schemas.openxmlformats.org/officeDocument/2006/relationships/chart" Target="../charts/chart283.xml"/><Relationship Id="rId4" Type="http://schemas.openxmlformats.org/officeDocument/2006/relationships/chart" Target="../charts/chart268.xml"/><Relationship Id="rId9" Type="http://schemas.openxmlformats.org/officeDocument/2006/relationships/chart" Target="../charts/chart273.xml"/><Relationship Id="rId14" Type="http://schemas.openxmlformats.org/officeDocument/2006/relationships/chart" Target="../charts/chart278.xml"/><Relationship Id="rId22" Type="http://schemas.openxmlformats.org/officeDocument/2006/relationships/chart" Target="../charts/chart286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4.xml"/><Relationship Id="rId13" Type="http://schemas.openxmlformats.org/officeDocument/2006/relationships/chart" Target="../charts/chart299.xml"/><Relationship Id="rId18" Type="http://schemas.openxmlformats.org/officeDocument/2006/relationships/chart" Target="../charts/chart304.xml"/><Relationship Id="rId3" Type="http://schemas.openxmlformats.org/officeDocument/2006/relationships/chart" Target="../charts/chart289.xml"/><Relationship Id="rId21" Type="http://schemas.openxmlformats.org/officeDocument/2006/relationships/chart" Target="../charts/chart307.xml"/><Relationship Id="rId7" Type="http://schemas.openxmlformats.org/officeDocument/2006/relationships/chart" Target="../charts/chart293.xml"/><Relationship Id="rId12" Type="http://schemas.openxmlformats.org/officeDocument/2006/relationships/chart" Target="../charts/chart298.xml"/><Relationship Id="rId17" Type="http://schemas.openxmlformats.org/officeDocument/2006/relationships/chart" Target="../charts/chart303.xml"/><Relationship Id="rId2" Type="http://schemas.openxmlformats.org/officeDocument/2006/relationships/chart" Target="../charts/chart288.xml"/><Relationship Id="rId16" Type="http://schemas.openxmlformats.org/officeDocument/2006/relationships/chart" Target="../charts/chart302.xml"/><Relationship Id="rId20" Type="http://schemas.openxmlformats.org/officeDocument/2006/relationships/chart" Target="../charts/chart306.xml"/><Relationship Id="rId1" Type="http://schemas.openxmlformats.org/officeDocument/2006/relationships/chart" Target="../charts/chart287.xml"/><Relationship Id="rId6" Type="http://schemas.openxmlformats.org/officeDocument/2006/relationships/chart" Target="../charts/chart292.xml"/><Relationship Id="rId11" Type="http://schemas.openxmlformats.org/officeDocument/2006/relationships/chart" Target="../charts/chart297.xml"/><Relationship Id="rId5" Type="http://schemas.openxmlformats.org/officeDocument/2006/relationships/chart" Target="../charts/chart291.xml"/><Relationship Id="rId15" Type="http://schemas.openxmlformats.org/officeDocument/2006/relationships/chart" Target="../charts/chart301.xml"/><Relationship Id="rId10" Type="http://schemas.openxmlformats.org/officeDocument/2006/relationships/chart" Target="../charts/chart296.xml"/><Relationship Id="rId19" Type="http://schemas.openxmlformats.org/officeDocument/2006/relationships/chart" Target="../charts/chart305.xml"/><Relationship Id="rId4" Type="http://schemas.openxmlformats.org/officeDocument/2006/relationships/chart" Target="../charts/chart290.xml"/><Relationship Id="rId9" Type="http://schemas.openxmlformats.org/officeDocument/2006/relationships/chart" Target="../charts/chart295.xml"/><Relationship Id="rId14" Type="http://schemas.openxmlformats.org/officeDocument/2006/relationships/chart" Target="../charts/chart300.xml"/><Relationship Id="rId22" Type="http://schemas.openxmlformats.org/officeDocument/2006/relationships/chart" Target="../charts/chart308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6.xml"/><Relationship Id="rId13" Type="http://schemas.openxmlformats.org/officeDocument/2006/relationships/chart" Target="../charts/chart321.xml"/><Relationship Id="rId18" Type="http://schemas.openxmlformats.org/officeDocument/2006/relationships/chart" Target="../charts/chart326.xml"/><Relationship Id="rId3" Type="http://schemas.openxmlformats.org/officeDocument/2006/relationships/chart" Target="../charts/chart311.xml"/><Relationship Id="rId21" Type="http://schemas.openxmlformats.org/officeDocument/2006/relationships/chart" Target="../charts/chart329.xml"/><Relationship Id="rId7" Type="http://schemas.openxmlformats.org/officeDocument/2006/relationships/chart" Target="../charts/chart315.xml"/><Relationship Id="rId12" Type="http://schemas.openxmlformats.org/officeDocument/2006/relationships/chart" Target="../charts/chart320.xml"/><Relationship Id="rId17" Type="http://schemas.openxmlformats.org/officeDocument/2006/relationships/chart" Target="../charts/chart325.xml"/><Relationship Id="rId2" Type="http://schemas.openxmlformats.org/officeDocument/2006/relationships/chart" Target="../charts/chart310.xml"/><Relationship Id="rId16" Type="http://schemas.openxmlformats.org/officeDocument/2006/relationships/chart" Target="../charts/chart324.xml"/><Relationship Id="rId20" Type="http://schemas.openxmlformats.org/officeDocument/2006/relationships/chart" Target="../charts/chart328.xml"/><Relationship Id="rId1" Type="http://schemas.openxmlformats.org/officeDocument/2006/relationships/chart" Target="../charts/chart309.xml"/><Relationship Id="rId6" Type="http://schemas.openxmlformats.org/officeDocument/2006/relationships/chart" Target="../charts/chart314.xml"/><Relationship Id="rId11" Type="http://schemas.openxmlformats.org/officeDocument/2006/relationships/chart" Target="../charts/chart319.xml"/><Relationship Id="rId5" Type="http://schemas.openxmlformats.org/officeDocument/2006/relationships/chart" Target="../charts/chart313.xml"/><Relationship Id="rId15" Type="http://schemas.openxmlformats.org/officeDocument/2006/relationships/chart" Target="../charts/chart323.xml"/><Relationship Id="rId10" Type="http://schemas.openxmlformats.org/officeDocument/2006/relationships/chart" Target="../charts/chart318.xml"/><Relationship Id="rId19" Type="http://schemas.openxmlformats.org/officeDocument/2006/relationships/chart" Target="../charts/chart327.xml"/><Relationship Id="rId4" Type="http://schemas.openxmlformats.org/officeDocument/2006/relationships/chart" Target="../charts/chart312.xml"/><Relationship Id="rId9" Type="http://schemas.openxmlformats.org/officeDocument/2006/relationships/chart" Target="../charts/chart317.xml"/><Relationship Id="rId14" Type="http://schemas.openxmlformats.org/officeDocument/2006/relationships/chart" Target="../charts/chart322.xml"/><Relationship Id="rId22" Type="http://schemas.openxmlformats.org/officeDocument/2006/relationships/chart" Target="../charts/chart330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8.xml"/><Relationship Id="rId13" Type="http://schemas.openxmlformats.org/officeDocument/2006/relationships/chart" Target="../charts/chart343.xml"/><Relationship Id="rId18" Type="http://schemas.openxmlformats.org/officeDocument/2006/relationships/chart" Target="../charts/chart348.xml"/><Relationship Id="rId3" Type="http://schemas.openxmlformats.org/officeDocument/2006/relationships/chart" Target="../charts/chart333.xml"/><Relationship Id="rId21" Type="http://schemas.openxmlformats.org/officeDocument/2006/relationships/chart" Target="../charts/chart351.xml"/><Relationship Id="rId7" Type="http://schemas.openxmlformats.org/officeDocument/2006/relationships/chart" Target="../charts/chart337.xml"/><Relationship Id="rId12" Type="http://schemas.openxmlformats.org/officeDocument/2006/relationships/chart" Target="../charts/chart342.xml"/><Relationship Id="rId17" Type="http://schemas.openxmlformats.org/officeDocument/2006/relationships/chart" Target="../charts/chart347.xml"/><Relationship Id="rId2" Type="http://schemas.openxmlformats.org/officeDocument/2006/relationships/chart" Target="../charts/chart332.xml"/><Relationship Id="rId16" Type="http://schemas.openxmlformats.org/officeDocument/2006/relationships/chart" Target="../charts/chart346.xml"/><Relationship Id="rId20" Type="http://schemas.openxmlformats.org/officeDocument/2006/relationships/chart" Target="../charts/chart350.xml"/><Relationship Id="rId1" Type="http://schemas.openxmlformats.org/officeDocument/2006/relationships/chart" Target="../charts/chart331.xml"/><Relationship Id="rId6" Type="http://schemas.openxmlformats.org/officeDocument/2006/relationships/chart" Target="../charts/chart336.xml"/><Relationship Id="rId11" Type="http://schemas.openxmlformats.org/officeDocument/2006/relationships/chart" Target="../charts/chart341.xml"/><Relationship Id="rId5" Type="http://schemas.openxmlformats.org/officeDocument/2006/relationships/chart" Target="../charts/chart335.xml"/><Relationship Id="rId15" Type="http://schemas.openxmlformats.org/officeDocument/2006/relationships/chart" Target="../charts/chart345.xml"/><Relationship Id="rId10" Type="http://schemas.openxmlformats.org/officeDocument/2006/relationships/chart" Target="../charts/chart340.xml"/><Relationship Id="rId19" Type="http://schemas.openxmlformats.org/officeDocument/2006/relationships/chart" Target="../charts/chart349.xml"/><Relationship Id="rId4" Type="http://schemas.openxmlformats.org/officeDocument/2006/relationships/chart" Target="../charts/chart334.xml"/><Relationship Id="rId9" Type="http://schemas.openxmlformats.org/officeDocument/2006/relationships/chart" Target="../charts/chart339.xml"/><Relationship Id="rId14" Type="http://schemas.openxmlformats.org/officeDocument/2006/relationships/chart" Target="../charts/chart344.xml"/><Relationship Id="rId22" Type="http://schemas.openxmlformats.org/officeDocument/2006/relationships/chart" Target="../charts/chart35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0.xml"/><Relationship Id="rId13" Type="http://schemas.openxmlformats.org/officeDocument/2006/relationships/chart" Target="../charts/chart365.xml"/><Relationship Id="rId18" Type="http://schemas.openxmlformats.org/officeDocument/2006/relationships/chart" Target="../charts/chart370.xml"/><Relationship Id="rId3" Type="http://schemas.openxmlformats.org/officeDocument/2006/relationships/chart" Target="../charts/chart355.xml"/><Relationship Id="rId21" Type="http://schemas.openxmlformats.org/officeDocument/2006/relationships/chart" Target="../charts/chart373.xml"/><Relationship Id="rId7" Type="http://schemas.openxmlformats.org/officeDocument/2006/relationships/chart" Target="../charts/chart359.xml"/><Relationship Id="rId12" Type="http://schemas.openxmlformats.org/officeDocument/2006/relationships/chart" Target="../charts/chart364.xml"/><Relationship Id="rId17" Type="http://schemas.openxmlformats.org/officeDocument/2006/relationships/chart" Target="../charts/chart369.xml"/><Relationship Id="rId2" Type="http://schemas.openxmlformats.org/officeDocument/2006/relationships/chart" Target="../charts/chart354.xml"/><Relationship Id="rId16" Type="http://schemas.openxmlformats.org/officeDocument/2006/relationships/chart" Target="../charts/chart368.xml"/><Relationship Id="rId20" Type="http://schemas.openxmlformats.org/officeDocument/2006/relationships/chart" Target="../charts/chart372.xml"/><Relationship Id="rId1" Type="http://schemas.openxmlformats.org/officeDocument/2006/relationships/chart" Target="../charts/chart353.xml"/><Relationship Id="rId6" Type="http://schemas.openxmlformats.org/officeDocument/2006/relationships/chart" Target="../charts/chart358.xml"/><Relationship Id="rId11" Type="http://schemas.openxmlformats.org/officeDocument/2006/relationships/chart" Target="../charts/chart363.xml"/><Relationship Id="rId5" Type="http://schemas.openxmlformats.org/officeDocument/2006/relationships/chart" Target="../charts/chart357.xml"/><Relationship Id="rId15" Type="http://schemas.openxmlformats.org/officeDocument/2006/relationships/chart" Target="../charts/chart367.xml"/><Relationship Id="rId10" Type="http://schemas.openxmlformats.org/officeDocument/2006/relationships/chart" Target="../charts/chart362.xml"/><Relationship Id="rId19" Type="http://schemas.openxmlformats.org/officeDocument/2006/relationships/chart" Target="../charts/chart371.xml"/><Relationship Id="rId4" Type="http://schemas.openxmlformats.org/officeDocument/2006/relationships/chart" Target="../charts/chart356.xml"/><Relationship Id="rId9" Type="http://schemas.openxmlformats.org/officeDocument/2006/relationships/chart" Target="../charts/chart361.xml"/><Relationship Id="rId14" Type="http://schemas.openxmlformats.org/officeDocument/2006/relationships/chart" Target="../charts/chart366.xml"/><Relationship Id="rId22" Type="http://schemas.openxmlformats.org/officeDocument/2006/relationships/chart" Target="../charts/chart374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2.xml"/><Relationship Id="rId13" Type="http://schemas.openxmlformats.org/officeDocument/2006/relationships/chart" Target="../charts/chart387.xml"/><Relationship Id="rId18" Type="http://schemas.openxmlformats.org/officeDocument/2006/relationships/chart" Target="../charts/chart392.xml"/><Relationship Id="rId3" Type="http://schemas.openxmlformats.org/officeDocument/2006/relationships/chart" Target="../charts/chart377.xml"/><Relationship Id="rId21" Type="http://schemas.openxmlformats.org/officeDocument/2006/relationships/chart" Target="../charts/chart395.xml"/><Relationship Id="rId7" Type="http://schemas.openxmlformats.org/officeDocument/2006/relationships/chart" Target="../charts/chart381.xml"/><Relationship Id="rId12" Type="http://schemas.openxmlformats.org/officeDocument/2006/relationships/chart" Target="../charts/chart386.xml"/><Relationship Id="rId17" Type="http://schemas.openxmlformats.org/officeDocument/2006/relationships/chart" Target="../charts/chart391.xml"/><Relationship Id="rId2" Type="http://schemas.openxmlformats.org/officeDocument/2006/relationships/chart" Target="../charts/chart376.xml"/><Relationship Id="rId16" Type="http://schemas.openxmlformats.org/officeDocument/2006/relationships/chart" Target="../charts/chart390.xml"/><Relationship Id="rId20" Type="http://schemas.openxmlformats.org/officeDocument/2006/relationships/chart" Target="../charts/chart394.xml"/><Relationship Id="rId1" Type="http://schemas.openxmlformats.org/officeDocument/2006/relationships/chart" Target="../charts/chart375.xml"/><Relationship Id="rId6" Type="http://schemas.openxmlformats.org/officeDocument/2006/relationships/chart" Target="../charts/chart380.xml"/><Relationship Id="rId11" Type="http://schemas.openxmlformats.org/officeDocument/2006/relationships/chart" Target="../charts/chart385.xml"/><Relationship Id="rId5" Type="http://schemas.openxmlformats.org/officeDocument/2006/relationships/chart" Target="../charts/chart379.xml"/><Relationship Id="rId15" Type="http://schemas.openxmlformats.org/officeDocument/2006/relationships/chart" Target="../charts/chart389.xml"/><Relationship Id="rId10" Type="http://schemas.openxmlformats.org/officeDocument/2006/relationships/chart" Target="../charts/chart384.xml"/><Relationship Id="rId19" Type="http://schemas.openxmlformats.org/officeDocument/2006/relationships/chart" Target="../charts/chart393.xml"/><Relationship Id="rId4" Type="http://schemas.openxmlformats.org/officeDocument/2006/relationships/chart" Target="../charts/chart378.xml"/><Relationship Id="rId9" Type="http://schemas.openxmlformats.org/officeDocument/2006/relationships/chart" Target="../charts/chart383.xml"/><Relationship Id="rId14" Type="http://schemas.openxmlformats.org/officeDocument/2006/relationships/chart" Target="../charts/chart388.xml"/><Relationship Id="rId22" Type="http://schemas.openxmlformats.org/officeDocument/2006/relationships/chart" Target="../charts/chart396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4.xml"/><Relationship Id="rId13" Type="http://schemas.openxmlformats.org/officeDocument/2006/relationships/chart" Target="../charts/chart409.xml"/><Relationship Id="rId18" Type="http://schemas.openxmlformats.org/officeDocument/2006/relationships/chart" Target="../charts/chart414.xml"/><Relationship Id="rId3" Type="http://schemas.openxmlformats.org/officeDocument/2006/relationships/chart" Target="../charts/chart399.xml"/><Relationship Id="rId21" Type="http://schemas.openxmlformats.org/officeDocument/2006/relationships/chart" Target="../charts/chart417.xml"/><Relationship Id="rId7" Type="http://schemas.openxmlformats.org/officeDocument/2006/relationships/chart" Target="../charts/chart403.xml"/><Relationship Id="rId12" Type="http://schemas.openxmlformats.org/officeDocument/2006/relationships/chart" Target="../charts/chart408.xml"/><Relationship Id="rId17" Type="http://schemas.openxmlformats.org/officeDocument/2006/relationships/chart" Target="../charts/chart413.xml"/><Relationship Id="rId2" Type="http://schemas.openxmlformats.org/officeDocument/2006/relationships/chart" Target="../charts/chart398.xml"/><Relationship Id="rId16" Type="http://schemas.openxmlformats.org/officeDocument/2006/relationships/chart" Target="../charts/chart412.xml"/><Relationship Id="rId20" Type="http://schemas.openxmlformats.org/officeDocument/2006/relationships/chart" Target="../charts/chart416.xml"/><Relationship Id="rId1" Type="http://schemas.openxmlformats.org/officeDocument/2006/relationships/chart" Target="../charts/chart397.xml"/><Relationship Id="rId6" Type="http://schemas.openxmlformats.org/officeDocument/2006/relationships/chart" Target="../charts/chart402.xml"/><Relationship Id="rId11" Type="http://schemas.openxmlformats.org/officeDocument/2006/relationships/chart" Target="../charts/chart407.xml"/><Relationship Id="rId5" Type="http://schemas.openxmlformats.org/officeDocument/2006/relationships/chart" Target="../charts/chart401.xml"/><Relationship Id="rId15" Type="http://schemas.openxmlformats.org/officeDocument/2006/relationships/chart" Target="../charts/chart411.xml"/><Relationship Id="rId10" Type="http://schemas.openxmlformats.org/officeDocument/2006/relationships/chart" Target="../charts/chart406.xml"/><Relationship Id="rId19" Type="http://schemas.openxmlformats.org/officeDocument/2006/relationships/chart" Target="../charts/chart415.xml"/><Relationship Id="rId4" Type="http://schemas.openxmlformats.org/officeDocument/2006/relationships/chart" Target="../charts/chart400.xml"/><Relationship Id="rId9" Type="http://schemas.openxmlformats.org/officeDocument/2006/relationships/chart" Target="../charts/chart405.xml"/><Relationship Id="rId14" Type="http://schemas.openxmlformats.org/officeDocument/2006/relationships/chart" Target="../charts/chart410.xml"/><Relationship Id="rId22" Type="http://schemas.openxmlformats.org/officeDocument/2006/relationships/chart" Target="../charts/chart41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6.xml"/><Relationship Id="rId13" Type="http://schemas.openxmlformats.org/officeDocument/2006/relationships/chart" Target="../charts/chart431.xml"/><Relationship Id="rId18" Type="http://schemas.openxmlformats.org/officeDocument/2006/relationships/chart" Target="../charts/chart436.xml"/><Relationship Id="rId3" Type="http://schemas.openxmlformats.org/officeDocument/2006/relationships/chart" Target="../charts/chart421.xml"/><Relationship Id="rId21" Type="http://schemas.openxmlformats.org/officeDocument/2006/relationships/chart" Target="../charts/chart439.xml"/><Relationship Id="rId7" Type="http://schemas.openxmlformats.org/officeDocument/2006/relationships/chart" Target="../charts/chart425.xml"/><Relationship Id="rId12" Type="http://schemas.openxmlformats.org/officeDocument/2006/relationships/chart" Target="../charts/chart430.xml"/><Relationship Id="rId17" Type="http://schemas.openxmlformats.org/officeDocument/2006/relationships/chart" Target="../charts/chart435.xml"/><Relationship Id="rId2" Type="http://schemas.openxmlformats.org/officeDocument/2006/relationships/chart" Target="../charts/chart420.xml"/><Relationship Id="rId16" Type="http://schemas.openxmlformats.org/officeDocument/2006/relationships/chart" Target="../charts/chart434.xml"/><Relationship Id="rId20" Type="http://schemas.openxmlformats.org/officeDocument/2006/relationships/chart" Target="../charts/chart438.xml"/><Relationship Id="rId1" Type="http://schemas.openxmlformats.org/officeDocument/2006/relationships/chart" Target="../charts/chart419.xml"/><Relationship Id="rId6" Type="http://schemas.openxmlformats.org/officeDocument/2006/relationships/chart" Target="../charts/chart424.xml"/><Relationship Id="rId11" Type="http://schemas.openxmlformats.org/officeDocument/2006/relationships/chart" Target="../charts/chart429.xml"/><Relationship Id="rId5" Type="http://schemas.openxmlformats.org/officeDocument/2006/relationships/chart" Target="../charts/chart423.xml"/><Relationship Id="rId15" Type="http://schemas.openxmlformats.org/officeDocument/2006/relationships/chart" Target="../charts/chart433.xml"/><Relationship Id="rId10" Type="http://schemas.openxmlformats.org/officeDocument/2006/relationships/chart" Target="../charts/chart428.xml"/><Relationship Id="rId19" Type="http://schemas.openxmlformats.org/officeDocument/2006/relationships/chart" Target="../charts/chart437.xml"/><Relationship Id="rId4" Type="http://schemas.openxmlformats.org/officeDocument/2006/relationships/chart" Target="../charts/chart422.xml"/><Relationship Id="rId9" Type="http://schemas.openxmlformats.org/officeDocument/2006/relationships/chart" Target="../charts/chart427.xml"/><Relationship Id="rId14" Type="http://schemas.openxmlformats.org/officeDocument/2006/relationships/chart" Target="../charts/chart432.xml"/><Relationship Id="rId22" Type="http://schemas.openxmlformats.org/officeDocument/2006/relationships/chart" Target="../charts/chart44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2.xml"/><Relationship Id="rId1" Type="http://schemas.openxmlformats.org/officeDocument/2006/relationships/chart" Target="../charts/chart4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66675</xdr:rowOff>
        </xdr:from>
        <xdr:to>
          <xdr:col>6</xdr:col>
          <xdr:colOff>57150</xdr:colOff>
          <xdr:row>28</xdr:row>
          <xdr:rowOff>133350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Nominal ORD file SQL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26</xdr:row>
          <xdr:rowOff>66675</xdr:rowOff>
        </xdr:from>
        <xdr:to>
          <xdr:col>8</xdr:col>
          <xdr:colOff>400050</xdr:colOff>
          <xdr:row>28</xdr:row>
          <xdr:rowOff>133350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 Extra Tabs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169333</xdr:colOff>
      <xdr:row>8</xdr:row>
      <xdr:rowOff>31750</xdr:rowOff>
    </xdr:from>
    <xdr:to>
      <xdr:col>51</xdr:col>
      <xdr:colOff>177271</xdr:colOff>
      <xdr:row>34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375708</xdr:colOff>
      <xdr:row>8</xdr:row>
      <xdr:rowOff>31750</xdr:rowOff>
    </xdr:from>
    <xdr:to>
      <xdr:col>67</xdr:col>
      <xdr:colOff>383647</xdr:colOff>
      <xdr:row>34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169333</xdr:colOff>
      <xdr:row>35</xdr:row>
      <xdr:rowOff>63500</xdr:rowOff>
    </xdr:from>
    <xdr:to>
      <xdr:col>51</xdr:col>
      <xdr:colOff>177271</xdr:colOff>
      <xdr:row>61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391583</xdr:colOff>
      <xdr:row>35</xdr:row>
      <xdr:rowOff>95250</xdr:rowOff>
    </xdr:from>
    <xdr:to>
      <xdr:col>67</xdr:col>
      <xdr:colOff>399522</xdr:colOff>
      <xdr:row>61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97631</xdr:colOff>
      <xdr:row>63</xdr:row>
      <xdr:rowOff>95250</xdr:rowOff>
    </xdr:from>
    <xdr:to>
      <xdr:col>51</xdr:col>
      <xdr:colOff>150813</xdr:colOff>
      <xdr:row>89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391583</xdr:colOff>
      <xdr:row>63</xdr:row>
      <xdr:rowOff>142875</xdr:rowOff>
    </xdr:from>
    <xdr:to>
      <xdr:col>67</xdr:col>
      <xdr:colOff>399522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280458</xdr:colOff>
      <xdr:row>91</xdr:row>
      <xdr:rowOff>111125</xdr:rowOff>
    </xdr:from>
    <xdr:to>
      <xdr:col>51</xdr:col>
      <xdr:colOff>288396</xdr:colOff>
      <xdr:row>117</xdr:row>
      <xdr:rowOff>149225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439208</xdr:colOff>
      <xdr:row>91</xdr:row>
      <xdr:rowOff>79375</xdr:rowOff>
    </xdr:from>
    <xdr:to>
      <xdr:col>67</xdr:col>
      <xdr:colOff>447147</xdr:colOff>
      <xdr:row>117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296333</xdr:colOff>
      <xdr:row>120</xdr:row>
      <xdr:rowOff>63500</xdr:rowOff>
    </xdr:from>
    <xdr:to>
      <xdr:col>51</xdr:col>
      <xdr:colOff>304271</xdr:colOff>
      <xdr:row>146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486833</xdr:colOff>
      <xdr:row>120</xdr:row>
      <xdr:rowOff>79375</xdr:rowOff>
    </xdr:from>
    <xdr:to>
      <xdr:col>67</xdr:col>
      <xdr:colOff>494772</xdr:colOff>
      <xdr:row>146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328083</xdr:colOff>
      <xdr:row>148</xdr:row>
      <xdr:rowOff>0</xdr:rowOff>
    </xdr:from>
    <xdr:to>
      <xdr:col>51</xdr:col>
      <xdr:colOff>320146</xdr:colOff>
      <xdr:row>174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550333</xdr:colOff>
      <xdr:row>148</xdr:row>
      <xdr:rowOff>0</xdr:rowOff>
    </xdr:from>
    <xdr:to>
      <xdr:col>67</xdr:col>
      <xdr:colOff>558272</xdr:colOff>
      <xdr:row>174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296333</xdr:colOff>
      <xdr:row>175</xdr:row>
      <xdr:rowOff>158750</xdr:rowOff>
    </xdr:from>
    <xdr:to>
      <xdr:col>51</xdr:col>
      <xdr:colOff>304271</xdr:colOff>
      <xdr:row>202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15875</xdr:colOff>
      <xdr:row>175</xdr:row>
      <xdr:rowOff>165100</xdr:rowOff>
    </xdr:from>
    <xdr:to>
      <xdr:col>68</xdr:col>
      <xdr:colOff>7938</xdr:colOff>
      <xdr:row>202</xdr:row>
      <xdr:rowOff>22225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328083</xdr:colOff>
      <xdr:row>204</xdr:row>
      <xdr:rowOff>15875</xdr:rowOff>
    </xdr:from>
    <xdr:to>
      <xdr:col>51</xdr:col>
      <xdr:colOff>320146</xdr:colOff>
      <xdr:row>230</xdr:row>
      <xdr:rowOff>53975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15875</xdr:colOff>
      <xdr:row>203</xdr:row>
      <xdr:rowOff>165100</xdr:rowOff>
    </xdr:from>
    <xdr:to>
      <xdr:col>68</xdr:col>
      <xdr:colOff>7938</xdr:colOff>
      <xdr:row>230</xdr:row>
      <xdr:rowOff>22225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296333</xdr:colOff>
      <xdr:row>231</xdr:row>
      <xdr:rowOff>111125</xdr:rowOff>
    </xdr:from>
    <xdr:to>
      <xdr:col>51</xdr:col>
      <xdr:colOff>304271</xdr:colOff>
      <xdr:row>257</xdr:row>
      <xdr:rowOff>149225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31750</xdr:colOff>
      <xdr:row>232</xdr:row>
      <xdr:rowOff>15875</xdr:rowOff>
    </xdr:from>
    <xdr:to>
      <xdr:col>68</xdr:col>
      <xdr:colOff>57150</xdr:colOff>
      <xdr:row>258</xdr:row>
      <xdr:rowOff>53975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328083</xdr:colOff>
      <xdr:row>259</xdr:row>
      <xdr:rowOff>95250</xdr:rowOff>
    </xdr:from>
    <xdr:to>
      <xdr:col>51</xdr:col>
      <xdr:colOff>320146</xdr:colOff>
      <xdr:row>285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0</xdr:colOff>
      <xdr:row>259</xdr:row>
      <xdr:rowOff>63500</xdr:rowOff>
    </xdr:from>
    <xdr:to>
      <xdr:col>68</xdr:col>
      <xdr:colOff>780</xdr:colOff>
      <xdr:row>285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391583</xdr:colOff>
      <xdr:row>287</xdr:row>
      <xdr:rowOff>31750</xdr:rowOff>
    </xdr:from>
    <xdr:to>
      <xdr:col>51</xdr:col>
      <xdr:colOff>383646</xdr:colOff>
      <xdr:row>313</xdr:row>
      <xdr:rowOff>69850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15875</xdr:colOff>
      <xdr:row>287</xdr:row>
      <xdr:rowOff>15875</xdr:rowOff>
    </xdr:from>
    <xdr:to>
      <xdr:col>68</xdr:col>
      <xdr:colOff>7938</xdr:colOff>
      <xdr:row>313</xdr:row>
      <xdr:rowOff>53975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34</xdr:col>
      <xdr:colOff>344247</xdr:colOff>
      <xdr:row>6</xdr:row>
      <xdr:rowOff>57150</xdr:rowOff>
    </xdr:from>
    <xdr:to>
      <xdr:col>50</xdr:col>
      <xdr:colOff>262270</xdr:colOff>
      <xdr:row>32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50</xdr:col>
      <xdr:colOff>460707</xdr:colOff>
      <xdr:row>6</xdr:row>
      <xdr:rowOff>57150</xdr:rowOff>
    </xdr:from>
    <xdr:to>
      <xdr:col>66</xdr:col>
      <xdr:colOff>214645</xdr:colOff>
      <xdr:row>32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34</xdr:col>
      <xdr:colOff>344247</xdr:colOff>
      <xdr:row>33</xdr:row>
      <xdr:rowOff>88900</xdr:rowOff>
    </xdr:from>
    <xdr:to>
      <xdr:col>50</xdr:col>
      <xdr:colOff>262270</xdr:colOff>
      <xdr:row>59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50</xdr:col>
      <xdr:colOff>476582</xdr:colOff>
      <xdr:row>33</xdr:row>
      <xdr:rowOff>120650</xdr:rowOff>
    </xdr:from>
    <xdr:to>
      <xdr:col>66</xdr:col>
      <xdr:colOff>230520</xdr:colOff>
      <xdr:row>59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34</xdr:col>
      <xdr:colOff>231761</xdr:colOff>
      <xdr:row>61</xdr:row>
      <xdr:rowOff>120650</xdr:rowOff>
    </xdr:from>
    <xdr:to>
      <xdr:col>50</xdr:col>
      <xdr:colOff>246395</xdr:colOff>
      <xdr:row>87</xdr:row>
      <xdr:rowOff>158750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50</xdr:col>
      <xdr:colOff>476582</xdr:colOff>
      <xdr:row>61</xdr:row>
      <xdr:rowOff>168275</xdr:rowOff>
    </xdr:from>
    <xdr:to>
      <xdr:col>66</xdr:col>
      <xdr:colOff>230520</xdr:colOff>
      <xdr:row>88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7137</xdr:colOff>
      <xdr:row>89</xdr:row>
      <xdr:rowOff>136525</xdr:rowOff>
    </xdr:from>
    <xdr:to>
      <xdr:col>50</xdr:col>
      <xdr:colOff>373395</xdr:colOff>
      <xdr:row>115</xdr:row>
      <xdr:rowOff>174625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50</xdr:col>
      <xdr:colOff>517004</xdr:colOff>
      <xdr:row>89</xdr:row>
      <xdr:rowOff>104775</xdr:rowOff>
    </xdr:from>
    <xdr:to>
      <xdr:col>66</xdr:col>
      <xdr:colOff>278145</xdr:colOff>
      <xdr:row>115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23012</xdr:colOff>
      <xdr:row>118</xdr:row>
      <xdr:rowOff>88900</xdr:rowOff>
    </xdr:from>
    <xdr:to>
      <xdr:col>50</xdr:col>
      <xdr:colOff>389270</xdr:colOff>
      <xdr:row>144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50</xdr:col>
      <xdr:colOff>564629</xdr:colOff>
      <xdr:row>118</xdr:row>
      <xdr:rowOff>104775</xdr:rowOff>
    </xdr:from>
    <xdr:to>
      <xdr:col>66</xdr:col>
      <xdr:colOff>325770</xdr:colOff>
      <xdr:row>144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47958</xdr:colOff>
      <xdr:row>146</xdr:row>
      <xdr:rowOff>25400</xdr:rowOff>
    </xdr:from>
    <xdr:to>
      <xdr:col>50</xdr:col>
      <xdr:colOff>405145</xdr:colOff>
      <xdr:row>172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23012</xdr:colOff>
      <xdr:row>146</xdr:row>
      <xdr:rowOff>25400</xdr:rowOff>
    </xdr:from>
    <xdr:to>
      <xdr:col>66</xdr:col>
      <xdr:colOff>389270</xdr:colOff>
      <xdr:row>172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23012</xdr:colOff>
      <xdr:row>174</xdr:row>
      <xdr:rowOff>1270</xdr:rowOff>
    </xdr:from>
    <xdr:to>
      <xdr:col>50</xdr:col>
      <xdr:colOff>389270</xdr:colOff>
      <xdr:row>200</xdr:row>
      <xdr:rowOff>31750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95584</xdr:colOff>
      <xdr:row>174</xdr:row>
      <xdr:rowOff>0</xdr:rowOff>
    </xdr:from>
    <xdr:to>
      <xdr:col>66</xdr:col>
      <xdr:colOff>452770</xdr:colOff>
      <xdr:row>200</xdr:row>
      <xdr:rowOff>47625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47958</xdr:colOff>
      <xdr:row>202</xdr:row>
      <xdr:rowOff>41275</xdr:rowOff>
    </xdr:from>
    <xdr:to>
      <xdr:col>50</xdr:col>
      <xdr:colOff>405145</xdr:colOff>
      <xdr:row>228</xdr:row>
      <xdr:rowOff>79375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95584</xdr:colOff>
      <xdr:row>202</xdr:row>
      <xdr:rowOff>0</xdr:rowOff>
    </xdr:from>
    <xdr:to>
      <xdr:col>66</xdr:col>
      <xdr:colOff>452770</xdr:colOff>
      <xdr:row>228</xdr:row>
      <xdr:rowOff>47625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23012</xdr:colOff>
      <xdr:row>229</xdr:row>
      <xdr:rowOff>136525</xdr:rowOff>
    </xdr:from>
    <xdr:to>
      <xdr:col>50</xdr:col>
      <xdr:colOff>389270</xdr:colOff>
      <xdr:row>255</xdr:row>
      <xdr:rowOff>174625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51</xdr:col>
      <xdr:colOff>111459</xdr:colOff>
      <xdr:row>230</xdr:row>
      <xdr:rowOff>41275</xdr:rowOff>
    </xdr:from>
    <xdr:to>
      <xdr:col>66</xdr:col>
      <xdr:colOff>286309</xdr:colOff>
      <xdr:row>256</xdr:row>
      <xdr:rowOff>79375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47958</xdr:colOff>
      <xdr:row>257</xdr:row>
      <xdr:rowOff>120650</xdr:rowOff>
    </xdr:from>
    <xdr:to>
      <xdr:col>50</xdr:col>
      <xdr:colOff>405145</xdr:colOff>
      <xdr:row>283</xdr:row>
      <xdr:rowOff>158750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79709</xdr:colOff>
      <xdr:row>257</xdr:row>
      <xdr:rowOff>88900</xdr:rowOff>
    </xdr:from>
    <xdr:to>
      <xdr:col>66</xdr:col>
      <xdr:colOff>436895</xdr:colOff>
      <xdr:row>283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111458</xdr:colOff>
      <xdr:row>285</xdr:row>
      <xdr:rowOff>57150</xdr:rowOff>
    </xdr:from>
    <xdr:to>
      <xdr:col>50</xdr:col>
      <xdr:colOff>468645</xdr:colOff>
      <xdr:row>311</xdr:row>
      <xdr:rowOff>95250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95584</xdr:colOff>
      <xdr:row>285</xdr:row>
      <xdr:rowOff>41275</xdr:rowOff>
    </xdr:from>
    <xdr:to>
      <xdr:col>66</xdr:col>
      <xdr:colOff>452770</xdr:colOff>
      <xdr:row>311</xdr:row>
      <xdr:rowOff>79375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34</xdr:col>
      <xdr:colOff>344247</xdr:colOff>
      <xdr:row>6</xdr:row>
      <xdr:rowOff>57150</xdr:rowOff>
    </xdr:from>
    <xdr:to>
      <xdr:col>50</xdr:col>
      <xdr:colOff>262270</xdr:colOff>
      <xdr:row>32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50</xdr:col>
      <xdr:colOff>460707</xdr:colOff>
      <xdr:row>6</xdr:row>
      <xdr:rowOff>57150</xdr:rowOff>
    </xdr:from>
    <xdr:to>
      <xdr:col>66</xdr:col>
      <xdr:colOff>214645</xdr:colOff>
      <xdr:row>32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34</xdr:col>
      <xdr:colOff>344247</xdr:colOff>
      <xdr:row>33</xdr:row>
      <xdr:rowOff>88900</xdr:rowOff>
    </xdr:from>
    <xdr:to>
      <xdr:col>50</xdr:col>
      <xdr:colOff>262270</xdr:colOff>
      <xdr:row>59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50</xdr:col>
      <xdr:colOff>476582</xdr:colOff>
      <xdr:row>33</xdr:row>
      <xdr:rowOff>120650</xdr:rowOff>
    </xdr:from>
    <xdr:to>
      <xdr:col>66</xdr:col>
      <xdr:colOff>230520</xdr:colOff>
      <xdr:row>59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34</xdr:col>
      <xdr:colOff>277385</xdr:colOff>
      <xdr:row>61</xdr:row>
      <xdr:rowOff>120650</xdr:rowOff>
    </xdr:from>
    <xdr:to>
      <xdr:col>50</xdr:col>
      <xdr:colOff>246395</xdr:colOff>
      <xdr:row>87</xdr:row>
      <xdr:rowOff>158750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50</xdr:col>
      <xdr:colOff>476582</xdr:colOff>
      <xdr:row>61</xdr:row>
      <xdr:rowOff>168275</xdr:rowOff>
    </xdr:from>
    <xdr:to>
      <xdr:col>66</xdr:col>
      <xdr:colOff>230520</xdr:colOff>
      <xdr:row>88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7137</xdr:colOff>
      <xdr:row>89</xdr:row>
      <xdr:rowOff>136525</xdr:rowOff>
    </xdr:from>
    <xdr:to>
      <xdr:col>50</xdr:col>
      <xdr:colOff>373395</xdr:colOff>
      <xdr:row>115</xdr:row>
      <xdr:rowOff>174625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50</xdr:col>
      <xdr:colOff>517004</xdr:colOff>
      <xdr:row>89</xdr:row>
      <xdr:rowOff>104775</xdr:rowOff>
    </xdr:from>
    <xdr:to>
      <xdr:col>66</xdr:col>
      <xdr:colOff>278145</xdr:colOff>
      <xdr:row>115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23012</xdr:colOff>
      <xdr:row>118</xdr:row>
      <xdr:rowOff>88900</xdr:rowOff>
    </xdr:from>
    <xdr:to>
      <xdr:col>50</xdr:col>
      <xdr:colOff>389270</xdr:colOff>
      <xdr:row>144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50</xdr:col>
      <xdr:colOff>564629</xdr:colOff>
      <xdr:row>118</xdr:row>
      <xdr:rowOff>104775</xdr:rowOff>
    </xdr:from>
    <xdr:to>
      <xdr:col>66</xdr:col>
      <xdr:colOff>325770</xdr:colOff>
      <xdr:row>144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47958</xdr:colOff>
      <xdr:row>146</xdr:row>
      <xdr:rowOff>25400</xdr:rowOff>
    </xdr:from>
    <xdr:to>
      <xdr:col>50</xdr:col>
      <xdr:colOff>405145</xdr:colOff>
      <xdr:row>172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23012</xdr:colOff>
      <xdr:row>146</xdr:row>
      <xdr:rowOff>25400</xdr:rowOff>
    </xdr:from>
    <xdr:to>
      <xdr:col>66</xdr:col>
      <xdr:colOff>389270</xdr:colOff>
      <xdr:row>172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23012</xdr:colOff>
      <xdr:row>174</xdr:row>
      <xdr:rowOff>1270</xdr:rowOff>
    </xdr:from>
    <xdr:to>
      <xdr:col>50</xdr:col>
      <xdr:colOff>389270</xdr:colOff>
      <xdr:row>200</xdr:row>
      <xdr:rowOff>31750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95584</xdr:colOff>
      <xdr:row>174</xdr:row>
      <xdr:rowOff>0</xdr:rowOff>
    </xdr:from>
    <xdr:to>
      <xdr:col>66</xdr:col>
      <xdr:colOff>452770</xdr:colOff>
      <xdr:row>200</xdr:row>
      <xdr:rowOff>47625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47958</xdr:colOff>
      <xdr:row>202</xdr:row>
      <xdr:rowOff>41275</xdr:rowOff>
    </xdr:from>
    <xdr:to>
      <xdr:col>50</xdr:col>
      <xdr:colOff>405145</xdr:colOff>
      <xdr:row>228</xdr:row>
      <xdr:rowOff>79375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95584</xdr:colOff>
      <xdr:row>202</xdr:row>
      <xdr:rowOff>0</xdr:rowOff>
    </xdr:from>
    <xdr:to>
      <xdr:col>66</xdr:col>
      <xdr:colOff>452770</xdr:colOff>
      <xdr:row>228</xdr:row>
      <xdr:rowOff>47625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23012</xdr:colOff>
      <xdr:row>229</xdr:row>
      <xdr:rowOff>136525</xdr:rowOff>
    </xdr:from>
    <xdr:to>
      <xdr:col>50</xdr:col>
      <xdr:colOff>389270</xdr:colOff>
      <xdr:row>255</xdr:row>
      <xdr:rowOff>174625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51</xdr:col>
      <xdr:colOff>111459</xdr:colOff>
      <xdr:row>230</xdr:row>
      <xdr:rowOff>41275</xdr:rowOff>
    </xdr:from>
    <xdr:to>
      <xdr:col>66</xdr:col>
      <xdr:colOff>556051</xdr:colOff>
      <xdr:row>256</xdr:row>
      <xdr:rowOff>79375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47958</xdr:colOff>
      <xdr:row>257</xdr:row>
      <xdr:rowOff>120650</xdr:rowOff>
    </xdr:from>
    <xdr:to>
      <xdr:col>50</xdr:col>
      <xdr:colOff>405145</xdr:colOff>
      <xdr:row>283</xdr:row>
      <xdr:rowOff>158750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79709</xdr:colOff>
      <xdr:row>257</xdr:row>
      <xdr:rowOff>88900</xdr:rowOff>
    </xdr:from>
    <xdr:to>
      <xdr:col>66</xdr:col>
      <xdr:colOff>436895</xdr:colOff>
      <xdr:row>283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111458</xdr:colOff>
      <xdr:row>285</xdr:row>
      <xdr:rowOff>57150</xdr:rowOff>
    </xdr:from>
    <xdr:to>
      <xdr:col>50</xdr:col>
      <xdr:colOff>468645</xdr:colOff>
      <xdr:row>311</xdr:row>
      <xdr:rowOff>95250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95584</xdr:colOff>
      <xdr:row>285</xdr:row>
      <xdr:rowOff>41275</xdr:rowOff>
    </xdr:from>
    <xdr:to>
      <xdr:col>66</xdr:col>
      <xdr:colOff>452770</xdr:colOff>
      <xdr:row>311</xdr:row>
      <xdr:rowOff>79375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213579</xdr:colOff>
      <xdr:row>8</xdr:row>
      <xdr:rowOff>95250</xdr:rowOff>
    </xdr:from>
    <xdr:to>
      <xdr:col>51</xdr:col>
      <xdr:colOff>83578</xdr:colOff>
      <xdr:row>33</xdr:row>
      <xdr:rowOff>88526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274812</xdr:colOff>
      <xdr:row>8</xdr:row>
      <xdr:rowOff>95250</xdr:rowOff>
    </xdr:from>
    <xdr:to>
      <xdr:col>67</xdr:col>
      <xdr:colOff>144810</xdr:colOff>
      <xdr:row>33</xdr:row>
      <xdr:rowOff>88526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213579</xdr:colOff>
      <xdr:row>34</xdr:row>
      <xdr:rowOff>73212</xdr:rowOff>
    </xdr:from>
    <xdr:to>
      <xdr:col>51</xdr:col>
      <xdr:colOff>83578</xdr:colOff>
      <xdr:row>59</xdr:row>
      <xdr:rowOff>66488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290687</xdr:colOff>
      <xdr:row>34</xdr:row>
      <xdr:rowOff>104962</xdr:rowOff>
    </xdr:from>
    <xdr:to>
      <xdr:col>67</xdr:col>
      <xdr:colOff>160685</xdr:colOff>
      <xdr:row>59</xdr:row>
      <xdr:rowOff>80682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146157</xdr:colOff>
      <xdr:row>61</xdr:row>
      <xdr:rowOff>42208</xdr:rowOff>
    </xdr:from>
    <xdr:to>
      <xdr:col>51</xdr:col>
      <xdr:colOff>67703</xdr:colOff>
      <xdr:row>85</xdr:row>
      <xdr:rowOff>170330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290687</xdr:colOff>
      <xdr:row>61</xdr:row>
      <xdr:rowOff>78628</xdr:rowOff>
    </xdr:from>
    <xdr:to>
      <xdr:col>67</xdr:col>
      <xdr:colOff>160685</xdr:colOff>
      <xdr:row>86</xdr:row>
      <xdr:rowOff>36046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324704</xdr:colOff>
      <xdr:row>87</xdr:row>
      <xdr:rowOff>156696</xdr:rowOff>
    </xdr:from>
    <xdr:to>
      <xdr:col>51</xdr:col>
      <xdr:colOff>187500</xdr:colOff>
      <xdr:row>113</xdr:row>
      <xdr:rowOff>67048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338312</xdr:colOff>
      <xdr:row>87</xdr:row>
      <xdr:rowOff>124946</xdr:rowOff>
    </xdr:from>
    <xdr:to>
      <xdr:col>67</xdr:col>
      <xdr:colOff>201106</xdr:colOff>
      <xdr:row>113</xdr:row>
      <xdr:rowOff>44823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340579</xdr:colOff>
      <xdr:row>115</xdr:row>
      <xdr:rowOff>171823</xdr:rowOff>
    </xdr:from>
    <xdr:to>
      <xdr:col>51</xdr:col>
      <xdr:colOff>203375</xdr:colOff>
      <xdr:row>142</xdr:row>
      <xdr:rowOff>30630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385937</xdr:colOff>
      <xdr:row>116</xdr:row>
      <xdr:rowOff>8404</xdr:rowOff>
    </xdr:from>
    <xdr:to>
      <xdr:col>67</xdr:col>
      <xdr:colOff>248731</xdr:colOff>
      <xdr:row>142</xdr:row>
      <xdr:rowOff>46505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372329</xdr:colOff>
      <xdr:row>143</xdr:row>
      <xdr:rowOff>108325</xdr:rowOff>
    </xdr:from>
    <xdr:to>
      <xdr:col>51</xdr:col>
      <xdr:colOff>219250</xdr:colOff>
      <xdr:row>169</xdr:row>
      <xdr:rowOff>146425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449437</xdr:colOff>
      <xdr:row>143</xdr:row>
      <xdr:rowOff>108325</xdr:rowOff>
    </xdr:from>
    <xdr:to>
      <xdr:col>67</xdr:col>
      <xdr:colOff>312231</xdr:colOff>
      <xdr:row>169</xdr:row>
      <xdr:rowOff>146425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340579</xdr:colOff>
      <xdr:row>171</xdr:row>
      <xdr:rowOff>76573</xdr:rowOff>
    </xdr:from>
    <xdr:to>
      <xdr:col>51</xdr:col>
      <xdr:colOff>203375</xdr:colOff>
      <xdr:row>197</xdr:row>
      <xdr:rowOff>114673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528812</xdr:colOff>
      <xdr:row>171</xdr:row>
      <xdr:rowOff>82923</xdr:rowOff>
    </xdr:from>
    <xdr:to>
      <xdr:col>67</xdr:col>
      <xdr:colOff>375731</xdr:colOff>
      <xdr:row>197</xdr:row>
      <xdr:rowOff>130548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372329</xdr:colOff>
      <xdr:row>199</xdr:row>
      <xdr:rowOff>124198</xdr:rowOff>
    </xdr:from>
    <xdr:to>
      <xdr:col>51</xdr:col>
      <xdr:colOff>219250</xdr:colOff>
      <xdr:row>225</xdr:row>
      <xdr:rowOff>162298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528812</xdr:colOff>
      <xdr:row>199</xdr:row>
      <xdr:rowOff>82923</xdr:rowOff>
    </xdr:from>
    <xdr:to>
      <xdr:col>67</xdr:col>
      <xdr:colOff>375731</xdr:colOff>
      <xdr:row>225</xdr:row>
      <xdr:rowOff>130548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340579</xdr:colOff>
      <xdr:row>227</xdr:row>
      <xdr:rowOff>40155</xdr:rowOff>
    </xdr:from>
    <xdr:to>
      <xdr:col>51</xdr:col>
      <xdr:colOff>203375</xdr:colOff>
      <xdr:row>253</xdr:row>
      <xdr:rowOff>67049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51</xdr:col>
      <xdr:colOff>544687</xdr:colOff>
      <xdr:row>227</xdr:row>
      <xdr:rowOff>124199</xdr:rowOff>
    </xdr:from>
    <xdr:to>
      <xdr:col>67</xdr:col>
      <xdr:colOff>483494</xdr:colOff>
      <xdr:row>253</xdr:row>
      <xdr:rowOff>162299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372329</xdr:colOff>
      <xdr:row>255</xdr:row>
      <xdr:rowOff>24280</xdr:rowOff>
    </xdr:from>
    <xdr:to>
      <xdr:col>51</xdr:col>
      <xdr:colOff>219250</xdr:colOff>
      <xdr:row>281</xdr:row>
      <xdr:rowOff>51174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512937</xdr:colOff>
      <xdr:row>254</xdr:row>
      <xdr:rowOff>171825</xdr:rowOff>
    </xdr:from>
    <xdr:to>
      <xdr:col>67</xdr:col>
      <xdr:colOff>359856</xdr:colOff>
      <xdr:row>281</xdr:row>
      <xdr:rowOff>30630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435829</xdr:colOff>
      <xdr:row>282</xdr:row>
      <xdr:rowOff>140073</xdr:rowOff>
    </xdr:from>
    <xdr:to>
      <xdr:col>51</xdr:col>
      <xdr:colOff>282750</xdr:colOff>
      <xdr:row>308</xdr:row>
      <xdr:rowOff>178173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528812</xdr:colOff>
      <xdr:row>282</xdr:row>
      <xdr:rowOff>124198</xdr:rowOff>
    </xdr:from>
    <xdr:to>
      <xdr:col>67</xdr:col>
      <xdr:colOff>375731</xdr:colOff>
      <xdr:row>308</xdr:row>
      <xdr:rowOff>162298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97519</xdr:colOff>
      <xdr:row>8</xdr:row>
      <xdr:rowOff>40821</xdr:rowOff>
    </xdr:from>
    <xdr:to>
      <xdr:col>50</xdr:col>
      <xdr:colOff>572635</xdr:colOff>
      <xdr:row>34</xdr:row>
      <xdr:rowOff>78921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158751</xdr:colOff>
      <xdr:row>8</xdr:row>
      <xdr:rowOff>40821</xdr:rowOff>
    </xdr:from>
    <xdr:to>
      <xdr:col>67</xdr:col>
      <xdr:colOff>21546</xdr:colOff>
      <xdr:row>34</xdr:row>
      <xdr:rowOff>78921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97519</xdr:colOff>
      <xdr:row>35</xdr:row>
      <xdr:rowOff>72571</xdr:rowOff>
    </xdr:from>
    <xdr:to>
      <xdr:col>50</xdr:col>
      <xdr:colOff>572635</xdr:colOff>
      <xdr:row>61</xdr:row>
      <xdr:rowOff>110671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174626</xdr:colOff>
      <xdr:row>35</xdr:row>
      <xdr:rowOff>104321</xdr:rowOff>
    </xdr:from>
    <xdr:to>
      <xdr:col>67</xdr:col>
      <xdr:colOff>37421</xdr:colOff>
      <xdr:row>61</xdr:row>
      <xdr:rowOff>142421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34</xdr:col>
      <xdr:colOff>432708</xdr:colOff>
      <xdr:row>63</xdr:row>
      <xdr:rowOff>104321</xdr:rowOff>
    </xdr:from>
    <xdr:to>
      <xdr:col>50</xdr:col>
      <xdr:colOff>556760</xdr:colOff>
      <xdr:row>89</xdr:row>
      <xdr:rowOff>142421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174626</xdr:colOff>
      <xdr:row>63</xdr:row>
      <xdr:rowOff>151946</xdr:rowOff>
    </xdr:from>
    <xdr:to>
      <xdr:col>67</xdr:col>
      <xdr:colOff>37421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208644</xdr:colOff>
      <xdr:row>91</xdr:row>
      <xdr:rowOff>120196</xdr:rowOff>
    </xdr:from>
    <xdr:to>
      <xdr:col>51</xdr:col>
      <xdr:colOff>71439</xdr:colOff>
      <xdr:row>117</xdr:row>
      <xdr:rowOff>158296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222251</xdr:colOff>
      <xdr:row>91</xdr:row>
      <xdr:rowOff>88446</xdr:rowOff>
    </xdr:from>
    <xdr:to>
      <xdr:col>67</xdr:col>
      <xdr:colOff>85046</xdr:colOff>
      <xdr:row>117</xdr:row>
      <xdr:rowOff>126546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224519</xdr:colOff>
      <xdr:row>120</xdr:row>
      <xdr:rowOff>72571</xdr:rowOff>
    </xdr:from>
    <xdr:to>
      <xdr:col>51</xdr:col>
      <xdr:colOff>87314</xdr:colOff>
      <xdr:row>146</xdr:row>
      <xdr:rowOff>110671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269876</xdr:colOff>
      <xdr:row>120</xdr:row>
      <xdr:rowOff>88446</xdr:rowOff>
    </xdr:from>
    <xdr:to>
      <xdr:col>67</xdr:col>
      <xdr:colOff>132671</xdr:colOff>
      <xdr:row>146</xdr:row>
      <xdr:rowOff>126546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256269</xdr:colOff>
      <xdr:row>148</xdr:row>
      <xdr:rowOff>0</xdr:rowOff>
    </xdr:from>
    <xdr:to>
      <xdr:col>51</xdr:col>
      <xdr:colOff>103189</xdr:colOff>
      <xdr:row>174</xdr:row>
      <xdr:rowOff>47171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333376</xdr:colOff>
      <xdr:row>148</xdr:row>
      <xdr:rowOff>0</xdr:rowOff>
    </xdr:from>
    <xdr:to>
      <xdr:col>67</xdr:col>
      <xdr:colOff>196171</xdr:colOff>
      <xdr:row>174</xdr:row>
      <xdr:rowOff>47171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224519</xdr:colOff>
      <xdr:row>175</xdr:row>
      <xdr:rowOff>167821</xdr:rowOff>
    </xdr:from>
    <xdr:to>
      <xdr:col>51</xdr:col>
      <xdr:colOff>87314</xdr:colOff>
      <xdr:row>202</xdr:row>
      <xdr:rowOff>15421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412751</xdr:colOff>
      <xdr:row>175</xdr:row>
      <xdr:rowOff>174171</xdr:rowOff>
    </xdr:from>
    <xdr:to>
      <xdr:col>67</xdr:col>
      <xdr:colOff>259671</xdr:colOff>
      <xdr:row>202</xdr:row>
      <xdr:rowOff>31296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256269</xdr:colOff>
      <xdr:row>204</xdr:row>
      <xdr:rowOff>24946</xdr:rowOff>
    </xdr:from>
    <xdr:to>
      <xdr:col>51</xdr:col>
      <xdr:colOff>103189</xdr:colOff>
      <xdr:row>230</xdr:row>
      <xdr:rowOff>63046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412751</xdr:colOff>
      <xdr:row>203</xdr:row>
      <xdr:rowOff>174171</xdr:rowOff>
    </xdr:from>
    <xdr:to>
      <xdr:col>67</xdr:col>
      <xdr:colOff>259671</xdr:colOff>
      <xdr:row>230</xdr:row>
      <xdr:rowOff>31296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224519</xdr:colOff>
      <xdr:row>231</xdr:row>
      <xdr:rowOff>120196</xdr:rowOff>
    </xdr:from>
    <xdr:to>
      <xdr:col>51</xdr:col>
      <xdr:colOff>87314</xdr:colOff>
      <xdr:row>257</xdr:row>
      <xdr:rowOff>158296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51</xdr:col>
      <xdr:colOff>428626</xdr:colOff>
      <xdr:row>232</xdr:row>
      <xdr:rowOff>24946</xdr:rowOff>
    </xdr:from>
    <xdr:to>
      <xdr:col>67</xdr:col>
      <xdr:colOff>90489</xdr:colOff>
      <xdr:row>258</xdr:row>
      <xdr:rowOff>63046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256269</xdr:colOff>
      <xdr:row>259</xdr:row>
      <xdr:rowOff>104321</xdr:rowOff>
    </xdr:from>
    <xdr:to>
      <xdr:col>51</xdr:col>
      <xdr:colOff>103189</xdr:colOff>
      <xdr:row>285</xdr:row>
      <xdr:rowOff>142421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396876</xdr:colOff>
      <xdr:row>259</xdr:row>
      <xdr:rowOff>72571</xdr:rowOff>
    </xdr:from>
    <xdr:to>
      <xdr:col>67</xdr:col>
      <xdr:colOff>243796</xdr:colOff>
      <xdr:row>285</xdr:row>
      <xdr:rowOff>110671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319769</xdr:colOff>
      <xdr:row>287</xdr:row>
      <xdr:rowOff>40821</xdr:rowOff>
    </xdr:from>
    <xdr:to>
      <xdr:col>51</xdr:col>
      <xdr:colOff>166689</xdr:colOff>
      <xdr:row>313</xdr:row>
      <xdr:rowOff>78921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412751</xdr:colOff>
      <xdr:row>287</xdr:row>
      <xdr:rowOff>24946</xdr:rowOff>
    </xdr:from>
    <xdr:to>
      <xdr:col>67</xdr:col>
      <xdr:colOff>259671</xdr:colOff>
      <xdr:row>313</xdr:row>
      <xdr:rowOff>63046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97519</xdr:colOff>
      <xdr:row>8</xdr:row>
      <xdr:rowOff>40821</xdr:rowOff>
    </xdr:from>
    <xdr:to>
      <xdr:col>50</xdr:col>
      <xdr:colOff>572635</xdr:colOff>
      <xdr:row>34</xdr:row>
      <xdr:rowOff>78921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158751</xdr:colOff>
      <xdr:row>8</xdr:row>
      <xdr:rowOff>40821</xdr:rowOff>
    </xdr:from>
    <xdr:to>
      <xdr:col>67</xdr:col>
      <xdr:colOff>21546</xdr:colOff>
      <xdr:row>34</xdr:row>
      <xdr:rowOff>78921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97519</xdr:colOff>
      <xdr:row>35</xdr:row>
      <xdr:rowOff>72571</xdr:rowOff>
    </xdr:from>
    <xdr:to>
      <xdr:col>50</xdr:col>
      <xdr:colOff>572635</xdr:colOff>
      <xdr:row>61</xdr:row>
      <xdr:rowOff>110671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174626</xdr:colOff>
      <xdr:row>35</xdr:row>
      <xdr:rowOff>104321</xdr:rowOff>
    </xdr:from>
    <xdr:to>
      <xdr:col>67</xdr:col>
      <xdr:colOff>37421</xdr:colOff>
      <xdr:row>61</xdr:row>
      <xdr:rowOff>142421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34</xdr:col>
      <xdr:colOff>432708</xdr:colOff>
      <xdr:row>63</xdr:row>
      <xdr:rowOff>104321</xdr:rowOff>
    </xdr:from>
    <xdr:to>
      <xdr:col>50</xdr:col>
      <xdr:colOff>556760</xdr:colOff>
      <xdr:row>89</xdr:row>
      <xdr:rowOff>142421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174626</xdr:colOff>
      <xdr:row>63</xdr:row>
      <xdr:rowOff>151946</xdr:rowOff>
    </xdr:from>
    <xdr:to>
      <xdr:col>67</xdr:col>
      <xdr:colOff>37421</xdr:colOff>
      <xdr:row>90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208644</xdr:colOff>
      <xdr:row>91</xdr:row>
      <xdr:rowOff>120196</xdr:rowOff>
    </xdr:from>
    <xdr:to>
      <xdr:col>51</xdr:col>
      <xdr:colOff>71439</xdr:colOff>
      <xdr:row>117</xdr:row>
      <xdr:rowOff>158296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222251</xdr:colOff>
      <xdr:row>91</xdr:row>
      <xdr:rowOff>88446</xdr:rowOff>
    </xdr:from>
    <xdr:to>
      <xdr:col>67</xdr:col>
      <xdr:colOff>85046</xdr:colOff>
      <xdr:row>117</xdr:row>
      <xdr:rowOff>126546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224519</xdr:colOff>
      <xdr:row>120</xdr:row>
      <xdr:rowOff>72571</xdr:rowOff>
    </xdr:from>
    <xdr:to>
      <xdr:col>51</xdr:col>
      <xdr:colOff>87314</xdr:colOff>
      <xdr:row>146</xdr:row>
      <xdr:rowOff>110671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269876</xdr:colOff>
      <xdr:row>120</xdr:row>
      <xdr:rowOff>88446</xdr:rowOff>
    </xdr:from>
    <xdr:to>
      <xdr:col>67</xdr:col>
      <xdr:colOff>132671</xdr:colOff>
      <xdr:row>146</xdr:row>
      <xdr:rowOff>126546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256269</xdr:colOff>
      <xdr:row>148</xdr:row>
      <xdr:rowOff>0</xdr:rowOff>
    </xdr:from>
    <xdr:to>
      <xdr:col>51</xdr:col>
      <xdr:colOff>103189</xdr:colOff>
      <xdr:row>174</xdr:row>
      <xdr:rowOff>47171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333376</xdr:colOff>
      <xdr:row>148</xdr:row>
      <xdr:rowOff>0</xdr:rowOff>
    </xdr:from>
    <xdr:to>
      <xdr:col>67</xdr:col>
      <xdr:colOff>196171</xdr:colOff>
      <xdr:row>174</xdr:row>
      <xdr:rowOff>47171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224519</xdr:colOff>
      <xdr:row>175</xdr:row>
      <xdr:rowOff>167821</xdr:rowOff>
    </xdr:from>
    <xdr:to>
      <xdr:col>51</xdr:col>
      <xdr:colOff>87314</xdr:colOff>
      <xdr:row>202</xdr:row>
      <xdr:rowOff>15421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412751</xdr:colOff>
      <xdr:row>175</xdr:row>
      <xdr:rowOff>174171</xdr:rowOff>
    </xdr:from>
    <xdr:to>
      <xdr:col>67</xdr:col>
      <xdr:colOff>259671</xdr:colOff>
      <xdr:row>202</xdr:row>
      <xdr:rowOff>31296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256269</xdr:colOff>
      <xdr:row>204</xdr:row>
      <xdr:rowOff>24946</xdr:rowOff>
    </xdr:from>
    <xdr:to>
      <xdr:col>51</xdr:col>
      <xdr:colOff>103189</xdr:colOff>
      <xdr:row>230</xdr:row>
      <xdr:rowOff>63046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412751</xdr:colOff>
      <xdr:row>203</xdr:row>
      <xdr:rowOff>174171</xdr:rowOff>
    </xdr:from>
    <xdr:to>
      <xdr:col>67</xdr:col>
      <xdr:colOff>259671</xdr:colOff>
      <xdr:row>230</xdr:row>
      <xdr:rowOff>31296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224519</xdr:colOff>
      <xdr:row>231</xdr:row>
      <xdr:rowOff>120196</xdr:rowOff>
    </xdr:from>
    <xdr:to>
      <xdr:col>51</xdr:col>
      <xdr:colOff>87314</xdr:colOff>
      <xdr:row>257</xdr:row>
      <xdr:rowOff>158296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51</xdr:col>
      <xdr:colOff>428626</xdr:colOff>
      <xdr:row>232</xdr:row>
      <xdr:rowOff>24946</xdr:rowOff>
    </xdr:from>
    <xdr:to>
      <xdr:col>67</xdr:col>
      <xdr:colOff>90489</xdr:colOff>
      <xdr:row>258</xdr:row>
      <xdr:rowOff>63046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256269</xdr:colOff>
      <xdr:row>259</xdr:row>
      <xdr:rowOff>104321</xdr:rowOff>
    </xdr:from>
    <xdr:to>
      <xdr:col>51</xdr:col>
      <xdr:colOff>103189</xdr:colOff>
      <xdr:row>285</xdr:row>
      <xdr:rowOff>142421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396876</xdr:colOff>
      <xdr:row>259</xdr:row>
      <xdr:rowOff>72571</xdr:rowOff>
    </xdr:from>
    <xdr:to>
      <xdr:col>67</xdr:col>
      <xdr:colOff>243796</xdr:colOff>
      <xdr:row>285</xdr:row>
      <xdr:rowOff>110671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319769</xdr:colOff>
      <xdr:row>287</xdr:row>
      <xdr:rowOff>40821</xdr:rowOff>
    </xdr:from>
    <xdr:to>
      <xdr:col>51</xdr:col>
      <xdr:colOff>166689</xdr:colOff>
      <xdr:row>313</xdr:row>
      <xdr:rowOff>78921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412751</xdr:colOff>
      <xdr:row>287</xdr:row>
      <xdr:rowOff>24946</xdr:rowOff>
    </xdr:from>
    <xdr:to>
      <xdr:col>67</xdr:col>
      <xdr:colOff>259671</xdr:colOff>
      <xdr:row>313</xdr:row>
      <xdr:rowOff>63046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165554</xdr:colOff>
      <xdr:row>8</xdr:row>
      <xdr:rowOff>40821</xdr:rowOff>
    </xdr:from>
    <xdr:to>
      <xdr:col>51</xdr:col>
      <xdr:colOff>28349</xdr:colOff>
      <xdr:row>34</xdr:row>
      <xdr:rowOff>78921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226786</xdr:colOff>
      <xdr:row>8</xdr:row>
      <xdr:rowOff>40821</xdr:rowOff>
    </xdr:from>
    <xdr:to>
      <xdr:col>67</xdr:col>
      <xdr:colOff>89581</xdr:colOff>
      <xdr:row>34</xdr:row>
      <xdr:rowOff>78921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165554</xdr:colOff>
      <xdr:row>35</xdr:row>
      <xdr:rowOff>72571</xdr:rowOff>
    </xdr:from>
    <xdr:to>
      <xdr:col>51</xdr:col>
      <xdr:colOff>28349</xdr:colOff>
      <xdr:row>61</xdr:row>
      <xdr:rowOff>110671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242661</xdr:colOff>
      <xdr:row>35</xdr:row>
      <xdr:rowOff>104321</xdr:rowOff>
    </xdr:from>
    <xdr:to>
      <xdr:col>67</xdr:col>
      <xdr:colOff>105456</xdr:colOff>
      <xdr:row>61</xdr:row>
      <xdr:rowOff>142421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98132</xdr:colOff>
      <xdr:row>63</xdr:row>
      <xdr:rowOff>104321</xdr:rowOff>
    </xdr:from>
    <xdr:to>
      <xdr:col>51</xdr:col>
      <xdr:colOff>12474</xdr:colOff>
      <xdr:row>89</xdr:row>
      <xdr:rowOff>142421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242661</xdr:colOff>
      <xdr:row>63</xdr:row>
      <xdr:rowOff>151946</xdr:rowOff>
    </xdr:from>
    <xdr:to>
      <xdr:col>67</xdr:col>
      <xdr:colOff>105456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276679</xdr:colOff>
      <xdr:row>91</xdr:row>
      <xdr:rowOff>120196</xdr:rowOff>
    </xdr:from>
    <xdr:to>
      <xdr:col>51</xdr:col>
      <xdr:colOff>139474</xdr:colOff>
      <xdr:row>117</xdr:row>
      <xdr:rowOff>158296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290286</xdr:colOff>
      <xdr:row>91</xdr:row>
      <xdr:rowOff>88446</xdr:rowOff>
    </xdr:from>
    <xdr:to>
      <xdr:col>67</xdr:col>
      <xdr:colOff>153081</xdr:colOff>
      <xdr:row>117</xdr:row>
      <xdr:rowOff>126546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292554</xdr:colOff>
      <xdr:row>120</xdr:row>
      <xdr:rowOff>72571</xdr:rowOff>
    </xdr:from>
    <xdr:to>
      <xdr:col>51</xdr:col>
      <xdr:colOff>155349</xdr:colOff>
      <xdr:row>146</xdr:row>
      <xdr:rowOff>110671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337911</xdr:colOff>
      <xdr:row>120</xdr:row>
      <xdr:rowOff>88446</xdr:rowOff>
    </xdr:from>
    <xdr:to>
      <xdr:col>67</xdr:col>
      <xdr:colOff>200706</xdr:colOff>
      <xdr:row>146</xdr:row>
      <xdr:rowOff>126546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324304</xdr:colOff>
      <xdr:row>148</xdr:row>
      <xdr:rowOff>9071</xdr:rowOff>
    </xdr:from>
    <xdr:to>
      <xdr:col>51</xdr:col>
      <xdr:colOff>171224</xdr:colOff>
      <xdr:row>174</xdr:row>
      <xdr:rowOff>47171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401411</xdr:colOff>
      <xdr:row>148</xdr:row>
      <xdr:rowOff>9071</xdr:rowOff>
    </xdr:from>
    <xdr:to>
      <xdr:col>67</xdr:col>
      <xdr:colOff>264206</xdr:colOff>
      <xdr:row>174</xdr:row>
      <xdr:rowOff>47171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292554</xdr:colOff>
      <xdr:row>175</xdr:row>
      <xdr:rowOff>167821</xdr:rowOff>
    </xdr:from>
    <xdr:to>
      <xdr:col>51</xdr:col>
      <xdr:colOff>155349</xdr:colOff>
      <xdr:row>202</xdr:row>
      <xdr:rowOff>15421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480786</xdr:colOff>
      <xdr:row>175</xdr:row>
      <xdr:rowOff>174171</xdr:rowOff>
    </xdr:from>
    <xdr:to>
      <xdr:col>67</xdr:col>
      <xdr:colOff>327706</xdr:colOff>
      <xdr:row>202</xdr:row>
      <xdr:rowOff>31296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324304</xdr:colOff>
      <xdr:row>204</xdr:row>
      <xdr:rowOff>24946</xdr:rowOff>
    </xdr:from>
    <xdr:to>
      <xdr:col>51</xdr:col>
      <xdr:colOff>171224</xdr:colOff>
      <xdr:row>230</xdr:row>
      <xdr:rowOff>63046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480786</xdr:colOff>
      <xdr:row>203</xdr:row>
      <xdr:rowOff>174171</xdr:rowOff>
    </xdr:from>
    <xdr:to>
      <xdr:col>67</xdr:col>
      <xdr:colOff>327706</xdr:colOff>
      <xdr:row>230</xdr:row>
      <xdr:rowOff>31296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292554</xdr:colOff>
      <xdr:row>231</xdr:row>
      <xdr:rowOff>120196</xdr:rowOff>
    </xdr:from>
    <xdr:to>
      <xdr:col>51</xdr:col>
      <xdr:colOff>155349</xdr:colOff>
      <xdr:row>257</xdr:row>
      <xdr:rowOff>158296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51</xdr:col>
      <xdr:colOff>496661</xdr:colOff>
      <xdr:row>232</xdr:row>
      <xdr:rowOff>24946</xdr:rowOff>
    </xdr:from>
    <xdr:to>
      <xdr:col>67</xdr:col>
      <xdr:colOff>435469</xdr:colOff>
      <xdr:row>258</xdr:row>
      <xdr:rowOff>63046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324304</xdr:colOff>
      <xdr:row>259</xdr:row>
      <xdr:rowOff>104321</xdr:rowOff>
    </xdr:from>
    <xdr:to>
      <xdr:col>51</xdr:col>
      <xdr:colOff>171224</xdr:colOff>
      <xdr:row>285</xdr:row>
      <xdr:rowOff>142421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464911</xdr:colOff>
      <xdr:row>259</xdr:row>
      <xdr:rowOff>72571</xdr:rowOff>
    </xdr:from>
    <xdr:to>
      <xdr:col>67</xdr:col>
      <xdr:colOff>311831</xdr:colOff>
      <xdr:row>285</xdr:row>
      <xdr:rowOff>110671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387804</xdr:colOff>
      <xdr:row>287</xdr:row>
      <xdr:rowOff>40821</xdr:rowOff>
    </xdr:from>
    <xdr:to>
      <xdr:col>51</xdr:col>
      <xdr:colOff>234724</xdr:colOff>
      <xdr:row>313</xdr:row>
      <xdr:rowOff>78921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480786</xdr:colOff>
      <xdr:row>287</xdr:row>
      <xdr:rowOff>24946</xdr:rowOff>
    </xdr:from>
    <xdr:to>
      <xdr:col>67</xdr:col>
      <xdr:colOff>327706</xdr:colOff>
      <xdr:row>313</xdr:row>
      <xdr:rowOff>63046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169333</xdr:colOff>
      <xdr:row>8</xdr:row>
      <xdr:rowOff>31750</xdr:rowOff>
    </xdr:from>
    <xdr:to>
      <xdr:col>51</xdr:col>
      <xdr:colOff>177271</xdr:colOff>
      <xdr:row>34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375708</xdr:colOff>
      <xdr:row>8</xdr:row>
      <xdr:rowOff>31750</xdr:rowOff>
    </xdr:from>
    <xdr:to>
      <xdr:col>67</xdr:col>
      <xdr:colOff>383647</xdr:colOff>
      <xdr:row>34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169333</xdr:colOff>
      <xdr:row>35</xdr:row>
      <xdr:rowOff>63500</xdr:rowOff>
    </xdr:from>
    <xdr:to>
      <xdr:col>51</xdr:col>
      <xdr:colOff>177271</xdr:colOff>
      <xdr:row>61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391583</xdr:colOff>
      <xdr:row>35</xdr:row>
      <xdr:rowOff>95250</xdr:rowOff>
    </xdr:from>
    <xdr:to>
      <xdr:col>67</xdr:col>
      <xdr:colOff>399522</xdr:colOff>
      <xdr:row>61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142875</xdr:colOff>
      <xdr:row>63</xdr:row>
      <xdr:rowOff>95250</xdr:rowOff>
    </xdr:from>
    <xdr:to>
      <xdr:col>51</xdr:col>
      <xdr:colOff>150813</xdr:colOff>
      <xdr:row>89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391583</xdr:colOff>
      <xdr:row>63</xdr:row>
      <xdr:rowOff>142875</xdr:rowOff>
    </xdr:from>
    <xdr:to>
      <xdr:col>67</xdr:col>
      <xdr:colOff>399522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280458</xdr:colOff>
      <xdr:row>91</xdr:row>
      <xdr:rowOff>111125</xdr:rowOff>
    </xdr:from>
    <xdr:to>
      <xdr:col>51</xdr:col>
      <xdr:colOff>288396</xdr:colOff>
      <xdr:row>117</xdr:row>
      <xdr:rowOff>149225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439208</xdr:colOff>
      <xdr:row>91</xdr:row>
      <xdr:rowOff>79375</xdr:rowOff>
    </xdr:from>
    <xdr:to>
      <xdr:col>67</xdr:col>
      <xdr:colOff>447147</xdr:colOff>
      <xdr:row>117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296333</xdr:colOff>
      <xdr:row>120</xdr:row>
      <xdr:rowOff>63500</xdr:rowOff>
    </xdr:from>
    <xdr:to>
      <xdr:col>51</xdr:col>
      <xdr:colOff>304271</xdr:colOff>
      <xdr:row>146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486833</xdr:colOff>
      <xdr:row>120</xdr:row>
      <xdr:rowOff>79375</xdr:rowOff>
    </xdr:from>
    <xdr:to>
      <xdr:col>67</xdr:col>
      <xdr:colOff>494772</xdr:colOff>
      <xdr:row>146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328083</xdr:colOff>
      <xdr:row>148</xdr:row>
      <xdr:rowOff>0</xdr:rowOff>
    </xdr:from>
    <xdr:to>
      <xdr:col>51</xdr:col>
      <xdr:colOff>320146</xdr:colOff>
      <xdr:row>174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550333</xdr:colOff>
      <xdr:row>148</xdr:row>
      <xdr:rowOff>0</xdr:rowOff>
    </xdr:from>
    <xdr:to>
      <xdr:col>67</xdr:col>
      <xdr:colOff>558272</xdr:colOff>
      <xdr:row>174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296333</xdr:colOff>
      <xdr:row>175</xdr:row>
      <xdr:rowOff>158750</xdr:rowOff>
    </xdr:from>
    <xdr:to>
      <xdr:col>51</xdr:col>
      <xdr:colOff>304271</xdr:colOff>
      <xdr:row>202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15875</xdr:colOff>
      <xdr:row>175</xdr:row>
      <xdr:rowOff>165100</xdr:rowOff>
    </xdr:from>
    <xdr:to>
      <xdr:col>68</xdr:col>
      <xdr:colOff>7938</xdr:colOff>
      <xdr:row>202</xdr:row>
      <xdr:rowOff>22225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328083</xdr:colOff>
      <xdr:row>204</xdr:row>
      <xdr:rowOff>15875</xdr:rowOff>
    </xdr:from>
    <xdr:to>
      <xdr:col>51</xdr:col>
      <xdr:colOff>320146</xdr:colOff>
      <xdr:row>230</xdr:row>
      <xdr:rowOff>53975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15875</xdr:colOff>
      <xdr:row>203</xdr:row>
      <xdr:rowOff>165100</xdr:rowOff>
    </xdr:from>
    <xdr:to>
      <xdr:col>68</xdr:col>
      <xdr:colOff>7938</xdr:colOff>
      <xdr:row>230</xdr:row>
      <xdr:rowOff>22225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296333</xdr:colOff>
      <xdr:row>231</xdr:row>
      <xdr:rowOff>111125</xdr:rowOff>
    </xdr:from>
    <xdr:to>
      <xdr:col>51</xdr:col>
      <xdr:colOff>304271</xdr:colOff>
      <xdr:row>257</xdr:row>
      <xdr:rowOff>149225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31750</xdr:colOff>
      <xdr:row>232</xdr:row>
      <xdr:rowOff>15875</xdr:rowOff>
    </xdr:from>
    <xdr:to>
      <xdr:col>68</xdr:col>
      <xdr:colOff>23813</xdr:colOff>
      <xdr:row>258</xdr:row>
      <xdr:rowOff>53975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328083</xdr:colOff>
      <xdr:row>259</xdr:row>
      <xdr:rowOff>95250</xdr:rowOff>
    </xdr:from>
    <xdr:to>
      <xdr:col>51</xdr:col>
      <xdr:colOff>320146</xdr:colOff>
      <xdr:row>285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0</xdr:colOff>
      <xdr:row>259</xdr:row>
      <xdr:rowOff>63500</xdr:rowOff>
    </xdr:from>
    <xdr:to>
      <xdr:col>68</xdr:col>
      <xdr:colOff>780</xdr:colOff>
      <xdr:row>285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391583</xdr:colOff>
      <xdr:row>287</xdr:row>
      <xdr:rowOff>31750</xdr:rowOff>
    </xdr:from>
    <xdr:to>
      <xdr:col>51</xdr:col>
      <xdr:colOff>383646</xdr:colOff>
      <xdr:row>313</xdr:row>
      <xdr:rowOff>69850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15875</xdr:colOff>
      <xdr:row>287</xdr:row>
      <xdr:rowOff>15875</xdr:rowOff>
    </xdr:from>
    <xdr:to>
      <xdr:col>68</xdr:col>
      <xdr:colOff>7938</xdr:colOff>
      <xdr:row>313</xdr:row>
      <xdr:rowOff>53975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169333</xdr:colOff>
      <xdr:row>8</xdr:row>
      <xdr:rowOff>31750</xdr:rowOff>
    </xdr:from>
    <xdr:to>
      <xdr:col>51</xdr:col>
      <xdr:colOff>177271</xdr:colOff>
      <xdr:row>34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375708</xdr:colOff>
      <xdr:row>8</xdr:row>
      <xdr:rowOff>31750</xdr:rowOff>
    </xdr:from>
    <xdr:to>
      <xdr:col>67</xdr:col>
      <xdr:colOff>383647</xdr:colOff>
      <xdr:row>34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169333</xdr:colOff>
      <xdr:row>35</xdr:row>
      <xdr:rowOff>63500</xdr:rowOff>
    </xdr:from>
    <xdr:to>
      <xdr:col>51</xdr:col>
      <xdr:colOff>177271</xdr:colOff>
      <xdr:row>61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391583</xdr:colOff>
      <xdr:row>35</xdr:row>
      <xdr:rowOff>95250</xdr:rowOff>
    </xdr:from>
    <xdr:to>
      <xdr:col>67</xdr:col>
      <xdr:colOff>399522</xdr:colOff>
      <xdr:row>61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142875</xdr:colOff>
      <xdr:row>63</xdr:row>
      <xdr:rowOff>95250</xdr:rowOff>
    </xdr:from>
    <xdr:to>
      <xdr:col>51</xdr:col>
      <xdr:colOff>150813</xdr:colOff>
      <xdr:row>89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391583</xdr:colOff>
      <xdr:row>63</xdr:row>
      <xdr:rowOff>142875</xdr:rowOff>
    </xdr:from>
    <xdr:to>
      <xdr:col>67</xdr:col>
      <xdr:colOff>399522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280458</xdr:colOff>
      <xdr:row>91</xdr:row>
      <xdr:rowOff>111125</xdr:rowOff>
    </xdr:from>
    <xdr:to>
      <xdr:col>51</xdr:col>
      <xdr:colOff>288396</xdr:colOff>
      <xdr:row>117</xdr:row>
      <xdr:rowOff>149225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439208</xdr:colOff>
      <xdr:row>91</xdr:row>
      <xdr:rowOff>79375</xdr:rowOff>
    </xdr:from>
    <xdr:to>
      <xdr:col>67</xdr:col>
      <xdr:colOff>447147</xdr:colOff>
      <xdr:row>117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296333</xdr:colOff>
      <xdr:row>120</xdr:row>
      <xdr:rowOff>63500</xdr:rowOff>
    </xdr:from>
    <xdr:to>
      <xdr:col>51</xdr:col>
      <xdr:colOff>304271</xdr:colOff>
      <xdr:row>146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486833</xdr:colOff>
      <xdr:row>120</xdr:row>
      <xdr:rowOff>79375</xdr:rowOff>
    </xdr:from>
    <xdr:to>
      <xdr:col>67</xdr:col>
      <xdr:colOff>494772</xdr:colOff>
      <xdr:row>146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328083</xdr:colOff>
      <xdr:row>148</xdr:row>
      <xdr:rowOff>0</xdr:rowOff>
    </xdr:from>
    <xdr:to>
      <xdr:col>51</xdr:col>
      <xdr:colOff>320146</xdr:colOff>
      <xdr:row>174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550333</xdr:colOff>
      <xdr:row>148</xdr:row>
      <xdr:rowOff>0</xdr:rowOff>
    </xdr:from>
    <xdr:to>
      <xdr:col>67</xdr:col>
      <xdr:colOff>558272</xdr:colOff>
      <xdr:row>174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296333</xdr:colOff>
      <xdr:row>175</xdr:row>
      <xdr:rowOff>158750</xdr:rowOff>
    </xdr:from>
    <xdr:to>
      <xdr:col>51</xdr:col>
      <xdr:colOff>304271</xdr:colOff>
      <xdr:row>202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15875</xdr:colOff>
      <xdr:row>175</xdr:row>
      <xdr:rowOff>165100</xdr:rowOff>
    </xdr:from>
    <xdr:to>
      <xdr:col>68</xdr:col>
      <xdr:colOff>7938</xdr:colOff>
      <xdr:row>202</xdr:row>
      <xdr:rowOff>22225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328083</xdr:colOff>
      <xdr:row>204</xdr:row>
      <xdr:rowOff>15875</xdr:rowOff>
    </xdr:from>
    <xdr:to>
      <xdr:col>51</xdr:col>
      <xdr:colOff>320146</xdr:colOff>
      <xdr:row>230</xdr:row>
      <xdr:rowOff>53975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15875</xdr:colOff>
      <xdr:row>203</xdr:row>
      <xdr:rowOff>165100</xdr:rowOff>
    </xdr:from>
    <xdr:to>
      <xdr:col>68</xdr:col>
      <xdr:colOff>7938</xdr:colOff>
      <xdr:row>230</xdr:row>
      <xdr:rowOff>22225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296333</xdr:colOff>
      <xdr:row>231</xdr:row>
      <xdr:rowOff>111125</xdr:rowOff>
    </xdr:from>
    <xdr:to>
      <xdr:col>51</xdr:col>
      <xdr:colOff>304271</xdr:colOff>
      <xdr:row>257</xdr:row>
      <xdr:rowOff>149225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31750</xdr:colOff>
      <xdr:row>232</xdr:row>
      <xdr:rowOff>15875</xdr:rowOff>
    </xdr:from>
    <xdr:to>
      <xdr:col>68</xdr:col>
      <xdr:colOff>23813</xdr:colOff>
      <xdr:row>258</xdr:row>
      <xdr:rowOff>53975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328083</xdr:colOff>
      <xdr:row>259</xdr:row>
      <xdr:rowOff>95250</xdr:rowOff>
    </xdr:from>
    <xdr:to>
      <xdr:col>51</xdr:col>
      <xdr:colOff>320146</xdr:colOff>
      <xdr:row>285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0</xdr:colOff>
      <xdr:row>259</xdr:row>
      <xdr:rowOff>63500</xdr:rowOff>
    </xdr:from>
    <xdr:to>
      <xdr:col>68</xdr:col>
      <xdr:colOff>780</xdr:colOff>
      <xdr:row>285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391583</xdr:colOff>
      <xdr:row>287</xdr:row>
      <xdr:rowOff>31750</xdr:rowOff>
    </xdr:from>
    <xdr:to>
      <xdr:col>51</xdr:col>
      <xdr:colOff>383646</xdr:colOff>
      <xdr:row>313</xdr:row>
      <xdr:rowOff>69850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15875</xdr:colOff>
      <xdr:row>287</xdr:row>
      <xdr:rowOff>15875</xdr:rowOff>
    </xdr:from>
    <xdr:to>
      <xdr:col>68</xdr:col>
      <xdr:colOff>7938</xdr:colOff>
      <xdr:row>313</xdr:row>
      <xdr:rowOff>53975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169333</xdr:colOff>
      <xdr:row>8</xdr:row>
      <xdr:rowOff>31750</xdr:rowOff>
    </xdr:from>
    <xdr:to>
      <xdr:col>51</xdr:col>
      <xdr:colOff>177271</xdr:colOff>
      <xdr:row>34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375708</xdr:colOff>
      <xdr:row>8</xdr:row>
      <xdr:rowOff>31750</xdr:rowOff>
    </xdr:from>
    <xdr:to>
      <xdr:col>67</xdr:col>
      <xdr:colOff>383647</xdr:colOff>
      <xdr:row>34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169333</xdr:colOff>
      <xdr:row>35</xdr:row>
      <xdr:rowOff>63500</xdr:rowOff>
    </xdr:from>
    <xdr:to>
      <xdr:col>51</xdr:col>
      <xdr:colOff>177271</xdr:colOff>
      <xdr:row>61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391583</xdr:colOff>
      <xdr:row>35</xdr:row>
      <xdr:rowOff>95250</xdr:rowOff>
    </xdr:from>
    <xdr:to>
      <xdr:col>67</xdr:col>
      <xdr:colOff>399522</xdr:colOff>
      <xdr:row>61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91328</xdr:colOff>
      <xdr:row>63</xdr:row>
      <xdr:rowOff>95250</xdr:rowOff>
    </xdr:from>
    <xdr:to>
      <xdr:col>51</xdr:col>
      <xdr:colOff>150813</xdr:colOff>
      <xdr:row>89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391583</xdr:colOff>
      <xdr:row>63</xdr:row>
      <xdr:rowOff>142875</xdr:rowOff>
    </xdr:from>
    <xdr:to>
      <xdr:col>67</xdr:col>
      <xdr:colOff>399522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280458</xdr:colOff>
      <xdr:row>91</xdr:row>
      <xdr:rowOff>111125</xdr:rowOff>
    </xdr:from>
    <xdr:to>
      <xdr:col>51</xdr:col>
      <xdr:colOff>288396</xdr:colOff>
      <xdr:row>117</xdr:row>
      <xdr:rowOff>149225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439208</xdr:colOff>
      <xdr:row>91</xdr:row>
      <xdr:rowOff>79375</xdr:rowOff>
    </xdr:from>
    <xdr:to>
      <xdr:col>67</xdr:col>
      <xdr:colOff>447147</xdr:colOff>
      <xdr:row>117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296333</xdr:colOff>
      <xdr:row>120</xdr:row>
      <xdr:rowOff>63500</xdr:rowOff>
    </xdr:from>
    <xdr:to>
      <xdr:col>51</xdr:col>
      <xdr:colOff>304271</xdr:colOff>
      <xdr:row>146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486833</xdr:colOff>
      <xdr:row>120</xdr:row>
      <xdr:rowOff>79375</xdr:rowOff>
    </xdr:from>
    <xdr:to>
      <xdr:col>67</xdr:col>
      <xdr:colOff>494772</xdr:colOff>
      <xdr:row>146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328083</xdr:colOff>
      <xdr:row>148</xdr:row>
      <xdr:rowOff>0</xdr:rowOff>
    </xdr:from>
    <xdr:to>
      <xdr:col>51</xdr:col>
      <xdr:colOff>320146</xdr:colOff>
      <xdr:row>174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550333</xdr:colOff>
      <xdr:row>148</xdr:row>
      <xdr:rowOff>0</xdr:rowOff>
    </xdr:from>
    <xdr:to>
      <xdr:col>67</xdr:col>
      <xdr:colOff>558272</xdr:colOff>
      <xdr:row>174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296333</xdr:colOff>
      <xdr:row>175</xdr:row>
      <xdr:rowOff>158750</xdr:rowOff>
    </xdr:from>
    <xdr:to>
      <xdr:col>51</xdr:col>
      <xdr:colOff>304271</xdr:colOff>
      <xdr:row>202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15875</xdr:colOff>
      <xdr:row>175</xdr:row>
      <xdr:rowOff>165100</xdr:rowOff>
    </xdr:from>
    <xdr:to>
      <xdr:col>68</xdr:col>
      <xdr:colOff>7938</xdr:colOff>
      <xdr:row>202</xdr:row>
      <xdr:rowOff>22225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328083</xdr:colOff>
      <xdr:row>204</xdr:row>
      <xdr:rowOff>15875</xdr:rowOff>
    </xdr:from>
    <xdr:to>
      <xdr:col>51</xdr:col>
      <xdr:colOff>320146</xdr:colOff>
      <xdr:row>230</xdr:row>
      <xdr:rowOff>53975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15875</xdr:colOff>
      <xdr:row>203</xdr:row>
      <xdr:rowOff>165100</xdr:rowOff>
    </xdr:from>
    <xdr:to>
      <xdr:col>68</xdr:col>
      <xdr:colOff>7938</xdr:colOff>
      <xdr:row>230</xdr:row>
      <xdr:rowOff>22225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296333</xdr:colOff>
      <xdr:row>231</xdr:row>
      <xdr:rowOff>111125</xdr:rowOff>
    </xdr:from>
    <xdr:to>
      <xdr:col>51</xdr:col>
      <xdr:colOff>304271</xdr:colOff>
      <xdr:row>257</xdr:row>
      <xdr:rowOff>149225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31750</xdr:colOff>
      <xdr:row>232</xdr:row>
      <xdr:rowOff>15875</xdr:rowOff>
    </xdr:from>
    <xdr:to>
      <xdr:col>68</xdr:col>
      <xdr:colOff>120184</xdr:colOff>
      <xdr:row>258</xdr:row>
      <xdr:rowOff>53975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328083</xdr:colOff>
      <xdr:row>259</xdr:row>
      <xdr:rowOff>95250</xdr:rowOff>
    </xdr:from>
    <xdr:to>
      <xdr:col>51</xdr:col>
      <xdr:colOff>320146</xdr:colOff>
      <xdr:row>285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0</xdr:colOff>
      <xdr:row>259</xdr:row>
      <xdr:rowOff>63500</xdr:rowOff>
    </xdr:from>
    <xdr:to>
      <xdr:col>68</xdr:col>
      <xdr:colOff>780</xdr:colOff>
      <xdr:row>285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391583</xdr:colOff>
      <xdr:row>287</xdr:row>
      <xdr:rowOff>31750</xdr:rowOff>
    </xdr:from>
    <xdr:to>
      <xdr:col>51</xdr:col>
      <xdr:colOff>383646</xdr:colOff>
      <xdr:row>313</xdr:row>
      <xdr:rowOff>69850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15875</xdr:colOff>
      <xdr:row>287</xdr:row>
      <xdr:rowOff>15875</xdr:rowOff>
    </xdr:from>
    <xdr:to>
      <xdr:col>68</xdr:col>
      <xdr:colOff>7938</xdr:colOff>
      <xdr:row>313</xdr:row>
      <xdr:rowOff>53975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169333</xdr:colOff>
      <xdr:row>8</xdr:row>
      <xdr:rowOff>31750</xdr:rowOff>
    </xdr:from>
    <xdr:to>
      <xdr:col>51</xdr:col>
      <xdr:colOff>177271</xdr:colOff>
      <xdr:row>34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375708</xdr:colOff>
      <xdr:row>8</xdr:row>
      <xdr:rowOff>31750</xdr:rowOff>
    </xdr:from>
    <xdr:to>
      <xdr:col>67</xdr:col>
      <xdr:colOff>383647</xdr:colOff>
      <xdr:row>34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169333</xdr:colOff>
      <xdr:row>35</xdr:row>
      <xdr:rowOff>63500</xdr:rowOff>
    </xdr:from>
    <xdr:to>
      <xdr:col>51</xdr:col>
      <xdr:colOff>177271</xdr:colOff>
      <xdr:row>61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391583</xdr:colOff>
      <xdr:row>35</xdr:row>
      <xdr:rowOff>95250</xdr:rowOff>
    </xdr:from>
    <xdr:to>
      <xdr:col>67</xdr:col>
      <xdr:colOff>399522</xdr:colOff>
      <xdr:row>61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44904</xdr:colOff>
      <xdr:row>63</xdr:row>
      <xdr:rowOff>95250</xdr:rowOff>
    </xdr:from>
    <xdr:to>
      <xdr:col>51</xdr:col>
      <xdr:colOff>150813</xdr:colOff>
      <xdr:row>89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391583</xdr:colOff>
      <xdr:row>63</xdr:row>
      <xdr:rowOff>142875</xdr:rowOff>
    </xdr:from>
    <xdr:to>
      <xdr:col>67</xdr:col>
      <xdr:colOff>399522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280458</xdr:colOff>
      <xdr:row>91</xdr:row>
      <xdr:rowOff>111125</xdr:rowOff>
    </xdr:from>
    <xdr:to>
      <xdr:col>51</xdr:col>
      <xdr:colOff>288396</xdr:colOff>
      <xdr:row>117</xdr:row>
      <xdr:rowOff>149225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439208</xdr:colOff>
      <xdr:row>91</xdr:row>
      <xdr:rowOff>79375</xdr:rowOff>
    </xdr:from>
    <xdr:to>
      <xdr:col>67</xdr:col>
      <xdr:colOff>447147</xdr:colOff>
      <xdr:row>117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296333</xdr:colOff>
      <xdr:row>120</xdr:row>
      <xdr:rowOff>63500</xdr:rowOff>
    </xdr:from>
    <xdr:to>
      <xdr:col>51</xdr:col>
      <xdr:colOff>304271</xdr:colOff>
      <xdr:row>146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486833</xdr:colOff>
      <xdr:row>120</xdr:row>
      <xdr:rowOff>79375</xdr:rowOff>
    </xdr:from>
    <xdr:to>
      <xdr:col>67</xdr:col>
      <xdr:colOff>494772</xdr:colOff>
      <xdr:row>146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328083</xdr:colOff>
      <xdr:row>148</xdr:row>
      <xdr:rowOff>0</xdr:rowOff>
    </xdr:from>
    <xdr:to>
      <xdr:col>51</xdr:col>
      <xdr:colOff>320146</xdr:colOff>
      <xdr:row>174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550333</xdr:colOff>
      <xdr:row>148</xdr:row>
      <xdr:rowOff>0</xdr:rowOff>
    </xdr:from>
    <xdr:to>
      <xdr:col>67</xdr:col>
      <xdr:colOff>558272</xdr:colOff>
      <xdr:row>174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296333</xdr:colOff>
      <xdr:row>175</xdr:row>
      <xdr:rowOff>158750</xdr:rowOff>
    </xdr:from>
    <xdr:to>
      <xdr:col>51</xdr:col>
      <xdr:colOff>304271</xdr:colOff>
      <xdr:row>202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15875</xdr:colOff>
      <xdr:row>175</xdr:row>
      <xdr:rowOff>165100</xdr:rowOff>
    </xdr:from>
    <xdr:to>
      <xdr:col>68</xdr:col>
      <xdr:colOff>7938</xdr:colOff>
      <xdr:row>202</xdr:row>
      <xdr:rowOff>22225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328083</xdr:colOff>
      <xdr:row>204</xdr:row>
      <xdr:rowOff>15875</xdr:rowOff>
    </xdr:from>
    <xdr:to>
      <xdr:col>51</xdr:col>
      <xdr:colOff>320146</xdr:colOff>
      <xdr:row>230</xdr:row>
      <xdr:rowOff>53975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15875</xdr:colOff>
      <xdr:row>203</xdr:row>
      <xdr:rowOff>165100</xdr:rowOff>
    </xdr:from>
    <xdr:to>
      <xdr:col>68</xdr:col>
      <xdr:colOff>7938</xdr:colOff>
      <xdr:row>230</xdr:row>
      <xdr:rowOff>22225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296333</xdr:colOff>
      <xdr:row>231</xdr:row>
      <xdr:rowOff>111125</xdr:rowOff>
    </xdr:from>
    <xdr:to>
      <xdr:col>51</xdr:col>
      <xdr:colOff>304271</xdr:colOff>
      <xdr:row>257</xdr:row>
      <xdr:rowOff>149225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31750</xdr:colOff>
      <xdr:row>232</xdr:row>
      <xdr:rowOff>15875</xdr:rowOff>
    </xdr:from>
    <xdr:to>
      <xdr:col>67</xdr:col>
      <xdr:colOff>448356</xdr:colOff>
      <xdr:row>258</xdr:row>
      <xdr:rowOff>53975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328083</xdr:colOff>
      <xdr:row>259</xdr:row>
      <xdr:rowOff>95250</xdr:rowOff>
    </xdr:from>
    <xdr:to>
      <xdr:col>51</xdr:col>
      <xdr:colOff>320146</xdr:colOff>
      <xdr:row>285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0</xdr:colOff>
      <xdr:row>259</xdr:row>
      <xdr:rowOff>63500</xdr:rowOff>
    </xdr:from>
    <xdr:to>
      <xdr:col>68</xdr:col>
      <xdr:colOff>780</xdr:colOff>
      <xdr:row>285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391583</xdr:colOff>
      <xdr:row>287</xdr:row>
      <xdr:rowOff>31750</xdr:rowOff>
    </xdr:from>
    <xdr:to>
      <xdr:col>51</xdr:col>
      <xdr:colOff>383646</xdr:colOff>
      <xdr:row>313</xdr:row>
      <xdr:rowOff>69850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15875</xdr:colOff>
      <xdr:row>287</xdr:row>
      <xdr:rowOff>15875</xdr:rowOff>
    </xdr:from>
    <xdr:to>
      <xdr:col>68</xdr:col>
      <xdr:colOff>7938</xdr:colOff>
      <xdr:row>313</xdr:row>
      <xdr:rowOff>53975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1838325</xdr:colOff>
          <xdr:row>45</xdr:row>
          <xdr:rowOff>76200</xdr:rowOff>
        </xdr:from>
        <xdr:to>
          <xdr:col>3</xdr:col>
          <xdr:colOff>1476375</xdr:colOff>
          <xdr:row>46</xdr:row>
          <xdr:rowOff>104775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104775</xdr:rowOff>
        </xdr:from>
        <xdr:to>
          <xdr:col>3</xdr:col>
          <xdr:colOff>1438275</xdr:colOff>
          <xdr:row>9</xdr:row>
          <xdr:rowOff>123825</xdr:rowOff>
        </xdr:to>
        <xdr:sp macro="" textlink="">
          <xdr:nvSpPr>
            <xdr:cNvPr id="25602" name="Drop Dow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85725</xdr:rowOff>
        </xdr:from>
        <xdr:to>
          <xdr:col>3</xdr:col>
          <xdr:colOff>1438275</xdr:colOff>
          <xdr:row>15</xdr:row>
          <xdr:rowOff>104775</xdr:rowOff>
        </xdr:to>
        <xdr:sp macro="" textlink="">
          <xdr:nvSpPr>
            <xdr:cNvPr id="25604" name="Drop Dow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3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41</xdr:row>
          <xdr:rowOff>38100</xdr:rowOff>
        </xdr:from>
        <xdr:to>
          <xdr:col>3</xdr:col>
          <xdr:colOff>1314450</xdr:colOff>
          <xdr:row>42</xdr:row>
          <xdr:rowOff>76200</xdr:rowOff>
        </xdr:to>
        <xdr:sp macro="" textlink="">
          <xdr:nvSpPr>
            <xdr:cNvPr id="25605" name="CheckFix12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3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1/2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42</xdr:row>
          <xdr:rowOff>9525</xdr:rowOff>
        </xdr:from>
        <xdr:to>
          <xdr:col>3</xdr:col>
          <xdr:colOff>1343025</xdr:colOff>
          <xdr:row>43</xdr:row>
          <xdr:rowOff>28575</xdr:rowOff>
        </xdr:to>
        <xdr:sp macro="" textlink="">
          <xdr:nvSpPr>
            <xdr:cNvPr id="25606" name="CheckFix34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3/4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42</xdr:row>
          <xdr:rowOff>152400</xdr:rowOff>
        </xdr:from>
        <xdr:to>
          <xdr:col>3</xdr:col>
          <xdr:colOff>1343025</xdr:colOff>
          <xdr:row>44</xdr:row>
          <xdr:rowOff>0</xdr:rowOff>
        </xdr:to>
        <xdr:sp macro="" textlink="">
          <xdr:nvSpPr>
            <xdr:cNvPr id="25607" name="CheckFix56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3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5/6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43</xdr:row>
          <xdr:rowOff>123825</xdr:rowOff>
        </xdr:from>
        <xdr:to>
          <xdr:col>3</xdr:col>
          <xdr:colOff>1343025</xdr:colOff>
          <xdr:row>44</xdr:row>
          <xdr:rowOff>152400</xdr:rowOff>
        </xdr:to>
        <xdr:sp macro="" textlink="">
          <xdr:nvSpPr>
            <xdr:cNvPr id="25608" name="CheckFix7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3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7/8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31</xdr:row>
          <xdr:rowOff>76200</xdr:rowOff>
        </xdr:from>
        <xdr:to>
          <xdr:col>3</xdr:col>
          <xdr:colOff>1447800</xdr:colOff>
          <xdr:row>32</xdr:row>
          <xdr:rowOff>133350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13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16</xdr:row>
          <xdr:rowOff>19050</xdr:rowOff>
        </xdr:from>
        <xdr:to>
          <xdr:col>3</xdr:col>
          <xdr:colOff>1438275</xdr:colOff>
          <xdr:row>17</xdr:row>
          <xdr:rowOff>76200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13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Hide/Show CMM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95250</xdr:rowOff>
        </xdr:from>
        <xdr:to>
          <xdr:col>3</xdr:col>
          <xdr:colOff>1466850</xdr:colOff>
          <xdr:row>20</xdr:row>
          <xdr:rowOff>123825</xdr:rowOff>
        </xdr:to>
        <xdr:sp macro="" textlink="">
          <xdr:nvSpPr>
            <xdr:cNvPr id="25623" name="Drop Dow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13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1828800</xdr:colOff>
          <xdr:row>37</xdr:row>
          <xdr:rowOff>85725</xdr:rowOff>
        </xdr:from>
        <xdr:to>
          <xdr:col>3</xdr:col>
          <xdr:colOff>1466850</xdr:colOff>
          <xdr:row>38</xdr:row>
          <xdr:rowOff>142875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13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offset data to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95250</xdr:rowOff>
        </xdr:from>
        <xdr:to>
          <xdr:col>3</xdr:col>
          <xdr:colOff>1428750</xdr:colOff>
          <xdr:row>5</xdr:row>
          <xdr:rowOff>161925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13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25</xdr:row>
          <xdr:rowOff>104775</xdr:rowOff>
        </xdr:from>
        <xdr:to>
          <xdr:col>3</xdr:col>
          <xdr:colOff>1438275</xdr:colOff>
          <xdr:row>26</xdr:row>
          <xdr:rowOff>123825</xdr:rowOff>
        </xdr:to>
        <xdr:sp macro="" textlink="">
          <xdr:nvSpPr>
            <xdr:cNvPr id="25626" name="Drop Dow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13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27</xdr:row>
          <xdr:rowOff>95250</xdr:rowOff>
        </xdr:from>
        <xdr:to>
          <xdr:col>3</xdr:col>
          <xdr:colOff>1438275</xdr:colOff>
          <xdr:row>28</xdr:row>
          <xdr:rowOff>104775</xdr:rowOff>
        </xdr:to>
        <xdr:sp macro="" textlink="">
          <xdr:nvSpPr>
            <xdr:cNvPr id="25627" name="Drop Dow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13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104775</xdr:rowOff>
        </xdr:from>
        <xdr:to>
          <xdr:col>3</xdr:col>
          <xdr:colOff>1438275</xdr:colOff>
          <xdr:row>7</xdr:row>
          <xdr:rowOff>104775</xdr:rowOff>
        </xdr:to>
        <xdr:sp macro="" textlink="">
          <xdr:nvSpPr>
            <xdr:cNvPr id="25628" name="Drop Dow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13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10</xdr:row>
          <xdr:rowOff>57150</xdr:rowOff>
        </xdr:from>
        <xdr:to>
          <xdr:col>3</xdr:col>
          <xdr:colOff>1314450</xdr:colOff>
          <xdr:row>11</xdr:row>
          <xdr:rowOff>85725</xdr:rowOff>
        </xdr:to>
        <xdr:sp macro="" textlink="">
          <xdr:nvSpPr>
            <xdr:cNvPr id="25630" name="CheckFix12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13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last offset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17</xdr:row>
          <xdr:rowOff>95250</xdr:rowOff>
        </xdr:from>
        <xdr:to>
          <xdr:col>5</xdr:col>
          <xdr:colOff>590550</xdr:colOff>
          <xdr:row>18</xdr:row>
          <xdr:rowOff>171450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13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Hide/Show offset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15</xdr:row>
          <xdr:rowOff>161925</xdr:rowOff>
        </xdr:from>
        <xdr:to>
          <xdr:col>5</xdr:col>
          <xdr:colOff>714375</xdr:colOff>
          <xdr:row>17</xdr:row>
          <xdr:rowOff>9525</xdr:rowOff>
        </xdr:to>
        <xdr:sp macro="" textlink="">
          <xdr:nvSpPr>
            <xdr:cNvPr id="25632" name="CheckFix1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13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manual offset tab for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33</xdr:row>
          <xdr:rowOff>76200</xdr:rowOff>
        </xdr:from>
        <xdr:to>
          <xdr:col>3</xdr:col>
          <xdr:colOff>1447800</xdr:colOff>
          <xdr:row>34</xdr:row>
          <xdr:rowOff>123825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13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Hide/Show Solver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387927</xdr:colOff>
      <xdr:row>18</xdr:row>
      <xdr:rowOff>13854</xdr:rowOff>
    </xdr:from>
    <xdr:to>
      <xdr:col>24</xdr:col>
      <xdr:colOff>387927</xdr:colOff>
      <xdr:row>28</xdr:row>
      <xdr:rowOff>22322</xdr:rowOff>
    </xdr:to>
    <xdr:sp macro="" textlink="">
      <xdr:nvSpPr>
        <xdr:cNvPr id="2" name="Right Tri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8227002" y="5395479"/>
          <a:ext cx="762000" cy="3246968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3662</xdr:colOff>
      <xdr:row>28</xdr:row>
      <xdr:rowOff>-1</xdr:rowOff>
    </xdr:from>
    <xdr:to>
      <xdr:col>12</xdr:col>
      <xdr:colOff>3660</xdr:colOff>
      <xdr:row>38</xdr:row>
      <xdr:rowOff>27708</xdr:rowOff>
    </xdr:to>
    <xdr:sp macro="" textlink="">
      <xdr:nvSpPr>
        <xdr:cNvPr id="3" name="Right Tri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 rot="10800000">
          <a:off x="3280262" y="8620124"/>
          <a:ext cx="761998" cy="3266209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387927</xdr:colOff>
      <xdr:row>17</xdr:row>
      <xdr:rowOff>13854</xdr:rowOff>
    </xdr:from>
    <xdr:to>
      <xdr:col>24</xdr:col>
      <xdr:colOff>387927</xdr:colOff>
      <xdr:row>27</xdr:row>
      <xdr:rowOff>22322</xdr:rowOff>
    </xdr:to>
    <xdr:sp macro="" textlink="">
      <xdr:nvSpPr>
        <xdr:cNvPr id="2" name="Right Tri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8825345" y="5999018"/>
          <a:ext cx="803564" cy="2252904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3662</xdr:colOff>
      <xdr:row>27</xdr:row>
      <xdr:rowOff>-1</xdr:rowOff>
    </xdr:from>
    <xdr:to>
      <xdr:col>12</xdr:col>
      <xdr:colOff>3660</xdr:colOff>
      <xdr:row>37</xdr:row>
      <xdr:rowOff>27708</xdr:rowOff>
    </xdr:to>
    <xdr:sp macro="" textlink="">
      <xdr:nvSpPr>
        <xdr:cNvPr id="3" name="Right Triangl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 rot="10800000">
          <a:off x="4423262" y="8728363"/>
          <a:ext cx="803562" cy="2272145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34</xdr:col>
      <xdr:colOff>344247</xdr:colOff>
      <xdr:row>6</xdr:row>
      <xdr:rowOff>57150</xdr:rowOff>
    </xdr:from>
    <xdr:to>
      <xdr:col>50</xdr:col>
      <xdr:colOff>262270</xdr:colOff>
      <xdr:row>56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50</xdr:col>
      <xdr:colOff>460707</xdr:colOff>
      <xdr:row>6</xdr:row>
      <xdr:rowOff>57150</xdr:rowOff>
    </xdr:from>
    <xdr:to>
      <xdr:col>66</xdr:col>
      <xdr:colOff>214645</xdr:colOff>
      <xdr:row>56</xdr:row>
      <xdr:rowOff>95250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34</xdr:col>
      <xdr:colOff>344247</xdr:colOff>
      <xdr:row>58</xdr:row>
      <xdr:rowOff>88900</xdr:rowOff>
    </xdr:from>
    <xdr:to>
      <xdr:col>50</xdr:col>
      <xdr:colOff>262270</xdr:colOff>
      <xdr:row>108</xdr:row>
      <xdr:rowOff>127000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50</xdr:col>
      <xdr:colOff>476582</xdr:colOff>
      <xdr:row>58</xdr:row>
      <xdr:rowOff>120650</xdr:rowOff>
    </xdr:from>
    <xdr:to>
      <xdr:col>66</xdr:col>
      <xdr:colOff>230520</xdr:colOff>
      <xdr:row>108</xdr:row>
      <xdr:rowOff>158750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16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34</xdr:col>
      <xdr:colOff>429785</xdr:colOff>
      <xdr:row>110</xdr:row>
      <xdr:rowOff>139700</xdr:rowOff>
    </xdr:from>
    <xdr:to>
      <xdr:col>50</xdr:col>
      <xdr:colOff>398795</xdr:colOff>
      <xdr:row>137</xdr:row>
      <xdr:rowOff>5229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16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50</xdr:col>
      <xdr:colOff>476582</xdr:colOff>
      <xdr:row>110</xdr:row>
      <xdr:rowOff>168275</xdr:rowOff>
    </xdr:from>
    <xdr:to>
      <xdr:col>66</xdr:col>
      <xdr:colOff>230520</xdr:colOff>
      <xdr:row>137</xdr:row>
      <xdr:rowOff>26894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16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7137</xdr:colOff>
      <xdr:row>138</xdr:row>
      <xdr:rowOff>163419</xdr:rowOff>
    </xdr:from>
    <xdr:to>
      <xdr:col>50</xdr:col>
      <xdr:colOff>373395</xdr:colOff>
      <xdr:row>164</xdr:row>
      <xdr:rowOff>165660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16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50</xdr:col>
      <xdr:colOff>517004</xdr:colOff>
      <xdr:row>138</xdr:row>
      <xdr:rowOff>131669</xdr:rowOff>
    </xdr:from>
    <xdr:to>
      <xdr:col>66</xdr:col>
      <xdr:colOff>278145</xdr:colOff>
      <xdr:row>164</xdr:row>
      <xdr:rowOff>133910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16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23012</xdr:colOff>
      <xdr:row>167</xdr:row>
      <xdr:rowOff>79935</xdr:rowOff>
    </xdr:from>
    <xdr:to>
      <xdr:col>50</xdr:col>
      <xdr:colOff>389270</xdr:colOff>
      <xdr:row>193</xdr:row>
      <xdr:rowOff>118034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16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50</xdr:col>
      <xdr:colOff>564629</xdr:colOff>
      <xdr:row>167</xdr:row>
      <xdr:rowOff>95810</xdr:rowOff>
    </xdr:from>
    <xdr:to>
      <xdr:col>66</xdr:col>
      <xdr:colOff>325770</xdr:colOff>
      <xdr:row>193</xdr:row>
      <xdr:rowOff>133909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1600-00003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47958</xdr:colOff>
      <xdr:row>195</xdr:row>
      <xdr:rowOff>16435</xdr:rowOff>
    </xdr:from>
    <xdr:to>
      <xdr:col>50</xdr:col>
      <xdr:colOff>405145</xdr:colOff>
      <xdr:row>221</xdr:row>
      <xdr:rowOff>54536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600-00003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23012</xdr:colOff>
      <xdr:row>195</xdr:row>
      <xdr:rowOff>16435</xdr:rowOff>
    </xdr:from>
    <xdr:to>
      <xdr:col>66</xdr:col>
      <xdr:colOff>389270</xdr:colOff>
      <xdr:row>221</xdr:row>
      <xdr:rowOff>54536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6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23012</xdr:colOff>
      <xdr:row>222</xdr:row>
      <xdr:rowOff>171600</xdr:rowOff>
    </xdr:from>
    <xdr:to>
      <xdr:col>50</xdr:col>
      <xdr:colOff>389270</xdr:colOff>
      <xdr:row>249</xdr:row>
      <xdr:rowOff>22785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6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95584</xdr:colOff>
      <xdr:row>222</xdr:row>
      <xdr:rowOff>170330</xdr:rowOff>
    </xdr:from>
    <xdr:to>
      <xdr:col>66</xdr:col>
      <xdr:colOff>452770</xdr:colOff>
      <xdr:row>249</xdr:row>
      <xdr:rowOff>38660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6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47958</xdr:colOff>
      <xdr:row>251</xdr:row>
      <xdr:rowOff>32310</xdr:rowOff>
    </xdr:from>
    <xdr:to>
      <xdr:col>50</xdr:col>
      <xdr:colOff>405145</xdr:colOff>
      <xdr:row>277</xdr:row>
      <xdr:rowOff>70410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6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95584</xdr:colOff>
      <xdr:row>250</xdr:row>
      <xdr:rowOff>170329</xdr:rowOff>
    </xdr:from>
    <xdr:to>
      <xdr:col>66</xdr:col>
      <xdr:colOff>452770</xdr:colOff>
      <xdr:row>277</xdr:row>
      <xdr:rowOff>38660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600-00003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23012</xdr:colOff>
      <xdr:row>278</xdr:row>
      <xdr:rowOff>127559</xdr:rowOff>
    </xdr:from>
    <xdr:to>
      <xdr:col>50</xdr:col>
      <xdr:colOff>389270</xdr:colOff>
      <xdr:row>304</xdr:row>
      <xdr:rowOff>165659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600-00003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51</xdr:col>
      <xdr:colOff>111459</xdr:colOff>
      <xdr:row>279</xdr:row>
      <xdr:rowOff>32310</xdr:rowOff>
    </xdr:from>
    <xdr:to>
      <xdr:col>66</xdr:col>
      <xdr:colOff>556051</xdr:colOff>
      <xdr:row>305</xdr:row>
      <xdr:rowOff>70411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600-00003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47958</xdr:colOff>
      <xdr:row>306</xdr:row>
      <xdr:rowOff>111686</xdr:rowOff>
    </xdr:from>
    <xdr:to>
      <xdr:col>50</xdr:col>
      <xdr:colOff>405145</xdr:colOff>
      <xdr:row>332</xdr:row>
      <xdr:rowOff>149786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600-00004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79709</xdr:colOff>
      <xdr:row>306</xdr:row>
      <xdr:rowOff>79936</xdr:rowOff>
    </xdr:from>
    <xdr:to>
      <xdr:col>66</xdr:col>
      <xdr:colOff>436895</xdr:colOff>
      <xdr:row>332</xdr:row>
      <xdr:rowOff>118036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600-00004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111458</xdr:colOff>
      <xdr:row>334</xdr:row>
      <xdr:rowOff>48185</xdr:rowOff>
    </xdr:from>
    <xdr:to>
      <xdr:col>50</xdr:col>
      <xdr:colOff>468645</xdr:colOff>
      <xdr:row>360</xdr:row>
      <xdr:rowOff>86285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600-00004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95584</xdr:colOff>
      <xdr:row>334</xdr:row>
      <xdr:rowOff>32310</xdr:rowOff>
    </xdr:from>
    <xdr:to>
      <xdr:col>66</xdr:col>
      <xdr:colOff>452770</xdr:colOff>
      <xdr:row>360</xdr:row>
      <xdr:rowOff>70410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600-00004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169333</xdr:colOff>
      <xdr:row>8</xdr:row>
      <xdr:rowOff>31750</xdr:rowOff>
    </xdr:from>
    <xdr:to>
      <xdr:col>51</xdr:col>
      <xdr:colOff>177271</xdr:colOff>
      <xdr:row>34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375708</xdr:colOff>
      <xdr:row>8</xdr:row>
      <xdr:rowOff>31750</xdr:rowOff>
    </xdr:from>
    <xdr:to>
      <xdr:col>67</xdr:col>
      <xdr:colOff>383647</xdr:colOff>
      <xdr:row>34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169333</xdr:colOff>
      <xdr:row>35</xdr:row>
      <xdr:rowOff>63500</xdr:rowOff>
    </xdr:from>
    <xdr:to>
      <xdr:col>51</xdr:col>
      <xdr:colOff>177271</xdr:colOff>
      <xdr:row>61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391583</xdr:colOff>
      <xdr:row>35</xdr:row>
      <xdr:rowOff>95250</xdr:rowOff>
    </xdr:from>
    <xdr:to>
      <xdr:col>67</xdr:col>
      <xdr:colOff>399522</xdr:colOff>
      <xdr:row>61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142875</xdr:colOff>
      <xdr:row>63</xdr:row>
      <xdr:rowOff>95250</xdr:rowOff>
    </xdr:from>
    <xdr:to>
      <xdr:col>51</xdr:col>
      <xdr:colOff>150813</xdr:colOff>
      <xdr:row>89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391583</xdr:colOff>
      <xdr:row>63</xdr:row>
      <xdr:rowOff>142875</xdr:rowOff>
    </xdr:from>
    <xdr:to>
      <xdr:col>67</xdr:col>
      <xdr:colOff>399522</xdr:colOff>
      <xdr:row>90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280458</xdr:colOff>
      <xdr:row>91</xdr:row>
      <xdr:rowOff>111125</xdr:rowOff>
    </xdr:from>
    <xdr:to>
      <xdr:col>51</xdr:col>
      <xdr:colOff>288396</xdr:colOff>
      <xdr:row>117</xdr:row>
      <xdr:rowOff>149225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439208</xdr:colOff>
      <xdr:row>91</xdr:row>
      <xdr:rowOff>79375</xdr:rowOff>
    </xdr:from>
    <xdr:to>
      <xdr:col>67</xdr:col>
      <xdr:colOff>447147</xdr:colOff>
      <xdr:row>117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296333</xdr:colOff>
      <xdr:row>120</xdr:row>
      <xdr:rowOff>63500</xdr:rowOff>
    </xdr:from>
    <xdr:to>
      <xdr:col>51</xdr:col>
      <xdr:colOff>304271</xdr:colOff>
      <xdr:row>146</xdr:row>
      <xdr:rowOff>101600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486833</xdr:colOff>
      <xdr:row>120</xdr:row>
      <xdr:rowOff>79375</xdr:rowOff>
    </xdr:from>
    <xdr:to>
      <xdr:col>67</xdr:col>
      <xdr:colOff>494772</xdr:colOff>
      <xdr:row>146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328083</xdr:colOff>
      <xdr:row>148</xdr:row>
      <xdr:rowOff>0</xdr:rowOff>
    </xdr:from>
    <xdr:to>
      <xdr:col>51</xdr:col>
      <xdr:colOff>320146</xdr:colOff>
      <xdr:row>174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550333</xdr:colOff>
      <xdr:row>148</xdr:row>
      <xdr:rowOff>0</xdr:rowOff>
    </xdr:from>
    <xdr:to>
      <xdr:col>67</xdr:col>
      <xdr:colOff>558272</xdr:colOff>
      <xdr:row>174</xdr:row>
      <xdr:rowOff>31750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296333</xdr:colOff>
      <xdr:row>175</xdr:row>
      <xdr:rowOff>158750</xdr:rowOff>
    </xdr:from>
    <xdr:to>
      <xdr:col>51</xdr:col>
      <xdr:colOff>304271</xdr:colOff>
      <xdr:row>202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15875</xdr:colOff>
      <xdr:row>175</xdr:row>
      <xdr:rowOff>165100</xdr:rowOff>
    </xdr:from>
    <xdr:to>
      <xdr:col>68</xdr:col>
      <xdr:colOff>7938</xdr:colOff>
      <xdr:row>202</xdr:row>
      <xdr:rowOff>22225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328083</xdr:colOff>
      <xdr:row>204</xdr:row>
      <xdr:rowOff>15875</xdr:rowOff>
    </xdr:from>
    <xdr:to>
      <xdr:col>51</xdr:col>
      <xdr:colOff>320146</xdr:colOff>
      <xdr:row>230</xdr:row>
      <xdr:rowOff>53975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15875</xdr:colOff>
      <xdr:row>203</xdr:row>
      <xdr:rowOff>165100</xdr:rowOff>
    </xdr:from>
    <xdr:to>
      <xdr:col>68</xdr:col>
      <xdr:colOff>7938</xdr:colOff>
      <xdr:row>230</xdr:row>
      <xdr:rowOff>22225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296333</xdr:colOff>
      <xdr:row>231</xdr:row>
      <xdr:rowOff>111125</xdr:rowOff>
    </xdr:from>
    <xdr:to>
      <xdr:col>51</xdr:col>
      <xdr:colOff>304271</xdr:colOff>
      <xdr:row>257</xdr:row>
      <xdr:rowOff>149225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31750</xdr:colOff>
      <xdr:row>232</xdr:row>
      <xdr:rowOff>15875</xdr:rowOff>
    </xdr:from>
    <xdr:to>
      <xdr:col>68</xdr:col>
      <xdr:colOff>23813</xdr:colOff>
      <xdr:row>258</xdr:row>
      <xdr:rowOff>53975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328083</xdr:colOff>
      <xdr:row>259</xdr:row>
      <xdr:rowOff>95250</xdr:rowOff>
    </xdr:from>
    <xdr:to>
      <xdr:col>51</xdr:col>
      <xdr:colOff>320146</xdr:colOff>
      <xdr:row>285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0</xdr:colOff>
      <xdr:row>259</xdr:row>
      <xdr:rowOff>63500</xdr:rowOff>
    </xdr:from>
    <xdr:to>
      <xdr:col>68</xdr:col>
      <xdr:colOff>780</xdr:colOff>
      <xdr:row>285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391583</xdr:colOff>
      <xdr:row>287</xdr:row>
      <xdr:rowOff>31750</xdr:rowOff>
    </xdr:from>
    <xdr:to>
      <xdr:col>51</xdr:col>
      <xdr:colOff>383646</xdr:colOff>
      <xdr:row>313</xdr:row>
      <xdr:rowOff>69850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15875</xdr:colOff>
      <xdr:row>287</xdr:row>
      <xdr:rowOff>15875</xdr:rowOff>
    </xdr:from>
    <xdr:to>
      <xdr:col>68</xdr:col>
      <xdr:colOff>7938</xdr:colOff>
      <xdr:row>313</xdr:row>
      <xdr:rowOff>53975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88</xdr:row>
      <xdr:rowOff>17930</xdr:rowOff>
    </xdr:from>
    <xdr:to>
      <xdr:col>34</xdr:col>
      <xdr:colOff>0</xdr:colOff>
      <xdr:row>98</xdr:row>
      <xdr:rowOff>8467</xdr:rowOff>
    </xdr:to>
    <xdr:sp macro="" textlink="">
      <xdr:nvSpPr>
        <xdr:cNvPr id="2" name="Right Tri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8288000" y="2578250"/>
          <a:ext cx="1219200" cy="1819337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3662</xdr:colOff>
      <xdr:row>93</xdr:row>
      <xdr:rowOff>193430</xdr:rowOff>
    </xdr:from>
    <xdr:to>
      <xdr:col>19</xdr:col>
      <xdr:colOff>3660</xdr:colOff>
      <xdr:row>102</xdr:row>
      <xdr:rowOff>193429</xdr:rowOff>
    </xdr:to>
    <xdr:sp macro="" textlink="">
      <xdr:nvSpPr>
        <xdr:cNvPr id="3" name="Right Triangl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 rot="10800000">
          <a:off x="4758835" y="4230565"/>
          <a:ext cx="234460" cy="1861037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41</xdr:row>
      <xdr:rowOff>17930</xdr:rowOff>
    </xdr:from>
    <xdr:to>
      <xdr:col>34</xdr:col>
      <xdr:colOff>0</xdr:colOff>
      <xdr:row>51</xdr:row>
      <xdr:rowOff>8467</xdr:rowOff>
    </xdr:to>
    <xdr:sp macro="" textlink="">
      <xdr:nvSpPr>
        <xdr:cNvPr id="5" name="Right Triangl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7967382" y="3032312"/>
          <a:ext cx="425824" cy="2074831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3662</xdr:colOff>
      <xdr:row>47</xdr:row>
      <xdr:rowOff>193430</xdr:rowOff>
    </xdr:from>
    <xdr:to>
      <xdr:col>19</xdr:col>
      <xdr:colOff>3660</xdr:colOff>
      <xdr:row>56</xdr:row>
      <xdr:rowOff>193429</xdr:rowOff>
    </xdr:to>
    <xdr:sp macro="" textlink="">
      <xdr:nvSpPr>
        <xdr:cNvPr id="6" name="Right Triangl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 rot="10800000">
          <a:off x="4743750" y="4238754"/>
          <a:ext cx="224116" cy="1893793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158750</xdr:colOff>
      <xdr:row>8</xdr:row>
      <xdr:rowOff>31750</xdr:rowOff>
    </xdr:from>
    <xdr:to>
      <xdr:col>51</xdr:col>
      <xdr:colOff>166688</xdr:colOff>
      <xdr:row>34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365125</xdr:colOff>
      <xdr:row>8</xdr:row>
      <xdr:rowOff>31750</xdr:rowOff>
    </xdr:from>
    <xdr:to>
      <xdr:col>67</xdr:col>
      <xdr:colOff>373063</xdr:colOff>
      <xdr:row>34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158750</xdr:colOff>
      <xdr:row>35</xdr:row>
      <xdr:rowOff>63500</xdr:rowOff>
    </xdr:from>
    <xdr:to>
      <xdr:col>51</xdr:col>
      <xdr:colOff>166688</xdr:colOff>
      <xdr:row>61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381000</xdr:colOff>
      <xdr:row>35</xdr:row>
      <xdr:rowOff>95250</xdr:rowOff>
    </xdr:from>
    <xdr:to>
      <xdr:col>67</xdr:col>
      <xdr:colOff>388938</xdr:colOff>
      <xdr:row>61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91328</xdr:colOff>
      <xdr:row>63</xdr:row>
      <xdr:rowOff>95250</xdr:rowOff>
    </xdr:from>
    <xdr:to>
      <xdr:col>51</xdr:col>
      <xdr:colOff>150813</xdr:colOff>
      <xdr:row>89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381000</xdr:colOff>
      <xdr:row>63</xdr:row>
      <xdr:rowOff>142875</xdr:rowOff>
    </xdr:from>
    <xdr:to>
      <xdr:col>67</xdr:col>
      <xdr:colOff>388938</xdr:colOff>
      <xdr:row>90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269875</xdr:colOff>
      <xdr:row>91</xdr:row>
      <xdr:rowOff>111125</xdr:rowOff>
    </xdr:from>
    <xdr:to>
      <xdr:col>51</xdr:col>
      <xdr:colOff>277813</xdr:colOff>
      <xdr:row>117</xdr:row>
      <xdr:rowOff>149225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428625</xdr:colOff>
      <xdr:row>91</xdr:row>
      <xdr:rowOff>79375</xdr:rowOff>
    </xdr:from>
    <xdr:to>
      <xdr:col>67</xdr:col>
      <xdr:colOff>436563</xdr:colOff>
      <xdr:row>117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285750</xdr:colOff>
      <xdr:row>120</xdr:row>
      <xdr:rowOff>63500</xdr:rowOff>
    </xdr:from>
    <xdr:to>
      <xdr:col>51</xdr:col>
      <xdr:colOff>293688</xdr:colOff>
      <xdr:row>146</xdr:row>
      <xdr:rowOff>101600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476250</xdr:colOff>
      <xdr:row>120</xdr:row>
      <xdr:rowOff>79375</xdr:rowOff>
    </xdr:from>
    <xdr:to>
      <xdr:col>67</xdr:col>
      <xdr:colOff>484188</xdr:colOff>
      <xdr:row>146</xdr:row>
      <xdr:rowOff>117475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317500</xdr:colOff>
      <xdr:row>148</xdr:row>
      <xdr:rowOff>0</xdr:rowOff>
    </xdr:from>
    <xdr:to>
      <xdr:col>51</xdr:col>
      <xdr:colOff>309563</xdr:colOff>
      <xdr:row>174</xdr:row>
      <xdr:rowOff>31750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539750</xdr:colOff>
      <xdr:row>148</xdr:row>
      <xdr:rowOff>0</xdr:rowOff>
    </xdr:from>
    <xdr:to>
      <xdr:col>67</xdr:col>
      <xdr:colOff>547688</xdr:colOff>
      <xdr:row>174</xdr:row>
      <xdr:rowOff>31750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285750</xdr:colOff>
      <xdr:row>175</xdr:row>
      <xdr:rowOff>158750</xdr:rowOff>
    </xdr:from>
    <xdr:to>
      <xdr:col>51</xdr:col>
      <xdr:colOff>293688</xdr:colOff>
      <xdr:row>202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15875</xdr:colOff>
      <xdr:row>175</xdr:row>
      <xdr:rowOff>165100</xdr:rowOff>
    </xdr:from>
    <xdr:to>
      <xdr:col>68</xdr:col>
      <xdr:colOff>7938</xdr:colOff>
      <xdr:row>202</xdr:row>
      <xdr:rowOff>22225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317500</xdr:colOff>
      <xdr:row>204</xdr:row>
      <xdr:rowOff>15875</xdr:rowOff>
    </xdr:from>
    <xdr:to>
      <xdr:col>51</xdr:col>
      <xdr:colOff>309563</xdr:colOff>
      <xdr:row>230</xdr:row>
      <xdr:rowOff>53975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15875</xdr:colOff>
      <xdr:row>203</xdr:row>
      <xdr:rowOff>165100</xdr:rowOff>
    </xdr:from>
    <xdr:to>
      <xdr:col>68</xdr:col>
      <xdr:colOff>7938</xdr:colOff>
      <xdr:row>230</xdr:row>
      <xdr:rowOff>22225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285750</xdr:colOff>
      <xdr:row>231</xdr:row>
      <xdr:rowOff>111125</xdr:rowOff>
    </xdr:from>
    <xdr:to>
      <xdr:col>51</xdr:col>
      <xdr:colOff>293688</xdr:colOff>
      <xdr:row>257</xdr:row>
      <xdr:rowOff>149225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31750</xdr:colOff>
      <xdr:row>232</xdr:row>
      <xdr:rowOff>15875</xdr:rowOff>
    </xdr:from>
    <xdr:to>
      <xdr:col>68</xdr:col>
      <xdr:colOff>120184</xdr:colOff>
      <xdr:row>258</xdr:row>
      <xdr:rowOff>53975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317500</xdr:colOff>
      <xdr:row>259</xdr:row>
      <xdr:rowOff>95250</xdr:rowOff>
    </xdr:from>
    <xdr:to>
      <xdr:col>51</xdr:col>
      <xdr:colOff>309563</xdr:colOff>
      <xdr:row>285</xdr:row>
      <xdr:rowOff>133350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0</xdr:colOff>
      <xdr:row>259</xdr:row>
      <xdr:rowOff>63500</xdr:rowOff>
    </xdr:from>
    <xdr:to>
      <xdr:col>67</xdr:col>
      <xdr:colOff>595313</xdr:colOff>
      <xdr:row>285</xdr:row>
      <xdr:rowOff>101600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381000</xdr:colOff>
      <xdr:row>287</xdr:row>
      <xdr:rowOff>31750</xdr:rowOff>
    </xdr:from>
    <xdr:to>
      <xdr:col>51</xdr:col>
      <xdr:colOff>373063</xdr:colOff>
      <xdr:row>313</xdr:row>
      <xdr:rowOff>69850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9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15875</xdr:colOff>
      <xdr:row>287</xdr:row>
      <xdr:rowOff>15875</xdr:rowOff>
    </xdr:from>
    <xdr:to>
      <xdr:col>68</xdr:col>
      <xdr:colOff>7938</xdr:colOff>
      <xdr:row>313</xdr:row>
      <xdr:rowOff>53975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336043</xdr:colOff>
      <xdr:row>8</xdr:row>
      <xdr:rowOff>108857</xdr:rowOff>
    </xdr:from>
    <xdr:to>
      <xdr:col>51</xdr:col>
      <xdr:colOff>198839</xdr:colOff>
      <xdr:row>34</xdr:row>
      <xdr:rowOff>146957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397276</xdr:colOff>
      <xdr:row>8</xdr:row>
      <xdr:rowOff>108857</xdr:rowOff>
    </xdr:from>
    <xdr:to>
      <xdr:col>67</xdr:col>
      <xdr:colOff>260070</xdr:colOff>
      <xdr:row>34</xdr:row>
      <xdr:rowOff>146957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336043</xdr:colOff>
      <xdr:row>35</xdr:row>
      <xdr:rowOff>140607</xdr:rowOff>
    </xdr:from>
    <xdr:to>
      <xdr:col>51</xdr:col>
      <xdr:colOff>198839</xdr:colOff>
      <xdr:row>61</xdr:row>
      <xdr:rowOff>178707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413151</xdr:colOff>
      <xdr:row>35</xdr:row>
      <xdr:rowOff>172357</xdr:rowOff>
    </xdr:from>
    <xdr:to>
      <xdr:col>67</xdr:col>
      <xdr:colOff>275945</xdr:colOff>
      <xdr:row>62</xdr:row>
      <xdr:rowOff>19957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268621</xdr:colOff>
      <xdr:row>63</xdr:row>
      <xdr:rowOff>172357</xdr:rowOff>
    </xdr:from>
    <xdr:to>
      <xdr:col>51</xdr:col>
      <xdr:colOff>182964</xdr:colOff>
      <xdr:row>90</xdr:row>
      <xdr:rowOff>19957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413151</xdr:colOff>
      <xdr:row>64</xdr:row>
      <xdr:rowOff>29482</xdr:rowOff>
    </xdr:from>
    <xdr:to>
      <xdr:col>67</xdr:col>
      <xdr:colOff>275945</xdr:colOff>
      <xdr:row>90</xdr:row>
      <xdr:rowOff>67582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447168</xdr:colOff>
      <xdr:row>92</xdr:row>
      <xdr:rowOff>0</xdr:rowOff>
    </xdr:from>
    <xdr:to>
      <xdr:col>51</xdr:col>
      <xdr:colOff>309964</xdr:colOff>
      <xdr:row>118</xdr:row>
      <xdr:rowOff>35832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460776</xdr:colOff>
      <xdr:row>91</xdr:row>
      <xdr:rowOff>156482</xdr:rowOff>
    </xdr:from>
    <xdr:to>
      <xdr:col>67</xdr:col>
      <xdr:colOff>323570</xdr:colOff>
      <xdr:row>118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463043</xdr:colOff>
      <xdr:row>120</xdr:row>
      <xdr:rowOff>140607</xdr:rowOff>
    </xdr:from>
    <xdr:to>
      <xdr:col>51</xdr:col>
      <xdr:colOff>325839</xdr:colOff>
      <xdr:row>146</xdr:row>
      <xdr:rowOff>178707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508401</xdr:colOff>
      <xdr:row>120</xdr:row>
      <xdr:rowOff>156482</xdr:rowOff>
    </xdr:from>
    <xdr:to>
      <xdr:col>67</xdr:col>
      <xdr:colOff>371195</xdr:colOff>
      <xdr:row>147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494793</xdr:colOff>
      <xdr:row>148</xdr:row>
      <xdr:rowOff>77107</xdr:rowOff>
    </xdr:from>
    <xdr:to>
      <xdr:col>51</xdr:col>
      <xdr:colOff>341714</xdr:colOff>
      <xdr:row>174</xdr:row>
      <xdr:rowOff>108857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571901</xdr:colOff>
      <xdr:row>148</xdr:row>
      <xdr:rowOff>77107</xdr:rowOff>
    </xdr:from>
    <xdr:to>
      <xdr:col>67</xdr:col>
      <xdr:colOff>434695</xdr:colOff>
      <xdr:row>174</xdr:row>
      <xdr:rowOff>108857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463043</xdr:colOff>
      <xdr:row>176</xdr:row>
      <xdr:rowOff>45357</xdr:rowOff>
    </xdr:from>
    <xdr:to>
      <xdr:col>51</xdr:col>
      <xdr:colOff>325839</xdr:colOff>
      <xdr:row>202</xdr:row>
      <xdr:rowOff>83457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46158</xdr:colOff>
      <xdr:row>176</xdr:row>
      <xdr:rowOff>51707</xdr:rowOff>
    </xdr:from>
    <xdr:to>
      <xdr:col>67</xdr:col>
      <xdr:colOff>498195</xdr:colOff>
      <xdr:row>202</xdr:row>
      <xdr:rowOff>99332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494793</xdr:colOff>
      <xdr:row>204</xdr:row>
      <xdr:rowOff>92982</xdr:rowOff>
    </xdr:from>
    <xdr:to>
      <xdr:col>51</xdr:col>
      <xdr:colOff>341714</xdr:colOff>
      <xdr:row>230</xdr:row>
      <xdr:rowOff>131082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46158</xdr:colOff>
      <xdr:row>204</xdr:row>
      <xdr:rowOff>51707</xdr:rowOff>
    </xdr:from>
    <xdr:to>
      <xdr:col>67</xdr:col>
      <xdr:colOff>498195</xdr:colOff>
      <xdr:row>230</xdr:row>
      <xdr:rowOff>99332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463043</xdr:colOff>
      <xdr:row>232</xdr:row>
      <xdr:rowOff>0</xdr:rowOff>
    </xdr:from>
    <xdr:to>
      <xdr:col>51</xdr:col>
      <xdr:colOff>325839</xdr:colOff>
      <xdr:row>258</xdr:row>
      <xdr:rowOff>35832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62033</xdr:colOff>
      <xdr:row>232</xdr:row>
      <xdr:rowOff>92982</xdr:rowOff>
    </xdr:from>
    <xdr:to>
      <xdr:col>68</xdr:col>
      <xdr:colOff>841</xdr:colOff>
      <xdr:row>258</xdr:row>
      <xdr:rowOff>131082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494793</xdr:colOff>
      <xdr:row>259</xdr:row>
      <xdr:rowOff>172357</xdr:rowOff>
    </xdr:from>
    <xdr:to>
      <xdr:col>51</xdr:col>
      <xdr:colOff>341714</xdr:colOff>
      <xdr:row>286</xdr:row>
      <xdr:rowOff>19957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30283</xdr:colOff>
      <xdr:row>259</xdr:row>
      <xdr:rowOff>140607</xdr:rowOff>
    </xdr:from>
    <xdr:to>
      <xdr:col>67</xdr:col>
      <xdr:colOff>482320</xdr:colOff>
      <xdr:row>285</xdr:row>
      <xdr:rowOff>178707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558293</xdr:colOff>
      <xdr:row>287</xdr:row>
      <xdr:rowOff>108857</xdr:rowOff>
    </xdr:from>
    <xdr:to>
      <xdr:col>51</xdr:col>
      <xdr:colOff>405214</xdr:colOff>
      <xdr:row>313</xdr:row>
      <xdr:rowOff>146957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46158</xdr:colOff>
      <xdr:row>287</xdr:row>
      <xdr:rowOff>92982</xdr:rowOff>
    </xdr:from>
    <xdr:to>
      <xdr:col>67</xdr:col>
      <xdr:colOff>498195</xdr:colOff>
      <xdr:row>313</xdr:row>
      <xdr:rowOff>131082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336043</xdr:colOff>
      <xdr:row>8</xdr:row>
      <xdr:rowOff>108857</xdr:rowOff>
    </xdr:from>
    <xdr:to>
      <xdr:col>51</xdr:col>
      <xdr:colOff>198839</xdr:colOff>
      <xdr:row>34</xdr:row>
      <xdr:rowOff>12486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397276</xdr:colOff>
      <xdr:row>8</xdr:row>
      <xdr:rowOff>108857</xdr:rowOff>
    </xdr:from>
    <xdr:to>
      <xdr:col>67</xdr:col>
      <xdr:colOff>260070</xdr:colOff>
      <xdr:row>34</xdr:row>
      <xdr:rowOff>12486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336043</xdr:colOff>
      <xdr:row>35</xdr:row>
      <xdr:rowOff>0</xdr:rowOff>
    </xdr:from>
    <xdr:to>
      <xdr:col>51</xdr:col>
      <xdr:colOff>198839</xdr:colOff>
      <xdr:row>60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413151</xdr:colOff>
      <xdr:row>35</xdr:row>
      <xdr:rowOff>28922</xdr:rowOff>
    </xdr:from>
    <xdr:to>
      <xdr:col>67</xdr:col>
      <xdr:colOff>275945</xdr:colOff>
      <xdr:row>60</xdr:row>
      <xdr:rowOff>28921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268621</xdr:colOff>
      <xdr:row>61</xdr:row>
      <xdr:rowOff>172357</xdr:rowOff>
    </xdr:from>
    <xdr:to>
      <xdr:col>51</xdr:col>
      <xdr:colOff>182964</xdr:colOff>
      <xdr:row>87</xdr:row>
      <xdr:rowOff>118568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413151</xdr:colOff>
      <xdr:row>62</xdr:row>
      <xdr:rowOff>29482</xdr:rowOff>
    </xdr:from>
    <xdr:to>
      <xdr:col>67</xdr:col>
      <xdr:colOff>275945</xdr:colOff>
      <xdr:row>87</xdr:row>
      <xdr:rowOff>166193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447168</xdr:colOff>
      <xdr:row>89</xdr:row>
      <xdr:rowOff>98612</xdr:rowOff>
    </xdr:from>
    <xdr:to>
      <xdr:col>51</xdr:col>
      <xdr:colOff>309964</xdr:colOff>
      <xdr:row>115</xdr:row>
      <xdr:rowOff>44797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460776</xdr:colOff>
      <xdr:row>89</xdr:row>
      <xdr:rowOff>75799</xdr:rowOff>
    </xdr:from>
    <xdr:to>
      <xdr:col>67</xdr:col>
      <xdr:colOff>323570</xdr:colOff>
      <xdr:row>115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463043</xdr:colOff>
      <xdr:row>117</xdr:row>
      <xdr:rowOff>140607</xdr:rowOff>
    </xdr:from>
    <xdr:to>
      <xdr:col>51</xdr:col>
      <xdr:colOff>325839</xdr:colOff>
      <xdr:row>143</xdr:row>
      <xdr:rowOff>151813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508401</xdr:colOff>
      <xdr:row>117</xdr:row>
      <xdr:rowOff>156482</xdr:rowOff>
    </xdr:from>
    <xdr:to>
      <xdr:col>67</xdr:col>
      <xdr:colOff>371195</xdr:colOff>
      <xdr:row>143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494793</xdr:colOff>
      <xdr:row>145</xdr:row>
      <xdr:rowOff>50214</xdr:rowOff>
    </xdr:from>
    <xdr:to>
      <xdr:col>51</xdr:col>
      <xdr:colOff>341714</xdr:colOff>
      <xdr:row>171</xdr:row>
      <xdr:rowOff>81963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571901</xdr:colOff>
      <xdr:row>145</xdr:row>
      <xdr:rowOff>50214</xdr:rowOff>
    </xdr:from>
    <xdr:to>
      <xdr:col>67</xdr:col>
      <xdr:colOff>434695</xdr:colOff>
      <xdr:row>171</xdr:row>
      <xdr:rowOff>81963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463043</xdr:colOff>
      <xdr:row>173</xdr:row>
      <xdr:rowOff>18463</xdr:rowOff>
    </xdr:from>
    <xdr:to>
      <xdr:col>51</xdr:col>
      <xdr:colOff>325839</xdr:colOff>
      <xdr:row>199</xdr:row>
      <xdr:rowOff>56562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46158</xdr:colOff>
      <xdr:row>173</xdr:row>
      <xdr:rowOff>24813</xdr:rowOff>
    </xdr:from>
    <xdr:to>
      <xdr:col>67</xdr:col>
      <xdr:colOff>498195</xdr:colOff>
      <xdr:row>199</xdr:row>
      <xdr:rowOff>72438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494793</xdr:colOff>
      <xdr:row>201</xdr:row>
      <xdr:rowOff>66088</xdr:rowOff>
    </xdr:from>
    <xdr:to>
      <xdr:col>51</xdr:col>
      <xdr:colOff>341714</xdr:colOff>
      <xdr:row>227</xdr:row>
      <xdr:rowOff>104187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46158</xdr:colOff>
      <xdr:row>201</xdr:row>
      <xdr:rowOff>24813</xdr:rowOff>
    </xdr:from>
    <xdr:to>
      <xdr:col>67</xdr:col>
      <xdr:colOff>498195</xdr:colOff>
      <xdr:row>227</xdr:row>
      <xdr:rowOff>72437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B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463043</xdr:colOff>
      <xdr:row>228</xdr:row>
      <xdr:rowOff>153717</xdr:rowOff>
    </xdr:from>
    <xdr:to>
      <xdr:col>51</xdr:col>
      <xdr:colOff>325839</xdr:colOff>
      <xdr:row>255</xdr:row>
      <xdr:rowOff>8938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62033</xdr:colOff>
      <xdr:row>229</xdr:row>
      <xdr:rowOff>66088</xdr:rowOff>
    </xdr:from>
    <xdr:to>
      <xdr:col>68</xdr:col>
      <xdr:colOff>841</xdr:colOff>
      <xdr:row>255</xdr:row>
      <xdr:rowOff>104188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B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494793</xdr:colOff>
      <xdr:row>256</xdr:row>
      <xdr:rowOff>136498</xdr:rowOff>
    </xdr:from>
    <xdr:to>
      <xdr:col>51</xdr:col>
      <xdr:colOff>341714</xdr:colOff>
      <xdr:row>282</xdr:row>
      <xdr:rowOff>100639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B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30283</xdr:colOff>
      <xdr:row>256</xdr:row>
      <xdr:rowOff>104748</xdr:rowOff>
    </xdr:from>
    <xdr:to>
      <xdr:col>67</xdr:col>
      <xdr:colOff>482320</xdr:colOff>
      <xdr:row>282</xdr:row>
      <xdr:rowOff>80095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558293</xdr:colOff>
      <xdr:row>284</xdr:row>
      <xdr:rowOff>1280</xdr:rowOff>
    </xdr:from>
    <xdr:to>
      <xdr:col>51</xdr:col>
      <xdr:colOff>405214</xdr:colOff>
      <xdr:row>309</xdr:row>
      <xdr:rowOff>111098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46158</xdr:colOff>
      <xdr:row>283</xdr:row>
      <xdr:rowOff>173664</xdr:rowOff>
    </xdr:from>
    <xdr:to>
      <xdr:col>67</xdr:col>
      <xdr:colOff>498195</xdr:colOff>
      <xdr:row>309</xdr:row>
      <xdr:rowOff>95223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336043</xdr:colOff>
      <xdr:row>8</xdr:row>
      <xdr:rowOff>108857</xdr:rowOff>
    </xdr:from>
    <xdr:to>
      <xdr:col>51</xdr:col>
      <xdr:colOff>198839</xdr:colOff>
      <xdr:row>34</xdr:row>
      <xdr:rowOff>12486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397276</xdr:colOff>
      <xdr:row>8</xdr:row>
      <xdr:rowOff>108857</xdr:rowOff>
    </xdr:from>
    <xdr:to>
      <xdr:col>67</xdr:col>
      <xdr:colOff>260070</xdr:colOff>
      <xdr:row>34</xdr:row>
      <xdr:rowOff>12486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336043</xdr:colOff>
      <xdr:row>35</xdr:row>
      <xdr:rowOff>0</xdr:rowOff>
    </xdr:from>
    <xdr:to>
      <xdr:col>51</xdr:col>
      <xdr:colOff>198839</xdr:colOff>
      <xdr:row>60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413151</xdr:colOff>
      <xdr:row>35</xdr:row>
      <xdr:rowOff>28922</xdr:rowOff>
    </xdr:from>
    <xdr:to>
      <xdr:col>67</xdr:col>
      <xdr:colOff>275945</xdr:colOff>
      <xdr:row>60</xdr:row>
      <xdr:rowOff>28921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268621</xdr:colOff>
      <xdr:row>61</xdr:row>
      <xdr:rowOff>172357</xdr:rowOff>
    </xdr:from>
    <xdr:to>
      <xdr:col>51</xdr:col>
      <xdr:colOff>182964</xdr:colOff>
      <xdr:row>87</xdr:row>
      <xdr:rowOff>118568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413151</xdr:colOff>
      <xdr:row>62</xdr:row>
      <xdr:rowOff>29482</xdr:rowOff>
    </xdr:from>
    <xdr:to>
      <xdr:col>67</xdr:col>
      <xdr:colOff>275945</xdr:colOff>
      <xdr:row>87</xdr:row>
      <xdr:rowOff>166193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447168</xdr:colOff>
      <xdr:row>89</xdr:row>
      <xdr:rowOff>98612</xdr:rowOff>
    </xdr:from>
    <xdr:to>
      <xdr:col>51</xdr:col>
      <xdr:colOff>309964</xdr:colOff>
      <xdr:row>115</xdr:row>
      <xdr:rowOff>44797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460776</xdr:colOff>
      <xdr:row>89</xdr:row>
      <xdr:rowOff>75799</xdr:rowOff>
    </xdr:from>
    <xdr:to>
      <xdr:col>67</xdr:col>
      <xdr:colOff>323570</xdr:colOff>
      <xdr:row>115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463043</xdr:colOff>
      <xdr:row>117</xdr:row>
      <xdr:rowOff>140607</xdr:rowOff>
    </xdr:from>
    <xdr:to>
      <xdr:col>51</xdr:col>
      <xdr:colOff>325839</xdr:colOff>
      <xdr:row>143</xdr:row>
      <xdr:rowOff>151813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508401</xdr:colOff>
      <xdr:row>117</xdr:row>
      <xdr:rowOff>156482</xdr:rowOff>
    </xdr:from>
    <xdr:to>
      <xdr:col>67</xdr:col>
      <xdr:colOff>371195</xdr:colOff>
      <xdr:row>143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494793</xdr:colOff>
      <xdr:row>145</xdr:row>
      <xdr:rowOff>50214</xdr:rowOff>
    </xdr:from>
    <xdr:to>
      <xdr:col>51</xdr:col>
      <xdr:colOff>341714</xdr:colOff>
      <xdr:row>171</xdr:row>
      <xdr:rowOff>81963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571901</xdr:colOff>
      <xdr:row>145</xdr:row>
      <xdr:rowOff>50214</xdr:rowOff>
    </xdr:from>
    <xdr:to>
      <xdr:col>67</xdr:col>
      <xdr:colOff>434695</xdr:colOff>
      <xdr:row>171</xdr:row>
      <xdr:rowOff>81963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463043</xdr:colOff>
      <xdr:row>173</xdr:row>
      <xdr:rowOff>18463</xdr:rowOff>
    </xdr:from>
    <xdr:to>
      <xdr:col>51</xdr:col>
      <xdr:colOff>325839</xdr:colOff>
      <xdr:row>199</xdr:row>
      <xdr:rowOff>56562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52</xdr:col>
      <xdr:colOff>46158</xdr:colOff>
      <xdr:row>173</xdr:row>
      <xdr:rowOff>24813</xdr:rowOff>
    </xdr:from>
    <xdr:to>
      <xdr:col>67</xdr:col>
      <xdr:colOff>498195</xdr:colOff>
      <xdr:row>199</xdr:row>
      <xdr:rowOff>72438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494793</xdr:colOff>
      <xdr:row>201</xdr:row>
      <xdr:rowOff>66088</xdr:rowOff>
    </xdr:from>
    <xdr:to>
      <xdr:col>51</xdr:col>
      <xdr:colOff>341714</xdr:colOff>
      <xdr:row>227</xdr:row>
      <xdr:rowOff>104187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52</xdr:col>
      <xdr:colOff>46158</xdr:colOff>
      <xdr:row>201</xdr:row>
      <xdr:rowOff>24813</xdr:rowOff>
    </xdr:from>
    <xdr:to>
      <xdr:col>67</xdr:col>
      <xdr:colOff>498195</xdr:colOff>
      <xdr:row>227</xdr:row>
      <xdr:rowOff>72437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463043</xdr:colOff>
      <xdr:row>228</xdr:row>
      <xdr:rowOff>153717</xdr:rowOff>
    </xdr:from>
    <xdr:to>
      <xdr:col>51</xdr:col>
      <xdr:colOff>325839</xdr:colOff>
      <xdr:row>255</xdr:row>
      <xdr:rowOff>8938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62033</xdr:colOff>
      <xdr:row>229</xdr:row>
      <xdr:rowOff>66088</xdr:rowOff>
    </xdr:from>
    <xdr:to>
      <xdr:col>68</xdr:col>
      <xdr:colOff>841</xdr:colOff>
      <xdr:row>255</xdr:row>
      <xdr:rowOff>104188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494793</xdr:colOff>
      <xdr:row>256</xdr:row>
      <xdr:rowOff>136498</xdr:rowOff>
    </xdr:from>
    <xdr:to>
      <xdr:col>51</xdr:col>
      <xdr:colOff>341714</xdr:colOff>
      <xdr:row>282</xdr:row>
      <xdr:rowOff>100639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52</xdr:col>
      <xdr:colOff>30283</xdr:colOff>
      <xdr:row>256</xdr:row>
      <xdr:rowOff>104748</xdr:rowOff>
    </xdr:from>
    <xdr:to>
      <xdr:col>67</xdr:col>
      <xdr:colOff>482320</xdr:colOff>
      <xdr:row>282</xdr:row>
      <xdr:rowOff>80095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558293</xdr:colOff>
      <xdr:row>284</xdr:row>
      <xdr:rowOff>1280</xdr:rowOff>
    </xdr:from>
    <xdr:to>
      <xdr:col>51</xdr:col>
      <xdr:colOff>405214</xdr:colOff>
      <xdr:row>309</xdr:row>
      <xdr:rowOff>111098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52</xdr:col>
      <xdr:colOff>46158</xdr:colOff>
      <xdr:row>283</xdr:row>
      <xdr:rowOff>173664</xdr:rowOff>
    </xdr:from>
    <xdr:to>
      <xdr:col>67</xdr:col>
      <xdr:colOff>498195</xdr:colOff>
      <xdr:row>309</xdr:row>
      <xdr:rowOff>95223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38</xdr:col>
      <xdr:colOff>86882</xdr:colOff>
      <xdr:row>9</xdr:row>
      <xdr:rowOff>43241</xdr:rowOff>
    </xdr:from>
    <xdr:to>
      <xdr:col>53</xdr:col>
      <xdr:colOff>380571</xdr:colOff>
      <xdr:row>34</xdr:row>
      <xdr:rowOff>137370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9019</xdr:colOff>
      <xdr:row>8</xdr:row>
      <xdr:rowOff>127907</xdr:rowOff>
    </xdr:from>
    <xdr:to>
      <xdr:col>69</xdr:col>
      <xdr:colOff>484134</xdr:colOff>
      <xdr:row>34</xdr:row>
      <xdr:rowOff>31536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38</xdr:col>
      <xdr:colOff>129215</xdr:colOff>
      <xdr:row>35</xdr:row>
      <xdr:rowOff>19050</xdr:rowOff>
    </xdr:from>
    <xdr:to>
      <xdr:col>53</xdr:col>
      <xdr:colOff>422904</xdr:colOff>
      <xdr:row>60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54</xdr:col>
      <xdr:colOff>24894</xdr:colOff>
      <xdr:row>35</xdr:row>
      <xdr:rowOff>47972</xdr:rowOff>
    </xdr:from>
    <xdr:to>
      <xdr:col>69</xdr:col>
      <xdr:colOff>500009</xdr:colOff>
      <xdr:row>60</xdr:row>
      <xdr:rowOff>47971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38</xdr:col>
      <xdr:colOff>61793</xdr:colOff>
      <xdr:row>62</xdr:row>
      <xdr:rowOff>907</xdr:rowOff>
    </xdr:from>
    <xdr:to>
      <xdr:col>53</xdr:col>
      <xdr:colOff>407029</xdr:colOff>
      <xdr:row>87</xdr:row>
      <xdr:rowOff>137618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54</xdr:col>
      <xdr:colOff>24894</xdr:colOff>
      <xdr:row>62</xdr:row>
      <xdr:rowOff>48532</xdr:rowOff>
    </xdr:from>
    <xdr:to>
      <xdr:col>69</xdr:col>
      <xdr:colOff>500009</xdr:colOff>
      <xdr:row>87</xdr:row>
      <xdr:rowOff>185243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38</xdr:col>
      <xdr:colOff>253040</xdr:colOff>
      <xdr:row>89</xdr:row>
      <xdr:rowOff>117662</xdr:rowOff>
    </xdr:from>
    <xdr:to>
      <xdr:col>53</xdr:col>
      <xdr:colOff>534029</xdr:colOff>
      <xdr:row>115</xdr:row>
      <xdr:rowOff>63847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54</xdr:col>
      <xdr:colOff>72519</xdr:colOff>
      <xdr:row>89</xdr:row>
      <xdr:rowOff>94849</xdr:rowOff>
    </xdr:from>
    <xdr:to>
      <xdr:col>69</xdr:col>
      <xdr:colOff>547634</xdr:colOff>
      <xdr:row>115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38</xdr:col>
      <xdr:colOff>268915</xdr:colOff>
      <xdr:row>117</xdr:row>
      <xdr:rowOff>159657</xdr:rowOff>
    </xdr:from>
    <xdr:to>
      <xdr:col>53</xdr:col>
      <xdr:colOff>549904</xdr:colOff>
      <xdr:row>143</xdr:row>
      <xdr:rowOff>170863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54</xdr:col>
      <xdr:colOff>120144</xdr:colOff>
      <xdr:row>117</xdr:row>
      <xdr:rowOff>175532</xdr:rowOff>
    </xdr:from>
    <xdr:to>
      <xdr:col>69</xdr:col>
      <xdr:colOff>595259</xdr:colOff>
      <xdr:row>143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38</xdr:col>
      <xdr:colOff>300665</xdr:colOff>
      <xdr:row>145</xdr:row>
      <xdr:rowOff>69264</xdr:rowOff>
    </xdr:from>
    <xdr:to>
      <xdr:col>53</xdr:col>
      <xdr:colOff>565779</xdr:colOff>
      <xdr:row>171</xdr:row>
      <xdr:rowOff>101013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54</xdr:col>
      <xdr:colOff>179411</xdr:colOff>
      <xdr:row>145</xdr:row>
      <xdr:rowOff>69264</xdr:rowOff>
    </xdr:from>
    <xdr:to>
      <xdr:col>70</xdr:col>
      <xdr:colOff>46437</xdr:colOff>
      <xdr:row>171</xdr:row>
      <xdr:rowOff>101013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38</xdr:col>
      <xdr:colOff>268915</xdr:colOff>
      <xdr:row>173</xdr:row>
      <xdr:rowOff>37513</xdr:rowOff>
    </xdr:from>
    <xdr:to>
      <xdr:col>53</xdr:col>
      <xdr:colOff>549904</xdr:colOff>
      <xdr:row>199</xdr:row>
      <xdr:rowOff>75612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54</xdr:col>
      <xdr:colOff>267501</xdr:colOff>
      <xdr:row>173</xdr:row>
      <xdr:rowOff>43863</xdr:rowOff>
    </xdr:from>
    <xdr:to>
      <xdr:col>70</xdr:col>
      <xdr:colOff>109937</xdr:colOff>
      <xdr:row>199</xdr:row>
      <xdr:rowOff>91488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38</xdr:col>
      <xdr:colOff>300665</xdr:colOff>
      <xdr:row>201</xdr:row>
      <xdr:rowOff>85138</xdr:rowOff>
    </xdr:from>
    <xdr:to>
      <xdr:col>53</xdr:col>
      <xdr:colOff>565779</xdr:colOff>
      <xdr:row>227</xdr:row>
      <xdr:rowOff>123237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54</xdr:col>
      <xdr:colOff>267501</xdr:colOff>
      <xdr:row>201</xdr:row>
      <xdr:rowOff>43863</xdr:rowOff>
    </xdr:from>
    <xdr:to>
      <xdr:col>70</xdr:col>
      <xdr:colOff>109937</xdr:colOff>
      <xdr:row>227</xdr:row>
      <xdr:rowOff>91487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38</xdr:col>
      <xdr:colOff>268915</xdr:colOff>
      <xdr:row>228</xdr:row>
      <xdr:rowOff>172767</xdr:rowOff>
    </xdr:from>
    <xdr:to>
      <xdr:col>53</xdr:col>
      <xdr:colOff>549904</xdr:colOff>
      <xdr:row>255</xdr:row>
      <xdr:rowOff>27988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54</xdr:col>
      <xdr:colOff>283376</xdr:colOff>
      <xdr:row>229</xdr:row>
      <xdr:rowOff>85138</xdr:rowOff>
    </xdr:from>
    <xdr:to>
      <xdr:col>70</xdr:col>
      <xdr:colOff>222183</xdr:colOff>
      <xdr:row>255</xdr:row>
      <xdr:rowOff>123238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38</xdr:col>
      <xdr:colOff>300665</xdr:colOff>
      <xdr:row>256</xdr:row>
      <xdr:rowOff>155548</xdr:rowOff>
    </xdr:from>
    <xdr:to>
      <xdr:col>53</xdr:col>
      <xdr:colOff>565779</xdr:colOff>
      <xdr:row>282</xdr:row>
      <xdr:rowOff>119689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D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54</xdr:col>
      <xdr:colOff>251626</xdr:colOff>
      <xdr:row>256</xdr:row>
      <xdr:rowOff>123798</xdr:rowOff>
    </xdr:from>
    <xdr:to>
      <xdr:col>70</xdr:col>
      <xdr:colOff>94062</xdr:colOff>
      <xdr:row>282</xdr:row>
      <xdr:rowOff>99145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D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38</xdr:col>
      <xdr:colOff>364165</xdr:colOff>
      <xdr:row>284</xdr:row>
      <xdr:rowOff>20330</xdr:rowOff>
    </xdr:from>
    <xdr:to>
      <xdr:col>54</xdr:col>
      <xdr:colOff>16957</xdr:colOff>
      <xdr:row>309</xdr:row>
      <xdr:rowOff>130148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54</xdr:col>
      <xdr:colOff>267501</xdr:colOff>
      <xdr:row>284</xdr:row>
      <xdr:rowOff>2214</xdr:rowOff>
    </xdr:from>
    <xdr:to>
      <xdr:col>70</xdr:col>
      <xdr:colOff>109937</xdr:colOff>
      <xdr:row>309</xdr:row>
      <xdr:rowOff>114273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127000</xdr:colOff>
      <xdr:row>8</xdr:row>
      <xdr:rowOff>63500</xdr:rowOff>
    </xdr:from>
    <xdr:to>
      <xdr:col>51</xdr:col>
      <xdr:colOff>134938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333375</xdr:colOff>
      <xdr:row>8</xdr:row>
      <xdr:rowOff>63500</xdr:rowOff>
    </xdr:from>
    <xdr:to>
      <xdr:col>67</xdr:col>
      <xdr:colOff>341313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127000</xdr:colOff>
      <xdr:row>35</xdr:row>
      <xdr:rowOff>95250</xdr:rowOff>
    </xdr:from>
    <xdr:to>
      <xdr:col>51</xdr:col>
      <xdr:colOff>134938</xdr:colOff>
      <xdr:row>61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349250</xdr:colOff>
      <xdr:row>35</xdr:row>
      <xdr:rowOff>127000</xdr:rowOff>
    </xdr:from>
    <xdr:to>
      <xdr:col>67</xdr:col>
      <xdr:colOff>357188</xdr:colOff>
      <xdr:row>61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59578</xdr:colOff>
      <xdr:row>63</xdr:row>
      <xdr:rowOff>127000</xdr:rowOff>
    </xdr:from>
    <xdr:to>
      <xdr:col>51</xdr:col>
      <xdr:colOff>119063</xdr:colOff>
      <xdr:row>89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349250</xdr:colOff>
      <xdr:row>63</xdr:row>
      <xdr:rowOff>174625</xdr:rowOff>
    </xdr:from>
    <xdr:to>
      <xdr:col>67</xdr:col>
      <xdr:colOff>357188</xdr:colOff>
      <xdr:row>90</xdr:row>
      <xdr:rowOff>22225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238125</xdr:colOff>
      <xdr:row>91</xdr:row>
      <xdr:rowOff>142875</xdr:rowOff>
    </xdr:from>
    <xdr:to>
      <xdr:col>51</xdr:col>
      <xdr:colOff>246063</xdr:colOff>
      <xdr:row>118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396875</xdr:colOff>
      <xdr:row>91</xdr:row>
      <xdr:rowOff>111125</xdr:rowOff>
    </xdr:from>
    <xdr:to>
      <xdr:col>67</xdr:col>
      <xdr:colOff>404813</xdr:colOff>
      <xdr:row>117</xdr:row>
      <xdr:rowOff>149225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254000</xdr:colOff>
      <xdr:row>120</xdr:row>
      <xdr:rowOff>95250</xdr:rowOff>
    </xdr:from>
    <xdr:to>
      <xdr:col>51</xdr:col>
      <xdr:colOff>261938</xdr:colOff>
      <xdr:row>146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444500</xdr:colOff>
      <xdr:row>120</xdr:row>
      <xdr:rowOff>111125</xdr:rowOff>
    </xdr:from>
    <xdr:to>
      <xdr:col>67</xdr:col>
      <xdr:colOff>452438</xdr:colOff>
      <xdr:row>146</xdr:row>
      <xdr:rowOff>149225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285750</xdr:colOff>
      <xdr:row>148</xdr:row>
      <xdr:rowOff>31750</xdr:rowOff>
    </xdr:from>
    <xdr:to>
      <xdr:col>51</xdr:col>
      <xdr:colOff>277813</xdr:colOff>
      <xdr:row>174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508000</xdr:colOff>
      <xdr:row>148</xdr:row>
      <xdr:rowOff>31750</xdr:rowOff>
    </xdr:from>
    <xdr:to>
      <xdr:col>67</xdr:col>
      <xdr:colOff>515938</xdr:colOff>
      <xdr:row>174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254000</xdr:colOff>
      <xdr:row>176</xdr:row>
      <xdr:rowOff>0</xdr:rowOff>
    </xdr:from>
    <xdr:to>
      <xdr:col>51</xdr:col>
      <xdr:colOff>261938</xdr:colOff>
      <xdr:row>202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587375</xdr:colOff>
      <xdr:row>176</xdr:row>
      <xdr:rowOff>0</xdr:rowOff>
    </xdr:from>
    <xdr:to>
      <xdr:col>67</xdr:col>
      <xdr:colOff>579438</xdr:colOff>
      <xdr:row>202</xdr:row>
      <xdr:rowOff>53975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285750</xdr:colOff>
      <xdr:row>204</xdr:row>
      <xdr:rowOff>47625</xdr:rowOff>
    </xdr:from>
    <xdr:to>
      <xdr:col>51</xdr:col>
      <xdr:colOff>277813</xdr:colOff>
      <xdr:row>230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587375</xdr:colOff>
      <xdr:row>204</xdr:row>
      <xdr:rowOff>0</xdr:rowOff>
    </xdr:from>
    <xdr:to>
      <xdr:col>67</xdr:col>
      <xdr:colOff>579438</xdr:colOff>
      <xdr:row>230</xdr:row>
      <xdr:rowOff>53975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254000</xdr:colOff>
      <xdr:row>231</xdr:row>
      <xdr:rowOff>142875</xdr:rowOff>
    </xdr:from>
    <xdr:to>
      <xdr:col>51</xdr:col>
      <xdr:colOff>261938</xdr:colOff>
      <xdr:row>258</xdr:row>
      <xdr:rowOff>3175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0</xdr:colOff>
      <xdr:row>232</xdr:row>
      <xdr:rowOff>47625</xdr:rowOff>
    </xdr:from>
    <xdr:to>
      <xdr:col>68</xdr:col>
      <xdr:colOff>82084</xdr:colOff>
      <xdr:row>258</xdr:row>
      <xdr:rowOff>85725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285750</xdr:colOff>
      <xdr:row>259</xdr:row>
      <xdr:rowOff>127000</xdr:rowOff>
    </xdr:from>
    <xdr:to>
      <xdr:col>51</xdr:col>
      <xdr:colOff>277813</xdr:colOff>
      <xdr:row>285</xdr:row>
      <xdr:rowOff>165100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571500</xdr:colOff>
      <xdr:row>259</xdr:row>
      <xdr:rowOff>95250</xdr:rowOff>
    </xdr:from>
    <xdr:to>
      <xdr:col>67</xdr:col>
      <xdr:colOff>563563</xdr:colOff>
      <xdr:row>285</xdr:row>
      <xdr:rowOff>133350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349250</xdr:colOff>
      <xdr:row>287</xdr:row>
      <xdr:rowOff>63500</xdr:rowOff>
    </xdr:from>
    <xdr:to>
      <xdr:col>51</xdr:col>
      <xdr:colOff>341313</xdr:colOff>
      <xdr:row>313</xdr:row>
      <xdr:rowOff>103281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587375</xdr:colOff>
      <xdr:row>287</xdr:row>
      <xdr:rowOff>47625</xdr:rowOff>
    </xdr:from>
    <xdr:to>
      <xdr:col>67</xdr:col>
      <xdr:colOff>579438</xdr:colOff>
      <xdr:row>313</xdr:row>
      <xdr:rowOff>85725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127000</xdr:colOff>
      <xdr:row>8</xdr:row>
      <xdr:rowOff>63500</xdr:rowOff>
    </xdr:from>
    <xdr:to>
      <xdr:col>51</xdr:col>
      <xdr:colOff>134938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51</xdr:col>
      <xdr:colOff>333375</xdr:colOff>
      <xdr:row>8</xdr:row>
      <xdr:rowOff>63500</xdr:rowOff>
    </xdr:from>
    <xdr:to>
      <xdr:col>67</xdr:col>
      <xdr:colOff>341313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127000</xdr:colOff>
      <xdr:row>35</xdr:row>
      <xdr:rowOff>95250</xdr:rowOff>
    </xdr:from>
    <xdr:to>
      <xdr:col>51</xdr:col>
      <xdr:colOff>134938</xdr:colOff>
      <xdr:row>61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51</xdr:col>
      <xdr:colOff>349250</xdr:colOff>
      <xdr:row>35</xdr:row>
      <xdr:rowOff>127000</xdr:rowOff>
    </xdr:from>
    <xdr:to>
      <xdr:col>67</xdr:col>
      <xdr:colOff>357188</xdr:colOff>
      <xdr:row>61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59578</xdr:colOff>
      <xdr:row>63</xdr:row>
      <xdr:rowOff>127000</xdr:rowOff>
    </xdr:from>
    <xdr:to>
      <xdr:col>51</xdr:col>
      <xdr:colOff>119063</xdr:colOff>
      <xdr:row>89</xdr:row>
      <xdr:rowOff>166781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51</xdr:col>
      <xdr:colOff>349250</xdr:colOff>
      <xdr:row>63</xdr:row>
      <xdr:rowOff>174625</xdr:rowOff>
    </xdr:from>
    <xdr:to>
      <xdr:col>67</xdr:col>
      <xdr:colOff>357188</xdr:colOff>
      <xdr:row>90</xdr:row>
      <xdr:rowOff>23906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238125</xdr:colOff>
      <xdr:row>91</xdr:row>
      <xdr:rowOff>144556</xdr:rowOff>
    </xdr:from>
    <xdr:to>
      <xdr:col>51</xdr:col>
      <xdr:colOff>246063</xdr:colOff>
      <xdr:row>118</xdr:row>
      <xdr:rowOff>1681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51</xdr:col>
      <xdr:colOff>396875</xdr:colOff>
      <xdr:row>91</xdr:row>
      <xdr:rowOff>112806</xdr:rowOff>
    </xdr:from>
    <xdr:to>
      <xdr:col>67</xdr:col>
      <xdr:colOff>404813</xdr:colOff>
      <xdr:row>117</xdr:row>
      <xdr:rowOff>150906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35</xdr:col>
      <xdr:colOff>254000</xdr:colOff>
      <xdr:row>120</xdr:row>
      <xdr:rowOff>96931</xdr:rowOff>
    </xdr:from>
    <xdr:to>
      <xdr:col>51</xdr:col>
      <xdr:colOff>261938</xdr:colOff>
      <xdr:row>146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F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444500</xdr:colOff>
      <xdr:row>120</xdr:row>
      <xdr:rowOff>112806</xdr:rowOff>
    </xdr:from>
    <xdr:to>
      <xdr:col>67</xdr:col>
      <xdr:colOff>452438</xdr:colOff>
      <xdr:row>146</xdr:row>
      <xdr:rowOff>149225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35</xdr:col>
      <xdr:colOff>285750</xdr:colOff>
      <xdr:row>148</xdr:row>
      <xdr:rowOff>31750</xdr:rowOff>
    </xdr:from>
    <xdr:to>
      <xdr:col>51</xdr:col>
      <xdr:colOff>277813</xdr:colOff>
      <xdr:row>174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51</xdr:col>
      <xdr:colOff>508000</xdr:colOff>
      <xdr:row>148</xdr:row>
      <xdr:rowOff>31750</xdr:rowOff>
    </xdr:from>
    <xdr:to>
      <xdr:col>67</xdr:col>
      <xdr:colOff>515938</xdr:colOff>
      <xdr:row>174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35</xdr:col>
      <xdr:colOff>254000</xdr:colOff>
      <xdr:row>176</xdr:row>
      <xdr:rowOff>0</xdr:rowOff>
    </xdr:from>
    <xdr:to>
      <xdr:col>51</xdr:col>
      <xdr:colOff>261938</xdr:colOff>
      <xdr:row>202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51</xdr:col>
      <xdr:colOff>587375</xdr:colOff>
      <xdr:row>176</xdr:row>
      <xdr:rowOff>0</xdr:rowOff>
    </xdr:from>
    <xdr:to>
      <xdr:col>67</xdr:col>
      <xdr:colOff>579438</xdr:colOff>
      <xdr:row>202</xdr:row>
      <xdr:rowOff>53975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F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35</xdr:col>
      <xdr:colOff>285750</xdr:colOff>
      <xdr:row>204</xdr:row>
      <xdr:rowOff>47625</xdr:rowOff>
    </xdr:from>
    <xdr:to>
      <xdr:col>51</xdr:col>
      <xdr:colOff>277813</xdr:colOff>
      <xdr:row>230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51</xdr:col>
      <xdr:colOff>587375</xdr:colOff>
      <xdr:row>204</xdr:row>
      <xdr:rowOff>0</xdr:rowOff>
    </xdr:from>
    <xdr:to>
      <xdr:col>67</xdr:col>
      <xdr:colOff>579438</xdr:colOff>
      <xdr:row>230</xdr:row>
      <xdr:rowOff>53975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35</xdr:col>
      <xdr:colOff>254000</xdr:colOff>
      <xdr:row>231</xdr:row>
      <xdr:rowOff>142875</xdr:rowOff>
    </xdr:from>
    <xdr:to>
      <xdr:col>51</xdr:col>
      <xdr:colOff>261938</xdr:colOff>
      <xdr:row>258</xdr:row>
      <xdr:rowOff>3175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52</xdr:col>
      <xdr:colOff>0</xdr:colOff>
      <xdr:row>232</xdr:row>
      <xdr:rowOff>47625</xdr:rowOff>
    </xdr:from>
    <xdr:to>
      <xdr:col>68</xdr:col>
      <xdr:colOff>82084</xdr:colOff>
      <xdr:row>258</xdr:row>
      <xdr:rowOff>85725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F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35</xdr:col>
      <xdr:colOff>285750</xdr:colOff>
      <xdr:row>259</xdr:row>
      <xdr:rowOff>127000</xdr:rowOff>
    </xdr:from>
    <xdr:to>
      <xdr:col>51</xdr:col>
      <xdr:colOff>277813</xdr:colOff>
      <xdr:row>285</xdr:row>
      <xdr:rowOff>165100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F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51</xdr:col>
      <xdr:colOff>571500</xdr:colOff>
      <xdr:row>259</xdr:row>
      <xdr:rowOff>95250</xdr:rowOff>
    </xdr:from>
    <xdr:to>
      <xdr:col>67</xdr:col>
      <xdr:colOff>563563</xdr:colOff>
      <xdr:row>285</xdr:row>
      <xdr:rowOff>133350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35</xdr:col>
      <xdr:colOff>349250</xdr:colOff>
      <xdr:row>287</xdr:row>
      <xdr:rowOff>63500</xdr:rowOff>
    </xdr:from>
    <xdr:to>
      <xdr:col>51</xdr:col>
      <xdr:colOff>341313</xdr:colOff>
      <xdr:row>313</xdr:row>
      <xdr:rowOff>103281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F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51</xdr:col>
      <xdr:colOff>587375</xdr:colOff>
      <xdr:row>287</xdr:row>
      <xdr:rowOff>47625</xdr:rowOff>
    </xdr:from>
    <xdr:to>
      <xdr:col>67</xdr:col>
      <xdr:colOff>579438</xdr:colOff>
      <xdr:row>313</xdr:row>
      <xdr:rowOff>85725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1800225</xdr:colOff>
          <xdr:row>20</xdr:row>
          <xdr:rowOff>171450</xdr:rowOff>
        </xdr:from>
        <xdr:to>
          <xdr:col>3</xdr:col>
          <xdr:colOff>1438275</xdr:colOff>
          <xdr:row>22</xdr:row>
          <xdr:rowOff>180975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The Offset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104775</xdr:rowOff>
        </xdr:from>
        <xdr:to>
          <xdr:col>3</xdr:col>
          <xdr:colOff>1438275</xdr:colOff>
          <xdr:row>5</xdr:row>
          <xdr:rowOff>104775</xdr:rowOff>
        </xdr:to>
        <xdr:sp macro="" textlink="">
          <xdr:nvSpPr>
            <xdr:cNvPr id="26626" name="Drop Dow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11</xdr:row>
          <xdr:rowOff>19050</xdr:rowOff>
        </xdr:from>
        <xdr:to>
          <xdr:col>3</xdr:col>
          <xdr:colOff>1276350</xdr:colOff>
          <xdr:row>12</xdr:row>
          <xdr:rowOff>76200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2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85725</xdr:rowOff>
        </xdr:from>
        <xdr:to>
          <xdr:col>3</xdr:col>
          <xdr:colOff>1438275</xdr:colOff>
          <xdr:row>7</xdr:row>
          <xdr:rowOff>104775</xdr:rowOff>
        </xdr:to>
        <xdr:sp macro="" textlink="">
          <xdr:nvSpPr>
            <xdr:cNvPr id="26628" name="Drop Dow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20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16</xdr:row>
          <xdr:rowOff>38100</xdr:rowOff>
        </xdr:from>
        <xdr:to>
          <xdr:col>3</xdr:col>
          <xdr:colOff>1314450</xdr:colOff>
          <xdr:row>17</xdr:row>
          <xdr:rowOff>66675</xdr:rowOff>
        </xdr:to>
        <xdr:sp macro="" textlink="">
          <xdr:nvSpPr>
            <xdr:cNvPr id="26629" name="CheckFix1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20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1/2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17</xdr:row>
          <xdr:rowOff>9525</xdr:rowOff>
        </xdr:from>
        <xdr:to>
          <xdr:col>3</xdr:col>
          <xdr:colOff>1333500</xdr:colOff>
          <xdr:row>18</xdr:row>
          <xdr:rowOff>28575</xdr:rowOff>
        </xdr:to>
        <xdr:sp macro="" textlink="">
          <xdr:nvSpPr>
            <xdr:cNvPr id="26630" name="CheckFix34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20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3/4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17</xdr:row>
          <xdr:rowOff>152400</xdr:rowOff>
        </xdr:from>
        <xdr:to>
          <xdr:col>3</xdr:col>
          <xdr:colOff>1333500</xdr:colOff>
          <xdr:row>18</xdr:row>
          <xdr:rowOff>180975</xdr:rowOff>
        </xdr:to>
        <xdr:sp macro="" textlink="">
          <xdr:nvSpPr>
            <xdr:cNvPr id="26631" name="CheckFix56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20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5/6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18</xdr:row>
          <xdr:rowOff>123825</xdr:rowOff>
        </xdr:from>
        <xdr:to>
          <xdr:col>3</xdr:col>
          <xdr:colOff>1333500</xdr:colOff>
          <xdr:row>19</xdr:row>
          <xdr:rowOff>152400</xdr:rowOff>
        </xdr:to>
        <xdr:sp macro="" textlink="">
          <xdr:nvSpPr>
            <xdr:cNvPr id="26632" name="CheckFix7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20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7/8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29</xdr:row>
          <xdr:rowOff>76200</xdr:rowOff>
        </xdr:from>
        <xdr:to>
          <xdr:col>6</xdr:col>
          <xdr:colOff>238125</xdr:colOff>
          <xdr:row>31</xdr:row>
          <xdr:rowOff>142875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20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path from Nominal ORD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22" name="Arrow: Right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29</xdr:row>
          <xdr:rowOff>85725</xdr:rowOff>
        </xdr:from>
        <xdr:to>
          <xdr:col>8</xdr:col>
          <xdr:colOff>95250</xdr:colOff>
          <xdr:row>31</xdr:row>
          <xdr:rowOff>152400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20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Offset but Don't Update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29</xdr:row>
          <xdr:rowOff>85725</xdr:rowOff>
        </xdr:from>
        <xdr:to>
          <xdr:col>11</xdr:col>
          <xdr:colOff>276225</xdr:colOff>
          <xdr:row>31</xdr:row>
          <xdr:rowOff>152400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20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to old offset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4</xdr:row>
          <xdr:rowOff>123825</xdr:rowOff>
        </xdr:from>
        <xdr:to>
          <xdr:col>14</xdr:col>
          <xdr:colOff>1438275</xdr:colOff>
          <xdr:row>5</xdr:row>
          <xdr:rowOff>114300</xdr:rowOff>
        </xdr:to>
        <xdr:sp macro="" textlink="">
          <xdr:nvSpPr>
            <xdr:cNvPr id="26636" name="Drop Dow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20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1828800</xdr:colOff>
          <xdr:row>10</xdr:row>
          <xdr:rowOff>85725</xdr:rowOff>
        </xdr:from>
        <xdr:to>
          <xdr:col>14</xdr:col>
          <xdr:colOff>1466850</xdr:colOff>
          <xdr:row>12</xdr:row>
          <xdr:rowOff>95250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20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428625</xdr:colOff>
          <xdr:row>6</xdr:row>
          <xdr:rowOff>38100</xdr:rowOff>
        </xdr:from>
        <xdr:to>
          <xdr:col>14</xdr:col>
          <xdr:colOff>1314450</xdr:colOff>
          <xdr:row>7</xdr:row>
          <xdr:rowOff>66675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20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1/2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428625</xdr:colOff>
          <xdr:row>7</xdr:row>
          <xdr:rowOff>9525</xdr:rowOff>
        </xdr:from>
        <xdr:to>
          <xdr:col>14</xdr:col>
          <xdr:colOff>1333500</xdr:colOff>
          <xdr:row>8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20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3/4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428625</xdr:colOff>
          <xdr:row>7</xdr:row>
          <xdr:rowOff>152400</xdr:rowOff>
        </xdr:from>
        <xdr:to>
          <xdr:col>14</xdr:col>
          <xdr:colOff>1333500</xdr:colOff>
          <xdr:row>8</xdr:row>
          <xdr:rowOff>171450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20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5/6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428625</xdr:colOff>
          <xdr:row>8</xdr:row>
          <xdr:rowOff>123825</xdr:rowOff>
        </xdr:from>
        <xdr:to>
          <xdr:col>14</xdr:col>
          <xdr:colOff>1333500</xdr:colOff>
          <xdr:row>9</xdr:row>
          <xdr:rowOff>152400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20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Fixture 7/8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29</xdr:row>
          <xdr:rowOff>85725</xdr:rowOff>
        </xdr:from>
        <xdr:to>
          <xdr:col>13</xdr:col>
          <xdr:colOff>876300</xdr:colOff>
          <xdr:row>31</xdr:row>
          <xdr:rowOff>152400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20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 Extra Tabs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32" name="Arrow: Right 31">
          <a:extLst>
            <a:ext uri="{FF2B5EF4-FFF2-40B4-BE49-F238E27FC236}">
              <a16:creationId xmlns:a16="http://schemas.microsoft.com/office/drawing/2014/main" id="{00000000-0008-0000-2000-000020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33" name="Arrow: Right 32">
          <a:extLst>
            <a:ext uri="{FF2B5EF4-FFF2-40B4-BE49-F238E27FC236}">
              <a16:creationId xmlns:a16="http://schemas.microsoft.com/office/drawing/2014/main" id="{00000000-0008-0000-2000-000021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34" name="Arrow: Right 33"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35" name="Arrow: Right 34">
          <a:extLst>
            <a:ext uri="{FF2B5EF4-FFF2-40B4-BE49-F238E27FC236}">
              <a16:creationId xmlns:a16="http://schemas.microsoft.com/office/drawing/2014/main" id="{00000000-0008-0000-2000-000023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174381</xdr:colOff>
      <xdr:row>8</xdr:row>
      <xdr:rowOff>66654</xdr:rowOff>
    </xdr:from>
    <xdr:to>
      <xdr:col>4</xdr:col>
      <xdr:colOff>393456</xdr:colOff>
      <xdr:row>9</xdr:row>
      <xdr:rowOff>152380</xdr:rowOff>
    </xdr:to>
    <xdr:sp macro="" textlink="">
      <xdr:nvSpPr>
        <xdr:cNvPr id="36" name="Arrow: Right 35">
          <a:extLst>
            <a:ext uri="{FF2B5EF4-FFF2-40B4-BE49-F238E27FC236}">
              <a16:creationId xmlns:a16="http://schemas.microsoft.com/office/drawing/2014/main" id="{00000000-0008-0000-2000-000024000000}"/>
            </a:ext>
          </a:extLst>
        </xdr:cNvPr>
        <xdr:cNvSpPr/>
      </xdr:nvSpPr>
      <xdr:spPr>
        <a:xfrm>
          <a:off x="2003181" y="1590654"/>
          <a:ext cx="828675" cy="276226"/>
        </a:xfrm>
        <a:prstGeom prst="rightArrow">
          <a:avLst>
            <a:gd name="adj1" fmla="val 50000"/>
            <a:gd name="adj2" fmla="val 103488"/>
          </a:avLst>
        </a:prstGeom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181708</xdr:colOff>
      <xdr:row>14</xdr:row>
      <xdr:rowOff>72588</xdr:rowOff>
    </xdr:from>
    <xdr:to>
      <xdr:col>4</xdr:col>
      <xdr:colOff>400783</xdr:colOff>
      <xdr:row>15</xdr:row>
      <xdr:rowOff>148788</xdr:rowOff>
    </xdr:to>
    <xdr:sp macro="" textlink="">
      <xdr:nvSpPr>
        <xdr:cNvPr id="37" name="Arrow: Right 36">
          <a:extLst>
            <a:ext uri="{FF2B5EF4-FFF2-40B4-BE49-F238E27FC236}">
              <a16:creationId xmlns:a16="http://schemas.microsoft.com/office/drawing/2014/main" id="{00000000-0008-0000-2000-000025000000}"/>
            </a:ext>
          </a:extLst>
        </xdr:cNvPr>
        <xdr:cNvSpPr/>
      </xdr:nvSpPr>
      <xdr:spPr>
        <a:xfrm>
          <a:off x="2010508" y="2739588"/>
          <a:ext cx="828675" cy="266700"/>
        </a:xfrm>
        <a:prstGeom prst="rightArrow">
          <a:avLst>
            <a:gd name="adj1" fmla="val 50000"/>
            <a:gd name="adj2" fmla="val 103488"/>
          </a:avLst>
        </a:prstGeom>
        <a:solidFill>
          <a:schemeClr val="accent1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1</xdr:row>
      <xdr:rowOff>47625</xdr:rowOff>
    </xdr:from>
    <xdr:to>
      <xdr:col>37</xdr:col>
      <xdr:colOff>257174</xdr:colOff>
      <xdr:row>53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225136</xdr:colOff>
      <xdr:row>56</xdr:row>
      <xdr:rowOff>51955</xdr:rowOff>
    </xdr:from>
    <xdr:to>
      <xdr:col>37</xdr:col>
      <xdr:colOff>272761</xdr:colOff>
      <xdr:row>108</xdr:row>
      <xdr:rowOff>166255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14</xdr:row>
      <xdr:rowOff>17930</xdr:rowOff>
    </xdr:from>
    <xdr:to>
      <xdr:col>26</xdr:col>
      <xdr:colOff>0</xdr:colOff>
      <xdr:row>24</xdr:row>
      <xdr:rowOff>8467</xdr:rowOff>
    </xdr:to>
    <xdr:sp macro="" textlink="">
      <xdr:nvSpPr>
        <xdr:cNvPr id="2" name="Right Triangl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058400" y="2684930"/>
          <a:ext cx="838200" cy="1895537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3662</xdr:colOff>
      <xdr:row>19</xdr:row>
      <xdr:rowOff>193430</xdr:rowOff>
    </xdr:from>
    <xdr:to>
      <xdr:col>11</xdr:col>
      <xdr:colOff>3660</xdr:colOff>
      <xdr:row>28</xdr:row>
      <xdr:rowOff>193429</xdr:rowOff>
    </xdr:to>
    <xdr:sp macro="" textlink="">
      <xdr:nvSpPr>
        <xdr:cNvPr id="3" name="Right Triangl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 rot="10800000">
          <a:off x="3775562" y="3812930"/>
          <a:ext cx="838198" cy="1714499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291341</xdr:colOff>
      <xdr:row>4</xdr:row>
      <xdr:rowOff>58980</xdr:rowOff>
    </xdr:from>
    <xdr:ext cx="819101" cy="351617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0441" y="820980"/>
          <a:ext cx="819101" cy="351617"/>
        </a:xfrm>
        <a:prstGeom prst="rect">
          <a:avLst/>
        </a:prstGeom>
        <a:solidFill>
          <a:srgbClr val="FFFFFF">
            <a:shade val="85000"/>
          </a:srgbClr>
        </a:solidFill>
        <a:ln w="38100" cap="sq">
          <a:solidFill>
            <a:sysClr val="windowText" lastClr="000000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oneCellAnchor>
  <xdr:twoCellAnchor>
    <xdr:from>
      <xdr:col>20</xdr:col>
      <xdr:colOff>0</xdr:colOff>
      <xdr:row>60</xdr:row>
      <xdr:rowOff>17930</xdr:rowOff>
    </xdr:from>
    <xdr:to>
      <xdr:col>21</xdr:col>
      <xdr:colOff>0</xdr:colOff>
      <xdr:row>71</xdr:row>
      <xdr:rowOff>8467</xdr:rowOff>
    </xdr:to>
    <xdr:sp macro="" textlink="">
      <xdr:nvSpPr>
        <xdr:cNvPr id="5" name="Right Triangle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8382000" y="11447930"/>
          <a:ext cx="419100" cy="2086037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118533</xdr:colOff>
      <xdr:row>67</xdr:row>
      <xdr:rowOff>0</xdr:rowOff>
    </xdr:from>
    <xdr:to>
      <xdr:col>9</xdr:col>
      <xdr:colOff>20781</xdr:colOff>
      <xdr:row>78</xdr:row>
      <xdr:rowOff>15240</xdr:rowOff>
    </xdr:to>
    <xdr:sp macro="" textlink="">
      <xdr:nvSpPr>
        <xdr:cNvPr id="6" name="Right Triangl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 rot="10800000">
          <a:off x="3052233" y="12763500"/>
          <a:ext cx="740448" cy="2110740"/>
        </a:xfrm>
        <a:prstGeom prst="rtTriangle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347178</xdr:colOff>
      <xdr:row>51</xdr:row>
      <xdr:rowOff>59494</xdr:rowOff>
    </xdr:from>
    <xdr:ext cx="839016" cy="356258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278" y="9774994"/>
          <a:ext cx="839016" cy="356258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Dimension" tableColumnId="2"/>
      <queryTableField id="3" name="Nominal" tableColumnId="3"/>
      <queryTableField id="4" name="-Tol" tableColumnId="4"/>
      <queryTableField id="5" name="+Tol" tableColumnId="5"/>
      <queryTableField id="6" name="Min Value" tableColumnId="6"/>
      <queryTableField id="7" name="Max Value" tableColumnId="7"/>
      <queryTableField id="8" name="Obsole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2" xr16:uid="{00000000-0016-0000-06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MachineID" tableColumnId="1"/>
      <queryTableField id="2" name="AbrasiveCnt" tableColumnId="2"/>
      <queryTableField id="3" name="MixCnt" tableColumnId="3"/>
      <queryTableField id="4" name="OrificeCnt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4" xr16:uid="{00000000-0016-0000-0700-000002000000}" autoFormatId="16" applyNumberFormats="0" applyBorderFormats="0" applyFontFormats="0" applyPatternFormats="0" applyAlignmentFormats="0" applyWidthHeightFormats="0">
  <queryTableRefresh nextId="15">
    <queryTableFields count="9">
      <queryTableField id="1" name="MachineNumber" tableColumnId="1"/>
      <queryTableField id="2" name="FileName" tableColumnId="2"/>
      <queryTableField id="3" name="CreateDate" tableColumnId="3"/>
      <queryTableField id="7" name="CutC2L-globalX" tableColumnId="5"/>
      <queryTableField id="8" name="CutC2L-globalY" tableColumnId="7"/>
      <queryTableField id="9" name="CutIndex1_2-globalX" tableColumnId="8"/>
      <queryTableField id="10" name="CutIndex1_2-globalY" tableColumnId="9"/>
      <queryTableField id="4" name="OFFSET_ID" tableColumnId="4"/>
      <queryTableField id="6" name="30_Fixtures.Nomenclatur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20" xr16:uid="{00000000-0016-0000-0800-000003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5" xr16:uid="{00000000-0016-0000-0900-000004000000}" autoFormatId="16" applyNumberFormats="0" applyBorderFormats="0" applyFontFormats="0" applyPatternFormats="0" applyAlignmentFormats="0" applyWidthHeightFormats="0">
  <queryTableRefresh nextId="39">
    <queryTableFields count="35">
      <queryTableField id="1" name="Blade Serial Number" tableColumnId="1"/>
      <queryTableField id="2" name="Blade Part Number" tableColumnId="2"/>
      <queryTableField id="3" name="Date" tableColumnId="3"/>
      <queryTableField id="37" name="Revision" tableColumnId="34"/>
      <queryTableField id="35" dataBound="0" tableColumnId="35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6" xr16:uid="{00000000-0016-0000-0A00-000005000000}" autoFormatId="16" applyNumberFormats="0" applyBorderFormats="0" applyFontFormats="0" applyPatternFormats="0" applyAlignmentFormats="0" applyWidthHeightFormats="0">
  <queryTableRefresh nextId="39">
    <queryTableFields count="35">
      <queryTableField id="1" name="Blade Serial Number" tableColumnId="1"/>
      <queryTableField id="2" name="Blade Part Number" tableColumnId="2"/>
      <queryTableField id="3" name="Date" tableColumnId="3"/>
      <queryTableField id="37" name="Revision" tableColumnId="34"/>
      <queryTableField id="35" dataBound="0" tableColumnId="35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8" xr16:uid="{00000000-0016-0000-0B00-000006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0" xr16:uid="{792F592D-F18E-4738-A6B1-611E0BE3AB4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9" xr16:uid="{00000000-0016-0000-0C00-000007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1" xr16:uid="{00000000-0016-0000-0D00-000008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23" xr16:uid="{00000000-0016-0000-0E00-000009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6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24" xr16:uid="{00000000-0016-0000-0F00-00000A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6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21" xr16:uid="{00000000-0016-0000-1000-00000B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6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22" xr16:uid="{00000000-0016-0000-1100-00000C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6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7" xr16:uid="{00000000-0016-0000-1500-00000D000000}" autoFormatId="16" applyNumberFormats="0" applyBorderFormats="0" applyFontFormats="0" applyPatternFormats="0" applyAlignmentFormats="0" applyWidthHeightFormats="0">
  <queryTableRefresh nextId="39">
    <queryTableFields count="35">
      <queryTableField id="1" name="Blade Serial Number" tableColumnId="1"/>
      <queryTableField id="2" name="Blade Part Number" tableColumnId="2"/>
      <queryTableField id="3" name="Date" tableColumnId="3"/>
      <queryTableField id="37" name="Revision" tableColumnId="34"/>
      <queryTableField id="35" dataBound="0" tableColumnId="35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8" xr16:uid="{00000000-0016-0000-1600-00000E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6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9" xr16:uid="{00000000-0016-0000-1800-00000F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2" xr16:uid="{00000000-0016-0000-1900-000010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3" xr16:uid="{00000000-0016-0000-1A00-000011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4" xr16:uid="{12CDEA6C-88D1-485A-A9F2-7CCE64CE01C7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5" xr16:uid="{61C16659-04F3-474F-93E2-3C043DC29AA4}" autoFormatId="16" applyNumberFormats="0" applyBorderFormats="0" applyFontFormats="0" applyPatternFormats="0" applyAlignmentFormats="0" applyWidthHeightFormats="0">
  <queryTableRefresh nextId="41">
    <queryTableFields count="39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  <queryTableField id="37" name="T T1_1" tableColumnId="36"/>
      <queryTableField id="38" name="T T1_2" tableColumnId="37"/>
      <queryTableField id="39" name="T T3_1" tableColumnId="38"/>
      <queryTableField id="40" name="T T3_2" tableColumnId="39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6" xr16:uid="{00000000-0016-0000-1B00-000012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7" xr16:uid="{00000000-0016-0000-1C00-000013000000}" autoFormatId="16" applyNumberFormats="0" applyBorderFormats="0" applyFontFormats="0" applyPatternFormats="0" applyAlignmentFormats="0" applyWidthHeightFormats="0">
  <queryTableRefresh nextId="37">
    <queryTableFields count="35">
      <queryTableField id="1" name="Blade Serial Number" tableColumnId="1"/>
      <queryTableField id="2" name="Blade Part Number" tableColumnId="2"/>
      <queryTableField id="3" name="Date" tableColumnId="3"/>
      <queryTableField id="35" name="Revision" tableColumnId="35"/>
      <queryTableField id="34" dataBound="0" tableColumnId="34"/>
      <queryTableField id="4" name="Dim 1_1" tableColumnId="4"/>
      <queryTableField id="5" name="Dim 1_2" tableColumnId="5"/>
      <queryTableField id="6" name="Dim 2_1" tableColumnId="6"/>
      <queryTableField id="7" name="Dim 2_2" tableColumnId="7"/>
      <queryTableField id="8" name="Dim 3_1" tableColumnId="8"/>
      <queryTableField id="9" name="Dim 3_2" tableColumnId="9"/>
      <queryTableField id="10" name="Dim 4_1" tableColumnId="10"/>
      <queryTableField id="11" name="Dim 4_2" tableColumnId="11"/>
      <queryTableField id="12" name="Dim 5_1" tableColumnId="12"/>
      <queryTableField id="13" name="Dim 5_2" tableColumnId="13"/>
      <queryTableField id="14" name="Dim 6" tableColumnId="14"/>
      <queryTableField id="15" name="Dim 7" tableColumnId="15"/>
      <queryTableField id="16" name="Dim 9_1" tableColumnId="16"/>
      <queryTableField id="17" name="Dim 9_2" tableColumnId="17"/>
      <queryTableField id="18" name="Dim 10_1" tableColumnId="18"/>
      <queryTableField id="19" name="Dim 10_2" tableColumnId="19"/>
      <queryTableField id="20" name="Dim 11" tableColumnId="20"/>
      <queryTableField id="21" name="Dim 11 Max" tableColumnId="21"/>
      <queryTableField id="22" name="Dim 11 Min" tableColumnId="22"/>
      <queryTableField id="23" name="Dim 12" tableColumnId="23"/>
      <queryTableField id="24" name="Dim 12 Max" tableColumnId="24"/>
      <queryTableField id="25" name="Dim 12 Min" tableColumnId="25"/>
      <queryTableField id="26" name="T 1" tableColumnId="26"/>
      <queryTableField id="27" name="T 2" tableColumnId="27"/>
      <queryTableField id="28" name="T 3" tableColumnId="28"/>
      <queryTableField id="29" name="T 4" tableColumnId="29"/>
      <queryTableField id="30" name="T 5" tableColumnId="30"/>
      <queryTableField id="31" name="T 6" tableColumnId="31"/>
      <queryTableField id="32" name="T 7" tableColumnId="32"/>
      <queryTableField id="33" name="T 8" tableColumnId="3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chine" displayName="Machine" ref="B52:G71" totalsRowShown="0" headerRowDxfId="377" dataDxfId="376">
  <autoFilter ref="B52:G71" xr:uid="{00000000-0009-0000-0100-000001000000}"/>
  <sortState xmlns:xlrd2="http://schemas.microsoft.com/office/spreadsheetml/2017/richdata2" ref="B53:F71">
    <sortCondition ref="B52:B71"/>
  </sortState>
  <tableColumns count="6">
    <tableColumn id="1" xr3:uid="{00000000-0010-0000-0000-000001000000}" name="Nomenclature" dataDxfId="375"/>
    <tableColumn id="3" xr3:uid="{00000000-0010-0000-0000-000003000000}" name="Machine" dataDxfId="374"/>
    <tableColumn id="2" xr3:uid="{00000000-0010-0000-0000-000002000000}" name="Name" dataDxfId="373"/>
    <tableColumn id="4" xr3:uid="{00000000-0010-0000-0000-000004000000}" name="Fixture" dataDxfId="372"/>
    <tableColumn id="5" xr3:uid="{00000000-0010-0000-0000-000005000000}" name="Combined" dataDxfId="371">
      <calculatedColumnFormula>Machine[[#This Row],[Name]]&amp;"_"&amp;Machine[[#This Row],[Fixture]]</calculatedColumnFormula>
    </tableColumn>
    <tableColumn id="6" xr3:uid="{00000000-0010-0000-0000-000006000000}" name="SQL Fixture" dataDxfId="37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ol_Summary" displayName="Tol_Summary" ref="A1:AE4" totalsRowShown="0" headerRowDxfId="369" dataDxfId="367" headerRowBorderDxfId="368" tableBorderDxfId="366" totalsRowBorderDxfId="365">
  <autoFilter ref="A1:AE4" xr:uid="{00000000-0009-0000-0100-000006000000}"/>
  <tableColumns count="31">
    <tableColumn id="1" xr3:uid="{00000000-0010-0000-0100-000001000000}" name="Dimension" dataDxfId="364"/>
    <tableColumn id="2" xr3:uid="{00000000-0010-0000-0100-000002000000}" name="Dim 1_1" dataDxfId="363"/>
    <tableColumn id="3" xr3:uid="{00000000-0010-0000-0100-000003000000}" name="Dim 1_2" dataDxfId="362"/>
    <tableColumn id="4" xr3:uid="{00000000-0010-0000-0100-000004000000}" name="Dim 2_1" dataDxfId="361"/>
    <tableColumn id="5" xr3:uid="{00000000-0010-0000-0100-000005000000}" name="Dim 2_2" dataDxfId="360"/>
    <tableColumn id="6" xr3:uid="{00000000-0010-0000-0100-000006000000}" name="Dim 3_1" dataDxfId="359"/>
    <tableColumn id="7" xr3:uid="{00000000-0010-0000-0100-000007000000}" name="Dim 3_2" dataDxfId="358"/>
    <tableColumn id="8" xr3:uid="{00000000-0010-0000-0100-000008000000}" name="Dim 4_1" dataDxfId="357"/>
    <tableColumn id="9" xr3:uid="{00000000-0010-0000-0100-000009000000}" name="Dim 4_2" dataDxfId="356"/>
    <tableColumn id="10" xr3:uid="{00000000-0010-0000-0100-00000A000000}" name="Dim 5_1" dataDxfId="355"/>
    <tableColumn id="11" xr3:uid="{00000000-0010-0000-0100-00000B000000}" name="Dim 5_2" dataDxfId="354"/>
    <tableColumn id="12" xr3:uid="{00000000-0010-0000-0100-00000C000000}" name="Dim 6" dataDxfId="353"/>
    <tableColumn id="13" xr3:uid="{00000000-0010-0000-0100-00000D000000}" name="Dim 7" dataDxfId="352"/>
    <tableColumn id="14" xr3:uid="{00000000-0010-0000-0100-00000E000000}" name="Dim 9_1" dataDxfId="351"/>
    <tableColumn id="15" xr3:uid="{00000000-0010-0000-0100-00000F000000}" name="Dim 9_2" dataDxfId="350"/>
    <tableColumn id="16" xr3:uid="{00000000-0010-0000-0100-000010000000}" name="Dim 10_1" dataDxfId="349"/>
    <tableColumn id="17" xr3:uid="{00000000-0010-0000-0100-000011000000}" name="Dim 10_2" dataDxfId="348"/>
    <tableColumn id="18" xr3:uid="{00000000-0010-0000-0100-000012000000}" name="Dim 11" dataDxfId="347"/>
    <tableColumn id="19" xr3:uid="{00000000-0010-0000-0100-000013000000}" name="Dim 11 Max" dataDxfId="346"/>
    <tableColumn id="20" xr3:uid="{00000000-0010-0000-0100-000014000000}" name="Dim 11 Min" dataDxfId="345"/>
    <tableColumn id="21" xr3:uid="{00000000-0010-0000-0100-000015000000}" name="Dim 12" dataDxfId="344"/>
    <tableColumn id="22" xr3:uid="{00000000-0010-0000-0100-000016000000}" name="Dim 12 Max" dataDxfId="343"/>
    <tableColumn id="23" xr3:uid="{00000000-0010-0000-0100-000017000000}" name="Dim 12 Min" dataDxfId="342"/>
    <tableColumn id="24" xr3:uid="{00000000-0010-0000-0100-000018000000}" name="T 1" dataDxfId="341"/>
    <tableColumn id="25" xr3:uid="{00000000-0010-0000-0100-000019000000}" name="T 2" dataDxfId="340"/>
    <tableColumn id="26" xr3:uid="{00000000-0010-0000-0100-00001A000000}" name="T 3" dataDxfId="339"/>
    <tableColumn id="27" xr3:uid="{00000000-0010-0000-0100-00001B000000}" name="T 4" dataDxfId="338"/>
    <tableColumn id="28" xr3:uid="{00000000-0010-0000-0100-00001C000000}" name="T 5" dataDxfId="337"/>
    <tableColumn id="29" xr3:uid="{00000000-0010-0000-0100-00001D000000}" name="T 6" dataDxfId="336"/>
    <tableColumn id="30" xr3:uid="{00000000-0010-0000-0100-00001E000000}" name="T 7" dataDxfId="335"/>
    <tableColumn id="31" xr3:uid="{00000000-0010-0000-0100-00001F000000}" name="T 8" dataDxfId="3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_00_Tolerances" displayName="_00_Tolerances" ref="A8:H38" tableType="queryTable" totalsRowShown="0" headerRowDxfId="333" dataDxfId="331" headerRowBorderDxfId="332" tableBorderDxfId="330" totalsRowBorderDxfId="329">
  <autoFilter ref="A8:H38" xr:uid="{00000000-0009-0000-0100-000004000000}"/>
  <tableColumns count="8">
    <tableColumn id="1" xr3:uid="{00000000-0010-0000-0200-000001000000}" uniqueName="1" name="ID" queryTableFieldId="1" dataDxfId="328"/>
    <tableColumn id="2" xr3:uid="{00000000-0010-0000-0200-000002000000}" uniqueName="2" name="Dimension" queryTableFieldId="2" dataDxfId="327"/>
    <tableColumn id="3" xr3:uid="{00000000-0010-0000-0200-000003000000}" uniqueName="3" name="Nominal" queryTableFieldId="3" dataDxfId="326"/>
    <tableColumn id="4" xr3:uid="{00000000-0010-0000-0200-000004000000}" uniqueName="4" name="-Tol" queryTableFieldId="4" dataDxfId="325"/>
    <tableColumn id="5" xr3:uid="{00000000-0010-0000-0200-000005000000}" uniqueName="5" name="+Tol" queryTableFieldId="5" dataDxfId="324"/>
    <tableColumn id="6" xr3:uid="{00000000-0010-0000-0200-000006000000}" uniqueName="6" name="Min Value" queryTableFieldId="6" dataDxfId="323"/>
    <tableColumn id="7" xr3:uid="{00000000-0010-0000-0200-000007000000}" uniqueName="7" name="Max Value" queryTableFieldId="7" dataDxfId="322"/>
    <tableColumn id="8" xr3:uid="{00000000-0010-0000-0200-000008000000}" uniqueName="8" name="Obsolete" queryTableFieldId="8" dataDxfId="32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_20_Counters" displayName="_20_Counters" ref="A1:D9" tableType="queryTable" totalsRowShown="0">
  <autoFilter ref="A1:D9" xr:uid="{00000000-0009-0000-0100-000015000000}"/>
  <tableColumns count="4">
    <tableColumn id="1" xr3:uid="{00000000-0010-0000-0300-000001000000}" uniqueName="1" name="MachineID" queryTableFieldId="1"/>
    <tableColumn id="2" xr3:uid="{00000000-0010-0000-0300-000002000000}" uniqueName="2" name="AbrasiveCnt" queryTableFieldId="2"/>
    <tableColumn id="3" xr3:uid="{00000000-0010-0000-0300-000003000000}" uniqueName="3" name="MixCnt" queryTableFieldId="3"/>
    <tableColumn id="4" xr3:uid="{00000000-0010-0000-0300-000004000000}" uniqueName="4" name="OrificeCnt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4000000}" name="OffsetHistory" displayName="OffsetHistory" ref="A1:I244" tableType="queryTable" totalsRowShown="0">
  <autoFilter ref="A1:I244" xr:uid="{00000000-0009-0000-0100-000010000000}"/>
  <tableColumns count="9">
    <tableColumn id="1" xr3:uid="{00000000-0010-0000-0400-000001000000}" uniqueName="1" name="MachineNumber" queryTableFieldId="1" dataDxfId="320"/>
    <tableColumn id="2" xr3:uid="{00000000-0010-0000-0400-000002000000}" uniqueName="2" name="FileName" queryTableFieldId="2" dataDxfId="319"/>
    <tableColumn id="3" xr3:uid="{00000000-0010-0000-0400-000003000000}" uniqueName="3" name="CreateDate" queryTableFieldId="3" dataDxfId="318"/>
    <tableColumn id="5" xr3:uid="{00000000-0010-0000-0400-000005000000}" uniqueName="5" name="CutC2L-globalX" queryTableFieldId="7"/>
    <tableColumn id="7" xr3:uid="{00000000-0010-0000-0400-000007000000}" uniqueName="7" name="CutC2L-globalY" queryTableFieldId="8"/>
    <tableColumn id="8" xr3:uid="{00000000-0010-0000-0400-000008000000}" uniqueName="8" name="CutIndex1_2-globalX" queryTableFieldId="9"/>
    <tableColumn id="9" xr3:uid="{00000000-0010-0000-0400-000009000000}" uniqueName="9" name="CutIndex1_2-globalY" queryTableFieldId="10"/>
    <tableColumn id="4" xr3:uid="{00000000-0010-0000-0400-000004000000}" uniqueName="4" name="OFFSET_ID" queryTableFieldId="4"/>
    <tableColumn id="6" xr3:uid="{00000000-0010-0000-0400-000006000000}" uniqueName="6" name="30_Fixtures.Nomenclature" queryTableFieldId="6" dataDxfId="31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AA_4" displayName="AA_4" ref="A8:AI9" tableType="queryTable" insertRow="1" totalsRowShown="0">
  <autoFilter ref="A8:AI9" xr:uid="{00000000-0009-0000-0100-000002000000}"/>
  <tableColumns count="35">
    <tableColumn id="1" xr3:uid="{00000000-0010-0000-0500-000001000000}" uniqueName="1" name="Blade Serial Number" queryTableFieldId="1"/>
    <tableColumn id="2" xr3:uid="{00000000-0010-0000-0500-000002000000}" uniqueName="2" name="Blade Part Number" queryTableFieldId="2"/>
    <tableColumn id="3" xr3:uid="{00000000-0010-0000-0500-000003000000}" uniqueName="3" name="Date" queryTableFieldId="3" dataDxfId="316"/>
    <tableColumn id="35" xr3:uid="{00000000-0010-0000-0500-000023000000}" uniqueName="35" name="Revision" queryTableFieldId="35" dataDxfId="315"/>
    <tableColumn id="34" xr3:uid="{00000000-0010-0000-0500-000022000000}" uniqueName="34" name="OOT" queryTableFieldId="34" dataDxfId="314">
      <calculatedColumnFormula array="1">SUMPRODUCT(IF(AA_4[[#This Row],[Dim 1_1]:[T 8]]-$F$4:$AI$4&lt;0,1,0)+IF($F$5:$AI$5-AA_4[[#This Row],[Dim 1_1]:[T 8]]&lt;0,1,0),IF(ISNUMBER(AA_4[[#This Row],[Dim 1_1]:[T 8]])=TRUE,1,0))</calculatedColumnFormula>
    </tableColumn>
    <tableColumn id="4" xr3:uid="{00000000-0010-0000-0500-000004000000}" uniqueName="4" name="Dim 1_1" queryTableFieldId="4"/>
    <tableColumn id="5" xr3:uid="{00000000-0010-0000-0500-000005000000}" uniqueName="5" name="Dim 1_2" queryTableFieldId="5"/>
    <tableColumn id="6" xr3:uid="{00000000-0010-0000-0500-000006000000}" uniqueName="6" name="Dim 2_1" queryTableFieldId="6"/>
    <tableColumn id="7" xr3:uid="{00000000-0010-0000-0500-000007000000}" uniqueName="7" name="Dim 2_2" queryTableFieldId="7"/>
    <tableColumn id="8" xr3:uid="{00000000-0010-0000-0500-000008000000}" uniqueName="8" name="Dim 3_1" queryTableFieldId="8"/>
    <tableColumn id="9" xr3:uid="{00000000-0010-0000-0500-000009000000}" uniqueName="9" name="Dim 3_2" queryTableFieldId="9"/>
    <tableColumn id="10" xr3:uid="{00000000-0010-0000-0500-00000A000000}" uniqueName="10" name="Dim 4_1" queryTableFieldId="10"/>
    <tableColumn id="11" xr3:uid="{00000000-0010-0000-0500-00000B000000}" uniqueName="11" name="Dim 4_2" queryTableFieldId="11"/>
    <tableColumn id="12" xr3:uid="{00000000-0010-0000-0500-00000C000000}" uniqueName="12" name="Dim 5_1" queryTableFieldId="12"/>
    <tableColumn id="13" xr3:uid="{00000000-0010-0000-0500-00000D000000}" uniqueName="13" name="Dim 5_2" queryTableFieldId="13"/>
    <tableColumn id="14" xr3:uid="{00000000-0010-0000-0500-00000E000000}" uniqueName="14" name="Dim 6" queryTableFieldId="14"/>
    <tableColumn id="15" xr3:uid="{00000000-0010-0000-0500-00000F000000}" uniqueName="15" name="Dim 7" queryTableFieldId="15"/>
    <tableColumn id="16" xr3:uid="{00000000-0010-0000-0500-000010000000}" uniqueName="16" name="Dim 9_1" queryTableFieldId="16"/>
    <tableColumn id="17" xr3:uid="{00000000-0010-0000-0500-000011000000}" uniqueName="17" name="Dim 9_2" queryTableFieldId="17"/>
    <tableColumn id="18" xr3:uid="{00000000-0010-0000-0500-000012000000}" uniqueName="18" name="Dim 10_1" queryTableFieldId="18"/>
    <tableColumn id="19" xr3:uid="{00000000-0010-0000-0500-000013000000}" uniqueName="19" name="Dim 10_2" queryTableFieldId="19"/>
    <tableColumn id="20" xr3:uid="{00000000-0010-0000-0500-000014000000}" uniqueName="20" name="Dim 11" queryTableFieldId="20"/>
    <tableColumn id="21" xr3:uid="{00000000-0010-0000-0500-000015000000}" uniqueName="21" name="Dim 11 Max" queryTableFieldId="21"/>
    <tableColumn id="22" xr3:uid="{00000000-0010-0000-0500-000016000000}" uniqueName="22" name="Dim 11 Min" queryTableFieldId="22"/>
    <tableColumn id="23" xr3:uid="{00000000-0010-0000-0500-000017000000}" uniqueName="23" name="Dim 12" queryTableFieldId="23"/>
    <tableColumn id="24" xr3:uid="{00000000-0010-0000-0500-000018000000}" uniqueName="24" name="Dim 12 Max" queryTableFieldId="24"/>
    <tableColumn id="25" xr3:uid="{00000000-0010-0000-0500-000019000000}" uniqueName="25" name="Dim 12 Min" queryTableFieldId="25"/>
    <tableColumn id="26" xr3:uid="{00000000-0010-0000-0500-00001A000000}" uniqueName="26" name="T 1" queryTableFieldId="26"/>
    <tableColumn id="27" xr3:uid="{00000000-0010-0000-0500-00001B000000}" uniqueName="27" name="T 2" queryTableFieldId="27"/>
    <tableColumn id="28" xr3:uid="{00000000-0010-0000-0500-00001C000000}" uniqueName="28" name="T 3" queryTableFieldId="28"/>
    <tableColumn id="29" xr3:uid="{00000000-0010-0000-0500-00001D000000}" uniqueName="29" name="T 4" queryTableFieldId="29"/>
    <tableColumn id="30" xr3:uid="{00000000-0010-0000-0500-00001E000000}" uniqueName="30" name="T 5" queryTableFieldId="30"/>
    <tableColumn id="31" xr3:uid="{00000000-0010-0000-0500-00001F000000}" uniqueName="31" name="T 6" queryTableFieldId="31"/>
    <tableColumn id="32" xr3:uid="{00000000-0010-0000-0500-000020000000}" uniqueName="32" name="T 7" queryTableFieldId="32"/>
    <tableColumn id="33" xr3:uid="{00000000-0010-0000-0500-000021000000}" uniqueName="33" name="T 8" queryTableField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AMP1_2" displayName="AMP1_2" ref="A8:AI107" tableType="queryTable" totalsRowShown="0">
  <autoFilter ref="A8:AI107" xr:uid="{00000000-0009-0000-0100-000003000000}"/>
  <tableColumns count="35">
    <tableColumn id="1" xr3:uid="{00000000-0010-0000-0600-000001000000}" uniqueName="1" name="Blade Serial Number" queryTableFieldId="1"/>
    <tableColumn id="2" xr3:uid="{00000000-0010-0000-0600-000002000000}" uniqueName="2" name="Blade Part Number" queryTableFieldId="2"/>
    <tableColumn id="3" xr3:uid="{00000000-0010-0000-0600-000003000000}" uniqueName="3" name="Date" queryTableFieldId="3" dataDxfId="313"/>
    <tableColumn id="34" xr3:uid="{00000000-0010-0000-0600-000022000000}" uniqueName="34" name="Revision" queryTableFieldId="37" dataDxfId="312"/>
    <tableColumn id="35" xr3:uid="{00000000-0010-0000-0600-000023000000}" uniqueName="35" name="OOT" queryTableFieldId="35" dataDxfId="311">
      <calculatedColumnFormula array="1">SUMPRODUCT(IF(AMP1_2[[#This Row],[Dim 1_1]:[T 8]]-$F$4:$AI$4&lt;0,1,0)+IF($F$5:$AI$5-AMP1_2[[#This Row],[Dim 1_1]:[T 8]]&lt;0,1,0),IF(ISNUMBER(AMP1_2[[#This Row],[Dim 1_1]:[T 8]])=TRUE,1,0))</calculatedColumnFormula>
    </tableColumn>
    <tableColumn id="4" xr3:uid="{00000000-0010-0000-0600-000004000000}" uniqueName="4" name="Dim 1_1" queryTableFieldId="4"/>
    <tableColumn id="5" xr3:uid="{00000000-0010-0000-0600-000005000000}" uniqueName="5" name="Dim 1_2" queryTableFieldId="5"/>
    <tableColumn id="6" xr3:uid="{00000000-0010-0000-0600-000006000000}" uniqueName="6" name="Dim 2_1" queryTableFieldId="6"/>
    <tableColumn id="7" xr3:uid="{00000000-0010-0000-0600-000007000000}" uniqueName="7" name="Dim 2_2" queryTableFieldId="7"/>
    <tableColumn id="8" xr3:uid="{00000000-0010-0000-0600-000008000000}" uniqueName="8" name="Dim 3_1" queryTableFieldId="8"/>
    <tableColumn id="9" xr3:uid="{00000000-0010-0000-0600-000009000000}" uniqueName="9" name="Dim 3_2" queryTableFieldId="9"/>
    <tableColumn id="10" xr3:uid="{00000000-0010-0000-0600-00000A000000}" uniqueName="10" name="Dim 4_1" queryTableFieldId="10"/>
    <tableColumn id="11" xr3:uid="{00000000-0010-0000-0600-00000B000000}" uniqueName="11" name="Dim 4_2" queryTableFieldId="11"/>
    <tableColumn id="12" xr3:uid="{00000000-0010-0000-0600-00000C000000}" uniqueName="12" name="Dim 5_1" queryTableFieldId="12"/>
    <tableColumn id="13" xr3:uid="{00000000-0010-0000-0600-00000D000000}" uniqueName="13" name="Dim 5_2" queryTableFieldId="13"/>
    <tableColumn id="14" xr3:uid="{00000000-0010-0000-0600-00000E000000}" uniqueName="14" name="Dim 6" queryTableFieldId="14"/>
    <tableColumn id="15" xr3:uid="{00000000-0010-0000-0600-00000F000000}" uniqueName="15" name="Dim 7" queryTableFieldId="15"/>
    <tableColumn id="16" xr3:uid="{00000000-0010-0000-0600-000010000000}" uniqueName="16" name="Dim 9_1" queryTableFieldId="16"/>
    <tableColumn id="17" xr3:uid="{00000000-0010-0000-0600-000011000000}" uniqueName="17" name="Dim 9_2" queryTableFieldId="17"/>
    <tableColumn id="18" xr3:uid="{00000000-0010-0000-0600-000012000000}" uniqueName="18" name="Dim 10_1" queryTableFieldId="18"/>
    <tableColumn id="19" xr3:uid="{00000000-0010-0000-0600-000013000000}" uniqueName="19" name="Dim 10_2" queryTableFieldId="19"/>
    <tableColumn id="20" xr3:uid="{00000000-0010-0000-0600-000014000000}" uniqueName="20" name="Dim 11" queryTableFieldId="20"/>
    <tableColumn id="21" xr3:uid="{00000000-0010-0000-0600-000015000000}" uniqueName="21" name="Dim 11 Max" queryTableFieldId="21"/>
    <tableColumn id="22" xr3:uid="{00000000-0010-0000-0600-000016000000}" uniqueName="22" name="Dim 11 Min" queryTableFieldId="22"/>
    <tableColumn id="23" xr3:uid="{00000000-0010-0000-0600-000017000000}" uniqueName="23" name="Dim 12" queryTableFieldId="23"/>
    <tableColumn id="24" xr3:uid="{00000000-0010-0000-0600-000018000000}" uniqueName="24" name="Dim 12 Max" queryTableFieldId="24"/>
    <tableColumn id="25" xr3:uid="{00000000-0010-0000-0600-000019000000}" uniqueName="25" name="Dim 12 Min" queryTableFieldId="25"/>
    <tableColumn id="26" xr3:uid="{00000000-0010-0000-0600-00001A000000}" uniqueName="26" name="T 1" queryTableFieldId="26"/>
    <tableColumn id="27" xr3:uid="{00000000-0010-0000-0600-00001B000000}" uniqueName="27" name="T 2" queryTableFieldId="27"/>
    <tableColumn id="28" xr3:uid="{00000000-0010-0000-0600-00001C000000}" uniqueName="28" name="T 3" queryTableFieldId="28"/>
    <tableColumn id="29" xr3:uid="{00000000-0010-0000-0600-00001D000000}" uniqueName="29" name="T 4" queryTableFieldId="29"/>
    <tableColumn id="30" xr3:uid="{00000000-0010-0000-0600-00001E000000}" uniqueName="30" name="T 5" queryTableFieldId="30"/>
    <tableColumn id="31" xr3:uid="{00000000-0010-0000-0600-00001F000000}" uniqueName="31" name="T 6" queryTableFieldId="31"/>
    <tableColumn id="32" xr3:uid="{00000000-0010-0000-0600-000020000000}" uniqueName="32" name="T 7" queryTableFieldId="32"/>
    <tableColumn id="33" xr3:uid="{00000000-0010-0000-0600-000021000000}" uniqueName="33" name="T 8" queryTableFieldId="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AE1_4" displayName="AE1_4" ref="A8:AI9" tableType="queryTable" insertRow="1" totalsRowShown="0">
  <autoFilter ref="A8:AI9" xr:uid="{00000000-0009-0000-0100-000005000000}"/>
  <tableColumns count="35">
    <tableColumn id="1" xr3:uid="{00000000-0010-0000-0700-000001000000}" uniqueName="1" name="Blade Serial Number" queryTableFieldId="1"/>
    <tableColumn id="2" xr3:uid="{00000000-0010-0000-0700-000002000000}" uniqueName="2" name="Blade Part Number" queryTableFieldId="2"/>
    <tableColumn id="3" xr3:uid="{00000000-0010-0000-0700-000003000000}" uniqueName="3" name="Date" queryTableFieldId="3" dataDxfId="310"/>
    <tableColumn id="34" xr3:uid="{00000000-0010-0000-0700-000022000000}" uniqueName="34" name="Revision" queryTableFieldId="37" dataDxfId="309"/>
    <tableColumn id="35" xr3:uid="{00000000-0010-0000-0700-000023000000}" uniqueName="35" name="OOT" queryTableFieldId="35" dataDxfId="308">
      <calculatedColumnFormula array="1">SUMPRODUCT(IF(AE1_4[[#This Row],[Dim 1_1]:[T 8]]-$F$4:$AI$4&lt;0,1,0)+IF($F$5:$AI$5-AE1_4[[#This Row],[Dim 1_1]:[T 8]]&lt;0,1,0),IF(ISNUMBER(AE1_4[[#This Row],[Dim 1_1]:[T 8]])=TRUE,1,0))</calculatedColumnFormula>
    </tableColumn>
    <tableColumn id="4" xr3:uid="{00000000-0010-0000-0700-000004000000}" uniqueName="4" name="Dim 1_1" queryTableFieldId="4"/>
    <tableColumn id="5" xr3:uid="{00000000-0010-0000-0700-000005000000}" uniqueName="5" name="Dim 1_2" queryTableFieldId="5"/>
    <tableColumn id="6" xr3:uid="{00000000-0010-0000-0700-000006000000}" uniqueName="6" name="Dim 2_1" queryTableFieldId="6"/>
    <tableColumn id="7" xr3:uid="{00000000-0010-0000-0700-000007000000}" uniqueName="7" name="Dim 2_2" queryTableFieldId="7"/>
    <tableColumn id="8" xr3:uid="{00000000-0010-0000-0700-000008000000}" uniqueName="8" name="Dim 3_1" queryTableFieldId="8"/>
    <tableColumn id="9" xr3:uid="{00000000-0010-0000-0700-000009000000}" uniqueName="9" name="Dim 3_2" queryTableFieldId="9"/>
    <tableColumn id="10" xr3:uid="{00000000-0010-0000-0700-00000A000000}" uniqueName="10" name="Dim 4_1" queryTableFieldId="10"/>
    <tableColumn id="11" xr3:uid="{00000000-0010-0000-0700-00000B000000}" uniqueName="11" name="Dim 4_2" queryTableFieldId="11"/>
    <tableColumn id="12" xr3:uid="{00000000-0010-0000-0700-00000C000000}" uniqueName="12" name="Dim 5_1" queryTableFieldId="12"/>
    <tableColumn id="13" xr3:uid="{00000000-0010-0000-0700-00000D000000}" uniqueName="13" name="Dim 5_2" queryTableFieldId="13"/>
    <tableColumn id="14" xr3:uid="{00000000-0010-0000-0700-00000E000000}" uniqueName="14" name="Dim 6" queryTableFieldId="14"/>
    <tableColumn id="15" xr3:uid="{00000000-0010-0000-0700-00000F000000}" uniqueName="15" name="Dim 7" queryTableFieldId="15"/>
    <tableColumn id="16" xr3:uid="{00000000-0010-0000-0700-000010000000}" uniqueName="16" name="Dim 9_1" queryTableFieldId="16"/>
    <tableColumn id="17" xr3:uid="{00000000-0010-0000-0700-000011000000}" uniqueName="17" name="Dim 9_2" queryTableFieldId="17"/>
    <tableColumn id="18" xr3:uid="{00000000-0010-0000-0700-000012000000}" uniqueName="18" name="Dim 10_1" queryTableFieldId="18"/>
    <tableColumn id="19" xr3:uid="{00000000-0010-0000-0700-000013000000}" uniqueName="19" name="Dim 10_2" queryTableFieldId="19"/>
    <tableColumn id="20" xr3:uid="{00000000-0010-0000-0700-000014000000}" uniqueName="20" name="Dim 11" queryTableFieldId="20"/>
    <tableColumn id="21" xr3:uid="{00000000-0010-0000-0700-000015000000}" uniqueName="21" name="Dim 11 Max" queryTableFieldId="21"/>
    <tableColumn id="22" xr3:uid="{00000000-0010-0000-0700-000016000000}" uniqueName="22" name="Dim 11 Min" queryTableFieldId="22"/>
    <tableColumn id="23" xr3:uid="{00000000-0010-0000-0700-000017000000}" uniqueName="23" name="Dim 12" queryTableFieldId="23"/>
    <tableColumn id="24" xr3:uid="{00000000-0010-0000-0700-000018000000}" uniqueName="24" name="Dim 12 Max" queryTableFieldId="24"/>
    <tableColumn id="25" xr3:uid="{00000000-0010-0000-0700-000019000000}" uniqueName="25" name="Dim 12 Min" queryTableFieldId="25"/>
    <tableColumn id="26" xr3:uid="{00000000-0010-0000-0700-00001A000000}" uniqueName="26" name="T 1" queryTableFieldId="26"/>
    <tableColumn id="27" xr3:uid="{00000000-0010-0000-0700-00001B000000}" uniqueName="27" name="T 2" queryTableFieldId="27"/>
    <tableColumn id="28" xr3:uid="{00000000-0010-0000-0700-00001C000000}" uniqueName="28" name="T 3" queryTableFieldId="28"/>
    <tableColumn id="29" xr3:uid="{00000000-0010-0000-0700-00001D000000}" uniqueName="29" name="T 4" queryTableFieldId="29"/>
    <tableColumn id="30" xr3:uid="{00000000-0010-0000-0700-00001E000000}" uniqueName="30" name="T 5" queryTableFieldId="30"/>
    <tableColumn id="31" xr3:uid="{00000000-0010-0000-0700-00001F000000}" uniqueName="31" name="T 6" queryTableFieldId="31"/>
    <tableColumn id="32" xr3:uid="{00000000-0010-0000-0700-000020000000}" uniqueName="32" name="T 7" queryTableFieldId="32"/>
    <tableColumn id="33" xr3:uid="{00000000-0010-0000-0700-000021000000}" uniqueName="33" name="T 8" queryTableField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AMP1_8" displayName="AMP1_8" ref="A8:AI90" tableType="queryTable" totalsRowShown="0">
  <autoFilter ref="A8:AI90" xr:uid="{00000000-0009-0000-0100-000008000000}"/>
  <tableColumns count="35">
    <tableColumn id="1" xr3:uid="{00000000-0010-0000-0800-000001000000}" uniqueName="1" name="Blade Serial Number" queryTableFieldId="1"/>
    <tableColumn id="2" xr3:uid="{00000000-0010-0000-0800-000002000000}" uniqueName="2" name="Blade Part Number" queryTableFieldId="2"/>
    <tableColumn id="3" xr3:uid="{00000000-0010-0000-0800-000003000000}" uniqueName="3" name="Date" queryTableFieldId="3" dataDxfId="307"/>
    <tableColumn id="35" xr3:uid="{00000000-0010-0000-0800-000023000000}" uniqueName="35" name="Revision" queryTableFieldId="35" dataDxfId="306"/>
    <tableColumn id="34" xr3:uid="{00000000-0010-0000-0800-000022000000}" uniqueName="34" name="OOT" queryTableFieldId="34" dataDxfId="305">
      <calculatedColumnFormula array="1">SUMPRODUCT(IF(AMP1_8[[#This Row],[Dim 1_1]:[T 8]]-$F$4:$AI$4&lt;0,1,0)+IF($F$5:$AI$5-AMP1_8[[#This Row],[Dim 1_1]:[T 8]]&lt;0,1,0),IF(ISNUMBER(AMP1_8[[#This Row],[Dim 1_1]:[T 8]])=TRUE,1,0))</calculatedColumnFormula>
    </tableColumn>
    <tableColumn id="4" xr3:uid="{00000000-0010-0000-0800-000004000000}" uniqueName="4" name="Dim 1_1" queryTableFieldId="4"/>
    <tableColumn id="5" xr3:uid="{00000000-0010-0000-0800-000005000000}" uniqueName="5" name="Dim 1_2" queryTableFieldId="5"/>
    <tableColumn id="6" xr3:uid="{00000000-0010-0000-0800-000006000000}" uniqueName="6" name="Dim 2_1" queryTableFieldId="6"/>
    <tableColumn id="7" xr3:uid="{00000000-0010-0000-0800-000007000000}" uniqueName="7" name="Dim 2_2" queryTableFieldId="7"/>
    <tableColumn id="8" xr3:uid="{00000000-0010-0000-0800-000008000000}" uniqueName="8" name="Dim 3_1" queryTableFieldId="8"/>
    <tableColumn id="9" xr3:uid="{00000000-0010-0000-0800-000009000000}" uniqueName="9" name="Dim 3_2" queryTableFieldId="9"/>
    <tableColumn id="10" xr3:uid="{00000000-0010-0000-0800-00000A000000}" uniqueName="10" name="Dim 4_1" queryTableFieldId="10"/>
    <tableColumn id="11" xr3:uid="{00000000-0010-0000-0800-00000B000000}" uniqueName="11" name="Dim 4_2" queryTableFieldId="11"/>
    <tableColumn id="12" xr3:uid="{00000000-0010-0000-0800-00000C000000}" uniqueName="12" name="Dim 5_1" queryTableFieldId="12"/>
    <tableColumn id="13" xr3:uid="{00000000-0010-0000-0800-00000D000000}" uniqueName="13" name="Dim 5_2" queryTableFieldId="13"/>
    <tableColumn id="14" xr3:uid="{00000000-0010-0000-0800-00000E000000}" uniqueName="14" name="Dim 6" queryTableFieldId="14"/>
    <tableColumn id="15" xr3:uid="{00000000-0010-0000-0800-00000F000000}" uniqueName="15" name="Dim 7" queryTableFieldId="15"/>
    <tableColumn id="16" xr3:uid="{00000000-0010-0000-0800-000010000000}" uniqueName="16" name="Dim 9_1" queryTableFieldId="16"/>
    <tableColumn id="17" xr3:uid="{00000000-0010-0000-0800-000011000000}" uniqueName="17" name="Dim 9_2" queryTableFieldId="17"/>
    <tableColumn id="18" xr3:uid="{00000000-0010-0000-0800-000012000000}" uniqueName="18" name="Dim 10_1" queryTableFieldId="18"/>
    <tableColumn id="19" xr3:uid="{00000000-0010-0000-0800-000013000000}" uniqueName="19" name="Dim 10_2" queryTableFieldId="19"/>
    <tableColumn id="20" xr3:uid="{00000000-0010-0000-0800-000014000000}" uniqueName="20" name="Dim 11" queryTableFieldId="20"/>
    <tableColumn id="21" xr3:uid="{00000000-0010-0000-0800-000015000000}" uniqueName="21" name="Dim 11 Max" queryTableFieldId="21"/>
    <tableColumn id="22" xr3:uid="{00000000-0010-0000-0800-000016000000}" uniqueName="22" name="Dim 11 Min" queryTableFieldId="22"/>
    <tableColumn id="23" xr3:uid="{00000000-0010-0000-0800-000017000000}" uniqueName="23" name="Dim 12" queryTableFieldId="23"/>
    <tableColumn id="24" xr3:uid="{00000000-0010-0000-0800-000018000000}" uniqueName="24" name="Dim 12 Max" queryTableFieldId="24"/>
    <tableColumn id="25" xr3:uid="{00000000-0010-0000-0800-000019000000}" uniqueName="25" name="Dim 12 Min" queryTableFieldId="25"/>
    <tableColumn id="26" xr3:uid="{00000000-0010-0000-0800-00001A000000}" uniqueName="26" name="T 1" queryTableFieldId="26"/>
    <tableColumn id="27" xr3:uid="{00000000-0010-0000-0800-00001B000000}" uniqueName="27" name="T 2" queryTableFieldId="27"/>
    <tableColumn id="28" xr3:uid="{00000000-0010-0000-0800-00001C000000}" uniqueName="28" name="T 3" queryTableFieldId="28"/>
    <tableColumn id="29" xr3:uid="{00000000-0010-0000-0800-00001D000000}" uniqueName="29" name="T 4" queryTableFieldId="29"/>
    <tableColumn id="30" xr3:uid="{00000000-0010-0000-0800-00001E000000}" uniqueName="30" name="T 5" queryTableFieldId="30"/>
    <tableColumn id="31" xr3:uid="{00000000-0010-0000-0800-00001F000000}" uniqueName="31" name="T 6" queryTableFieldId="31"/>
    <tableColumn id="32" xr3:uid="{00000000-0010-0000-0800-000020000000}" uniqueName="32" name="T 7" queryTableFieldId="32"/>
    <tableColumn id="33" xr3:uid="{00000000-0010-0000-0800-000021000000}" uniqueName="33" name="T 8" queryTableFieldId="3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377CBC-8ABB-4B67-97C5-E87136BFB193}" name="AMP2_2" displayName="AMP2_2" ref="A8:AI52" tableType="queryTable" totalsRowShown="0">
  <autoFilter ref="A8:AI52" xr:uid="{00000000-0009-0000-0100-000009000000}"/>
  <tableColumns count="35">
    <tableColumn id="1" xr3:uid="{8CBB1B8E-371C-4DA1-9509-B61DD7AE0352}" uniqueName="1" name="Blade Serial Number" queryTableFieldId="1"/>
    <tableColumn id="2" xr3:uid="{A534B856-5B90-4623-AF83-DB6095752980}" uniqueName="2" name="Blade Part Number" queryTableFieldId="2"/>
    <tableColumn id="3" xr3:uid="{E83B4601-49F0-42D2-962E-204C9D3FC68A}" uniqueName="3" name="Date" queryTableFieldId="3" dataDxfId="304"/>
    <tableColumn id="35" xr3:uid="{AC9EA5EC-1E55-465D-98C4-6D1078BF7426}" uniqueName="35" name="Revision" queryTableFieldId="35" dataDxfId="303"/>
    <tableColumn id="34" xr3:uid="{3C889C15-74BA-4258-A5A5-A1B15CE08239}" uniqueName="34" name="OOT" queryTableFieldId="34" dataDxfId="302">
      <calculatedColumnFormula array="1">SUMPRODUCT(IF(AMP2_2[[#This Row],[Dim 1_1]:[T 8]]-$F$4:$AI$4&lt;0,1,0)+IF($F$5:$AI$5-AMP2_2[[#This Row],[Dim 1_1]:[T 8]]&lt;0,1,0),IF(ISNUMBER(AMP2_2[[#This Row],[Dim 1_1]:[T 8]])=TRUE,1,0))</calculatedColumnFormula>
    </tableColumn>
    <tableColumn id="4" xr3:uid="{5D376BBD-5E80-4629-96D4-6732AABA91C2}" uniqueName="4" name="Dim 1_1" queryTableFieldId="4"/>
    <tableColumn id="5" xr3:uid="{72FC9C93-4CFE-468B-8B19-FE24E12B5752}" uniqueName="5" name="Dim 1_2" queryTableFieldId="5"/>
    <tableColumn id="6" xr3:uid="{15514BB8-CD9E-44C8-8CC0-9C55677CFFF3}" uniqueName="6" name="Dim 2_1" queryTableFieldId="6"/>
    <tableColumn id="7" xr3:uid="{DDE183C5-3822-4CD7-A5D9-E311A7070E67}" uniqueName="7" name="Dim 2_2" queryTableFieldId="7"/>
    <tableColumn id="8" xr3:uid="{BC2CDA47-B4DF-40D1-9F1E-21557F6DB24A}" uniqueName="8" name="Dim 3_1" queryTableFieldId="8"/>
    <tableColumn id="9" xr3:uid="{FFC598C0-CF77-4D4F-BF88-4F02CEF905D2}" uniqueName="9" name="Dim 3_2" queryTableFieldId="9"/>
    <tableColumn id="10" xr3:uid="{85EC38C3-A219-47EB-932F-17A5312DBAC6}" uniqueName="10" name="Dim 4_1" queryTableFieldId="10"/>
    <tableColumn id="11" xr3:uid="{C1D97336-957E-404B-BC9A-25044117B691}" uniqueName="11" name="Dim 4_2" queryTableFieldId="11"/>
    <tableColumn id="12" xr3:uid="{EE91DCBE-317F-40C3-BC33-D256959EA66D}" uniqueName="12" name="Dim 5_1" queryTableFieldId="12"/>
    <tableColumn id="13" xr3:uid="{98520589-172E-49C3-8CC1-8B9BA54E2D71}" uniqueName="13" name="Dim 5_2" queryTableFieldId="13"/>
    <tableColumn id="14" xr3:uid="{5F772D8C-F180-48AC-BD83-F7519AF9C305}" uniqueName="14" name="Dim 6" queryTableFieldId="14"/>
    <tableColumn id="15" xr3:uid="{C717B02D-6EF5-4EEB-A95A-10C00381CD94}" uniqueName="15" name="Dim 7" queryTableFieldId="15"/>
    <tableColumn id="16" xr3:uid="{1306AA6E-02D8-42E3-B94B-335453CD0BAD}" uniqueName="16" name="Dim 9_1" queryTableFieldId="16"/>
    <tableColumn id="17" xr3:uid="{57C8D716-D6B9-48F8-ACDC-07F99F6C2E10}" uniqueName="17" name="Dim 9_2" queryTableFieldId="17"/>
    <tableColumn id="18" xr3:uid="{E5E8E427-AC6E-4980-8FCC-E41B42213BB6}" uniqueName="18" name="Dim 10_1" queryTableFieldId="18"/>
    <tableColumn id="19" xr3:uid="{E83B8B9C-7AA3-4537-B81C-861EEF85C423}" uniqueName="19" name="Dim 10_2" queryTableFieldId="19"/>
    <tableColumn id="20" xr3:uid="{33F2EF32-3308-4C43-9285-61992F61DCD1}" uniqueName="20" name="Dim 11" queryTableFieldId="20"/>
    <tableColumn id="21" xr3:uid="{F9B0E9AB-08D4-4285-88FB-C8B80316531E}" uniqueName="21" name="Dim 11 Max" queryTableFieldId="21"/>
    <tableColumn id="22" xr3:uid="{BAA3F786-3F03-4BF6-8F79-350DC47AAC28}" uniqueName="22" name="Dim 11 Min" queryTableFieldId="22"/>
    <tableColumn id="23" xr3:uid="{4F352372-3EFA-424F-8BF0-890380EA20E1}" uniqueName="23" name="Dim 12" queryTableFieldId="23"/>
    <tableColumn id="24" xr3:uid="{6874A579-02D4-4194-9440-CB09AB7FA749}" uniqueName="24" name="Dim 12 Max" queryTableFieldId="24"/>
    <tableColumn id="25" xr3:uid="{85885EC5-2CD9-403A-BCF0-4D03C2B79D77}" uniqueName="25" name="Dim 12 Min" queryTableFieldId="25"/>
    <tableColumn id="26" xr3:uid="{191F3B8E-9846-41B6-AF63-BB609FE1AB2B}" uniqueName="26" name="T 1" queryTableFieldId="26"/>
    <tableColumn id="27" xr3:uid="{8A1B7B4F-96BB-4FD3-AFD7-6304732F4ED8}" uniqueName="27" name="T 2" queryTableFieldId="27"/>
    <tableColumn id="28" xr3:uid="{AB801433-4361-4DE8-A5B3-197784F49848}" uniqueName="28" name="T 3" queryTableFieldId="28"/>
    <tableColumn id="29" xr3:uid="{9F7353C0-A621-4BC2-84E6-E4B991A10A49}" uniqueName="29" name="T 4" queryTableFieldId="29"/>
    <tableColumn id="30" xr3:uid="{FE49C97D-F884-4DD5-814F-78E35B5D918B}" uniqueName="30" name="T 5" queryTableFieldId="30"/>
    <tableColumn id="31" xr3:uid="{898FE5BE-5DB4-40CA-878D-100B34F6843D}" uniqueName="31" name="T 6" queryTableFieldId="31"/>
    <tableColumn id="32" xr3:uid="{BD7D4429-B25A-4535-A30D-F71C3EF11177}" uniqueName="32" name="T 7" queryTableFieldId="32"/>
    <tableColumn id="33" xr3:uid="{DA434402-1C75-4C7F-AE4A-AC5760756F77}" uniqueName="33" name="T 8" queryTableField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AMP2_6" displayName="AMP2_6" ref="A8:AI36" tableType="queryTable" totalsRowShown="0">
  <autoFilter ref="A8:AI36" xr:uid="{00000000-0009-0000-0100-000009000000}"/>
  <tableColumns count="35">
    <tableColumn id="1" xr3:uid="{00000000-0010-0000-0900-000001000000}" uniqueName="1" name="Blade Serial Number" queryTableFieldId="1"/>
    <tableColumn id="2" xr3:uid="{00000000-0010-0000-0900-000002000000}" uniqueName="2" name="Blade Part Number" queryTableFieldId="2"/>
    <tableColumn id="3" xr3:uid="{00000000-0010-0000-0900-000003000000}" uniqueName="3" name="Date" queryTableFieldId="3" dataDxfId="301"/>
    <tableColumn id="35" xr3:uid="{00000000-0010-0000-0900-000023000000}" uniqueName="35" name="Revision" queryTableFieldId="35" dataDxfId="300"/>
    <tableColumn id="34" xr3:uid="{00000000-0010-0000-0900-000022000000}" uniqueName="34" name="OOT" queryTableFieldId="34" dataDxfId="299">
      <calculatedColumnFormula array="1">SUMPRODUCT(IF(AMP2_6[[#This Row],[Dim 1_1]:[T 8]]-$F$4:$AI$4&lt;0,1,0)+IF($F$5:$AI$5-AMP2_6[[#This Row],[Dim 1_1]:[T 8]]&lt;0,1,0),IF(ISNUMBER(AMP2_6[[#This Row],[Dim 1_1]:[T 8]])=TRUE,1,0))</calculatedColumnFormula>
    </tableColumn>
    <tableColumn id="4" xr3:uid="{00000000-0010-0000-0900-000004000000}" uniqueName="4" name="Dim 1_1" queryTableFieldId="4"/>
    <tableColumn id="5" xr3:uid="{00000000-0010-0000-0900-000005000000}" uniqueName="5" name="Dim 1_2" queryTableFieldId="5"/>
    <tableColumn id="6" xr3:uid="{00000000-0010-0000-0900-000006000000}" uniqueName="6" name="Dim 2_1" queryTableFieldId="6"/>
    <tableColumn id="7" xr3:uid="{00000000-0010-0000-0900-000007000000}" uniqueName="7" name="Dim 2_2" queryTableFieldId="7"/>
    <tableColumn id="8" xr3:uid="{00000000-0010-0000-0900-000008000000}" uniqueName="8" name="Dim 3_1" queryTableFieldId="8"/>
    <tableColumn id="9" xr3:uid="{00000000-0010-0000-0900-000009000000}" uniqueName="9" name="Dim 3_2" queryTableFieldId="9"/>
    <tableColumn id="10" xr3:uid="{00000000-0010-0000-0900-00000A000000}" uniqueName="10" name="Dim 4_1" queryTableFieldId="10"/>
    <tableColumn id="11" xr3:uid="{00000000-0010-0000-0900-00000B000000}" uniqueName="11" name="Dim 4_2" queryTableFieldId="11"/>
    <tableColumn id="12" xr3:uid="{00000000-0010-0000-0900-00000C000000}" uniqueName="12" name="Dim 5_1" queryTableFieldId="12"/>
    <tableColumn id="13" xr3:uid="{00000000-0010-0000-0900-00000D000000}" uniqueName="13" name="Dim 5_2" queryTableFieldId="13"/>
    <tableColumn id="14" xr3:uid="{00000000-0010-0000-0900-00000E000000}" uniqueName="14" name="Dim 6" queryTableFieldId="14"/>
    <tableColumn id="15" xr3:uid="{00000000-0010-0000-0900-00000F000000}" uniqueName="15" name="Dim 7" queryTableFieldId="15"/>
    <tableColumn id="16" xr3:uid="{00000000-0010-0000-0900-000010000000}" uniqueName="16" name="Dim 9_1" queryTableFieldId="16"/>
    <tableColumn id="17" xr3:uid="{00000000-0010-0000-0900-000011000000}" uniqueName="17" name="Dim 9_2" queryTableFieldId="17"/>
    <tableColumn id="18" xr3:uid="{00000000-0010-0000-0900-000012000000}" uniqueName="18" name="Dim 10_1" queryTableFieldId="18"/>
    <tableColumn id="19" xr3:uid="{00000000-0010-0000-0900-000013000000}" uniqueName="19" name="Dim 10_2" queryTableFieldId="19"/>
    <tableColumn id="20" xr3:uid="{00000000-0010-0000-0900-000014000000}" uniqueName="20" name="Dim 11" queryTableFieldId="20"/>
    <tableColumn id="21" xr3:uid="{00000000-0010-0000-0900-000015000000}" uniqueName="21" name="Dim 11 Max" queryTableFieldId="21"/>
    <tableColumn id="22" xr3:uid="{00000000-0010-0000-0900-000016000000}" uniqueName="22" name="Dim 11 Min" queryTableFieldId="22"/>
    <tableColumn id="23" xr3:uid="{00000000-0010-0000-0900-000017000000}" uniqueName="23" name="Dim 12" queryTableFieldId="23"/>
    <tableColumn id="24" xr3:uid="{00000000-0010-0000-0900-000018000000}" uniqueName="24" name="Dim 12 Max" queryTableFieldId="24"/>
    <tableColumn id="25" xr3:uid="{00000000-0010-0000-0900-000019000000}" uniqueName="25" name="Dim 12 Min" queryTableFieldId="25"/>
    <tableColumn id="26" xr3:uid="{00000000-0010-0000-0900-00001A000000}" uniqueName="26" name="T 1" queryTableFieldId="26"/>
    <tableColumn id="27" xr3:uid="{00000000-0010-0000-0900-00001B000000}" uniqueName="27" name="T 2" queryTableFieldId="27"/>
    <tableColumn id="28" xr3:uid="{00000000-0010-0000-0900-00001C000000}" uniqueName="28" name="T 3" queryTableFieldId="28"/>
    <tableColumn id="29" xr3:uid="{00000000-0010-0000-0900-00001D000000}" uniqueName="29" name="T 4" queryTableFieldId="29"/>
    <tableColumn id="30" xr3:uid="{00000000-0010-0000-0900-00001E000000}" uniqueName="30" name="T 5" queryTableFieldId="30"/>
    <tableColumn id="31" xr3:uid="{00000000-0010-0000-0900-00001F000000}" uniqueName="31" name="T 6" queryTableFieldId="31"/>
    <tableColumn id="32" xr3:uid="{00000000-0010-0000-0900-000020000000}" uniqueName="32" name="T 7" queryTableFieldId="32"/>
    <tableColumn id="33" xr3:uid="{00000000-0010-0000-0900-000021000000}" uniqueName="33" name="T 8" queryTableFieldId="3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AMP2_8" displayName="AMP2_8" ref="A8:AI9" tableType="queryTable" insertRow="1" totalsRowShown="0">
  <autoFilter ref="A8:AI9" xr:uid="{00000000-0009-0000-0100-00000A000000}"/>
  <sortState xmlns:xlrd2="http://schemas.microsoft.com/office/spreadsheetml/2017/richdata2" ref="A9:AI9">
    <sortCondition ref="C8:C9"/>
  </sortState>
  <tableColumns count="35">
    <tableColumn id="1" xr3:uid="{00000000-0010-0000-0A00-000001000000}" uniqueName="1" name="Blade Serial Number" queryTableFieldId="1"/>
    <tableColumn id="2" xr3:uid="{00000000-0010-0000-0A00-000002000000}" uniqueName="2" name="Blade Part Number" queryTableFieldId="2"/>
    <tableColumn id="3" xr3:uid="{00000000-0010-0000-0A00-000003000000}" uniqueName="3" name="Date" queryTableFieldId="3" dataDxfId="298"/>
    <tableColumn id="35" xr3:uid="{00000000-0010-0000-0A00-000023000000}" uniqueName="35" name="Revision" queryTableFieldId="35" dataDxfId="297"/>
    <tableColumn id="34" xr3:uid="{00000000-0010-0000-0A00-000022000000}" uniqueName="34" name="OOT" queryTableFieldId="34" dataDxfId="296">
      <calculatedColumnFormula array="1">SUMPRODUCT(IF(AMP2_8[[#This Row],[Dim 1_1]:[T 8]]-$F$4:$AI$4&lt;0,1,0)+IF($F$5:$AI$5-AMP2_8[[#This Row],[Dim 1_1]:[T 8]]&lt;0,1,0),IF(ISNUMBER(AMP2_8[[#This Row],[Dim 1_1]:[T 8]])=TRUE,1,0))</calculatedColumnFormula>
    </tableColumn>
    <tableColumn id="4" xr3:uid="{00000000-0010-0000-0A00-000004000000}" uniqueName="4" name="Dim 1_1" queryTableFieldId="4"/>
    <tableColumn id="5" xr3:uid="{00000000-0010-0000-0A00-000005000000}" uniqueName="5" name="Dim 1_2" queryTableFieldId="5"/>
    <tableColumn id="6" xr3:uid="{00000000-0010-0000-0A00-000006000000}" uniqueName="6" name="Dim 2_1" queryTableFieldId="6"/>
    <tableColumn id="7" xr3:uid="{00000000-0010-0000-0A00-000007000000}" uniqueName="7" name="Dim 2_2" queryTableFieldId="7"/>
    <tableColumn id="8" xr3:uid="{00000000-0010-0000-0A00-000008000000}" uniqueName="8" name="Dim 3_1" queryTableFieldId="8"/>
    <tableColumn id="9" xr3:uid="{00000000-0010-0000-0A00-000009000000}" uniqueName="9" name="Dim 3_2" queryTableFieldId="9"/>
    <tableColumn id="10" xr3:uid="{00000000-0010-0000-0A00-00000A000000}" uniqueName="10" name="Dim 4_1" queryTableFieldId="10"/>
    <tableColumn id="11" xr3:uid="{00000000-0010-0000-0A00-00000B000000}" uniqueName="11" name="Dim 4_2" queryTableFieldId="11"/>
    <tableColumn id="12" xr3:uid="{00000000-0010-0000-0A00-00000C000000}" uniqueName="12" name="Dim 5_1" queryTableFieldId="12"/>
    <tableColumn id="13" xr3:uid="{00000000-0010-0000-0A00-00000D000000}" uniqueName="13" name="Dim 5_2" queryTableFieldId="13"/>
    <tableColumn id="14" xr3:uid="{00000000-0010-0000-0A00-00000E000000}" uniqueName="14" name="Dim 6" queryTableFieldId="14"/>
    <tableColumn id="15" xr3:uid="{00000000-0010-0000-0A00-00000F000000}" uniqueName="15" name="Dim 7" queryTableFieldId="15"/>
    <tableColumn id="16" xr3:uid="{00000000-0010-0000-0A00-000010000000}" uniqueName="16" name="Dim 9_1" queryTableFieldId="16"/>
    <tableColumn id="17" xr3:uid="{00000000-0010-0000-0A00-000011000000}" uniqueName="17" name="Dim 9_2" queryTableFieldId="17"/>
    <tableColumn id="18" xr3:uid="{00000000-0010-0000-0A00-000012000000}" uniqueName="18" name="Dim 10_1" queryTableFieldId="18"/>
    <tableColumn id="19" xr3:uid="{00000000-0010-0000-0A00-000013000000}" uniqueName="19" name="Dim 10_2" queryTableFieldId="19"/>
    <tableColumn id="20" xr3:uid="{00000000-0010-0000-0A00-000014000000}" uniqueName="20" name="Dim 11" queryTableFieldId="20"/>
    <tableColumn id="21" xr3:uid="{00000000-0010-0000-0A00-000015000000}" uniqueName="21" name="Dim 11 Max" queryTableFieldId="21"/>
    <tableColumn id="22" xr3:uid="{00000000-0010-0000-0A00-000016000000}" uniqueName="22" name="Dim 11 Min" queryTableFieldId="22"/>
    <tableColumn id="23" xr3:uid="{00000000-0010-0000-0A00-000017000000}" uniqueName="23" name="Dim 12" queryTableFieldId="23"/>
    <tableColumn id="24" xr3:uid="{00000000-0010-0000-0A00-000018000000}" uniqueName="24" name="Dim 12 Max" queryTableFieldId="24"/>
    <tableColumn id="25" xr3:uid="{00000000-0010-0000-0A00-000019000000}" uniqueName="25" name="Dim 12 Min" queryTableFieldId="25"/>
    <tableColumn id="26" xr3:uid="{00000000-0010-0000-0A00-00001A000000}" uniqueName="26" name="T 1" queryTableFieldId="26"/>
    <tableColumn id="27" xr3:uid="{00000000-0010-0000-0A00-00001B000000}" uniqueName="27" name="T 2" queryTableFieldId="27"/>
    <tableColumn id="28" xr3:uid="{00000000-0010-0000-0A00-00001C000000}" uniqueName="28" name="T 3" queryTableFieldId="28"/>
    <tableColumn id="29" xr3:uid="{00000000-0010-0000-0A00-00001D000000}" uniqueName="29" name="T 4" queryTableFieldId="29"/>
    <tableColumn id="30" xr3:uid="{00000000-0010-0000-0A00-00001E000000}" uniqueName="30" name="T 5" queryTableFieldId="30"/>
    <tableColumn id="31" xr3:uid="{00000000-0010-0000-0A00-00001F000000}" uniqueName="31" name="T 6" queryTableFieldId="31"/>
    <tableColumn id="32" xr3:uid="{00000000-0010-0000-0A00-000020000000}" uniqueName="32" name="T 7" queryTableFieldId="32"/>
    <tableColumn id="33" xr3:uid="{00000000-0010-0000-0A00-000021000000}" uniqueName="33" name="T 8" queryTableFieldId="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B000000}" name="AMP3_2" displayName="AMP3_2" ref="A8:AI153" tableType="queryTable" totalsRowShown="0">
  <autoFilter ref="A8:AI153" xr:uid="{00000000-0009-0000-0100-000016000000}"/>
  <tableColumns count="35">
    <tableColumn id="1" xr3:uid="{00000000-0010-0000-0B00-000001000000}" uniqueName="1" name="Blade Serial Number" queryTableFieldId="1"/>
    <tableColumn id="2" xr3:uid="{00000000-0010-0000-0B00-000002000000}" uniqueName="2" name="Blade Part Number" queryTableFieldId="2"/>
    <tableColumn id="3" xr3:uid="{00000000-0010-0000-0B00-000003000000}" uniqueName="3" name="Date" queryTableFieldId="3" dataDxfId="295"/>
    <tableColumn id="36" xr3:uid="{00000000-0010-0000-0B00-000024000000}" uniqueName="36" name="Revision" queryTableFieldId="35" dataDxfId="294"/>
    <tableColumn id="34" xr3:uid="{00000000-0010-0000-0B00-000022000000}" uniqueName="34" name="OOT" queryTableFieldId="34" dataDxfId="293">
      <calculatedColumnFormula array="1">SUMPRODUCT(IF(AMP3_2[[#This Row],[Dim 1_1]:[T 8]]-$F$4:$AI$4&lt;0,1,0)+IF($F$5:$AI$5-AMP3_2[[#This Row],[Dim 1_1]:[T 8]]&lt;0,1,0),IF(ISNUMBER(AMP3_2[[#This Row],[Dim 1_1]:[T 8]])=TRUE,1,0))</calculatedColumnFormula>
    </tableColumn>
    <tableColumn id="4" xr3:uid="{00000000-0010-0000-0B00-000004000000}" uniqueName="4" name="Dim 1_1" queryTableFieldId="4"/>
    <tableColumn id="5" xr3:uid="{00000000-0010-0000-0B00-000005000000}" uniqueName="5" name="Dim 1_2" queryTableFieldId="5"/>
    <tableColumn id="6" xr3:uid="{00000000-0010-0000-0B00-000006000000}" uniqueName="6" name="Dim 2_1" queryTableFieldId="6"/>
    <tableColumn id="7" xr3:uid="{00000000-0010-0000-0B00-000007000000}" uniqueName="7" name="Dim 2_2" queryTableFieldId="7"/>
    <tableColumn id="8" xr3:uid="{00000000-0010-0000-0B00-000008000000}" uniqueName="8" name="Dim 3_1" queryTableFieldId="8"/>
    <tableColumn id="9" xr3:uid="{00000000-0010-0000-0B00-000009000000}" uniqueName="9" name="Dim 3_2" queryTableFieldId="9"/>
    <tableColumn id="10" xr3:uid="{00000000-0010-0000-0B00-00000A000000}" uniqueName="10" name="Dim 4_1" queryTableFieldId="10"/>
    <tableColumn id="11" xr3:uid="{00000000-0010-0000-0B00-00000B000000}" uniqueName="11" name="Dim 4_2" queryTableFieldId="11"/>
    <tableColumn id="12" xr3:uid="{00000000-0010-0000-0B00-00000C000000}" uniqueName="12" name="Dim 5_1" queryTableFieldId="12"/>
    <tableColumn id="13" xr3:uid="{00000000-0010-0000-0B00-00000D000000}" uniqueName="13" name="Dim 5_2" queryTableFieldId="13"/>
    <tableColumn id="14" xr3:uid="{00000000-0010-0000-0B00-00000E000000}" uniqueName="14" name="Dim 6" queryTableFieldId="14"/>
    <tableColumn id="15" xr3:uid="{00000000-0010-0000-0B00-00000F000000}" uniqueName="15" name="Dim 7" queryTableFieldId="15"/>
    <tableColumn id="16" xr3:uid="{00000000-0010-0000-0B00-000010000000}" uniqueName="16" name="Dim 9_1" queryTableFieldId="16"/>
    <tableColumn id="17" xr3:uid="{00000000-0010-0000-0B00-000011000000}" uniqueName="17" name="Dim 9_2" queryTableFieldId="17"/>
    <tableColumn id="18" xr3:uid="{00000000-0010-0000-0B00-000012000000}" uniqueName="18" name="Dim 10_1" queryTableFieldId="18"/>
    <tableColumn id="19" xr3:uid="{00000000-0010-0000-0B00-000013000000}" uniqueName="19" name="Dim 10_2" queryTableFieldId="19"/>
    <tableColumn id="20" xr3:uid="{00000000-0010-0000-0B00-000014000000}" uniqueName="20" name="Dim 11" queryTableFieldId="20"/>
    <tableColumn id="21" xr3:uid="{00000000-0010-0000-0B00-000015000000}" uniqueName="21" name="Dim 11 Max" queryTableFieldId="21"/>
    <tableColumn id="22" xr3:uid="{00000000-0010-0000-0B00-000016000000}" uniqueName="22" name="Dim 11 Min" queryTableFieldId="22"/>
    <tableColumn id="23" xr3:uid="{00000000-0010-0000-0B00-000017000000}" uniqueName="23" name="Dim 12" queryTableFieldId="23"/>
    <tableColumn id="24" xr3:uid="{00000000-0010-0000-0B00-000018000000}" uniqueName="24" name="Dim 12 Max" queryTableFieldId="24"/>
    <tableColumn id="25" xr3:uid="{00000000-0010-0000-0B00-000019000000}" uniqueName="25" name="Dim 12 Min" queryTableFieldId="25"/>
    <tableColumn id="26" xr3:uid="{00000000-0010-0000-0B00-00001A000000}" uniqueName="26" name="T 1" queryTableFieldId="26"/>
    <tableColumn id="27" xr3:uid="{00000000-0010-0000-0B00-00001B000000}" uniqueName="27" name="T 2" queryTableFieldId="27"/>
    <tableColumn id="28" xr3:uid="{00000000-0010-0000-0B00-00001C000000}" uniqueName="28" name="T 3" queryTableFieldId="28"/>
    <tableColumn id="29" xr3:uid="{00000000-0010-0000-0B00-00001D000000}" uniqueName="29" name="T 4" queryTableFieldId="29"/>
    <tableColumn id="30" xr3:uid="{00000000-0010-0000-0B00-00001E000000}" uniqueName="30" name="T 5" queryTableFieldId="30"/>
    <tableColumn id="31" xr3:uid="{00000000-0010-0000-0B00-00001F000000}" uniqueName="31" name="T 6" queryTableFieldId="31"/>
    <tableColumn id="32" xr3:uid="{00000000-0010-0000-0B00-000020000000}" uniqueName="32" name="T 7" queryTableFieldId="32"/>
    <tableColumn id="33" xr3:uid="{00000000-0010-0000-0B00-000021000000}" uniqueName="33" name="T 8" queryTableFieldId="3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C000000}" name="AMP3_4" displayName="AMP3_4" ref="A8:AI150" tableType="queryTable" totalsRowShown="0">
  <autoFilter ref="A8:AI150" xr:uid="{00000000-0009-0000-0100-000014000000}"/>
  <tableColumns count="35">
    <tableColumn id="1" xr3:uid="{00000000-0010-0000-0C00-000001000000}" uniqueName="1" name="Blade Serial Number" queryTableFieldId="1"/>
    <tableColumn id="2" xr3:uid="{00000000-0010-0000-0C00-000002000000}" uniqueName="2" name="Blade Part Number" queryTableFieldId="2"/>
    <tableColumn id="3" xr3:uid="{00000000-0010-0000-0C00-000003000000}" uniqueName="3" name="Date" queryTableFieldId="3" dataDxfId="292"/>
    <tableColumn id="36" xr3:uid="{00000000-0010-0000-0C00-000024000000}" uniqueName="36" name="Revision" queryTableFieldId="35" dataDxfId="291"/>
    <tableColumn id="34" xr3:uid="{00000000-0010-0000-0C00-000022000000}" uniqueName="34" name="OOT" queryTableFieldId="34" dataDxfId="290">
      <calculatedColumnFormula array="1">SUMPRODUCT(IF(AMP3_4[[#This Row],[Dim 1_1]:[T 8]]-$F$4:$AI$4&lt;0,1,0)+IF($F$5:$AI$5-AMP3_4[[#This Row],[Dim 1_1]:[T 8]]&lt;0,1,0),IF(ISNUMBER(AMP3_4[[#This Row],[Dim 1_1]:[T 8]])=TRUE,1,0))</calculatedColumnFormula>
    </tableColumn>
    <tableColumn id="4" xr3:uid="{00000000-0010-0000-0C00-000004000000}" uniqueName="4" name="Dim 1_1" queryTableFieldId="4"/>
    <tableColumn id="5" xr3:uid="{00000000-0010-0000-0C00-000005000000}" uniqueName="5" name="Dim 1_2" queryTableFieldId="5"/>
    <tableColumn id="6" xr3:uid="{00000000-0010-0000-0C00-000006000000}" uniqueName="6" name="Dim 2_1" queryTableFieldId="6"/>
    <tableColumn id="7" xr3:uid="{00000000-0010-0000-0C00-000007000000}" uniqueName="7" name="Dim 2_2" queryTableFieldId="7"/>
    <tableColumn id="8" xr3:uid="{00000000-0010-0000-0C00-000008000000}" uniqueName="8" name="Dim 3_1" queryTableFieldId="8"/>
    <tableColumn id="9" xr3:uid="{00000000-0010-0000-0C00-000009000000}" uniqueName="9" name="Dim 3_2" queryTableFieldId="9"/>
    <tableColumn id="10" xr3:uid="{00000000-0010-0000-0C00-00000A000000}" uniqueName="10" name="Dim 4_1" queryTableFieldId="10"/>
    <tableColumn id="11" xr3:uid="{00000000-0010-0000-0C00-00000B000000}" uniqueName="11" name="Dim 4_2" queryTableFieldId="11"/>
    <tableColumn id="12" xr3:uid="{00000000-0010-0000-0C00-00000C000000}" uniqueName="12" name="Dim 5_1" queryTableFieldId="12"/>
    <tableColumn id="13" xr3:uid="{00000000-0010-0000-0C00-00000D000000}" uniqueName="13" name="Dim 5_2" queryTableFieldId="13"/>
    <tableColumn id="14" xr3:uid="{00000000-0010-0000-0C00-00000E000000}" uniqueName="14" name="Dim 6" queryTableFieldId="14"/>
    <tableColumn id="15" xr3:uid="{00000000-0010-0000-0C00-00000F000000}" uniqueName="15" name="Dim 7" queryTableFieldId="15"/>
    <tableColumn id="16" xr3:uid="{00000000-0010-0000-0C00-000010000000}" uniqueName="16" name="Dim 9_1" queryTableFieldId="16"/>
    <tableColumn id="17" xr3:uid="{00000000-0010-0000-0C00-000011000000}" uniqueName="17" name="Dim 9_2" queryTableFieldId="17"/>
    <tableColumn id="18" xr3:uid="{00000000-0010-0000-0C00-000012000000}" uniqueName="18" name="Dim 10_1" queryTableFieldId="18"/>
    <tableColumn id="19" xr3:uid="{00000000-0010-0000-0C00-000013000000}" uniqueName="19" name="Dim 10_2" queryTableFieldId="19"/>
    <tableColumn id="20" xr3:uid="{00000000-0010-0000-0C00-000014000000}" uniqueName="20" name="Dim 11" queryTableFieldId="20"/>
    <tableColumn id="21" xr3:uid="{00000000-0010-0000-0C00-000015000000}" uniqueName="21" name="Dim 11 Max" queryTableFieldId="21"/>
    <tableColumn id="22" xr3:uid="{00000000-0010-0000-0C00-000016000000}" uniqueName="22" name="Dim 11 Min" queryTableFieldId="22"/>
    <tableColumn id="23" xr3:uid="{00000000-0010-0000-0C00-000017000000}" uniqueName="23" name="Dim 12" queryTableFieldId="23"/>
    <tableColumn id="24" xr3:uid="{00000000-0010-0000-0C00-000018000000}" uniqueName="24" name="Dim 12 Max" queryTableFieldId="24"/>
    <tableColumn id="25" xr3:uid="{00000000-0010-0000-0C00-000019000000}" uniqueName="25" name="Dim 12 Min" queryTableFieldId="25"/>
    <tableColumn id="26" xr3:uid="{00000000-0010-0000-0C00-00001A000000}" uniqueName="26" name="T 1" queryTableFieldId="26"/>
    <tableColumn id="27" xr3:uid="{00000000-0010-0000-0C00-00001B000000}" uniqueName="27" name="T 2" queryTableFieldId="27"/>
    <tableColumn id="28" xr3:uid="{00000000-0010-0000-0C00-00001C000000}" uniqueName="28" name="T 3" queryTableFieldId="28"/>
    <tableColumn id="29" xr3:uid="{00000000-0010-0000-0C00-00001D000000}" uniqueName="29" name="T 4" queryTableFieldId="29"/>
    <tableColumn id="30" xr3:uid="{00000000-0010-0000-0C00-00001E000000}" uniqueName="30" name="T 5" queryTableFieldId="30"/>
    <tableColumn id="31" xr3:uid="{00000000-0010-0000-0C00-00001F000000}" uniqueName="31" name="T 6" queryTableFieldId="31"/>
    <tableColumn id="32" xr3:uid="{00000000-0010-0000-0C00-000020000000}" uniqueName="32" name="T 7" queryTableFieldId="32"/>
    <tableColumn id="33" xr3:uid="{00000000-0010-0000-0C00-000021000000}" uniqueName="33" name="T 8" queryTableField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AMP4_2" displayName="AMP4_2" ref="A8:AI188" tableType="queryTable" totalsRowShown="0">
  <autoFilter ref="A8:AI188" xr:uid="{00000000-0009-0000-0100-000012000000}"/>
  <tableColumns count="35">
    <tableColumn id="1" xr3:uid="{00000000-0010-0000-0D00-000001000000}" uniqueName="1" name="Blade Serial Number" queryTableFieldId="1"/>
    <tableColumn id="2" xr3:uid="{00000000-0010-0000-0D00-000002000000}" uniqueName="2" name="Blade Part Number" queryTableFieldId="2"/>
    <tableColumn id="3" xr3:uid="{00000000-0010-0000-0D00-000003000000}" uniqueName="3" name="Date" queryTableFieldId="3" dataDxfId="289"/>
    <tableColumn id="36" xr3:uid="{00000000-0010-0000-0D00-000024000000}" uniqueName="36" name="Revision" queryTableFieldId="35" dataDxfId="288"/>
    <tableColumn id="34" xr3:uid="{00000000-0010-0000-0D00-000022000000}" uniqueName="34" name="OOT" queryTableFieldId="34" dataDxfId="287">
      <calculatedColumnFormula array="1">SUMPRODUCT(IF(AMP6_4[[#This Row],[Dim 1_1]:[T 8]]-$F$4:$AI$4&lt;0,1,0)+IF($F$5:$AI$5-AMP6_4[[#This Row],[Dim 1_1]:[T 8]]&lt;0,1,0),IF(ISNUMBER(AMP6_4[[#This Row],[Dim 1_1]:[T 8]])=TRUE,1,0))</calculatedColumnFormula>
    </tableColumn>
    <tableColumn id="4" xr3:uid="{00000000-0010-0000-0D00-000004000000}" uniqueName="4" name="Dim 1_1" queryTableFieldId="4"/>
    <tableColumn id="5" xr3:uid="{00000000-0010-0000-0D00-000005000000}" uniqueName="5" name="Dim 1_2" queryTableFieldId="5"/>
    <tableColumn id="6" xr3:uid="{00000000-0010-0000-0D00-000006000000}" uniqueName="6" name="Dim 2_1" queryTableFieldId="6"/>
    <tableColumn id="7" xr3:uid="{00000000-0010-0000-0D00-000007000000}" uniqueName="7" name="Dim 2_2" queryTableFieldId="7"/>
    <tableColumn id="8" xr3:uid="{00000000-0010-0000-0D00-000008000000}" uniqueName="8" name="Dim 3_1" queryTableFieldId="8"/>
    <tableColumn id="9" xr3:uid="{00000000-0010-0000-0D00-000009000000}" uniqueName="9" name="Dim 3_2" queryTableFieldId="9"/>
    <tableColumn id="10" xr3:uid="{00000000-0010-0000-0D00-00000A000000}" uniqueName="10" name="Dim 4_1" queryTableFieldId="10"/>
    <tableColumn id="11" xr3:uid="{00000000-0010-0000-0D00-00000B000000}" uniqueName="11" name="Dim 4_2" queryTableFieldId="11"/>
    <tableColumn id="12" xr3:uid="{00000000-0010-0000-0D00-00000C000000}" uniqueName="12" name="Dim 5_1" queryTableFieldId="12"/>
    <tableColumn id="13" xr3:uid="{00000000-0010-0000-0D00-00000D000000}" uniqueName="13" name="Dim 5_2" queryTableFieldId="13"/>
    <tableColumn id="14" xr3:uid="{00000000-0010-0000-0D00-00000E000000}" uniqueName="14" name="Dim 6" queryTableFieldId="14"/>
    <tableColumn id="15" xr3:uid="{00000000-0010-0000-0D00-00000F000000}" uniqueName="15" name="Dim 7" queryTableFieldId="15"/>
    <tableColumn id="16" xr3:uid="{00000000-0010-0000-0D00-000010000000}" uniqueName="16" name="Dim 9_1" queryTableFieldId="16"/>
    <tableColumn id="17" xr3:uid="{00000000-0010-0000-0D00-000011000000}" uniqueName="17" name="Dim 9_2" queryTableFieldId="17"/>
    <tableColumn id="18" xr3:uid="{00000000-0010-0000-0D00-000012000000}" uniqueName="18" name="Dim 10_1" queryTableFieldId="18"/>
    <tableColumn id="19" xr3:uid="{00000000-0010-0000-0D00-000013000000}" uniqueName="19" name="Dim 10_2" queryTableFieldId="19"/>
    <tableColumn id="20" xr3:uid="{00000000-0010-0000-0D00-000014000000}" uniqueName="20" name="Dim 11" queryTableFieldId="20"/>
    <tableColumn id="21" xr3:uid="{00000000-0010-0000-0D00-000015000000}" uniqueName="21" name="Dim 11 Max" queryTableFieldId="21"/>
    <tableColumn id="22" xr3:uid="{00000000-0010-0000-0D00-000016000000}" uniqueName="22" name="Dim 11 Min" queryTableFieldId="22"/>
    <tableColumn id="23" xr3:uid="{00000000-0010-0000-0D00-000017000000}" uniqueName="23" name="Dim 12" queryTableFieldId="23"/>
    <tableColumn id="24" xr3:uid="{00000000-0010-0000-0D00-000018000000}" uniqueName="24" name="Dim 12 Max" queryTableFieldId="24"/>
    <tableColumn id="25" xr3:uid="{00000000-0010-0000-0D00-000019000000}" uniqueName="25" name="Dim 12 Min" queryTableFieldId="25"/>
    <tableColumn id="26" xr3:uid="{00000000-0010-0000-0D00-00001A000000}" uniqueName="26" name="T 1" queryTableFieldId="26"/>
    <tableColumn id="27" xr3:uid="{00000000-0010-0000-0D00-00001B000000}" uniqueName="27" name="T 2" queryTableFieldId="27"/>
    <tableColumn id="28" xr3:uid="{00000000-0010-0000-0D00-00001C000000}" uniqueName="28" name="T 3" queryTableFieldId="28"/>
    <tableColumn id="29" xr3:uid="{00000000-0010-0000-0D00-00001D000000}" uniqueName="29" name="T 4" queryTableFieldId="29"/>
    <tableColumn id="30" xr3:uid="{00000000-0010-0000-0D00-00001E000000}" uniqueName="30" name="T 5" queryTableFieldId="30"/>
    <tableColumn id="31" xr3:uid="{00000000-0010-0000-0D00-00001F000000}" uniqueName="31" name="T 6" queryTableFieldId="31"/>
    <tableColumn id="32" xr3:uid="{00000000-0010-0000-0D00-000020000000}" uniqueName="32" name="T 7" queryTableFieldId="32"/>
    <tableColumn id="33" xr3:uid="{00000000-0010-0000-0D00-000021000000}" uniqueName="33" name="T 8" queryTableFieldId="3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E000000}" name="AMP4_4" displayName="AMP4_4" ref="A8:AI176" tableType="queryTable" totalsRowShown="0">
  <autoFilter ref="A8:AI176" xr:uid="{00000000-0009-0000-0100-000013000000}"/>
  <tableColumns count="35">
    <tableColumn id="1" xr3:uid="{00000000-0010-0000-0E00-000001000000}" uniqueName="1" name="Blade Serial Number" queryTableFieldId="1"/>
    <tableColumn id="2" xr3:uid="{00000000-0010-0000-0E00-000002000000}" uniqueName="2" name="Blade Part Number" queryTableFieldId="2"/>
    <tableColumn id="3" xr3:uid="{00000000-0010-0000-0E00-000003000000}" uniqueName="3" name="Date" queryTableFieldId="3" dataDxfId="286"/>
    <tableColumn id="36" xr3:uid="{00000000-0010-0000-0E00-000024000000}" uniqueName="36" name="Revision" queryTableFieldId="35" dataDxfId="285"/>
    <tableColumn id="34" xr3:uid="{00000000-0010-0000-0E00-000022000000}" uniqueName="34" name="OOT" queryTableFieldId="34" dataDxfId="284">
      <calculatedColumnFormula array="1">SUMPRODUCT(IF(AMP4_4[[#This Row],[Dim 1_1]:[T 8]]-$F$4:$AI$4&lt;0,1,0)+IF($F$5:$AI$5-AMP4_4[[#This Row],[Dim 1_1]:[T 8]]&lt;0,1,0),IF(ISNUMBER(AMP4_4[[#This Row],[Dim 1_1]:[T 8]])=TRUE,1,0))</calculatedColumnFormula>
    </tableColumn>
    <tableColumn id="4" xr3:uid="{00000000-0010-0000-0E00-000004000000}" uniqueName="4" name="Dim 1_1" queryTableFieldId="4"/>
    <tableColumn id="5" xr3:uid="{00000000-0010-0000-0E00-000005000000}" uniqueName="5" name="Dim 1_2" queryTableFieldId="5"/>
    <tableColumn id="6" xr3:uid="{00000000-0010-0000-0E00-000006000000}" uniqueName="6" name="Dim 2_1" queryTableFieldId="6"/>
    <tableColumn id="7" xr3:uid="{00000000-0010-0000-0E00-000007000000}" uniqueName="7" name="Dim 2_2" queryTableFieldId="7"/>
    <tableColumn id="8" xr3:uid="{00000000-0010-0000-0E00-000008000000}" uniqueName="8" name="Dim 3_1" queryTableFieldId="8"/>
    <tableColumn id="9" xr3:uid="{00000000-0010-0000-0E00-000009000000}" uniqueName="9" name="Dim 3_2" queryTableFieldId="9"/>
    <tableColumn id="10" xr3:uid="{00000000-0010-0000-0E00-00000A000000}" uniqueName="10" name="Dim 4_1" queryTableFieldId="10"/>
    <tableColumn id="11" xr3:uid="{00000000-0010-0000-0E00-00000B000000}" uniqueName="11" name="Dim 4_2" queryTableFieldId="11"/>
    <tableColumn id="12" xr3:uid="{00000000-0010-0000-0E00-00000C000000}" uniqueName="12" name="Dim 5_1" queryTableFieldId="12"/>
    <tableColumn id="13" xr3:uid="{00000000-0010-0000-0E00-00000D000000}" uniqueName="13" name="Dim 5_2" queryTableFieldId="13"/>
    <tableColumn id="14" xr3:uid="{00000000-0010-0000-0E00-00000E000000}" uniqueName="14" name="Dim 6" queryTableFieldId="14"/>
    <tableColumn id="15" xr3:uid="{00000000-0010-0000-0E00-00000F000000}" uniqueName="15" name="Dim 7" queryTableFieldId="15"/>
    <tableColumn id="16" xr3:uid="{00000000-0010-0000-0E00-000010000000}" uniqueName="16" name="Dim 9_1" queryTableFieldId="16"/>
    <tableColumn id="17" xr3:uid="{00000000-0010-0000-0E00-000011000000}" uniqueName="17" name="Dim 9_2" queryTableFieldId="17"/>
    <tableColumn id="18" xr3:uid="{00000000-0010-0000-0E00-000012000000}" uniqueName="18" name="Dim 10_1" queryTableFieldId="18"/>
    <tableColumn id="19" xr3:uid="{00000000-0010-0000-0E00-000013000000}" uniqueName="19" name="Dim 10_2" queryTableFieldId="19"/>
    <tableColumn id="20" xr3:uid="{00000000-0010-0000-0E00-000014000000}" uniqueName="20" name="Dim 11" queryTableFieldId="20"/>
    <tableColumn id="21" xr3:uid="{00000000-0010-0000-0E00-000015000000}" uniqueName="21" name="Dim 11 Max" queryTableFieldId="21"/>
    <tableColumn id="22" xr3:uid="{00000000-0010-0000-0E00-000016000000}" uniqueName="22" name="Dim 11 Min" queryTableFieldId="22"/>
    <tableColumn id="23" xr3:uid="{00000000-0010-0000-0E00-000017000000}" uniqueName="23" name="Dim 12" queryTableFieldId="23"/>
    <tableColumn id="24" xr3:uid="{00000000-0010-0000-0E00-000018000000}" uniqueName="24" name="Dim 12 Max" queryTableFieldId="24"/>
    <tableColumn id="25" xr3:uid="{00000000-0010-0000-0E00-000019000000}" uniqueName="25" name="Dim 12 Min" queryTableFieldId="25"/>
    <tableColumn id="26" xr3:uid="{00000000-0010-0000-0E00-00001A000000}" uniqueName="26" name="T 1" queryTableFieldId="26"/>
    <tableColumn id="27" xr3:uid="{00000000-0010-0000-0E00-00001B000000}" uniqueName="27" name="T 2" queryTableFieldId="27"/>
    <tableColumn id="28" xr3:uid="{00000000-0010-0000-0E00-00001C000000}" uniqueName="28" name="T 3" queryTableFieldId="28"/>
    <tableColumn id="29" xr3:uid="{00000000-0010-0000-0E00-00001D000000}" uniqueName="29" name="T 4" queryTableFieldId="29"/>
    <tableColumn id="30" xr3:uid="{00000000-0010-0000-0E00-00001E000000}" uniqueName="30" name="T 5" queryTableFieldId="30"/>
    <tableColumn id="31" xr3:uid="{00000000-0010-0000-0E00-00001F000000}" uniqueName="31" name="T 6" queryTableFieldId="31"/>
    <tableColumn id="32" xr3:uid="{00000000-0010-0000-0E00-000020000000}" uniqueName="32" name="T 7" queryTableFieldId="32"/>
    <tableColumn id="33" xr3:uid="{00000000-0010-0000-0E00-000021000000}" uniqueName="33" name="T 8" queryTableFieldId="3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F000000}" name="AMP1_6" displayName="AMP1_6" ref="A8:AI106" tableType="queryTable" totalsRowShown="0">
  <autoFilter ref="A8:AI106" xr:uid="{00000000-0009-0000-0100-000007000000}">
    <filterColumn colId="1">
      <filters>
        <filter val="060053-1"/>
      </filters>
    </filterColumn>
  </autoFilter>
  <tableColumns count="35">
    <tableColumn id="1" xr3:uid="{00000000-0010-0000-0F00-000001000000}" uniqueName="1" name="Blade Serial Number" queryTableFieldId="1"/>
    <tableColumn id="2" xr3:uid="{00000000-0010-0000-0F00-000002000000}" uniqueName="2" name="Blade Part Number" queryTableFieldId="2"/>
    <tableColumn id="3" xr3:uid="{00000000-0010-0000-0F00-000003000000}" uniqueName="3" name="Date" queryTableFieldId="3" dataDxfId="283"/>
    <tableColumn id="34" xr3:uid="{00000000-0010-0000-0F00-000022000000}" uniqueName="34" name="Revision" queryTableFieldId="37" dataDxfId="282"/>
    <tableColumn id="35" xr3:uid="{00000000-0010-0000-0F00-000023000000}" uniqueName="35" name="OOT" queryTableFieldId="35" dataDxfId="281">
      <calculatedColumnFormula array="1">SUMPRODUCT(IF(AMP1_6[[#This Row],[Dim 1_1]:[T 8]]-$F$4:$AI$4&lt;0,1,0)+IF($F$5:$AI$5-AMP1_6[[#This Row],[Dim 1_1]:[T 8]]&lt;0,1,0),IF(ISNUMBER(AMP1_6[[#This Row],[Dim 1_1]:[T 8]])=TRUE,1,0))</calculatedColumnFormula>
    </tableColumn>
    <tableColumn id="4" xr3:uid="{00000000-0010-0000-0F00-000004000000}" uniqueName="4" name="Dim 1_1" queryTableFieldId="4"/>
    <tableColumn id="5" xr3:uid="{00000000-0010-0000-0F00-000005000000}" uniqueName="5" name="Dim 1_2" queryTableFieldId="5"/>
    <tableColumn id="6" xr3:uid="{00000000-0010-0000-0F00-000006000000}" uniqueName="6" name="Dim 2_1" queryTableFieldId="6"/>
    <tableColumn id="7" xr3:uid="{00000000-0010-0000-0F00-000007000000}" uniqueName="7" name="Dim 2_2" queryTableFieldId="7"/>
    <tableColumn id="8" xr3:uid="{00000000-0010-0000-0F00-000008000000}" uniqueName="8" name="Dim 3_1" queryTableFieldId="8"/>
    <tableColumn id="9" xr3:uid="{00000000-0010-0000-0F00-000009000000}" uniqueName="9" name="Dim 3_2" queryTableFieldId="9"/>
    <tableColumn id="10" xr3:uid="{00000000-0010-0000-0F00-00000A000000}" uniqueName="10" name="Dim 4_1" queryTableFieldId="10"/>
    <tableColumn id="11" xr3:uid="{00000000-0010-0000-0F00-00000B000000}" uniqueName="11" name="Dim 4_2" queryTableFieldId="11"/>
    <tableColumn id="12" xr3:uid="{00000000-0010-0000-0F00-00000C000000}" uniqueName="12" name="Dim 5_1" queryTableFieldId="12"/>
    <tableColumn id="13" xr3:uid="{00000000-0010-0000-0F00-00000D000000}" uniqueName="13" name="Dim 5_2" queryTableFieldId="13"/>
    <tableColumn id="14" xr3:uid="{00000000-0010-0000-0F00-00000E000000}" uniqueName="14" name="Dim 6" queryTableFieldId="14"/>
    <tableColumn id="15" xr3:uid="{00000000-0010-0000-0F00-00000F000000}" uniqueName="15" name="Dim 7" queryTableFieldId="15"/>
    <tableColumn id="16" xr3:uid="{00000000-0010-0000-0F00-000010000000}" uniqueName="16" name="Dim 9_1" queryTableFieldId="16"/>
    <tableColumn id="17" xr3:uid="{00000000-0010-0000-0F00-000011000000}" uniqueName="17" name="Dim 9_2" queryTableFieldId="17"/>
    <tableColumn id="18" xr3:uid="{00000000-0010-0000-0F00-000012000000}" uniqueName="18" name="Dim 10_1" queryTableFieldId="18"/>
    <tableColumn id="19" xr3:uid="{00000000-0010-0000-0F00-000013000000}" uniqueName="19" name="Dim 10_2" queryTableFieldId="19"/>
    <tableColumn id="20" xr3:uid="{00000000-0010-0000-0F00-000014000000}" uniqueName="20" name="Dim 11" queryTableFieldId="20"/>
    <tableColumn id="21" xr3:uid="{00000000-0010-0000-0F00-000015000000}" uniqueName="21" name="Dim 11 Max" queryTableFieldId="21"/>
    <tableColumn id="22" xr3:uid="{00000000-0010-0000-0F00-000016000000}" uniqueName="22" name="Dim 11 Min" queryTableFieldId="22"/>
    <tableColumn id="23" xr3:uid="{00000000-0010-0000-0F00-000017000000}" uniqueName="23" name="Dim 12" queryTableFieldId="23"/>
    <tableColumn id="24" xr3:uid="{00000000-0010-0000-0F00-000018000000}" uniqueName="24" name="Dim 12 Max" queryTableFieldId="24"/>
    <tableColumn id="25" xr3:uid="{00000000-0010-0000-0F00-000019000000}" uniqueName="25" name="Dim 12 Min" queryTableFieldId="25"/>
    <tableColumn id="26" xr3:uid="{00000000-0010-0000-0F00-00001A000000}" uniqueName="26" name="T 1" queryTableFieldId="26"/>
    <tableColumn id="27" xr3:uid="{00000000-0010-0000-0F00-00001B000000}" uniqueName="27" name="T 2" queryTableFieldId="27"/>
    <tableColumn id="28" xr3:uid="{00000000-0010-0000-0F00-00001C000000}" uniqueName="28" name="T 3" queryTableFieldId="28"/>
    <tableColumn id="29" xr3:uid="{00000000-0010-0000-0F00-00001D000000}" uniqueName="29" name="T 4" queryTableFieldId="29"/>
    <tableColumn id="30" xr3:uid="{00000000-0010-0000-0F00-00001E000000}" uniqueName="30" name="T 5" queryTableFieldId="30"/>
    <tableColumn id="31" xr3:uid="{00000000-0010-0000-0F00-00001F000000}" uniqueName="31" name="T 6" queryTableFieldId="31"/>
    <tableColumn id="32" xr3:uid="{00000000-0010-0000-0F00-000020000000}" uniqueName="32" name="T 7" queryTableFieldId="32"/>
    <tableColumn id="33" xr3:uid="{00000000-0010-0000-0F00-000021000000}" uniqueName="33" name="T 8" queryTableFieldId="3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0000000}" name="AMP5_2" displayName="AMP5_2" ref="A8:AI137" tableType="queryTable" totalsRowShown="0">
  <autoFilter ref="A8:AI137" xr:uid="{00000000-0009-0000-0100-00000F000000}"/>
  <tableColumns count="35">
    <tableColumn id="1" xr3:uid="{00000000-0010-0000-1000-000001000000}" uniqueName="1" name="Blade Serial Number" queryTableFieldId="1"/>
    <tableColumn id="2" xr3:uid="{00000000-0010-0000-1000-000002000000}" uniqueName="2" name="Blade Part Number" queryTableFieldId="2"/>
    <tableColumn id="3" xr3:uid="{00000000-0010-0000-1000-000003000000}" uniqueName="3" name="Date" queryTableFieldId="3" dataDxfId="280"/>
    <tableColumn id="36" xr3:uid="{00000000-0010-0000-1000-000024000000}" uniqueName="36" name="Revision" queryTableFieldId="35" dataDxfId="279"/>
    <tableColumn id="34" xr3:uid="{00000000-0010-0000-1000-000022000000}" uniqueName="34" name="OOT" queryTableFieldId="34" dataDxfId="278">
      <calculatedColumnFormula array="1">SUMPRODUCT(IF(AMP5_2[[#This Row],[Dim 1_1]:[T 8]]-$F$4:$AI$4&lt;0,1,0)+IF($F$5:$AI$5-AMP5_2[[#This Row],[Dim 1_1]:[T 8]]&lt;0,1,0),IF(ISNUMBER(AMP5_2[[#This Row],[Dim 1_1]:[T 8]])=TRUE,1,0))</calculatedColumnFormula>
    </tableColumn>
    <tableColumn id="4" xr3:uid="{00000000-0010-0000-1000-000004000000}" uniqueName="4" name="Dim 1_1" queryTableFieldId="4"/>
    <tableColumn id="5" xr3:uid="{00000000-0010-0000-1000-000005000000}" uniqueName="5" name="Dim 1_2" queryTableFieldId="5"/>
    <tableColumn id="6" xr3:uid="{00000000-0010-0000-1000-000006000000}" uniqueName="6" name="Dim 2_1" queryTableFieldId="6"/>
    <tableColumn id="7" xr3:uid="{00000000-0010-0000-1000-000007000000}" uniqueName="7" name="Dim 2_2" queryTableFieldId="7"/>
    <tableColumn id="8" xr3:uid="{00000000-0010-0000-1000-000008000000}" uniqueName="8" name="Dim 3_1" queryTableFieldId="8"/>
    <tableColumn id="9" xr3:uid="{00000000-0010-0000-1000-000009000000}" uniqueName="9" name="Dim 3_2" queryTableFieldId="9"/>
    <tableColumn id="10" xr3:uid="{00000000-0010-0000-1000-00000A000000}" uniqueName="10" name="Dim 4_1" queryTableFieldId="10"/>
    <tableColumn id="11" xr3:uid="{00000000-0010-0000-1000-00000B000000}" uniqueName="11" name="Dim 4_2" queryTableFieldId="11"/>
    <tableColumn id="12" xr3:uid="{00000000-0010-0000-1000-00000C000000}" uniqueName="12" name="Dim 5_1" queryTableFieldId="12"/>
    <tableColumn id="13" xr3:uid="{00000000-0010-0000-1000-00000D000000}" uniqueName="13" name="Dim 5_2" queryTableFieldId="13"/>
    <tableColumn id="14" xr3:uid="{00000000-0010-0000-1000-00000E000000}" uniqueName="14" name="Dim 6" queryTableFieldId="14"/>
    <tableColumn id="15" xr3:uid="{00000000-0010-0000-1000-00000F000000}" uniqueName="15" name="Dim 7" queryTableFieldId="15"/>
    <tableColumn id="16" xr3:uid="{00000000-0010-0000-1000-000010000000}" uniqueName="16" name="Dim 9_1" queryTableFieldId="16"/>
    <tableColumn id="17" xr3:uid="{00000000-0010-0000-1000-000011000000}" uniqueName="17" name="Dim 9_2" queryTableFieldId="17"/>
    <tableColumn id="18" xr3:uid="{00000000-0010-0000-1000-000012000000}" uniqueName="18" name="Dim 10_1" queryTableFieldId="18"/>
    <tableColumn id="19" xr3:uid="{00000000-0010-0000-1000-000013000000}" uniqueName="19" name="Dim 10_2" queryTableFieldId="19"/>
    <tableColumn id="20" xr3:uid="{00000000-0010-0000-1000-000014000000}" uniqueName="20" name="Dim 11" queryTableFieldId="20"/>
    <tableColumn id="21" xr3:uid="{00000000-0010-0000-1000-000015000000}" uniqueName="21" name="Dim 11 Max" queryTableFieldId="21"/>
    <tableColumn id="22" xr3:uid="{00000000-0010-0000-1000-000016000000}" uniqueName="22" name="Dim 11 Min" queryTableFieldId="22"/>
    <tableColumn id="23" xr3:uid="{00000000-0010-0000-1000-000017000000}" uniqueName="23" name="Dim 12" queryTableFieldId="23"/>
    <tableColumn id="24" xr3:uid="{00000000-0010-0000-1000-000018000000}" uniqueName="24" name="Dim 12 Max" queryTableFieldId="24"/>
    <tableColumn id="25" xr3:uid="{00000000-0010-0000-1000-000019000000}" uniqueName="25" name="Dim 12 Min" queryTableFieldId="25"/>
    <tableColumn id="26" xr3:uid="{00000000-0010-0000-1000-00001A000000}" uniqueName="26" name="T 1" queryTableFieldId="26"/>
    <tableColumn id="27" xr3:uid="{00000000-0010-0000-1000-00001B000000}" uniqueName="27" name="T 2" queryTableFieldId="27"/>
    <tableColumn id="28" xr3:uid="{00000000-0010-0000-1000-00001C000000}" uniqueName="28" name="T 3" queryTableFieldId="28"/>
    <tableColumn id="29" xr3:uid="{00000000-0010-0000-1000-00001D000000}" uniqueName="29" name="T 4" queryTableFieldId="29"/>
    <tableColumn id="30" xr3:uid="{00000000-0010-0000-1000-00001E000000}" uniqueName="30" name="T 5" queryTableFieldId="30"/>
    <tableColumn id="31" xr3:uid="{00000000-0010-0000-1000-00001F000000}" uniqueName="31" name="T 6" queryTableFieldId="31"/>
    <tableColumn id="32" xr3:uid="{00000000-0010-0000-1000-000020000000}" uniqueName="32" name="T 7" queryTableFieldId="32"/>
    <tableColumn id="33" xr3:uid="{00000000-0010-0000-1000-000021000000}" uniqueName="33" name="T 8" queryTableFieldId="3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1000000}" name="AMP5_4" displayName="AMP5_4" ref="A8:AI132" tableType="queryTable" totalsRowShown="0">
  <autoFilter ref="A8:AI132" xr:uid="{00000000-0009-0000-0100-00000D000000}"/>
  <tableColumns count="35">
    <tableColumn id="1" xr3:uid="{00000000-0010-0000-1100-000001000000}" uniqueName="1" name="Blade Serial Number" queryTableFieldId="1"/>
    <tableColumn id="2" xr3:uid="{00000000-0010-0000-1100-000002000000}" uniqueName="2" name="Blade Part Number" queryTableFieldId="2"/>
    <tableColumn id="3" xr3:uid="{00000000-0010-0000-1100-000003000000}" uniqueName="3" name="Date" queryTableFieldId="3" dataDxfId="277"/>
    <tableColumn id="35" xr3:uid="{00000000-0010-0000-1100-000023000000}" uniqueName="35" name="Revision" queryTableFieldId="35" dataDxfId="276"/>
    <tableColumn id="34" xr3:uid="{00000000-0010-0000-1100-000022000000}" uniqueName="34" name="OOT" queryTableFieldId="34" dataDxfId="275">
      <calculatedColumnFormula array="1">SUMPRODUCT(IF(AMP5_4[[#This Row],[Dim 1_1]:[T 8]]-$F$4:$AI$4&lt;0,1,0)+IF($F$5:$AI$5-AMP5_4[[#This Row],[Dim 1_1]:[T 8]]&lt;0,1,0),IF(ISNUMBER(AMP5_4[[#This Row],[Dim 1_1]:[T 8]])=TRUE,1,0))</calculatedColumnFormula>
    </tableColumn>
    <tableColumn id="4" xr3:uid="{00000000-0010-0000-1100-000004000000}" uniqueName="4" name="Dim 1_1" queryTableFieldId="4"/>
    <tableColumn id="5" xr3:uid="{00000000-0010-0000-1100-000005000000}" uniqueName="5" name="Dim 1_2" queryTableFieldId="5"/>
    <tableColumn id="6" xr3:uid="{00000000-0010-0000-1100-000006000000}" uniqueName="6" name="Dim 2_1" queryTableFieldId="6"/>
    <tableColumn id="7" xr3:uid="{00000000-0010-0000-1100-000007000000}" uniqueName="7" name="Dim 2_2" queryTableFieldId="7"/>
    <tableColumn id="8" xr3:uid="{00000000-0010-0000-1100-000008000000}" uniqueName="8" name="Dim 3_1" queryTableFieldId="8"/>
    <tableColumn id="9" xr3:uid="{00000000-0010-0000-1100-000009000000}" uniqueName="9" name="Dim 3_2" queryTableFieldId="9"/>
    <tableColumn id="10" xr3:uid="{00000000-0010-0000-1100-00000A000000}" uniqueName="10" name="Dim 4_1" queryTableFieldId="10"/>
    <tableColumn id="11" xr3:uid="{00000000-0010-0000-1100-00000B000000}" uniqueName="11" name="Dim 4_2" queryTableFieldId="11"/>
    <tableColumn id="12" xr3:uid="{00000000-0010-0000-1100-00000C000000}" uniqueName="12" name="Dim 5_1" queryTableFieldId="12"/>
    <tableColumn id="13" xr3:uid="{00000000-0010-0000-1100-00000D000000}" uniqueName="13" name="Dim 5_2" queryTableFieldId="13"/>
    <tableColumn id="14" xr3:uid="{00000000-0010-0000-1100-00000E000000}" uniqueName="14" name="Dim 6" queryTableFieldId="14"/>
    <tableColumn id="15" xr3:uid="{00000000-0010-0000-1100-00000F000000}" uniqueName="15" name="Dim 7" queryTableFieldId="15"/>
    <tableColumn id="16" xr3:uid="{00000000-0010-0000-1100-000010000000}" uniqueName="16" name="Dim 9_1" queryTableFieldId="16"/>
    <tableColumn id="17" xr3:uid="{00000000-0010-0000-1100-000011000000}" uniqueName="17" name="Dim 9_2" queryTableFieldId="17"/>
    <tableColumn id="18" xr3:uid="{00000000-0010-0000-1100-000012000000}" uniqueName="18" name="Dim 10_1" queryTableFieldId="18"/>
    <tableColumn id="19" xr3:uid="{00000000-0010-0000-1100-000013000000}" uniqueName="19" name="Dim 10_2" queryTableFieldId="19"/>
    <tableColumn id="20" xr3:uid="{00000000-0010-0000-1100-000014000000}" uniqueName="20" name="Dim 11" queryTableFieldId="20"/>
    <tableColumn id="21" xr3:uid="{00000000-0010-0000-1100-000015000000}" uniqueName="21" name="Dim 11 Max" queryTableFieldId="21"/>
    <tableColumn id="22" xr3:uid="{00000000-0010-0000-1100-000016000000}" uniqueName="22" name="Dim 11 Min" queryTableFieldId="22"/>
    <tableColumn id="23" xr3:uid="{00000000-0010-0000-1100-000017000000}" uniqueName="23" name="Dim 12" queryTableFieldId="23"/>
    <tableColumn id="24" xr3:uid="{00000000-0010-0000-1100-000018000000}" uniqueName="24" name="Dim 12 Max" queryTableFieldId="24"/>
    <tableColumn id="25" xr3:uid="{00000000-0010-0000-1100-000019000000}" uniqueName="25" name="Dim 12 Min" queryTableFieldId="25"/>
    <tableColumn id="26" xr3:uid="{00000000-0010-0000-1100-00001A000000}" uniqueName="26" name="T 1" queryTableFieldId="26"/>
    <tableColumn id="27" xr3:uid="{00000000-0010-0000-1100-00001B000000}" uniqueName="27" name="T 2" queryTableFieldId="27"/>
    <tableColumn id="28" xr3:uid="{00000000-0010-0000-1100-00001C000000}" uniqueName="28" name="T 3" queryTableFieldId="28"/>
    <tableColumn id="29" xr3:uid="{00000000-0010-0000-1100-00001D000000}" uniqueName="29" name="T 4" queryTableFieldId="29"/>
    <tableColumn id="30" xr3:uid="{00000000-0010-0000-1100-00001E000000}" uniqueName="30" name="T 5" queryTableFieldId="30"/>
    <tableColumn id="31" xr3:uid="{00000000-0010-0000-1100-00001F000000}" uniqueName="31" name="T 6" queryTableFieldId="31"/>
    <tableColumn id="32" xr3:uid="{00000000-0010-0000-1100-000020000000}" uniqueName="32" name="T 7" queryTableFieldId="32"/>
    <tableColumn id="33" xr3:uid="{00000000-0010-0000-1100-000021000000}" uniqueName="33" name="T 8" queryTableFieldId="3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2000000}" name="AMP6_2" displayName="AMP6_2" ref="A8:AI60" tableType="queryTable" totalsRowShown="0">
  <autoFilter ref="A8:AI60" xr:uid="{00000000-0009-0000-0100-00000E000000}"/>
  <tableColumns count="35">
    <tableColumn id="1" xr3:uid="{00000000-0010-0000-1200-000001000000}" uniqueName="1" name="Blade Serial Number" queryTableFieldId="1"/>
    <tableColumn id="2" xr3:uid="{00000000-0010-0000-1200-000002000000}" uniqueName="2" name="Blade Part Number" queryTableFieldId="2"/>
    <tableColumn id="3" xr3:uid="{00000000-0010-0000-1200-000003000000}" uniqueName="3" name="Date" queryTableFieldId="3" dataDxfId="274"/>
    <tableColumn id="35" xr3:uid="{00000000-0010-0000-1200-000023000000}" uniqueName="35" name="Revision" queryTableFieldId="35" dataDxfId="273"/>
    <tableColumn id="34" xr3:uid="{00000000-0010-0000-1200-000022000000}" uniqueName="34" name="OOT" queryTableFieldId="34" dataDxfId="272">
      <calculatedColumnFormula array="1">SUMPRODUCT(IF(AMP6_2[[#This Row],[Dim 1_1]:[T 8]]-$F$4:$AI$4&lt;0,1,0)+IF($F$5:$AI$5-AMP6_2[[#This Row],[Dim 1_1]:[T 8]]&lt;0,1,0),IF(ISNUMBER(AMP6_2[[#This Row],[Dim 1_1]:[T 8]])=TRUE,1,0))</calculatedColumnFormula>
    </tableColumn>
    <tableColumn id="4" xr3:uid="{00000000-0010-0000-1200-000004000000}" uniqueName="4" name="Dim 1_1" queryTableFieldId="4"/>
    <tableColumn id="5" xr3:uid="{00000000-0010-0000-1200-000005000000}" uniqueName="5" name="Dim 1_2" queryTableFieldId="5"/>
    <tableColumn id="6" xr3:uid="{00000000-0010-0000-1200-000006000000}" uniqueName="6" name="Dim 2_1" queryTableFieldId="6"/>
    <tableColumn id="7" xr3:uid="{00000000-0010-0000-1200-000007000000}" uniqueName="7" name="Dim 2_2" queryTableFieldId="7"/>
    <tableColumn id="8" xr3:uid="{00000000-0010-0000-1200-000008000000}" uniqueName="8" name="Dim 3_1" queryTableFieldId="8"/>
    <tableColumn id="9" xr3:uid="{00000000-0010-0000-1200-000009000000}" uniqueName="9" name="Dim 3_2" queryTableFieldId="9"/>
    <tableColumn id="10" xr3:uid="{00000000-0010-0000-1200-00000A000000}" uniqueName="10" name="Dim 4_1" queryTableFieldId="10"/>
    <tableColumn id="11" xr3:uid="{00000000-0010-0000-1200-00000B000000}" uniqueName="11" name="Dim 4_2" queryTableFieldId="11"/>
    <tableColumn id="12" xr3:uid="{00000000-0010-0000-1200-00000C000000}" uniqueName="12" name="Dim 5_1" queryTableFieldId="12"/>
    <tableColumn id="13" xr3:uid="{00000000-0010-0000-1200-00000D000000}" uniqueName="13" name="Dim 5_2" queryTableFieldId="13"/>
    <tableColumn id="14" xr3:uid="{00000000-0010-0000-1200-00000E000000}" uniqueName="14" name="Dim 6" queryTableFieldId="14"/>
    <tableColumn id="15" xr3:uid="{00000000-0010-0000-1200-00000F000000}" uniqueName="15" name="Dim 7" queryTableFieldId="15"/>
    <tableColumn id="16" xr3:uid="{00000000-0010-0000-1200-000010000000}" uniqueName="16" name="Dim 9_1" queryTableFieldId="16"/>
    <tableColumn id="17" xr3:uid="{00000000-0010-0000-1200-000011000000}" uniqueName="17" name="Dim 9_2" queryTableFieldId="17"/>
    <tableColumn id="18" xr3:uid="{00000000-0010-0000-1200-000012000000}" uniqueName="18" name="Dim 10_1" queryTableFieldId="18"/>
    <tableColumn id="19" xr3:uid="{00000000-0010-0000-1200-000013000000}" uniqueName="19" name="Dim 10_2" queryTableFieldId="19"/>
    <tableColumn id="20" xr3:uid="{00000000-0010-0000-1200-000014000000}" uniqueName="20" name="Dim 11" queryTableFieldId="20"/>
    <tableColumn id="21" xr3:uid="{00000000-0010-0000-1200-000015000000}" uniqueName="21" name="Dim 11 Max" queryTableFieldId="21"/>
    <tableColumn id="22" xr3:uid="{00000000-0010-0000-1200-000016000000}" uniqueName="22" name="Dim 11 Min" queryTableFieldId="22"/>
    <tableColumn id="23" xr3:uid="{00000000-0010-0000-1200-000017000000}" uniqueName="23" name="Dim 12" queryTableFieldId="23"/>
    <tableColumn id="24" xr3:uid="{00000000-0010-0000-1200-000018000000}" uniqueName="24" name="Dim 12 Max" queryTableFieldId="24"/>
    <tableColumn id="25" xr3:uid="{00000000-0010-0000-1200-000019000000}" uniqueName="25" name="Dim 12 Min" queryTableFieldId="25"/>
    <tableColumn id="26" xr3:uid="{00000000-0010-0000-1200-00001A000000}" uniqueName="26" name="T 1" queryTableFieldId="26"/>
    <tableColumn id="27" xr3:uid="{00000000-0010-0000-1200-00001B000000}" uniqueName="27" name="T 2" queryTableFieldId="27"/>
    <tableColumn id="28" xr3:uid="{00000000-0010-0000-1200-00001C000000}" uniqueName="28" name="T 3" queryTableFieldId="28"/>
    <tableColumn id="29" xr3:uid="{00000000-0010-0000-1200-00001D000000}" uniqueName="29" name="T 4" queryTableFieldId="29"/>
    <tableColumn id="30" xr3:uid="{00000000-0010-0000-1200-00001E000000}" uniqueName="30" name="T 5" queryTableFieldId="30"/>
    <tableColumn id="31" xr3:uid="{00000000-0010-0000-1200-00001F000000}" uniqueName="31" name="T 6" queryTableFieldId="31"/>
    <tableColumn id="32" xr3:uid="{00000000-0010-0000-1200-000020000000}" uniqueName="32" name="T 7" queryTableFieldId="32"/>
    <tableColumn id="33" xr3:uid="{00000000-0010-0000-1200-000021000000}" uniqueName="33" name="T 8" queryTableFieldId="3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3000000}" name="AMP6_4" displayName="AMP6_4" ref="A8:AI60" tableType="queryTable" totalsRowShown="0">
  <autoFilter ref="A8:AI60" xr:uid="{00000000-0009-0000-0100-00000B000000}"/>
  <tableColumns count="35">
    <tableColumn id="1" xr3:uid="{00000000-0010-0000-1300-000001000000}" uniqueName="1" name="Blade Serial Number" queryTableFieldId="1"/>
    <tableColumn id="2" xr3:uid="{00000000-0010-0000-1300-000002000000}" uniqueName="2" name="Blade Part Number" queryTableFieldId="2"/>
    <tableColumn id="3" xr3:uid="{00000000-0010-0000-1300-000003000000}" uniqueName="3" name="Date" queryTableFieldId="3" dataDxfId="271"/>
    <tableColumn id="35" xr3:uid="{00000000-0010-0000-1300-000023000000}" uniqueName="35" name="Revision" queryTableFieldId="35" dataDxfId="270"/>
    <tableColumn id="34" xr3:uid="{00000000-0010-0000-1300-000022000000}" uniqueName="34" name="OOT" queryTableFieldId="34" dataDxfId="269">
      <calculatedColumnFormula array="1">SUMPRODUCT(IF(AMP6_4[[#This Row],[Dim 1_1]:[T 8]]-$F$4:$AI$4&lt;0,1,0)+IF($F$5:$AI$5-AMP6_4[[#This Row],[Dim 1_1]:[T 8]]&lt;0,1,0),IF(ISNUMBER(AMP6_4[[#This Row],[Dim 1_1]:[T 8]])=TRUE,1,0))</calculatedColumnFormula>
    </tableColumn>
    <tableColumn id="4" xr3:uid="{00000000-0010-0000-1300-000004000000}" uniqueName="4" name="Dim 1_1" queryTableFieldId="4"/>
    <tableColumn id="5" xr3:uid="{00000000-0010-0000-1300-000005000000}" uniqueName="5" name="Dim 1_2" queryTableFieldId="5"/>
    <tableColumn id="6" xr3:uid="{00000000-0010-0000-1300-000006000000}" uniqueName="6" name="Dim 2_1" queryTableFieldId="6"/>
    <tableColumn id="7" xr3:uid="{00000000-0010-0000-1300-000007000000}" uniqueName="7" name="Dim 2_2" queryTableFieldId="7"/>
    <tableColumn id="8" xr3:uid="{00000000-0010-0000-1300-000008000000}" uniqueName="8" name="Dim 3_1" queryTableFieldId="8"/>
    <tableColumn id="9" xr3:uid="{00000000-0010-0000-1300-000009000000}" uniqueName="9" name="Dim 3_2" queryTableFieldId="9"/>
    <tableColumn id="10" xr3:uid="{00000000-0010-0000-1300-00000A000000}" uniqueName="10" name="Dim 4_1" queryTableFieldId="10"/>
    <tableColumn id="11" xr3:uid="{00000000-0010-0000-1300-00000B000000}" uniqueName="11" name="Dim 4_2" queryTableFieldId="11"/>
    <tableColumn id="12" xr3:uid="{00000000-0010-0000-1300-00000C000000}" uniqueName="12" name="Dim 5_1" queryTableFieldId="12"/>
    <tableColumn id="13" xr3:uid="{00000000-0010-0000-1300-00000D000000}" uniqueName="13" name="Dim 5_2" queryTableFieldId="13"/>
    <tableColumn id="14" xr3:uid="{00000000-0010-0000-1300-00000E000000}" uniqueName="14" name="Dim 6" queryTableFieldId="14"/>
    <tableColumn id="15" xr3:uid="{00000000-0010-0000-1300-00000F000000}" uniqueName="15" name="Dim 7" queryTableFieldId="15"/>
    <tableColumn id="16" xr3:uid="{00000000-0010-0000-1300-000010000000}" uniqueName="16" name="Dim 9_1" queryTableFieldId="16"/>
    <tableColumn id="17" xr3:uid="{00000000-0010-0000-1300-000011000000}" uniqueName="17" name="Dim 9_2" queryTableFieldId="17"/>
    <tableColumn id="18" xr3:uid="{00000000-0010-0000-1300-000012000000}" uniqueName="18" name="Dim 10_1" queryTableFieldId="18"/>
    <tableColumn id="19" xr3:uid="{00000000-0010-0000-1300-000013000000}" uniqueName="19" name="Dim 10_2" queryTableFieldId="19"/>
    <tableColumn id="20" xr3:uid="{00000000-0010-0000-1300-000014000000}" uniqueName="20" name="Dim 11" queryTableFieldId="20"/>
    <tableColumn id="21" xr3:uid="{00000000-0010-0000-1300-000015000000}" uniqueName="21" name="Dim 11 Max" queryTableFieldId="21"/>
    <tableColumn id="22" xr3:uid="{00000000-0010-0000-1300-000016000000}" uniqueName="22" name="Dim 11 Min" queryTableFieldId="22"/>
    <tableColumn id="23" xr3:uid="{00000000-0010-0000-1300-000017000000}" uniqueName="23" name="Dim 12" queryTableFieldId="23"/>
    <tableColumn id="24" xr3:uid="{00000000-0010-0000-1300-000018000000}" uniqueName="24" name="Dim 12 Max" queryTableFieldId="24"/>
    <tableColumn id="25" xr3:uid="{00000000-0010-0000-1300-000019000000}" uniqueName="25" name="Dim 12 Min" queryTableFieldId="25"/>
    <tableColumn id="26" xr3:uid="{00000000-0010-0000-1300-00001A000000}" uniqueName="26" name="T 1" queryTableFieldId="26"/>
    <tableColumn id="27" xr3:uid="{00000000-0010-0000-1300-00001B000000}" uniqueName="27" name="T 2" queryTableFieldId="27"/>
    <tableColumn id="28" xr3:uid="{00000000-0010-0000-1300-00001C000000}" uniqueName="28" name="T 3" queryTableFieldId="28"/>
    <tableColumn id="29" xr3:uid="{00000000-0010-0000-1300-00001D000000}" uniqueName="29" name="T 4" queryTableFieldId="29"/>
    <tableColumn id="30" xr3:uid="{00000000-0010-0000-1300-00001E000000}" uniqueName="30" name="T 5" queryTableFieldId="30"/>
    <tableColumn id="31" xr3:uid="{00000000-0010-0000-1300-00001F000000}" uniqueName="31" name="T 6" queryTableFieldId="31"/>
    <tableColumn id="32" xr3:uid="{00000000-0010-0000-1300-000020000000}" uniqueName="32" name="T 7" queryTableFieldId="32"/>
    <tableColumn id="33" xr3:uid="{00000000-0010-0000-1300-000021000000}" uniqueName="33" name="T 8" queryTableFieldId="3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E4A3F28-896D-44C8-9843-D736E1CC0090}" name="AMP6_6" displayName="AMP6_6" ref="A8:AI9" tableType="queryTable" insertRow="1" totalsRowShown="0">
  <autoFilter ref="A8:AI9" xr:uid="{00000000-0009-0000-0100-00000B000000}"/>
  <tableColumns count="35">
    <tableColumn id="1" xr3:uid="{BFA44CA4-2B7A-4EFF-A187-5BA30985A35F}" uniqueName="1" name="Blade Serial Number" queryTableFieldId="1"/>
    <tableColumn id="2" xr3:uid="{A0574A34-EFF7-4C48-BF50-27E71803152A}" uniqueName="2" name="Blade Part Number" queryTableFieldId="2"/>
    <tableColumn id="3" xr3:uid="{22D09AAD-211F-4228-B8AF-5740CEF37D11}" uniqueName="3" name="Date" queryTableFieldId="3" dataDxfId="268"/>
    <tableColumn id="35" xr3:uid="{A32D37B5-6859-482B-B0C1-AD1BB5659403}" uniqueName="35" name="Revision" queryTableFieldId="35" dataDxfId="267"/>
    <tableColumn id="34" xr3:uid="{A79D8109-B69C-4ECD-BA16-7141354DE2B8}" uniqueName="34" name="OOT" queryTableFieldId="34" dataDxfId="266">
      <calculatedColumnFormula array="1">SUMPRODUCT(IF(AMP6_6[[#This Row],[Dim 1_1]:[T 8]]-$F$4:$AI$4&lt;0,1,0)+IF($F$5:$AI$5-AMP6_6[[#This Row],[Dim 1_1]:[T 8]]&lt;0,1,0),IF(ISNUMBER(AMP6_6[[#This Row],[Dim 1_1]:[T 8]])=TRUE,1,0))</calculatedColumnFormula>
    </tableColumn>
    <tableColumn id="4" xr3:uid="{05F704FE-6A92-4CAD-93BE-2CF57FDA9FFF}" uniqueName="4" name="Dim 1_1" queryTableFieldId="4"/>
    <tableColumn id="5" xr3:uid="{A127A10E-55D3-4D3F-9ADE-919C8E8B548D}" uniqueName="5" name="Dim 1_2" queryTableFieldId="5"/>
    <tableColumn id="6" xr3:uid="{07FC53E0-587B-4FFA-ABB9-9B09A0E8E585}" uniqueName="6" name="Dim 2_1" queryTableFieldId="6"/>
    <tableColumn id="7" xr3:uid="{2B6FAA97-DC7B-4FDE-AF77-91ABADAF4950}" uniqueName="7" name="Dim 2_2" queryTableFieldId="7"/>
    <tableColumn id="8" xr3:uid="{B7BDF776-04CB-4A30-BA3D-4F7F851A6441}" uniqueName="8" name="Dim 3_1" queryTableFieldId="8"/>
    <tableColumn id="9" xr3:uid="{C5FA8F7E-8C22-4FDE-B84A-ED9D97F26672}" uniqueName="9" name="Dim 3_2" queryTableFieldId="9"/>
    <tableColumn id="10" xr3:uid="{95B3C5DA-E0AB-4427-B18E-2566F20F3AD6}" uniqueName="10" name="Dim 4_1" queryTableFieldId="10"/>
    <tableColumn id="11" xr3:uid="{D14DE128-4823-4DCE-8132-283233096A30}" uniqueName="11" name="Dim 4_2" queryTableFieldId="11"/>
    <tableColumn id="12" xr3:uid="{0EC7FCF7-5C60-426A-9EA0-8C5CCEECAEE2}" uniqueName="12" name="Dim 5_1" queryTableFieldId="12"/>
    <tableColumn id="13" xr3:uid="{3D684C89-1710-4889-B15D-A69A009EF2ED}" uniqueName="13" name="Dim 5_2" queryTableFieldId="13"/>
    <tableColumn id="14" xr3:uid="{6FC3B023-F79A-4EA9-87FB-22ABC2BA7AAD}" uniqueName="14" name="Dim 6" queryTableFieldId="14"/>
    <tableColumn id="15" xr3:uid="{D5289357-F9DA-4F28-8BE1-89CF3F6FFAD9}" uniqueName="15" name="Dim 7" queryTableFieldId="15"/>
    <tableColumn id="16" xr3:uid="{B7962C78-6048-4A41-BAAC-C9E16E9EEDC6}" uniqueName="16" name="Dim 9_1" queryTableFieldId="16"/>
    <tableColumn id="17" xr3:uid="{C6E7CAC2-509D-4424-81F5-56478457908B}" uniqueName="17" name="Dim 9_2" queryTableFieldId="17"/>
    <tableColumn id="18" xr3:uid="{D0D3BA6F-306D-4158-AB23-455D99BD5B84}" uniqueName="18" name="Dim 10_1" queryTableFieldId="18"/>
    <tableColumn id="19" xr3:uid="{333282D7-A6B9-47E9-A5BC-2092B4C0655D}" uniqueName="19" name="Dim 10_2" queryTableFieldId="19"/>
    <tableColumn id="20" xr3:uid="{8792F6C9-2098-42CC-BB71-6C4F45CF506C}" uniqueName="20" name="Dim 11" queryTableFieldId="20"/>
    <tableColumn id="21" xr3:uid="{00213B68-5197-4125-8089-07AF7F695856}" uniqueName="21" name="Dim 11 Max" queryTableFieldId="21"/>
    <tableColumn id="22" xr3:uid="{433D00F5-E590-442B-AA32-3BDFCD90A963}" uniqueName="22" name="Dim 11 Min" queryTableFieldId="22"/>
    <tableColumn id="23" xr3:uid="{381C5C71-0A15-4EBC-882B-E6FC70C705DB}" uniqueName="23" name="Dim 12" queryTableFieldId="23"/>
    <tableColumn id="24" xr3:uid="{C8EAF849-4C34-42D4-AD9D-26D157C50C70}" uniqueName="24" name="Dim 12 Max" queryTableFieldId="24"/>
    <tableColumn id="25" xr3:uid="{76D2804B-ADB4-4A9B-8724-B7D5DDCAA3A6}" uniqueName="25" name="Dim 12 Min" queryTableFieldId="25"/>
    <tableColumn id="26" xr3:uid="{5D7B5173-B957-4486-B108-16EAFF75F351}" uniqueName="26" name="T 1" queryTableFieldId="26"/>
    <tableColumn id="27" xr3:uid="{E2BD92FF-AC26-4E85-A15C-67F7ACF8F2D1}" uniqueName="27" name="T 2" queryTableFieldId="27"/>
    <tableColumn id="28" xr3:uid="{466B02C8-F970-4C6B-B09B-106524CFEB74}" uniqueName="28" name="T 3" queryTableFieldId="28"/>
    <tableColumn id="29" xr3:uid="{9154A686-4629-482E-A0FB-898B48D8B2F4}" uniqueName="29" name="T 4" queryTableFieldId="29"/>
    <tableColumn id="30" xr3:uid="{E1073415-B48D-40C4-9838-729B52E8BAD9}" uniqueName="30" name="T 5" queryTableFieldId="30"/>
    <tableColumn id="31" xr3:uid="{141D255E-B212-49F9-A1FA-3704CF043F5F}" uniqueName="31" name="T 6" queryTableFieldId="31"/>
    <tableColumn id="32" xr3:uid="{DED7B74B-F2E7-4867-BF27-79CC3E221CBF}" uniqueName="32" name="T 7" queryTableFieldId="32"/>
    <tableColumn id="33" xr3:uid="{0302E2A8-CD73-4AEE-80EF-431118C3DCA5}" uniqueName="33" name="T 8" queryTableFieldId="3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AC0E9C4-5E29-4E60-958F-1A7E2E337566}" name="AMP6_8" displayName="AMP6_8" ref="A8:AM20" tableType="queryTable" totalsRowShown="0">
  <autoFilter ref="A8:AM20" xr:uid="{00000000-0009-0000-0100-00000B000000}"/>
  <tableColumns count="39">
    <tableColumn id="1" xr3:uid="{6B16195D-BD0C-4BE8-945D-F491467CFA13}" uniqueName="1" name="Blade Serial Number" queryTableFieldId="1"/>
    <tableColumn id="2" xr3:uid="{EEDC8C92-93F0-4D04-8D18-657C07726D6A}" uniqueName="2" name="Blade Part Number" queryTableFieldId="2"/>
    <tableColumn id="3" xr3:uid="{D595A71E-D3F9-4CE5-BE42-73AF447B4458}" uniqueName="3" name="Date" queryTableFieldId="3" dataDxfId="265"/>
    <tableColumn id="35" xr3:uid="{65D96950-21B2-49E6-A28E-970688348EA6}" uniqueName="35" name="Revision" queryTableFieldId="35" dataDxfId="264"/>
    <tableColumn id="34" xr3:uid="{172222DB-CA0E-41D7-A873-EDE3648D93A0}" uniqueName="34" name="OOT" queryTableFieldId="34" dataDxfId="263">
      <calculatedColumnFormula array="1">SUMPRODUCT(IF(AMP6_8[[#This Row],[Dim 1_1]:[T 8]]-$F$4:$AI$4&lt;0,1,0)+IF($F$5:$AI$5-AMP6_8[[#This Row],[Dim 1_1]:[T 8]]&lt;0,1,0),IF(ISNUMBER(AMP6_8[[#This Row],[Dim 1_1]:[T 8]])=TRUE,1,0))</calculatedColumnFormula>
    </tableColumn>
    <tableColumn id="4" xr3:uid="{FE5EC4E5-0509-4D0E-9AD4-EB631D0CE67B}" uniqueName="4" name="Dim 1_1" queryTableFieldId="4"/>
    <tableColumn id="5" xr3:uid="{84783C2D-EDDA-490F-B466-6AD03948788B}" uniqueName="5" name="Dim 1_2" queryTableFieldId="5"/>
    <tableColumn id="6" xr3:uid="{981D0C3B-9299-42A1-BAE1-8B9310B895D1}" uniqueName="6" name="Dim 2_1" queryTableFieldId="6"/>
    <tableColumn id="7" xr3:uid="{D91781C3-879A-4D87-AFF8-F36689D8BAD4}" uniqueName="7" name="Dim 2_2" queryTableFieldId="7"/>
    <tableColumn id="8" xr3:uid="{11073498-3587-4BE2-B7CA-EE1089B9877B}" uniqueName="8" name="Dim 3_1" queryTableFieldId="8"/>
    <tableColumn id="9" xr3:uid="{B1E41714-26C6-4789-8DE2-DF5550314472}" uniqueName="9" name="Dim 3_2" queryTableFieldId="9"/>
    <tableColumn id="10" xr3:uid="{EB04B107-A50B-4075-8B41-43D23A7C8721}" uniqueName="10" name="Dim 4_1" queryTableFieldId="10"/>
    <tableColumn id="11" xr3:uid="{EDE3A8F6-10FA-448B-973B-9F329DC075AB}" uniqueName="11" name="Dim 4_2" queryTableFieldId="11"/>
    <tableColumn id="12" xr3:uid="{03C1ACAF-9D29-4098-8C35-D5711376DDAD}" uniqueName="12" name="Dim 5_1" queryTableFieldId="12"/>
    <tableColumn id="13" xr3:uid="{D5CAAE7C-871D-4DB6-B1E7-F11F4749DCBB}" uniqueName="13" name="Dim 5_2" queryTableFieldId="13"/>
    <tableColumn id="14" xr3:uid="{8145A273-7BE1-41FF-B9F3-2CA5A0D23757}" uniqueName="14" name="Dim 6" queryTableFieldId="14"/>
    <tableColumn id="15" xr3:uid="{A1918532-1E74-4924-B183-68467D66A308}" uniqueName="15" name="Dim 7" queryTableFieldId="15"/>
    <tableColumn id="16" xr3:uid="{13F210C7-298A-4721-9B8C-9A5CF8E3F50A}" uniqueName="16" name="Dim 9_1" queryTableFieldId="16"/>
    <tableColumn id="17" xr3:uid="{4A764D4A-2E27-4F52-8CB8-D39323B4893D}" uniqueName="17" name="Dim 9_2" queryTableFieldId="17"/>
    <tableColumn id="18" xr3:uid="{F4D8B608-2C2C-4BC2-A064-BABB1BFFA91B}" uniqueName="18" name="Dim 10_1" queryTableFieldId="18"/>
    <tableColumn id="19" xr3:uid="{C47C936B-A710-47A3-93F0-87A7E1381E0B}" uniqueName="19" name="Dim 10_2" queryTableFieldId="19"/>
    <tableColumn id="20" xr3:uid="{1F5FF565-FEBB-472C-8476-614D3B950D49}" uniqueName="20" name="Dim 11" queryTableFieldId="20"/>
    <tableColumn id="21" xr3:uid="{8940796A-4027-4135-972B-89664FF63222}" uniqueName="21" name="Dim 11 Max" queryTableFieldId="21"/>
    <tableColumn id="22" xr3:uid="{7690B21B-309D-4250-83F0-4D3A85231175}" uniqueName="22" name="Dim 11 Min" queryTableFieldId="22"/>
    <tableColumn id="23" xr3:uid="{A690F597-EE96-4395-8BF6-226D79C72245}" uniqueName="23" name="Dim 12" queryTableFieldId="23"/>
    <tableColumn id="24" xr3:uid="{DFA80EFE-B1EF-4EA2-884C-9BD4C169FA92}" uniqueName="24" name="Dim 12 Max" queryTableFieldId="24"/>
    <tableColumn id="25" xr3:uid="{47E0B046-F9E5-46F9-9DA7-46865A8902D0}" uniqueName="25" name="Dim 12 Min" queryTableFieldId="25"/>
    <tableColumn id="26" xr3:uid="{C751C88C-570F-4B86-9D87-E5FF1E05042B}" uniqueName="26" name="T 1" queryTableFieldId="26"/>
    <tableColumn id="27" xr3:uid="{7324630C-31C8-4D10-8428-3AE1AA24D1D3}" uniqueName="27" name="T 2" queryTableFieldId="27"/>
    <tableColumn id="28" xr3:uid="{4B6B10A6-9346-4304-AAB2-4295C5AAEA8F}" uniqueName="28" name="T 3" queryTableFieldId="28"/>
    <tableColumn id="29" xr3:uid="{01BA079D-4306-47F9-80E0-92FECAFFD761}" uniqueName="29" name="T 4" queryTableFieldId="29"/>
    <tableColumn id="30" xr3:uid="{20B0A530-03CC-420C-930C-44F6411DEB83}" uniqueName="30" name="T 5" queryTableFieldId="30"/>
    <tableColumn id="31" xr3:uid="{88CE61AE-A23E-490B-878B-EE4A4FD6457F}" uniqueName="31" name="T 6" queryTableFieldId="31"/>
    <tableColumn id="32" xr3:uid="{E65B8033-0FC9-4338-8790-C83F3A25CAE3}" uniqueName="32" name="T 7" queryTableFieldId="32"/>
    <tableColumn id="33" xr3:uid="{BD6ADF5D-EFB9-4942-8CB1-D1F75F15D1B2}" uniqueName="33" name="T 8" queryTableFieldId="33"/>
    <tableColumn id="36" xr3:uid="{CCF8155C-1D66-4102-BB8D-41C917C7A73A}" uniqueName="36" name="T T1_1" queryTableFieldId="37"/>
    <tableColumn id="37" xr3:uid="{4145CD82-D356-4110-A718-4C3EC9E8D6B7}" uniqueName="37" name="T T1_2" queryTableFieldId="38"/>
    <tableColumn id="38" xr3:uid="{1C2DCFDA-3F79-481B-B9A8-80ED94DC87BC}" uniqueName="38" name="T T3_1" queryTableFieldId="39"/>
    <tableColumn id="39" xr3:uid="{437D655D-E767-4203-97EA-D69B2E4C8F57}" uniqueName="39" name="T T3_2" queryTableFieldId="4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4000000}" name="AMP7_6" displayName="AMP7_6" ref="A8:AI138" tableType="queryTable" totalsRowShown="0">
  <autoFilter ref="A8:AI138" xr:uid="{00000000-0009-0000-0100-000011000000}"/>
  <tableColumns count="35">
    <tableColumn id="1" xr3:uid="{00000000-0010-0000-1400-000001000000}" uniqueName="1" name="Blade Serial Number" queryTableFieldId="1"/>
    <tableColumn id="2" xr3:uid="{00000000-0010-0000-1400-000002000000}" uniqueName="2" name="Blade Part Number" queryTableFieldId="2"/>
    <tableColumn id="3" xr3:uid="{00000000-0010-0000-1400-000003000000}" uniqueName="3" name="Date" queryTableFieldId="3" dataDxfId="262"/>
    <tableColumn id="35" xr3:uid="{00000000-0010-0000-1400-000023000000}" uniqueName="35" name="Revision" queryTableFieldId="35" dataDxfId="261"/>
    <tableColumn id="34" xr3:uid="{00000000-0010-0000-1400-000022000000}" uniqueName="34" name="OOT" queryTableFieldId="34" dataDxfId="260">
      <calculatedColumnFormula array="1">SUMPRODUCT(IF(AMP7_6[[#This Row],[Dim 1_1]:[T 8]]-$F$4:$AI$4&lt;0,1,0)+IF($F$5:$AI$5-AMP7_6[[#This Row],[Dim 1_1]:[T 8]]&lt;0,1,0),IF(ISNUMBER(AMP7_6[[#This Row],[Dim 1_1]:[T 8]])=TRUE,1,0))</calculatedColumnFormula>
    </tableColumn>
    <tableColumn id="4" xr3:uid="{00000000-0010-0000-1400-000004000000}" uniqueName="4" name="Dim 1_1" queryTableFieldId="4"/>
    <tableColumn id="5" xr3:uid="{00000000-0010-0000-1400-000005000000}" uniqueName="5" name="Dim 1_2" queryTableFieldId="5"/>
    <tableColumn id="6" xr3:uid="{00000000-0010-0000-1400-000006000000}" uniqueName="6" name="Dim 2_1" queryTableFieldId="6"/>
    <tableColumn id="7" xr3:uid="{00000000-0010-0000-1400-000007000000}" uniqueName="7" name="Dim 2_2" queryTableFieldId="7"/>
    <tableColumn id="8" xr3:uid="{00000000-0010-0000-1400-000008000000}" uniqueName="8" name="Dim 3_1" queryTableFieldId="8"/>
    <tableColumn id="9" xr3:uid="{00000000-0010-0000-1400-000009000000}" uniqueName="9" name="Dim 3_2" queryTableFieldId="9"/>
    <tableColumn id="10" xr3:uid="{00000000-0010-0000-1400-00000A000000}" uniqueName="10" name="Dim 4_1" queryTableFieldId="10"/>
    <tableColumn id="11" xr3:uid="{00000000-0010-0000-1400-00000B000000}" uniqueName="11" name="Dim 4_2" queryTableFieldId="11"/>
    <tableColumn id="12" xr3:uid="{00000000-0010-0000-1400-00000C000000}" uniqueName="12" name="Dim 5_1" queryTableFieldId="12"/>
    <tableColumn id="13" xr3:uid="{00000000-0010-0000-1400-00000D000000}" uniqueName="13" name="Dim 5_2" queryTableFieldId="13"/>
    <tableColumn id="14" xr3:uid="{00000000-0010-0000-1400-00000E000000}" uniqueName="14" name="Dim 6" queryTableFieldId="14"/>
    <tableColumn id="15" xr3:uid="{00000000-0010-0000-1400-00000F000000}" uniqueName="15" name="Dim 7" queryTableFieldId="15"/>
    <tableColumn id="16" xr3:uid="{00000000-0010-0000-1400-000010000000}" uniqueName="16" name="Dim 9_1" queryTableFieldId="16"/>
    <tableColumn id="17" xr3:uid="{00000000-0010-0000-1400-000011000000}" uniqueName="17" name="Dim 9_2" queryTableFieldId="17"/>
    <tableColumn id="18" xr3:uid="{00000000-0010-0000-1400-000012000000}" uniqueName="18" name="Dim 10_1" queryTableFieldId="18"/>
    <tableColumn id="19" xr3:uid="{00000000-0010-0000-1400-000013000000}" uniqueName="19" name="Dim 10_2" queryTableFieldId="19"/>
    <tableColumn id="20" xr3:uid="{00000000-0010-0000-1400-000014000000}" uniqueName="20" name="Dim 11" queryTableFieldId="20"/>
    <tableColumn id="21" xr3:uid="{00000000-0010-0000-1400-000015000000}" uniqueName="21" name="Dim 11 Max" queryTableFieldId="21"/>
    <tableColumn id="22" xr3:uid="{00000000-0010-0000-1400-000016000000}" uniqueName="22" name="Dim 11 Min" queryTableFieldId="22"/>
    <tableColumn id="23" xr3:uid="{00000000-0010-0000-1400-000017000000}" uniqueName="23" name="Dim 12" queryTableFieldId="23"/>
    <tableColumn id="24" xr3:uid="{00000000-0010-0000-1400-000018000000}" uniqueName="24" name="Dim 12 Max" queryTableFieldId="24"/>
    <tableColumn id="25" xr3:uid="{00000000-0010-0000-1400-000019000000}" uniqueName="25" name="Dim 12 Min" queryTableFieldId="25"/>
    <tableColumn id="26" xr3:uid="{00000000-0010-0000-1400-00001A000000}" uniqueName="26" name="T 1" queryTableFieldId="26"/>
    <tableColumn id="27" xr3:uid="{00000000-0010-0000-1400-00001B000000}" uniqueName="27" name="T 2" queryTableFieldId="27"/>
    <tableColumn id="28" xr3:uid="{00000000-0010-0000-1400-00001C000000}" uniqueName="28" name="T 3" queryTableFieldId="28"/>
    <tableColumn id="29" xr3:uid="{00000000-0010-0000-1400-00001D000000}" uniqueName="29" name="T 4" queryTableFieldId="29"/>
    <tableColumn id="30" xr3:uid="{00000000-0010-0000-1400-00001E000000}" uniqueName="30" name="T 5" queryTableFieldId="30"/>
    <tableColumn id="31" xr3:uid="{00000000-0010-0000-1400-00001F000000}" uniqueName="31" name="T 6" queryTableFieldId="31"/>
    <tableColumn id="32" xr3:uid="{00000000-0010-0000-1400-000020000000}" uniqueName="32" name="T 7" queryTableFieldId="32"/>
    <tableColumn id="33" xr3:uid="{00000000-0010-0000-1400-000021000000}" uniqueName="33" name="T 8" queryTableFieldId="3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AMP7_8" displayName="AMP7_8" ref="A8:AI136" tableType="queryTable" totalsRowShown="0">
  <autoFilter ref="A8:AI136" xr:uid="{00000000-0009-0000-0100-00000C000000}"/>
  <tableColumns count="35">
    <tableColumn id="1" xr3:uid="{00000000-0010-0000-1500-000001000000}" uniqueName="1" name="Blade Serial Number" queryTableFieldId="1"/>
    <tableColumn id="2" xr3:uid="{00000000-0010-0000-1500-000002000000}" uniqueName="2" name="Blade Part Number" queryTableFieldId="2"/>
    <tableColumn id="3" xr3:uid="{00000000-0010-0000-1500-000003000000}" uniqueName="3" name="Date" queryTableFieldId="3" dataDxfId="2"/>
    <tableColumn id="35" xr3:uid="{00000000-0010-0000-1500-000023000000}" uniqueName="35" name="Revision" queryTableFieldId="35" dataDxfId="1"/>
    <tableColumn id="34" xr3:uid="{00000000-0010-0000-1500-000022000000}" uniqueName="34" name="OOT" queryTableFieldId="34" dataDxfId="0">
      <calculatedColumnFormula array="1">SUMPRODUCT(IF(AMP7_8[[#This Row],[Dim 1_1]:[T 8]]-$F$4:$AI$4&lt;0,1,0)+IF($F$5:$AI$5-AMP7_8[[#This Row],[Dim 1_1]:[T 8]]&lt;0,1,0),IF(ISNUMBER(AMP7_8[[#This Row],[Dim 1_1]:[T 8]])=TRUE,1,0))</calculatedColumnFormula>
    </tableColumn>
    <tableColumn id="4" xr3:uid="{00000000-0010-0000-1500-000004000000}" uniqueName="4" name="Dim 1_1" queryTableFieldId="4"/>
    <tableColumn id="5" xr3:uid="{00000000-0010-0000-1500-000005000000}" uniqueName="5" name="Dim 1_2" queryTableFieldId="5"/>
    <tableColumn id="6" xr3:uid="{00000000-0010-0000-1500-000006000000}" uniqueName="6" name="Dim 2_1" queryTableFieldId="6"/>
    <tableColumn id="7" xr3:uid="{00000000-0010-0000-1500-000007000000}" uniqueName="7" name="Dim 2_2" queryTableFieldId="7"/>
    <tableColumn id="8" xr3:uid="{00000000-0010-0000-1500-000008000000}" uniqueName="8" name="Dim 3_1" queryTableFieldId="8"/>
    <tableColumn id="9" xr3:uid="{00000000-0010-0000-1500-000009000000}" uniqueName="9" name="Dim 3_2" queryTableFieldId="9"/>
    <tableColumn id="10" xr3:uid="{00000000-0010-0000-1500-00000A000000}" uniqueName="10" name="Dim 4_1" queryTableFieldId="10"/>
    <tableColumn id="11" xr3:uid="{00000000-0010-0000-1500-00000B000000}" uniqueName="11" name="Dim 4_2" queryTableFieldId="11"/>
    <tableColumn id="12" xr3:uid="{00000000-0010-0000-1500-00000C000000}" uniqueName="12" name="Dim 5_1" queryTableFieldId="12"/>
    <tableColumn id="13" xr3:uid="{00000000-0010-0000-1500-00000D000000}" uniqueName="13" name="Dim 5_2" queryTableFieldId="13"/>
    <tableColumn id="14" xr3:uid="{00000000-0010-0000-1500-00000E000000}" uniqueName="14" name="Dim 6" queryTableFieldId="14"/>
    <tableColumn id="15" xr3:uid="{00000000-0010-0000-1500-00000F000000}" uniqueName="15" name="Dim 7" queryTableFieldId="15"/>
    <tableColumn id="16" xr3:uid="{00000000-0010-0000-1500-000010000000}" uniqueName="16" name="Dim 9_1" queryTableFieldId="16"/>
    <tableColumn id="17" xr3:uid="{00000000-0010-0000-1500-000011000000}" uniqueName="17" name="Dim 9_2" queryTableFieldId="17"/>
    <tableColumn id="18" xr3:uid="{00000000-0010-0000-1500-000012000000}" uniqueName="18" name="Dim 10_1" queryTableFieldId="18"/>
    <tableColumn id="19" xr3:uid="{00000000-0010-0000-1500-000013000000}" uniqueName="19" name="Dim 10_2" queryTableFieldId="19"/>
    <tableColumn id="20" xr3:uid="{00000000-0010-0000-1500-000014000000}" uniqueName="20" name="Dim 11" queryTableFieldId="20"/>
    <tableColumn id="21" xr3:uid="{00000000-0010-0000-1500-000015000000}" uniqueName="21" name="Dim 11 Max" queryTableFieldId="21"/>
    <tableColumn id="22" xr3:uid="{00000000-0010-0000-1500-000016000000}" uniqueName="22" name="Dim 11 Min" queryTableFieldId="22"/>
    <tableColumn id="23" xr3:uid="{00000000-0010-0000-1500-000017000000}" uniqueName="23" name="Dim 12" queryTableFieldId="23"/>
    <tableColumn id="24" xr3:uid="{00000000-0010-0000-1500-000018000000}" uniqueName="24" name="Dim 12 Max" queryTableFieldId="24"/>
    <tableColumn id="25" xr3:uid="{00000000-0010-0000-1500-000019000000}" uniqueName="25" name="Dim 12 Min" queryTableFieldId="25"/>
    <tableColumn id="26" xr3:uid="{00000000-0010-0000-1500-00001A000000}" uniqueName="26" name="T 1" queryTableFieldId="26"/>
    <tableColumn id="27" xr3:uid="{00000000-0010-0000-1500-00001B000000}" uniqueName="27" name="T 2" queryTableFieldId="27"/>
    <tableColumn id="28" xr3:uid="{00000000-0010-0000-1500-00001C000000}" uniqueName="28" name="T 3" queryTableFieldId="28"/>
    <tableColumn id="29" xr3:uid="{00000000-0010-0000-1500-00001D000000}" uniqueName="29" name="T 4" queryTableFieldId="29"/>
    <tableColumn id="30" xr3:uid="{00000000-0010-0000-1500-00001E000000}" uniqueName="30" name="T 5" queryTableFieldId="30"/>
    <tableColumn id="31" xr3:uid="{00000000-0010-0000-1500-00001F000000}" uniqueName="31" name="T 6" queryTableFieldId="31"/>
    <tableColumn id="32" xr3:uid="{00000000-0010-0000-1500-000020000000}" uniqueName="32" name="T 7" queryTableFieldId="32"/>
    <tableColumn id="33" xr3:uid="{00000000-0010-0000-1500-000021000000}" uniqueName="33" name="T 8" queryTableField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M500%20Cutting%20Programs/AA1%20(WJM_M500_1)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35.xml"/><Relationship Id="rId20" Type="http://schemas.openxmlformats.org/officeDocument/2006/relationships/ctrlProp" Target="../ctrlProps/ctrlProp39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../M500%20Cutting%20Programs/AA1%20(WJM_M500_1)" TargetMode="External"/><Relationship Id="rId4" Type="http://schemas.openxmlformats.org/officeDocument/2006/relationships/comments" Target="../comments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A1:EF43"/>
  <sheetViews>
    <sheetView workbookViewId="0">
      <selection activeCell="M6" sqref="M6"/>
    </sheetView>
  </sheetViews>
  <sheetFormatPr defaultRowHeight="15" x14ac:dyDescent="0.25"/>
  <cols>
    <col min="1" max="1" width="12.85546875" style="686" bestFit="1" customWidth="1"/>
    <col min="2" max="2" width="18.140625" style="686" bestFit="1" customWidth="1"/>
    <col min="3" max="3" width="13.5703125" style="686" bestFit="1" customWidth="1"/>
    <col min="4" max="4" width="20.140625" style="686" bestFit="1" customWidth="1"/>
    <col min="5" max="5" width="15.140625" style="686" bestFit="1" customWidth="1"/>
    <col min="6" max="6" width="13.140625" style="686" bestFit="1" customWidth="1"/>
    <col min="7" max="7" width="19.5703125" style="544" customWidth="1"/>
    <col min="8" max="8" width="21.85546875" style="544" bestFit="1" customWidth="1"/>
    <col min="9" max="9" width="14" style="686" bestFit="1" customWidth="1"/>
    <col min="10" max="10" width="14.140625" style="686" bestFit="1" customWidth="1"/>
    <col min="11" max="11" width="19.5703125" bestFit="1" customWidth="1"/>
    <col min="12" max="12" width="21.85546875" bestFit="1" customWidth="1"/>
    <col min="13" max="13" width="19.42578125" bestFit="1" customWidth="1"/>
    <col min="14" max="17" width="5.28515625" customWidth="1"/>
    <col min="18" max="18" width="16.7109375" customWidth="1"/>
    <col min="19" max="19" width="5.28515625" customWidth="1"/>
    <col min="20" max="20" width="10.42578125" bestFit="1" customWidth="1"/>
    <col min="21" max="21" width="9.42578125" bestFit="1" customWidth="1"/>
    <col min="22" max="22" width="15.42578125" bestFit="1" customWidth="1"/>
    <col min="23" max="30" width="5.28515625" customWidth="1"/>
    <col min="31" max="33" width="5.140625" customWidth="1"/>
    <col min="34" max="38" width="12.140625" customWidth="1"/>
    <col min="51" max="51" width="4.5703125" customWidth="1"/>
    <col min="52" max="54" width="9.140625" hidden="1" customWidth="1"/>
  </cols>
  <sheetData>
    <row r="1" spans="1:136" x14ac:dyDescent="0.25">
      <c r="A1" s="688" t="s">
        <v>941</v>
      </c>
      <c r="B1" s="688" t="s">
        <v>495</v>
      </c>
      <c r="C1" s="688" t="s">
        <v>501</v>
      </c>
      <c r="D1" s="688" t="s">
        <v>493</v>
      </c>
      <c r="E1" s="688" t="s">
        <v>338</v>
      </c>
      <c r="F1" s="688" t="s">
        <v>242</v>
      </c>
      <c r="G1" s="689" t="s">
        <v>954</v>
      </c>
      <c r="H1" s="688" t="s">
        <v>320</v>
      </c>
      <c r="I1" s="688" t="s">
        <v>327</v>
      </c>
      <c r="J1" s="688" t="s">
        <v>955</v>
      </c>
      <c r="K1" s="689" t="s">
        <v>476</v>
      </c>
      <c r="L1" s="689" t="s">
        <v>477</v>
      </c>
      <c r="M1" s="689" t="s">
        <v>481</v>
      </c>
    </row>
    <row r="2" spans="1:136" s="687" customFormat="1" x14ac:dyDescent="0.25">
      <c r="A2" s="15" t="s">
        <v>89</v>
      </c>
      <c r="B2" s="15" t="b">
        <v>1</v>
      </c>
      <c r="C2" s="15" t="b">
        <v>0</v>
      </c>
      <c r="D2" s="15">
        <v>2</v>
      </c>
      <c r="E2" s="15">
        <v>7</v>
      </c>
      <c r="F2" s="15"/>
      <c r="G2" s="15"/>
      <c r="H2" s="15"/>
      <c r="I2" s="15">
        <v>2</v>
      </c>
      <c r="J2" s="15"/>
      <c r="K2" s="15">
        <v>1</v>
      </c>
      <c r="L2" s="15">
        <v>2</v>
      </c>
      <c r="M2" s="15">
        <v>2</v>
      </c>
    </row>
    <row r="3" spans="1:136" x14ac:dyDescent="0.25">
      <c r="A3" s="683" t="s">
        <v>942</v>
      </c>
      <c r="B3" s="683" t="b">
        <v>1</v>
      </c>
      <c r="C3" s="683" t="b">
        <v>1</v>
      </c>
      <c r="D3" s="683" t="b">
        <v>1</v>
      </c>
      <c r="E3" s="683" t="s">
        <v>277</v>
      </c>
      <c r="F3" s="683" t="s">
        <v>233</v>
      </c>
      <c r="G3" s="690" t="s">
        <v>466</v>
      </c>
      <c r="H3" s="683" t="s">
        <v>468</v>
      </c>
      <c r="I3" s="683" t="s">
        <v>326</v>
      </c>
      <c r="J3" s="683" t="b">
        <v>0</v>
      </c>
      <c r="K3" s="683">
        <v>0.2</v>
      </c>
      <c r="L3" s="683">
        <v>0.05</v>
      </c>
      <c r="M3" s="683" t="s">
        <v>963</v>
      </c>
      <c r="N3" s="544"/>
      <c r="O3" s="544"/>
      <c r="P3" s="544"/>
      <c r="Q3" s="544"/>
      <c r="R3" s="544"/>
      <c r="S3" s="544"/>
      <c r="T3" s="544"/>
      <c r="U3" s="544"/>
      <c r="V3" s="544"/>
    </row>
    <row r="4" spans="1:136" x14ac:dyDescent="0.25">
      <c r="A4" s="683" t="s">
        <v>943</v>
      </c>
      <c r="B4" s="683" t="b">
        <v>0</v>
      </c>
      <c r="C4" s="683" t="b">
        <v>0</v>
      </c>
      <c r="D4" s="683" t="b">
        <v>0</v>
      </c>
      <c r="E4" s="683" t="s">
        <v>278</v>
      </c>
      <c r="F4" s="683" t="s">
        <v>200</v>
      </c>
      <c r="G4" s="691"/>
      <c r="H4" s="683"/>
      <c r="I4" s="683" t="s">
        <v>325</v>
      </c>
      <c r="J4" s="683" t="b">
        <v>0</v>
      </c>
      <c r="K4" s="683">
        <v>0.5</v>
      </c>
      <c r="L4" s="692">
        <v>0.1</v>
      </c>
      <c r="M4" s="715" t="s">
        <v>486</v>
      </c>
      <c r="N4" s="544"/>
      <c r="O4" s="544"/>
      <c r="P4" s="544"/>
      <c r="Q4" s="544"/>
      <c r="R4" s="544"/>
      <c r="S4" s="544"/>
      <c r="T4" s="544"/>
      <c r="U4" s="544"/>
      <c r="V4" s="544"/>
    </row>
    <row r="5" spans="1:136" x14ac:dyDescent="0.25">
      <c r="A5" s="683" t="s">
        <v>944</v>
      </c>
      <c r="B5" s="683"/>
      <c r="C5" s="683"/>
      <c r="D5" s="683" t="s">
        <v>491</v>
      </c>
      <c r="E5" s="683" t="s">
        <v>279</v>
      </c>
      <c r="F5" s="683" t="s">
        <v>196</v>
      </c>
      <c r="G5" s="693"/>
      <c r="H5" s="683"/>
      <c r="I5" s="683" t="s">
        <v>324</v>
      </c>
      <c r="J5" s="683" t="b">
        <v>0</v>
      </c>
      <c r="K5" s="19">
        <v>1</v>
      </c>
      <c r="L5" s="693"/>
      <c r="M5" s="715" t="s">
        <v>1146</v>
      </c>
      <c r="N5" s="684"/>
      <c r="O5" s="684"/>
      <c r="P5" s="684"/>
      <c r="Q5" s="684"/>
      <c r="R5" s="684"/>
      <c r="S5" s="684"/>
      <c r="T5" s="684"/>
      <c r="U5" s="684"/>
      <c r="V5" s="684"/>
      <c r="EF5">
        <v>2</v>
      </c>
    </row>
    <row r="6" spans="1:136" ht="15" customHeight="1" x14ac:dyDescent="0.25">
      <c r="A6" s="683" t="s">
        <v>945</v>
      </c>
      <c r="B6" s="683"/>
      <c r="C6" s="683"/>
      <c r="D6" s="683"/>
      <c r="E6" s="683" t="s">
        <v>280</v>
      </c>
      <c r="F6" s="683" t="s">
        <v>245</v>
      </c>
      <c r="G6" s="694" t="s">
        <v>460</v>
      </c>
      <c r="H6" s="683" t="s">
        <v>319</v>
      </c>
      <c r="I6" s="683" t="s">
        <v>322</v>
      </c>
      <c r="J6" s="683" t="b">
        <v>0</v>
      </c>
      <c r="K6" s="693"/>
      <c r="L6" s="693"/>
      <c r="M6" s="726" t="s">
        <v>964</v>
      </c>
      <c r="N6" s="684"/>
      <c r="O6" s="684"/>
      <c r="P6" s="684"/>
      <c r="Q6" s="684"/>
      <c r="R6" s="684"/>
      <c r="S6" s="684"/>
      <c r="T6" s="684"/>
      <c r="U6" s="684"/>
      <c r="V6" s="684"/>
    </row>
    <row r="7" spans="1:136" ht="15" customHeight="1" x14ac:dyDescent="0.25">
      <c r="A7" s="683" t="s">
        <v>946</v>
      </c>
      <c r="B7" s="683"/>
      <c r="C7" s="683"/>
      <c r="D7" s="683"/>
      <c r="E7" s="683" t="s">
        <v>241</v>
      </c>
      <c r="F7" s="683" t="s">
        <v>226</v>
      </c>
      <c r="G7" s="694" t="s">
        <v>459</v>
      </c>
      <c r="H7" s="683" t="s">
        <v>444</v>
      </c>
      <c r="I7" s="683"/>
      <c r="J7" s="683"/>
      <c r="K7" s="693"/>
      <c r="L7" s="693"/>
      <c r="M7" s="726" t="s">
        <v>968</v>
      </c>
      <c r="N7" s="684"/>
      <c r="O7" s="684"/>
      <c r="P7" s="684"/>
      <c r="Q7" s="684"/>
      <c r="R7" s="684"/>
      <c r="S7" s="684"/>
      <c r="T7" s="684"/>
      <c r="U7" s="684"/>
      <c r="V7" s="684"/>
    </row>
    <row r="8" spans="1:136" x14ac:dyDescent="0.25">
      <c r="A8" s="683" t="s">
        <v>947</v>
      </c>
      <c r="B8" s="683"/>
      <c r="C8" s="683"/>
      <c r="D8" s="683"/>
      <c r="E8" s="683" t="s">
        <v>240</v>
      </c>
      <c r="F8" s="683" t="s">
        <v>193</v>
      </c>
      <c r="G8" s="694" t="s">
        <v>461</v>
      </c>
      <c r="H8" s="683" t="s">
        <v>445</v>
      </c>
      <c r="I8" s="683"/>
      <c r="J8" s="683"/>
      <c r="K8" s="693"/>
      <c r="L8" s="693"/>
      <c r="M8" s="726" t="s">
        <v>965</v>
      </c>
      <c r="N8" s="684"/>
      <c r="O8" s="684"/>
      <c r="P8" s="684"/>
      <c r="Q8" s="684"/>
      <c r="R8" s="684"/>
      <c r="S8" s="684"/>
      <c r="T8" s="684"/>
      <c r="U8" s="684"/>
      <c r="V8" s="684"/>
      <c r="AJ8" s="538" t="s">
        <v>337</v>
      </c>
      <c r="AK8" s="537" t="s">
        <v>336</v>
      </c>
      <c r="AL8" s="537" t="s">
        <v>337</v>
      </c>
      <c r="AM8" s="537" t="s">
        <v>336</v>
      </c>
      <c r="AN8" s="537" t="s">
        <v>337</v>
      </c>
      <c r="AO8" s="537" t="s">
        <v>336</v>
      </c>
      <c r="AP8" s="537" t="s">
        <v>337</v>
      </c>
      <c r="AQ8" s="537" t="s">
        <v>336</v>
      </c>
      <c r="AR8" s="537" t="s">
        <v>337</v>
      </c>
      <c r="AS8" s="537" t="s">
        <v>336</v>
      </c>
      <c r="AT8" s="537" t="s">
        <v>337</v>
      </c>
      <c r="AU8" s="537" t="s">
        <v>336</v>
      </c>
      <c r="AV8" s="537" t="s">
        <v>337</v>
      </c>
      <c r="AW8" s="537" t="s">
        <v>336</v>
      </c>
      <c r="AX8" s="537" t="s">
        <v>337</v>
      </c>
      <c r="AY8" s="537" t="s">
        <v>336</v>
      </c>
      <c r="AZ8" s="537" t="s">
        <v>337</v>
      </c>
      <c r="BA8" s="537" t="s">
        <v>336</v>
      </c>
      <c r="BB8" s="537" t="s">
        <v>337</v>
      </c>
      <c r="BC8" s="536" t="s">
        <v>336</v>
      </c>
    </row>
    <row r="9" spans="1:136" x14ac:dyDescent="0.25">
      <c r="A9" s="683" t="s">
        <v>948</v>
      </c>
      <c r="B9" s="683"/>
      <c r="C9" s="683"/>
      <c r="D9" s="683"/>
      <c r="E9" s="683" t="s">
        <v>281</v>
      </c>
      <c r="F9" s="683" t="s">
        <v>190</v>
      </c>
      <c r="G9" s="694" t="s">
        <v>462</v>
      </c>
      <c r="H9" s="683" t="s">
        <v>446</v>
      </c>
      <c r="I9" s="683"/>
      <c r="J9" s="683"/>
      <c r="K9" s="693"/>
      <c r="L9" s="693"/>
      <c r="M9" s="726" t="s">
        <v>966</v>
      </c>
      <c r="N9" s="684"/>
      <c r="O9" s="684"/>
      <c r="P9" s="684"/>
      <c r="Q9" s="684"/>
      <c r="R9" s="684"/>
      <c r="S9" s="684"/>
      <c r="T9" s="684"/>
      <c r="U9" s="684"/>
      <c r="V9" s="684"/>
      <c r="AJ9" s="542">
        <v>26</v>
      </c>
      <c r="AK9" s="537" t="s">
        <v>321</v>
      </c>
      <c r="AL9" s="537">
        <v>27</v>
      </c>
      <c r="AM9" s="537" t="s">
        <v>321</v>
      </c>
      <c r="AN9" s="537">
        <v>28</v>
      </c>
      <c r="AO9" s="537" t="s">
        <v>321</v>
      </c>
      <c r="AP9" s="537">
        <v>29</v>
      </c>
      <c r="AQ9" s="537" t="s">
        <v>321</v>
      </c>
      <c r="AR9" s="685">
        <v>30</v>
      </c>
      <c r="AS9" s="537" t="s">
        <v>321</v>
      </c>
      <c r="AT9" s="537"/>
      <c r="AU9" s="537"/>
      <c r="AV9" s="537"/>
      <c r="AW9" s="537"/>
      <c r="AX9" s="537"/>
      <c r="AY9" s="537"/>
      <c r="AZ9" s="537"/>
      <c r="BA9" s="537"/>
      <c r="BB9" s="537"/>
      <c r="BC9" s="536"/>
    </row>
    <row r="10" spans="1:136" x14ac:dyDescent="0.25">
      <c r="A10" s="683" t="s">
        <v>949</v>
      </c>
      <c r="B10" s="683"/>
      <c r="C10" s="683"/>
      <c r="D10" s="683"/>
      <c r="E10" s="683" t="s">
        <v>247</v>
      </c>
      <c r="F10" s="683" t="s">
        <v>207</v>
      </c>
      <c r="G10" s="690" t="s">
        <v>463</v>
      </c>
      <c r="H10" s="683" t="s">
        <v>447</v>
      </c>
      <c r="I10" s="683"/>
      <c r="J10" s="683"/>
      <c r="K10" s="695"/>
      <c r="L10" s="695"/>
      <c r="M10" s="726" t="s">
        <v>967</v>
      </c>
      <c r="AJ10" s="538">
        <v>31</v>
      </c>
      <c r="AK10" s="537" t="s">
        <v>321</v>
      </c>
      <c r="AL10" s="537">
        <v>32</v>
      </c>
      <c r="AM10" s="537" t="s">
        <v>321</v>
      </c>
      <c r="AN10" s="537">
        <v>33</v>
      </c>
      <c r="AO10" s="537" t="s">
        <v>321</v>
      </c>
      <c r="AP10" s="537">
        <v>34</v>
      </c>
      <c r="AQ10" s="537" t="s">
        <v>321</v>
      </c>
      <c r="AR10" s="541">
        <v>35</v>
      </c>
      <c r="AS10" s="537" t="s">
        <v>321</v>
      </c>
      <c r="AT10" s="541">
        <v>36</v>
      </c>
      <c r="AU10" s="537" t="s">
        <v>321</v>
      </c>
      <c r="AV10" s="541">
        <v>37</v>
      </c>
      <c r="AW10" s="537" t="s">
        <v>321</v>
      </c>
      <c r="AX10" s="537"/>
      <c r="AY10" s="537"/>
      <c r="AZ10" s="537"/>
      <c r="BA10" s="537"/>
      <c r="BB10" s="537"/>
      <c r="BC10" s="536"/>
    </row>
    <row r="11" spans="1:136" x14ac:dyDescent="0.25">
      <c r="A11" s="683" t="s">
        <v>950</v>
      </c>
      <c r="B11" s="683"/>
      <c r="C11" s="683"/>
      <c r="D11" s="683"/>
      <c r="E11" s="683"/>
      <c r="F11" s="683"/>
      <c r="G11" s="691"/>
      <c r="H11" s="691"/>
      <c r="I11" s="683"/>
      <c r="J11" s="683"/>
      <c r="K11" s="695"/>
      <c r="L11" s="695"/>
      <c r="M11" s="726" t="s">
        <v>487</v>
      </c>
      <c r="AJ11" s="542">
        <v>31</v>
      </c>
      <c r="AK11" s="537" t="s">
        <v>323</v>
      </c>
      <c r="AL11" s="537">
        <v>32</v>
      </c>
      <c r="AM11" s="537" t="s">
        <v>323</v>
      </c>
      <c r="AN11" s="537">
        <v>33</v>
      </c>
      <c r="AO11" s="537" t="s">
        <v>323</v>
      </c>
      <c r="AP11" s="537">
        <v>34</v>
      </c>
      <c r="AQ11" s="537" t="s">
        <v>323</v>
      </c>
      <c r="AR11" s="537">
        <v>35</v>
      </c>
      <c r="AS11" s="537" t="s">
        <v>323</v>
      </c>
      <c r="AT11" s="537">
        <v>36</v>
      </c>
      <c r="AU11" s="537" t="s">
        <v>323</v>
      </c>
      <c r="AV11" s="537">
        <v>37</v>
      </c>
      <c r="AW11" s="537" t="s">
        <v>323</v>
      </c>
      <c r="AX11" s="537"/>
      <c r="AY11" s="537"/>
      <c r="AZ11" s="537"/>
      <c r="BA11" s="537"/>
      <c r="BB11" s="537"/>
      <c r="BC11" s="536"/>
    </row>
    <row r="12" spans="1:136" x14ac:dyDescent="0.25">
      <c r="A12" s="683" t="s">
        <v>951</v>
      </c>
      <c r="B12" s="683"/>
      <c r="C12" s="683"/>
      <c r="D12" s="683"/>
      <c r="E12" s="683"/>
      <c r="F12" s="683"/>
      <c r="G12" s="691"/>
      <c r="H12" s="691"/>
      <c r="I12" s="683"/>
      <c r="J12" s="683"/>
      <c r="K12" s="695"/>
      <c r="L12" s="695"/>
      <c r="M12" s="695"/>
      <c r="AJ12" s="538">
        <v>26</v>
      </c>
      <c r="AK12" s="537" t="s">
        <v>323</v>
      </c>
      <c r="AL12" s="537">
        <v>27</v>
      </c>
      <c r="AM12" s="537" t="s">
        <v>323</v>
      </c>
      <c r="AN12" s="537">
        <v>28</v>
      </c>
      <c r="AO12" s="537" t="s">
        <v>323</v>
      </c>
      <c r="AP12" s="537">
        <v>29</v>
      </c>
      <c r="AQ12" s="537" t="s">
        <v>323</v>
      </c>
      <c r="AR12" s="541">
        <v>30</v>
      </c>
      <c r="AS12" s="537" t="s">
        <v>323</v>
      </c>
      <c r="AT12" s="537"/>
      <c r="AU12" s="537"/>
      <c r="AV12" s="537"/>
      <c r="AW12" s="537"/>
      <c r="AX12" s="537"/>
      <c r="AY12" s="537"/>
      <c r="AZ12" s="537"/>
      <c r="BA12" s="537"/>
      <c r="BB12" s="537"/>
      <c r="BC12" s="536"/>
    </row>
    <row r="13" spans="1:136" x14ac:dyDescent="0.25">
      <c r="A13" s="683" t="s">
        <v>952</v>
      </c>
      <c r="B13" s="683"/>
      <c r="C13" s="683"/>
      <c r="D13" s="683"/>
      <c r="E13" s="683"/>
      <c r="F13" s="683"/>
      <c r="G13" s="691"/>
      <c r="H13" s="691"/>
      <c r="I13" s="683"/>
      <c r="J13" s="683"/>
      <c r="K13" s="695"/>
      <c r="L13" s="695"/>
      <c r="M13" s="695"/>
      <c r="AJ13" s="538">
        <v>3</v>
      </c>
      <c r="AK13" s="537" t="s">
        <v>323</v>
      </c>
      <c r="AL13" s="537">
        <v>4</v>
      </c>
      <c r="AM13" s="537" t="s">
        <v>323</v>
      </c>
      <c r="AN13" s="537"/>
      <c r="AO13" s="537"/>
      <c r="AP13" s="537"/>
      <c r="AQ13" s="537"/>
      <c r="AR13" s="537"/>
      <c r="AS13" s="537"/>
      <c r="AT13" s="537"/>
      <c r="AU13" s="537"/>
      <c r="AV13" s="537"/>
      <c r="AW13" s="537"/>
      <c r="AX13" s="537"/>
      <c r="AY13" s="537"/>
      <c r="AZ13" s="537"/>
      <c r="BA13" s="537"/>
      <c r="BB13" s="537"/>
      <c r="BC13" s="536"/>
    </row>
    <row r="14" spans="1:136" x14ac:dyDescent="0.25">
      <c r="A14" s="683" t="s">
        <v>953</v>
      </c>
      <c r="B14" s="683"/>
      <c r="C14" s="683"/>
      <c r="D14" s="683"/>
      <c r="E14" s="683"/>
      <c r="F14" s="683"/>
      <c r="G14" s="691"/>
      <c r="H14" s="691"/>
      <c r="I14" s="683"/>
      <c r="J14" s="683"/>
      <c r="K14" s="695"/>
      <c r="L14" s="695"/>
      <c r="M14" s="695"/>
      <c r="AJ14" s="538">
        <v>15</v>
      </c>
      <c r="AK14" s="537" t="s">
        <v>321</v>
      </c>
      <c r="AL14" s="537">
        <v>16</v>
      </c>
      <c r="AM14" s="537" t="s">
        <v>321</v>
      </c>
      <c r="AN14" s="537">
        <v>17</v>
      </c>
      <c r="AO14" s="537" t="s">
        <v>321</v>
      </c>
      <c r="AP14" s="537">
        <v>18</v>
      </c>
      <c r="AQ14" s="537" t="s">
        <v>321</v>
      </c>
      <c r="AR14" s="541">
        <v>19</v>
      </c>
      <c r="AS14" s="537" t="s">
        <v>321</v>
      </c>
      <c r="AT14" s="541">
        <v>20</v>
      </c>
      <c r="AU14" s="537" t="s">
        <v>321</v>
      </c>
      <c r="AV14" s="541">
        <v>21</v>
      </c>
      <c r="AW14" s="537" t="s">
        <v>321</v>
      </c>
      <c r="AX14" s="537"/>
      <c r="AY14" s="537"/>
      <c r="AZ14" s="537"/>
      <c r="BA14" s="537"/>
      <c r="BB14" s="537"/>
      <c r="BC14" s="536"/>
    </row>
    <row r="34" spans="7:10" x14ac:dyDescent="0.25">
      <c r="G34"/>
      <c r="H34"/>
      <c r="I34"/>
      <c r="J34"/>
    </row>
    <row r="35" spans="7:10" x14ac:dyDescent="0.25">
      <c r="G35"/>
      <c r="H35"/>
      <c r="I35"/>
      <c r="J35"/>
    </row>
    <row r="36" spans="7:10" x14ac:dyDescent="0.25">
      <c r="J36"/>
    </row>
    <row r="37" spans="7:10" x14ac:dyDescent="0.25">
      <c r="J37"/>
    </row>
    <row r="38" spans="7:10" x14ac:dyDescent="0.25">
      <c r="J38"/>
    </row>
    <row r="43" spans="7:10" x14ac:dyDescent="0.25">
      <c r="I43" s="686">
        <v>1</v>
      </c>
    </row>
  </sheetData>
  <dataConsolidate/>
  <hyperlinks>
    <hyperlink ref="G3" r:id="rId1" xr:uid="{00000000-0004-0000-0000-000000000000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0"/>
  <dimension ref="B1:AI22"/>
  <sheetViews>
    <sheetView workbookViewId="0">
      <selection activeCell="P11" sqref="P11"/>
    </sheetView>
  </sheetViews>
  <sheetFormatPr defaultRowHeight="15" x14ac:dyDescent="0.25"/>
  <cols>
    <col min="1" max="1" width="2.28515625" bestFit="1" customWidth="1"/>
    <col min="2" max="2" width="19.85546875" bestFit="1" customWidth="1"/>
    <col min="3" max="3" width="8.42578125" bestFit="1" customWidth="1"/>
    <col min="4" max="4" width="10" customWidth="1"/>
    <col min="5" max="5" width="13.140625" customWidth="1"/>
    <col min="6" max="6" width="11.28515625" customWidth="1"/>
    <col min="7" max="7" width="14.28515625" customWidth="1"/>
    <col min="8" max="8" width="16" bestFit="1" customWidth="1"/>
    <col min="9" max="11" width="5.28515625" customWidth="1"/>
    <col min="12" max="13" width="5.140625" customWidth="1"/>
    <col min="14" max="14" width="23.140625" bestFit="1" customWidth="1"/>
    <col min="15" max="15" width="2.7109375" customWidth="1"/>
    <col min="16" max="16" width="10.28515625" style="712" bestFit="1" customWidth="1"/>
    <col min="17" max="17" width="9.42578125" style="712" bestFit="1" customWidth="1"/>
    <col min="18" max="18" width="15.42578125" style="712" bestFit="1" customWidth="1"/>
    <col min="19" max="19" width="12.140625" customWidth="1"/>
    <col min="32" max="32" width="4.5703125" customWidth="1"/>
    <col min="33" max="35" width="9.140625" hidden="1" customWidth="1"/>
  </cols>
  <sheetData>
    <row r="1" spans="2:18" ht="15.75" thickBot="1" x14ac:dyDescent="0.3"/>
    <row r="2" spans="2:18" ht="15.75" thickBot="1" x14ac:dyDescent="0.3">
      <c r="B2" s="753" t="s">
        <v>393</v>
      </c>
      <c r="C2" s="754"/>
      <c r="D2" s="754"/>
      <c r="E2" s="754"/>
      <c r="F2" s="754"/>
      <c r="G2" s="754"/>
      <c r="H2" s="755"/>
      <c r="I2" s="523"/>
      <c r="J2" s="523"/>
      <c r="K2" s="523"/>
      <c r="L2" s="523"/>
      <c r="N2" s="748" t="s">
        <v>392</v>
      </c>
      <c r="O2" s="749"/>
      <c r="P2" s="749"/>
      <c r="Q2" s="749"/>
      <c r="R2" s="750"/>
    </row>
    <row r="3" spans="2:18" ht="15.75" thickBot="1" x14ac:dyDescent="0.3">
      <c r="B3" s="558"/>
      <c r="C3" s="547"/>
      <c r="D3" s="547" t="s">
        <v>387</v>
      </c>
      <c r="E3" s="534" t="s">
        <v>386</v>
      </c>
      <c r="F3" s="534" t="s">
        <v>385</v>
      </c>
      <c r="G3" s="533" t="s">
        <v>384</v>
      </c>
      <c r="H3" s="533" t="s">
        <v>962</v>
      </c>
      <c r="I3" s="523"/>
      <c r="J3" s="523"/>
      <c r="K3" s="523"/>
      <c r="L3" s="523"/>
      <c r="N3" s="751" t="s">
        <v>387</v>
      </c>
      <c r="O3" s="752"/>
      <c r="P3" s="711" t="s">
        <v>390</v>
      </c>
      <c r="Q3" s="711" t="s">
        <v>389</v>
      </c>
      <c r="R3" s="714" t="s">
        <v>388</v>
      </c>
    </row>
    <row r="4" spans="2:18" x14ac:dyDescent="0.25">
      <c r="B4" s="743" t="s">
        <v>250</v>
      </c>
      <c r="C4" s="747" t="s">
        <v>251</v>
      </c>
      <c r="D4" s="523" t="s">
        <v>252</v>
      </c>
      <c r="E4" s="548">
        <v>26</v>
      </c>
      <c r="F4" s="548">
        <v>28</v>
      </c>
      <c r="G4" s="536" t="s">
        <v>321</v>
      </c>
      <c r="H4" s="696"/>
      <c r="I4" s="523"/>
      <c r="J4" s="523"/>
      <c r="K4" s="523"/>
      <c r="L4" s="523"/>
      <c r="N4" s="555" t="s">
        <v>383</v>
      </c>
      <c r="O4" s="554"/>
      <c r="P4" s="537">
        <v>1</v>
      </c>
      <c r="Q4" s="537">
        <v>1</v>
      </c>
      <c r="R4" s="536" t="b">
        <v>1</v>
      </c>
    </row>
    <row r="5" spans="2:18" x14ac:dyDescent="0.25">
      <c r="B5" s="743"/>
      <c r="C5" s="747"/>
      <c r="D5" s="523" t="s">
        <v>253</v>
      </c>
      <c r="E5" s="548">
        <v>29</v>
      </c>
      <c r="F5" s="548">
        <v>31</v>
      </c>
      <c r="G5" s="536" t="s">
        <v>321</v>
      </c>
      <c r="H5" s="697"/>
      <c r="I5" s="523"/>
      <c r="J5" s="523"/>
      <c r="K5" s="523"/>
      <c r="L5" s="523"/>
      <c r="N5" s="555" t="s">
        <v>322</v>
      </c>
      <c r="O5" s="554"/>
      <c r="P5" s="709">
        <v>2</v>
      </c>
      <c r="Q5" s="537">
        <v>52</v>
      </c>
      <c r="R5" s="536" t="b">
        <v>1</v>
      </c>
    </row>
    <row r="6" spans="2:18" x14ac:dyDescent="0.25">
      <c r="B6" s="743"/>
      <c r="C6" s="708" t="s">
        <v>254</v>
      </c>
      <c r="D6" s="523" t="s">
        <v>253</v>
      </c>
      <c r="E6" s="548">
        <v>30</v>
      </c>
      <c r="F6" s="548">
        <v>34</v>
      </c>
      <c r="G6" s="536" t="s">
        <v>323</v>
      </c>
      <c r="H6" s="697"/>
      <c r="I6" s="523"/>
      <c r="J6" s="523"/>
      <c r="K6" s="523"/>
      <c r="L6" s="523"/>
      <c r="N6" s="555" t="s">
        <v>378</v>
      </c>
      <c r="O6" s="554"/>
      <c r="P6" s="709">
        <v>53</v>
      </c>
      <c r="Q6" s="709">
        <v>54</v>
      </c>
      <c r="R6" s="536" t="b">
        <v>0</v>
      </c>
    </row>
    <row r="7" spans="2:18" x14ac:dyDescent="0.25">
      <c r="B7" s="743"/>
      <c r="C7" s="708" t="s">
        <v>255</v>
      </c>
      <c r="D7" s="523" t="s">
        <v>252</v>
      </c>
      <c r="E7" s="548">
        <v>25</v>
      </c>
      <c r="F7" s="548">
        <v>27</v>
      </c>
      <c r="G7" s="536" t="s">
        <v>323</v>
      </c>
      <c r="H7" s="697">
        <v>21</v>
      </c>
      <c r="I7" s="523"/>
      <c r="J7" s="523"/>
      <c r="K7" s="523"/>
      <c r="L7" s="523"/>
      <c r="N7" s="555" t="s">
        <v>324</v>
      </c>
      <c r="O7" s="554"/>
      <c r="P7" s="709">
        <v>55</v>
      </c>
      <c r="Q7" s="537">
        <v>105</v>
      </c>
      <c r="R7" s="536" t="b">
        <v>0</v>
      </c>
    </row>
    <row r="8" spans="2:18" x14ac:dyDescent="0.25">
      <c r="B8" s="743"/>
      <c r="C8" s="523" t="s">
        <v>256</v>
      </c>
      <c r="D8" s="523" t="s">
        <v>257</v>
      </c>
      <c r="E8" s="548">
        <v>4</v>
      </c>
      <c r="F8" s="548">
        <v>7</v>
      </c>
      <c r="G8" s="536" t="s">
        <v>323</v>
      </c>
      <c r="H8" s="697"/>
      <c r="I8" s="523"/>
      <c r="J8" s="523"/>
      <c r="K8" s="523"/>
      <c r="L8" s="523"/>
      <c r="N8" s="555" t="s">
        <v>373</v>
      </c>
      <c r="O8" s="554"/>
      <c r="P8" s="709">
        <v>106</v>
      </c>
      <c r="Q8" s="709">
        <v>107</v>
      </c>
      <c r="R8" s="536" t="b">
        <v>0</v>
      </c>
    </row>
    <row r="9" spans="2:18" x14ac:dyDescent="0.25">
      <c r="B9" s="743" t="s">
        <v>258</v>
      </c>
      <c r="C9" s="747" t="s">
        <v>251</v>
      </c>
      <c r="D9" s="523" t="s">
        <v>259</v>
      </c>
      <c r="E9" s="548">
        <v>15</v>
      </c>
      <c r="F9" s="548">
        <v>17</v>
      </c>
      <c r="G9" s="536" t="s">
        <v>321</v>
      </c>
      <c r="H9" s="697"/>
      <c r="I9" s="523"/>
      <c r="J9" s="523"/>
      <c r="K9" s="523"/>
      <c r="L9" s="523"/>
      <c r="N9" s="555" t="s">
        <v>325</v>
      </c>
      <c r="O9" s="554"/>
      <c r="P9" s="537">
        <v>108</v>
      </c>
      <c r="Q9" s="537">
        <v>158</v>
      </c>
      <c r="R9" s="536" t="b">
        <v>0</v>
      </c>
    </row>
    <row r="10" spans="2:18" x14ac:dyDescent="0.25">
      <c r="B10" s="743"/>
      <c r="C10" s="747"/>
      <c r="D10" s="523" t="s">
        <v>260</v>
      </c>
      <c r="E10" s="548">
        <v>12</v>
      </c>
      <c r="F10" s="548">
        <v>14</v>
      </c>
      <c r="G10" s="536" t="s">
        <v>321</v>
      </c>
      <c r="H10" s="697"/>
      <c r="I10" s="523"/>
      <c r="J10" s="523"/>
      <c r="K10" s="523"/>
      <c r="L10" s="523"/>
      <c r="N10" s="555" t="s">
        <v>368</v>
      </c>
      <c r="O10" s="554"/>
      <c r="P10" s="709">
        <v>159</v>
      </c>
      <c r="Q10" s="709">
        <v>160</v>
      </c>
      <c r="R10" s="536" t="b">
        <v>0</v>
      </c>
    </row>
    <row r="11" spans="2:18" x14ac:dyDescent="0.25">
      <c r="B11" s="743"/>
      <c r="C11" s="523" t="s">
        <v>254</v>
      </c>
      <c r="D11" s="523" t="s">
        <v>259</v>
      </c>
      <c r="E11" s="548">
        <v>16</v>
      </c>
      <c r="F11" s="548">
        <v>20</v>
      </c>
      <c r="G11" s="536" t="s">
        <v>323</v>
      </c>
      <c r="H11" s="697"/>
      <c r="I11" s="523"/>
      <c r="J11" s="523"/>
      <c r="K11" s="523"/>
      <c r="L11" s="523"/>
      <c r="N11" s="555" t="s">
        <v>326</v>
      </c>
      <c r="O11" s="554"/>
      <c r="P11" s="537">
        <v>161</v>
      </c>
      <c r="Q11" s="537">
        <v>211</v>
      </c>
      <c r="R11" s="536" t="b">
        <v>0</v>
      </c>
    </row>
    <row r="12" spans="2:18" x14ac:dyDescent="0.25">
      <c r="B12" s="743"/>
      <c r="C12" s="523" t="s">
        <v>255</v>
      </c>
      <c r="D12" s="523" t="s">
        <v>260</v>
      </c>
      <c r="E12" s="548">
        <v>11</v>
      </c>
      <c r="F12" s="548">
        <v>13</v>
      </c>
      <c r="G12" s="536" t="s">
        <v>323</v>
      </c>
      <c r="H12" s="697">
        <v>35</v>
      </c>
      <c r="I12" s="523"/>
      <c r="J12" s="523"/>
      <c r="K12" s="523"/>
      <c r="L12" s="523"/>
      <c r="N12" s="555" t="s">
        <v>363</v>
      </c>
      <c r="O12" s="554"/>
      <c r="P12" s="709">
        <v>212</v>
      </c>
      <c r="Q12" s="709">
        <v>212</v>
      </c>
      <c r="R12" s="536" t="b">
        <v>0</v>
      </c>
    </row>
    <row r="13" spans="2:18" x14ac:dyDescent="0.25">
      <c r="B13" s="743"/>
      <c r="C13" s="523" t="s">
        <v>261</v>
      </c>
      <c r="D13" s="523" t="s">
        <v>257</v>
      </c>
      <c r="E13" s="548">
        <v>0</v>
      </c>
      <c r="F13" s="548">
        <v>3</v>
      </c>
      <c r="G13" s="536" t="s">
        <v>323</v>
      </c>
      <c r="H13" s="697"/>
      <c r="I13" s="523"/>
      <c r="J13" s="523"/>
      <c r="K13" s="523"/>
      <c r="L13" s="523"/>
      <c r="N13" s="555" t="s">
        <v>360</v>
      </c>
      <c r="O13" s="554"/>
      <c r="P13" s="709">
        <v>213</v>
      </c>
      <c r="Q13" s="709">
        <v>213</v>
      </c>
      <c r="R13" s="553" t="b">
        <v>0</v>
      </c>
    </row>
    <row r="14" spans="2:18" x14ac:dyDescent="0.25">
      <c r="B14" s="743" t="s">
        <v>262</v>
      </c>
      <c r="C14" s="537" t="s">
        <v>254</v>
      </c>
      <c r="D14" s="537"/>
      <c r="E14" s="548">
        <v>45</v>
      </c>
      <c r="F14" s="548">
        <v>50</v>
      </c>
      <c r="G14" s="536" t="s">
        <v>321</v>
      </c>
      <c r="H14" s="697"/>
      <c r="I14" s="523"/>
      <c r="J14" s="523"/>
      <c r="K14" s="523"/>
      <c r="L14" s="523"/>
      <c r="N14" s="555" t="s">
        <v>357</v>
      </c>
      <c r="O14" s="554"/>
      <c r="P14" s="709">
        <v>214</v>
      </c>
      <c r="Q14" s="709">
        <v>214</v>
      </c>
      <c r="R14" s="553" t="b">
        <v>0</v>
      </c>
    </row>
    <row r="15" spans="2:18" x14ac:dyDescent="0.25">
      <c r="B15" s="743"/>
      <c r="C15" s="537" t="s">
        <v>263</v>
      </c>
      <c r="D15" s="537"/>
      <c r="E15" s="548">
        <v>43</v>
      </c>
      <c r="F15" s="548">
        <v>46</v>
      </c>
      <c r="G15" s="536" t="s">
        <v>323</v>
      </c>
      <c r="H15" s="697"/>
      <c r="I15" s="523"/>
      <c r="J15" s="523"/>
      <c r="K15" s="523"/>
      <c r="L15" s="523"/>
      <c r="N15" s="552" t="s">
        <v>354</v>
      </c>
      <c r="O15" s="551"/>
      <c r="P15" s="709">
        <v>215</v>
      </c>
      <c r="Q15" s="709">
        <v>215</v>
      </c>
      <c r="R15" s="553" t="b">
        <v>1</v>
      </c>
    </row>
    <row r="16" spans="2:18" x14ac:dyDescent="0.25">
      <c r="B16" s="743"/>
      <c r="C16" s="537" t="s">
        <v>264</v>
      </c>
      <c r="D16" s="537"/>
      <c r="E16" s="548">
        <v>41</v>
      </c>
      <c r="F16" s="548">
        <v>44</v>
      </c>
      <c r="G16" s="536" t="s">
        <v>321</v>
      </c>
      <c r="H16" s="697"/>
      <c r="I16" s="523"/>
      <c r="J16" s="523"/>
      <c r="K16" s="523"/>
      <c r="L16" s="523"/>
      <c r="N16" s="552" t="s">
        <v>351</v>
      </c>
      <c r="O16" s="551"/>
      <c r="P16" s="709">
        <v>216</v>
      </c>
      <c r="Q16" s="709">
        <v>216</v>
      </c>
      <c r="R16" s="536" t="b">
        <v>1</v>
      </c>
    </row>
    <row r="17" spans="2:18" ht="15.75" thickBot="1" x14ac:dyDescent="0.3">
      <c r="B17" s="743"/>
      <c r="C17" s="537" t="s">
        <v>265</v>
      </c>
      <c r="D17" s="537"/>
      <c r="E17" s="548">
        <v>39</v>
      </c>
      <c r="F17" s="548">
        <v>42</v>
      </c>
      <c r="G17" s="536" t="s">
        <v>323</v>
      </c>
      <c r="H17" s="697"/>
      <c r="I17" s="523"/>
      <c r="J17" s="523"/>
      <c r="K17" s="523"/>
      <c r="L17" s="523"/>
      <c r="N17" s="550" t="s">
        <v>348</v>
      </c>
      <c r="O17" s="549"/>
      <c r="P17" s="534">
        <v>217</v>
      </c>
      <c r="Q17" s="534">
        <v>217</v>
      </c>
      <c r="R17" s="533" t="b">
        <v>1</v>
      </c>
    </row>
    <row r="18" spans="2:18" x14ac:dyDescent="0.25">
      <c r="B18" s="743"/>
      <c r="C18" s="537" t="s">
        <v>266</v>
      </c>
      <c r="D18" s="537"/>
      <c r="E18" s="548">
        <v>36</v>
      </c>
      <c r="F18" s="548">
        <v>40</v>
      </c>
      <c r="G18" s="536" t="s">
        <v>321</v>
      </c>
      <c r="H18" s="697"/>
      <c r="I18" s="523"/>
      <c r="J18" s="523"/>
      <c r="K18" s="523"/>
      <c r="L18" s="523"/>
    </row>
    <row r="19" spans="2:18" x14ac:dyDescent="0.25">
      <c r="B19" s="743" t="s">
        <v>343</v>
      </c>
      <c r="C19" s="745" t="s">
        <v>341</v>
      </c>
      <c r="D19" s="745"/>
      <c r="E19" s="548">
        <v>8</v>
      </c>
      <c r="F19" s="548">
        <v>52</v>
      </c>
      <c r="G19" s="536" t="s">
        <v>323</v>
      </c>
      <c r="H19" s="697"/>
      <c r="I19" s="523"/>
      <c r="J19" s="523"/>
      <c r="K19" s="523"/>
      <c r="L19" s="523"/>
    </row>
    <row r="20" spans="2:18" x14ac:dyDescent="0.25">
      <c r="B20" s="743"/>
      <c r="C20" s="745" t="s">
        <v>340</v>
      </c>
      <c r="D20" s="745"/>
      <c r="E20" s="548">
        <v>8</v>
      </c>
      <c r="F20" s="548">
        <v>52</v>
      </c>
      <c r="G20" s="536" t="s">
        <v>321</v>
      </c>
      <c r="H20" s="697"/>
      <c r="I20" s="523"/>
      <c r="J20" s="523"/>
      <c r="K20" s="523"/>
      <c r="L20" s="523"/>
    </row>
    <row r="21" spans="2:18" x14ac:dyDescent="0.25">
      <c r="B21" s="743" t="s">
        <v>342</v>
      </c>
      <c r="C21" s="745" t="s">
        <v>341</v>
      </c>
      <c r="D21" s="745"/>
      <c r="E21" s="548">
        <v>0</v>
      </c>
      <c r="F21" s="548">
        <v>7</v>
      </c>
      <c r="G21" s="536" t="s">
        <v>323</v>
      </c>
      <c r="H21" s="697"/>
    </row>
    <row r="22" spans="2:18" ht="15.75" thickBot="1" x14ac:dyDescent="0.3">
      <c r="B22" s="744"/>
      <c r="C22" s="746" t="s">
        <v>340</v>
      </c>
      <c r="D22" s="746"/>
      <c r="E22" s="546">
        <v>0</v>
      </c>
      <c r="F22" s="546">
        <v>7</v>
      </c>
      <c r="G22" s="533" t="s">
        <v>321</v>
      </c>
      <c r="H22" s="698"/>
    </row>
  </sheetData>
  <dataConsolidate/>
  <mergeCells count="14">
    <mergeCell ref="N2:R2"/>
    <mergeCell ref="N3:O3"/>
    <mergeCell ref="B2:H2"/>
    <mergeCell ref="B4:B8"/>
    <mergeCell ref="C4:C5"/>
    <mergeCell ref="B21:B22"/>
    <mergeCell ref="C21:D21"/>
    <mergeCell ref="C22:D22"/>
    <mergeCell ref="B9:B13"/>
    <mergeCell ref="C9:C10"/>
    <mergeCell ref="B14:B18"/>
    <mergeCell ref="B19:B20"/>
    <mergeCell ref="C19:D19"/>
    <mergeCell ref="C20:D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H79"/>
  <sheetViews>
    <sheetView topLeftCell="A13" workbookViewId="0">
      <selection activeCell="G68" sqref="G68"/>
    </sheetView>
  </sheetViews>
  <sheetFormatPr defaultColWidth="8.85546875" defaultRowHeight="15" x14ac:dyDescent="0.25"/>
  <cols>
    <col min="1" max="1" width="14.7109375" style="217" bestFit="1" customWidth="1"/>
    <col min="2" max="2" width="19.28515625" style="217" bestFit="1" customWidth="1"/>
    <col min="3" max="3" width="13.28515625" style="217" bestFit="1" customWidth="1"/>
    <col min="4" max="4" width="11.7109375" style="217" bestFit="1" customWidth="1"/>
    <col min="5" max="5" width="11.85546875" style="217" bestFit="1" customWidth="1"/>
    <col min="6" max="11" width="9.5703125" style="217" bestFit="1" customWidth="1"/>
    <col min="12" max="20" width="9" style="217" bestFit="1" customWidth="1"/>
    <col min="21" max="21" width="11.140625" style="217" bestFit="1" customWidth="1"/>
    <col min="22" max="22" width="10.85546875" style="217" bestFit="1" customWidth="1"/>
    <col min="23" max="23" width="9" style="217" bestFit="1" customWidth="1"/>
    <col min="24" max="24" width="11.140625" style="217" bestFit="1" customWidth="1"/>
    <col min="25" max="25" width="10.85546875" style="217" bestFit="1" customWidth="1"/>
    <col min="26" max="33" width="9" style="217" bestFit="1" customWidth="1"/>
    <col min="34" max="16384" width="8.85546875" style="217"/>
  </cols>
  <sheetData>
    <row r="1" spans="2:34" x14ac:dyDescent="0.25">
      <c r="B1" s="218" t="s">
        <v>155</v>
      </c>
      <c r="C1" s="218" t="s">
        <v>154</v>
      </c>
      <c r="D1" s="605" t="s">
        <v>474</v>
      </c>
      <c r="E1" s="218" t="s">
        <v>1</v>
      </c>
      <c r="F1" s="218" t="s">
        <v>2</v>
      </c>
      <c r="G1" s="218" t="s">
        <v>3</v>
      </c>
      <c r="H1" s="218" t="s">
        <v>4</v>
      </c>
      <c r="I1" s="218" t="s">
        <v>5</v>
      </c>
      <c r="J1" s="218" t="s">
        <v>6</v>
      </c>
      <c r="K1" s="218" t="s">
        <v>7</v>
      </c>
      <c r="L1" s="218" t="s">
        <v>8</v>
      </c>
      <c r="M1" s="218" t="s">
        <v>9</v>
      </c>
      <c r="N1" s="218" t="s">
        <v>10</v>
      </c>
      <c r="O1" s="218" t="s">
        <v>11</v>
      </c>
      <c r="P1" s="218" t="s">
        <v>12</v>
      </c>
      <c r="Q1" s="218" t="s">
        <v>13</v>
      </c>
      <c r="R1" s="218" t="s">
        <v>14</v>
      </c>
      <c r="S1" s="218" t="s">
        <v>15</v>
      </c>
      <c r="T1" s="218" t="s">
        <v>16</v>
      </c>
      <c r="U1" s="218" t="s">
        <v>17</v>
      </c>
      <c r="V1" s="218" t="s">
        <v>18</v>
      </c>
      <c r="W1" s="218" t="s">
        <v>19</v>
      </c>
      <c r="X1" s="218" t="s">
        <v>20</v>
      </c>
      <c r="Y1" s="218" t="s">
        <v>21</v>
      </c>
      <c r="Z1" s="218" t="s">
        <v>22</v>
      </c>
      <c r="AA1" s="218" t="s">
        <v>23</v>
      </c>
      <c r="AB1" s="218" t="s">
        <v>24</v>
      </c>
      <c r="AC1" s="218" t="s">
        <v>25</v>
      </c>
      <c r="AD1" s="218" t="s">
        <v>26</v>
      </c>
      <c r="AE1" s="218" t="s">
        <v>27</v>
      </c>
      <c r="AF1" s="218" t="s">
        <v>28</v>
      </c>
      <c r="AG1" s="218" t="s">
        <v>29</v>
      </c>
      <c r="AH1" s="218" t="s">
        <v>30</v>
      </c>
    </row>
    <row r="2" spans="2:34" x14ac:dyDescent="0.25">
      <c r="B2" s="218" t="s">
        <v>243</v>
      </c>
      <c r="C2" s="218" t="s">
        <v>32</v>
      </c>
      <c r="D2" s="605"/>
      <c r="E2" s="219" t="str">
        <f>'AA-4'!F1</f>
        <v/>
      </c>
      <c r="F2" s="219" t="str">
        <f>'AA-4'!G1</f>
        <v/>
      </c>
      <c r="G2" s="219" t="str">
        <f>'AA-4'!H1</f>
        <v/>
      </c>
      <c r="H2" s="219" t="str">
        <f>'AA-4'!I1</f>
        <v/>
      </c>
      <c r="I2" s="219" t="str">
        <f>'AA-4'!J1</f>
        <v/>
      </c>
      <c r="J2" s="219" t="str">
        <f>'AA-4'!K1</f>
        <v/>
      </c>
      <c r="K2" s="219" t="str">
        <f>'AA-4'!L1</f>
        <v/>
      </c>
      <c r="L2" s="219" t="str">
        <f>'AA-4'!M1</f>
        <v/>
      </c>
      <c r="M2" s="219" t="str">
        <f>'AA-4'!N1</f>
        <v/>
      </c>
      <c r="N2" s="219" t="str">
        <f>'AA-4'!O1</f>
        <v/>
      </c>
      <c r="O2" s="219" t="str">
        <f>'AA-4'!P1</f>
        <v/>
      </c>
      <c r="P2" s="219" t="str">
        <f>'AA-4'!Q1</f>
        <v/>
      </c>
      <c r="Q2" s="219" t="str">
        <f>'AA-4'!R1</f>
        <v/>
      </c>
      <c r="R2" s="219" t="str">
        <f>'AA-4'!S1</f>
        <v/>
      </c>
      <c r="S2" s="219" t="str">
        <f>'AA-4'!T1</f>
        <v/>
      </c>
      <c r="T2" s="219" t="str">
        <f>'AA-4'!U1</f>
        <v/>
      </c>
      <c r="U2" s="219" t="str">
        <f>'AA-4'!V1</f>
        <v/>
      </c>
      <c r="V2" s="219" t="str">
        <f>'AA-4'!W1</f>
        <v/>
      </c>
      <c r="W2" s="219" t="str">
        <f>'AA-4'!X1</f>
        <v/>
      </c>
      <c r="X2" s="219" t="str">
        <f>'AA-4'!Y1</f>
        <v/>
      </c>
      <c r="Y2" s="219" t="str">
        <f>'AA-4'!Z1</f>
        <v/>
      </c>
      <c r="Z2" s="219" t="str">
        <f>'AA-4'!AA1</f>
        <v/>
      </c>
      <c r="AA2" s="219" t="str">
        <f>'AA-4'!AB1</f>
        <v/>
      </c>
      <c r="AB2" s="219" t="str">
        <f>'AA-4'!AC1</f>
        <v/>
      </c>
      <c r="AC2" s="219" t="str">
        <f>'AA-4'!AD1</f>
        <v/>
      </c>
      <c r="AD2" s="219" t="str">
        <f>'AA-4'!AE1</f>
        <v/>
      </c>
      <c r="AE2" s="219" t="str">
        <f>'AA-4'!AF1</f>
        <v/>
      </c>
      <c r="AF2" s="219" t="str">
        <f>'AA-4'!AG1</f>
        <v/>
      </c>
      <c r="AG2" s="219" t="str">
        <f>'AA-4'!AH1</f>
        <v/>
      </c>
      <c r="AH2" s="219" t="str">
        <f>'AA-4'!AI1</f>
        <v/>
      </c>
    </row>
    <row r="3" spans="2:34" x14ac:dyDescent="0.25">
      <c r="B3" s="218" t="s">
        <v>243</v>
      </c>
      <c r="C3" s="218" t="s">
        <v>31</v>
      </c>
      <c r="D3" s="605"/>
      <c r="E3" s="219" t="str">
        <f>'AA-4'!F2</f>
        <v/>
      </c>
      <c r="F3" s="219" t="str">
        <f>'AA-4'!G2</f>
        <v/>
      </c>
      <c r="G3" s="219" t="str">
        <f>'AA-4'!H2</f>
        <v/>
      </c>
      <c r="H3" s="219" t="str">
        <f>'AA-4'!I2</f>
        <v/>
      </c>
      <c r="I3" s="219" t="str">
        <f>'AA-4'!J2</f>
        <v/>
      </c>
      <c r="J3" s="219" t="str">
        <f>'AA-4'!K2</f>
        <v/>
      </c>
      <c r="K3" s="219" t="str">
        <f>'AA-4'!L2</f>
        <v/>
      </c>
      <c r="L3" s="219" t="str">
        <f>'AA-4'!M2</f>
        <v/>
      </c>
      <c r="M3" s="219" t="str">
        <f>'AA-4'!N2</f>
        <v/>
      </c>
      <c r="N3" s="219" t="str">
        <f>'AA-4'!O2</f>
        <v/>
      </c>
      <c r="O3" s="219" t="str">
        <f>'AA-4'!P2</f>
        <v/>
      </c>
      <c r="P3" s="219" t="str">
        <f>'AA-4'!Q2</f>
        <v/>
      </c>
      <c r="Q3" s="219" t="str">
        <f>'AA-4'!R2</f>
        <v/>
      </c>
      <c r="R3" s="219" t="str">
        <f>'AA-4'!S2</f>
        <v/>
      </c>
      <c r="S3" s="219" t="str">
        <f>'AA-4'!T2</f>
        <v/>
      </c>
      <c r="T3" s="219" t="str">
        <f>'AA-4'!U2</f>
        <v/>
      </c>
      <c r="U3" s="219" t="str">
        <f>'AA-4'!V2</f>
        <v/>
      </c>
      <c r="V3" s="219" t="str">
        <f>'AA-4'!W2</f>
        <v/>
      </c>
      <c r="W3" s="219" t="str">
        <f>'AA-4'!X2</f>
        <v/>
      </c>
      <c r="X3" s="219" t="str">
        <f>'AA-4'!Y2</f>
        <v/>
      </c>
      <c r="Y3" s="219" t="str">
        <f>'AA-4'!Z2</f>
        <v/>
      </c>
      <c r="Z3" s="219" t="str">
        <f>'AA-4'!AA2</f>
        <v/>
      </c>
      <c r="AA3" s="219" t="str">
        <f>'AA-4'!AB2</f>
        <v/>
      </c>
      <c r="AB3" s="219" t="str">
        <f>'AA-4'!AC2</f>
        <v/>
      </c>
      <c r="AC3" s="219" t="str">
        <f>'AA-4'!AD2</f>
        <v/>
      </c>
      <c r="AD3" s="219" t="str">
        <f>'AA-4'!AE2</f>
        <v/>
      </c>
      <c r="AE3" s="219" t="str">
        <f>'AA-4'!AF2</f>
        <v/>
      </c>
      <c r="AF3" s="219" t="str">
        <f>'AA-4'!AG2</f>
        <v/>
      </c>
      <c r="AG3" s="219" t="str">
        <f>'AA-4'!AH2</f>
        <v/>
      </c>
      <c r="AH3" s="219" t="str">
        <f>'AA-4'!AI2</f>
        <v/>
      </c>
    </row>
    <row r="4" spans="2:34" x14ac:dyDescent="0.25">
      <c r="B4" s="218" t="s">
        <v>273</v>
      </c>
      <c r="C4" s="218" t="s">
        <v>32</v>
      </c>
      <c r="D4" s="605">
        <f>COUNTIFS(AMP1_2[Date],"&gt;="&amp;'Offset Solver'!$E$30,AMP1_2[Date],"&lt;="&amp;'Offset Solver'!$E$31,AMP1_2[Blade Part Number],C4)</f>
        <v>50</v>
      </c>
      <c r="E4" s="219">
        <f>'AMP1-2'!F1</f>
        <v>41.004099999999987</v>
      </c>
      <c r="F4" s="219">
        <f>'AMP1-2'!G1</f>
        <v>40.998880000000007</v>
      </c>
      <c r="G4" s="219">
        <f>'AMP1-2'!H1</f>
        <v>155.98131999999998</v>
      </c>
      <c r="H4" s="219">
        <f>'AMP1-2'!I1</f>
        <v>156.01262</v>
      </c>
      <c r="I4" s="219" t="str">
        <f>'AMP1-2'!J1</f>
        <v/>
      </c>
      <c r="J4" s="219" t="str">
        <f>'AMP1-2'!K1</f>
        <v/>
      </c>
      <c r="K4" s="219">
        <f>'AMP1-2'!L1</f>
        <v>155.96178000000006</v>
      </c>
      <c r="L4" s="219">
        <f>'AMP1-2'!M1</f>
        <v>155.72731999999999</v>
      </c>
      <c r="M4" s="219">
        <f>'AMP1-2'!N1</f>
        <v>27.325060000000004</v>
      </c>
      <c r="N4" s="219">
        <f>'AMP1-2'!O1</f>
        <v>27.510559999999991</v>
      </c>
      <c r="O4" s="219" t="str">
        <f>'AMP1-2'!P1</f>
        <v/>
      </c>
      <c r="P4" s="219" t="str">
        <f>'AMP1-2'!Q1</f>
        <v/>
      </c>
      <c r="Q4" s="219">
        <f>'AMP1-2'!R1</f>
        <v>17.57826</v>
      </c>
      <c r="R4" s="219">
        <f>'AMP1-2'!S1</f>
        <v>17.463099999999994</v>
      </c>
      <c r="S4" s="219">
        <f>'AMP1-2'!T1</f>
        <v>34.051659999999998</v>
      </c>
      <c r="T4" s="219">
        <f>'AMP1-2'!U1</f>
        <v>34.350819999999999</v>
      </c>
      <c r="U4" s="219" t="str">
        <f>'AMP1-2'!V1</f>
        <v/>
      </c>
      <c r="V4" s="219">
        <f>'AMP1-2'!W1</f>
        <v>-2.7300000000000008E-2</v>
      </c>
      <c r="W4" s="219">
        <f>'AMP1-2'!X1</f>
        <v>-0.42550000000000021</v>
      </c>
      <c r="X4" s="219" t="str">
        <f>'AMP1-2'!Y1</f>
        <v/>
      </c>
      <c r="Y4" s="219">
        <f>'AMP1-2'!Z1</f>
        <v>0.13309999999999997</v>
      </c>
      <c r="Z4" s="219">
        <f>'AMP1-2'!AA1</f>
        <v>-0.37955999999999995</v>
      </c>
      <c r="AA4" s="219">
        <f>'AMP1-2'!AB1</f>
        <v>-0.35667999999999994</v>
      </c>
      <c r="AB4" s="219">
        <f>'AMP1-2'!AC1</f>
        <v>-0.42550000000000021</v>
      </c>
      <c r="AC4" s="219">
        <f>'AMP1-2'!AD1</f>
        <v>-0.20666000000000001</v>
      </c>
      <c r="AD4" s="219">
        <f>'AMP1-2'!AE1</f>
        <v>-2.8180000000000004E-2</v>
      </c>
      <c r="AE4" s="219">
        <f>'AMP1-2'!AF1</f>
        <v>-0.24987999999999999</v>
      </c>
      <c r="AF4" s="219">
        <f>'AMP1-2'!AG1</f>
        <v>-0.37955999999999995</v>
      </c>
      <c r="AG4" s="219">
        <f>'AMP1-2'!AH1</f>
        <v>-3.6999999999999991E-2</v>
      </c>
      <c r="AH4" s="219">
        <f>'AMP1-2'!AI1</f>
        <v>0.13309999999999997</v>
      </c>
    </row>
    <row r="5" spans="2:34" x14ac:dyDescent="0.25">
      <c r="B5" s="218" t="s">
        <v>273</v>
      </c>
      <c r="C5" s="218" t="s">
        <v>31</v>
      </c>
      <c r="D5" s="605">
        <f>COUNTIFS(AMP1_2[Date],"&gt;="&amp;'Offset Solver'!$E$30,AMP1_2[Date],"&lt;="&amp;'Offset Solver'!$E$31,AMP1_2[Blade Part Number],C5)</f>
        <v>49</v>
      </c>
      <c r="E5" s="219" t="str">
        <f>'AMP1-2'!F2</f>
        <v/>
      </c>
      <c r="F5" s="219" t="str">
        <f>'AMP1-2'!G2</f>
        <v/>
      </c>
      <c r="G5" s="219">
        <f>'AMP1-2'!H2</f>
        <v>155.9497551020408</v>
      </c>
      <c r="H5" s="219">
        <f>'AMP1-2'!I2</f>
        <v>155.97222448979588</v>
      </c>
      <c r="I5" s="219">
        <f>'AMP1-2'!J2</f>
        <v>168.69744897959183</v>
      </c>
      <c r="J5" s="219">
        <f>'AMP1-2'!K2</f>
        <v>168.62610204081633</v>
      </c>
      <c r="K5" s="219">
        <f>'AMP1-2'!L2</f>
        <v>156.03906122448979</v>
      </c>
      <c r="L5" s="219">
        <f>'AMP1-2'!M2</f>
        <v>155.75353061224493</v>
      </c>
      <c r="M5" s="219">
        <f>'AMP1-2'!N2</f>
        <v>27.237897959183677</v>
      </c>
      <c r="N5" s="219">
        <f>'AMP1-2'!O2</f>
        <v>27.339938775510202</v>
      </c>
      <c r="O5" s="219" t="str">
        <f>'AMP1-2'!P2</f>
        <v/>
      </c>
      <c r="P5" s="219" t="str">
        <f>'AMP1-2'!Q2</f>
        <v/>
      </c>
      <c r="Q5" s="219">
        <f>'AMP1-2'!R2</f>
        <v>17.171142857142858</v>
      </c>
      <c r="R5" s="219">
        <f>'AMP1-2'!S2</f>
        <v>17.311591836734696</v>
      </c>
      <c r="S5" s="219">
        <f>'AMP1-2'!T2</f>
        <v>36.497673469387756</v>
      </c>
      <c r="T5" s="219">
        <f>'AMP1-2'!U2</f>
        <v>37.800367346938785</v>
      </c>
      <c r="U5" s="219" t="str">
        <f>'AMP1-2'!V2</f>
        <v/>
      </c>
      <c r="V5" s="219">
        <f>'AMP1-2'!W2</f>
        <v>0.14546938775510204</v>
      </c>
      <c r="W5" s="219">
        <f>'AMP1-2'!X2</f>
        <v>-0.18148979591836739</v>
      </c>
      <c r="X5" s="219" t="str">
        <f>'AMP1-2'!Y2</f>
        <v/>
      </c>
      <c r="Y5" s="219">
        <f>'AMP1-2'!Z2</f>
        <v>2.7938775510204076E-2</v>
      </c>
      <c r="Z5" s="219">
        <f>'AMP1-2'!AA2</f>
        <v>-0.15951020408163266</v>
      </c>
      <c r="AA5" s="219">
        <f>'AMP1-2'!AB2</f>
        <v>0.14461224489795918</v>
      </c>
      <c r="AB5" s="219">
        <f>'AMP1-2'!AC2</f>
        <v>-6.0285714285714283E-2</v>
      </c>
      <c r="AC5" s="219">
        <f>'AMP1-2'!AD2</f>
        <v>-0.14718367346938779</v>
      </c>
      <c r="AD5" s="219">
        <f>'AMP1-2'!AE2</f>
        <v>-0.11036734693877553</v>
      </c>
      <c r="AE5" s="219">
        <f>'AMP1-2'!AF2</f>
        <v>2.2000000000000002E-2</v>
      </c>
      <c r="AF5" s="219">
        <f>'AMP1-2'!AG2</f>
        <v>-2.7183673469387756E-2</v>
      </c>
      <c r="AG5" s="219">
        <f>'AMP1-2'!AH2</f>
        <v>-0.11334693877551019</v>
      </c>
      <c r="AH5" s="219">
        <f>'AMP1-2'!AI2</f>
        <v>-0.15177551020408162</v>
      </c>
    </row>
    <row r="6" spans="2:34" x14ac:dyDescent="0.25">
      <c r="B6" s="218" t="s">
        <v>276</v>
      </c>
      <c r="C6" s="218" t="s">
        <v>32</v>
      </c>
      <c r="D6" s="605"/>
      <c r="E6" s="219" t="str">
        <f>'AMP1-4'!F1</f>
        <v/>
      </c>
      <c r="F6" s="219" t="str">
        <f>'AMP1-4'!G1</f>
        <v/>
      </c>
      <c r="G6" s="219" t="str">
        <f>'AMP1-4'!H1</f>
        <v/>
      </c>
      <c r="H6" s="219" t="str">
        <f>'AMP1-4'!I1</f>
        <v/>
      </c>
      <c r="I6" s="219" t="str">
        <f>'AMP1-4'!J1</f>
        <v/>
      </c>
      <c r="J6" s="219" t="str">
        <f>'AMP1-4'!K1</f>
        <v/>
      </c>
      <c r="K6" s="219" t="str">
        <f>'AMP1-4'!L1</f>
        <v/>
      </c>
      <c r="L6" s="219" t="str">
        <f>'AMP1-4'!M1</f>
        <v/>
      </c>
      <c r="M6" s="219" t="str">
        <f>'AMP1-4'!N1</f>
        <v/>
      </c>
      <c r="N6" s="219" t="str">
        <f>'AMP1-4'!O1</f>
        <v/>
      </c>
      <c r="O6" s="219" t="str">
        <f>'AMP1-4'!P1</f>
        <v/>
      </c>
      <c r="P6" s="219" t="str">
        <f>'AMP1-4'!Q1</f>
        <v/>
      </c>
      <c r="Q6" s="219" t="str">
        <f>'AMP1-4'!R1</f>
        <v/>
      </c>
      <c r="R6" s="219" t="str">
        <f>'AMP1-4'!S1</f>
        <v/>
      </c>
      <c r="S6" s="219" t="str">
        <f>'AMP1-4'!T1</f>
        <v/>
      </c>
      <c r="T6" s="219" t="str">
        <f>'AMP1-4'!U1</f>
        <v/>
      </c>
      <c r="U6" s="219" t="str">
        <f>'AMP1-4'!V1</f>
        <v/>
      </c>
      <c r="V6" s="219" t="str">
        <f>'AMP1-4'!W1</f>
        <v/>
      </c>
      <c r="W6" s="219" t="str">
        <f>'AMP1-4'!X1</f>
        <v/>
      </c>
      <c r="X6" s="219" t="str">
        <f>'AMP1-4'!Y1</f>
        <v/>
      </c>
      <c r="Y6" s="219" t="str">
        <f>'AMP1-4'!Z1</f>
        <v/>
      </c>
      <c r="Z6" s="219" t="str">
        <f>'AMP1-4'!AA1</f>
        <v/>
      </c>
      <c r="AA6" s="219" t="str">
        <f>'AMP1-4'!AB1</f>
        <v/>
      </c>
      <c r="AB6" s="219" t="str">
        <f>'AMP1-4'!AC1</f>
        <v/>
      </c>
      <c r="AC6" s="219" t="str">
        <f>'AMP1-4'!AD1</f>
        <v/>
      </c>
      <c r="AD6" s="219" t="str">
        <f>'AMP1-4'!AE1</f>
        <v/>
      </c>
      <c r="AE6" s="219" t="str">
        <f>'AMP1-4'!AF1</f>
        <v/>
      </c>
      <c r="AF6" s="219" t="str">
        <f>'AMP1-4'!AG1</f>
        <v/>
      </c>
      <c r="AG6" s="219" t="str">
        <f>'AMP1-4'!AH1</f>
        <v/>
      </c>
      <c r="AH6" s="219" t="str">
        <f>'AMP1-4'!AI1</f>
        <v/>
      </c>
    </row>
    <row r="7" spans="2:34" x14ac:dyDescent="0.25">
      <c r="B7" s="218" t="s">
        <v>276</v>
      </c>
      <c r="C7" s="218" t="s">
        <v>31</v>
      </c>
      <c r="D7" s="605"/>
      <c r="E7" s="219" t="str">
        <f>'AMP1-4'!F2</f>
        <v/>
      </c>
      <c r="F7" s="219" t="str">
        <f>'AMP1-4'!G2</f>
        <v/>
      </c>
      <c r="G7" s="219" t="str">
        <f>'AMP1-4'!H2</f>
        <v/>
      </c>
      <c r="H7" s="219" t="str">
        <f>'AMP1-4'!I2</f>
        <v/>
      </c>
      <c r="I7" s="219" t="str">
        <f>'AMP1-4'!J2</f>
        <v/>
      </c>
      <c r="J7" s="219" t="str">
        <f>'AMP1-4'!K2</f>
        <v/>
      </c>
      <c r="K7" s="219" t="str">
        <f>'AMP1-4'!L2</f>
        <v/>
      </c>
      <c r="L7" s="219" t="str">
        <f>'AMP1-4'!M2</f>
        <v/>
      </c>
      <c r="M7" s="219" t="str">
        <f>'AMP1-4'!N2</f>
        <v/>
      </c>
      <c r="N7" s="219" t="str">
        <f>'AMP1-4'!O2</f>
        <v/>
      </c>
      <c r="O7" s="219" t="str">
        <f>'AMP1-4'!P2</f>
        <v/>
      </c>
      <c r="P7" s="219" t="str">
        <f>'AMP1-4'!Q2</f>
        <v/>
      </c>
      <c r="Q7" s="219" t="str">
        <f>'AMP1-4'!R2</f>
        <v/>
      </c>
      <c r="R7" s="219" t="str">
        <f>'AMP1-4'!S2</f>
        <v/>
      </c>
      <c r="S7" s="219" t="str">
        <f>'AMP1-4'!T2</f>
        <v/>
      </c>
      <c r="T7" s="219" t="str">
        <f>'AMP1-4'!U2</f>
        <v/>
      </c>
      <c r="U7" s="219" t="str">
        <f>'AMP1-4'!V2</f>
        <v/>
      </c>
      <c r="V7" s="219" t="str">
        <f>'AMP1-4'!W2</f>
        <v/>
      </c>
      <c r="W7" s="219" t="str">
        <f>'AMP1-4'!X2</f>
        <v/>
      </c>
      <c r="X7" s="219" t="str">
        <f>'AMP1-4'!Y2</f>
        <v/>
      </c>
      <c r="Y7" s="219" t="str">
        <f>'AMP1-4'!Z2</f>
        <v/>
      </c>
      <c r="Z7" s="219" t="str">
        <f>'AMP1-4'!AA2</f>
        <v/>
      </c>
      <c r="AA7" s="219" t="str">
        <f>'AMP1-4'!AB2</f>
        <v/>
      </c>
      <c r="AB7" s="219" t="str">
        <f>'AMP1-4'!AC2</f>
        <v/>
      </c>
      <c r="AC7" s="219" t="str">
        <f>'AMP1-4'!AD2</f>
        <v/>
      </c>
      <c r="AD7" s="219" t="str">
        <f>'AMP1-4'!AE2</f>
        <v/>
      </c>
      <c r="AE7" s="219" t="str">
        <f>'AMP1-4'!AF2</f>
        <v/>
      </c>
      <c r="AF7" s="219" t="str">
        <f>'AMP1-4'!AG2</f>
        <v/>
      </c>
      <c r="AG7" s="219" t="str">
        <f>'AMP1-4'!AH2</f>
        <v/>
      </c>
      <c r="AH7" s="219" t="str">
        <f>'AMP1-4'!AI2</f>
        <v/>
      </c>
    </row>
    <row r="8" spans="2:34" x14ac:dyDescent="0.25">
      <c r="B8" s="218" t="s">
        <v>272</v>
      </c>
      <c r="C8" s="218" t="s">
        <v>32</v>
      </c>
      <c r="D8" s="605">
        <f>COUNTIFS(AMP1_6[Date],"&gt;="&amp;'Offset Solver'!$E$30,AMP1_6[Date],"&lt;="&amp;'Offset Solver'!$E$31,AMP1_6[Blade Part Number],C8)</f>
        <v>49</v>
      </c>
      <c r="E8" s="219">
        <f>'AMP1-6'!F1</f>
        <v>41.136387755102042</v>
      </c>
      <c r="F8" s="219">
        <f>'AMP1-6'!G1</f>
        <v>41.144551020408159</v>
      </c>
      <c r="G8" s="219">
        <f>'AMP1-6'!H1</f>
        <v>155.72679591836737</v>
      </c>
      <c r="H8" s="219">
        <f>'AMP1-6'!I1</f>
        <v>155.75322448979591</v>
      </c>
      <c r="I8" s="219" t="str">
        <f>'AMP1-6'!J1</f>
        <v/>
      </c>
      <c r="J8" s="219" t="str">
        <f>'AMP1-6'!K1</f>
        <v/>
      </c>
      <c r="K8" s="219">
        <f>'AMP1-6'!L1</f>
        <v>155.95877551020405</v>
      </c>
      <c r="L8" s="219">
        <f>'AMP1-6'!M1</f>
        <v>155.78197959183674</v>
      </c>
      <c r="M8" s="219">
        <f>'AMP1-6'!N1</f>
        <v>27.380204081632652</v>
      </c>
      <c r="N8" s="219">
        <f>'AMP1-6'!O1</f>
        <v>27.473346938775499</v>
      </c>
      <c r="O8" s="219" t="str">
        <f>'AMP1-6'!P1</f>
        <v/>
      </c>
      <c r="P8" s="219" t="str">
        <f>'AMP1-6'!Q1</f>
        <v/>
      </c>
      <c r="Q8" s="219">
        <f>'AMP1-6'!R1</f>
        <v>16.970183673469389</v>
      </c>
      <c r="R8" s="219">
        <f>'AMP1-6'!S1</f>
        <v>16.941755102040819</v>
      </c>
      <c r="S8" s="219">
        <f>'AMP1-6'!T1</f>
        <v>34.377816326530613</v>
      </c>
      <c r="T8" s="219">
        <f>'AMP1-6'!U1</f>
        <v>35.019530612244907</v>
      </c>
      <c r="U8" s="219" t="str">
        <f>'AMP1-6'!V1</f>
        <v/>
      </c>
      <c r="V8" s="219">
        <f>'AMP1-6'!W1</f>
        <v>0.16253061224489795</v>
      </c>
      <c r="W8" s="219">
        <f>'AMP1-6'!X1</f>
        <v>-0.29855102040816328</v>
      </c>
      <c r="X8" s="219" t="str">
        <f>'AMP1-6'!Y1</f>
        <v/>
      </c>
      <c r="Y8" s="219">
        <f>'AMP1-6'!Z1</f>
        <v>3.2877551020408166E-2</v>
      </c>
      <c r="Z8" s="219">
        <f>'AMP1-6'!AA1</f>
        <v>-0.20602040816326536</v>
      </c>
      <c r="AA8" s="219">
        <f>'AMP1-6'!AB1</f>
        <v>-0.27026530612244892</v>
      </c>
      <c r="AB8" s="219">
        <f>'AMP1-6'!AC1</f>
        <v>-0.29740816326530611</v>
      </c>
      <c r="AC8" s="219">
        <f>'AMP1-6'!AD1</f>
        <v>0.16253061224489795</v>
      </c>
      <c r="AD8" s="219">
        <f>'AMP1-6'!AE1</f>
        <v>-0.1293673469387755</v>
      </c>
      <c r="AE8" s="219">
        <f>'AMP1-6'!AF1</f>
        <v>-0.20165306122448984</v>
      </c>
      <c r="AF8" s="219">
        <f>'AMP1-6'!AG1</f>
        <v>-7.8591836734693901E-2</v>
      </c>
      <c r="AG8" s="219">
        <f>'AMP1-6'!AH1</f>
        <v>-0.12885714285714286</v>
      </c>
      <c r="AH8" s="219">
        <f>'AMP1-6'!AI1</f>
        <v>3.1204081632653067E-2</v>
      </c>
    </row>
    <row r="9" spans="2:34" x14ac:dyDescent="0.25">
      <c r="B9" s="218" t="s">
        <v>272</v>
      </c>
      <c r="C9" s="218" t="s">
        <v>31</v>
      </c>
      <c r="D9" s="605">
        <f>COUNTIFS(AMP1_6[Date],"&gt;="&amp;'Offset Solver'!$E$30,AMP1_6[Date],"&lt;="&amp;'Offset Solver'!$E$31,AMP1_6[Blade Part Number],C9)</f>
        <v>49</v>
      </c>
      <c r="E9" s="219" t="str">
        <f>'AMP1-6'!F2</f>
        <v/>
      </c>
      <c r="F9" s="219" t="str">
        <f>'AMP1-6'!G2</f>
        <v/>
      </c>
      <c r="G9" s="219">
        <f>'AMP1-6'!H2</f>
        <v>155.94714285714284</v>
      </c>
      <c r="H9" s="219">
        <f>'AMP1-6'!I2</f>
        <v>155.72804081632651</v>
      </c>
      <c r="I9" s="219">
        <f>'AMP1-6'!J2</f>
        <v>168.59540816326532</v>
      </c>
      <c r="J9" s="219">
        <f>'AMP1-6'!K2</f>
        <v>168.47500000000002</v>
      </c>
      <c r="K9" s="219">
        <f>'AMP1-6'!L2</f>
        <v>156.1353877551021</v>
      </c>
      <c r="L9" s="219">
        <f>'AMP1-6'!M2</f>
        <v>155.77793877551019</v>
      </c>
      <c r="M9" s="219">
        <f>'AMP1-6'!N2</f>
        <v>27.171510204081645</v>
      </c>
      <c r="N9" s="219">
        <f>'AMP1-6'!O2</f>
        <v>27.342122448979595</v>
      </c>
      <c r="O9" s="219" t="str">
        <f>'AMP1-6'!P2</f>
        <v/>
      </c>
      <c r="P9" s="219" t="str">
        <f>'AMP1-6'!Q2</f>
        <v/>
      </c>
      <c r="Q9" s="219">
        <f>'AMP1-6'!R2</f>
        <v>16.842428571428567</v>
      </c>
      <c r="R9" s="219">
        <f>'AMP1-6'!S2</f>
        <v>16.98414285714286</v>
      </c>
      <c r="S9" s="219">
        <f>'AMP1-6'!T2</f>
        <v>37.023530612244905</v>
      </c>
      <c r="T9" s="219">
        <f>'AMP1-6'!U2</f>
        <v>37.594040816326533</v>
      </c>
      <c r="U9" s="219" t="str">
        <f>'AMP1-6'!V2</f>
        <v/>
      </c>
      <c r="V9" s="219">
        <f>'AMP1-6'!W2</f>
        <v>-0.18410204081632658</v>
      </c>
      <c r="W9" s="219">
        <f>'AMP1-6'!X2</f>
        <v>-0.45777551020408164</v>
      </c>
      <c r="X9" s="219" t="str">
        <f>'AMP1-6'!Y2</f>
        <v/>
      </c>
      <c r="Y9" s="219">
        <f>'AMP1-6'!Z2</f>
        <v>0.15642857142857139</v>
      </c>
      <c r="Z9" s="219">
        <f>'AMP1-6'!AA2</f>
        <v>-0.10910204081632655</v>
      </c>
      <c r="AA9" s="219">
        <f>'AMP1-6'!AB2</f>
        <v>-0.20028571428571437</v>
      </c>
      <c r="AB9" s="219">
        <f>'AMP1-6'!AC2</f>
        <v>-0.19130612244897963</v>
      </c>
      <c r="AC9" s="219">
        <f>'AMP1-6'!AD2</f>
        <v>-0.34306122448979598</v>
      </c>
      <c r="AD9" s="219">
        <f>'AMP1-6'!AE2</f>
        <v>-0.45777551020408164</v>
      </c>
      <c r="AE9" s="219">
        <f>'AMP1-6'!AF2</f>
        <v>0.1481428571428571</v>
      </c>
      <c r="AF9" s="219">
        <f>'AMP1-6'!AG2</f>
        <v>0.15030612244897959</v>
      </c>
      <c r="AG9" s="219">
        <f>'AMP1-6'!AH2</f>
        <v>-0.10438775510204082</v>
      </c>
      <c r="AH9" s="219">
        <f>'AMP1-6'!AI2</f>
        <v>-9.1979591836734681E-2</v>
      </c>
    </row>
    <row r="10" spans="2:34" x14ac:dyDescent="0.25">
      <c r="B10" s="218" t="s">
        <v>274</v>
      </c>
      <c r="C10" s="218" t="s">
        <v>32</v>
      </c>
      <c r="D10" s="605">
        <f>COUNTIFS(AMP1_8[Date],"&gt;="&amp;'Offset Solver'!$E$30,AMP1_8[Date],"&lt;="&amp;'Offset Solver'!$E$31,AMP1_8[Blade Part Number],C10)</f>
        <v>41</v>
      </c>
      <c r="E10" s="219">
        <f>'AMP1-8'!F1</f>
        <v>41.322024390243918</v>
      </c>
      <c r="F10" s="219">
        <f>'AMP1-8'!G1</f>
        <v>41.327170731707312</v>
      </c>
      <c r="G10" s="219">
        <f>'AMP1-8'!H1</f>
        <v>155.81560975609756</v>
      </c>
      <c r="H10" s="219">
        <f>'AMP1-8'!I1</f>
        <v>155.79729268292684</v>
      </c>
      <c r="I10" s="219" t="str">
        <f>'AMP1-8'!J1</f>
        <v/>
      </c>
      <c r="J10" s="219" t="str">
        <f>'AMP1-8'!K1</f>
        <v/>
      </c>
      <c r="K10" s="219">
        <f>'AMP1-8'!L1</f>
        <v>155.82702439024388</v>
      </c>
      <c r="L10" s="219">
        <f>'AMP1-8'!M1</f>
        <v>155.7103170731707</v>
      </c>
      <c r="M10" s="219">
        <f>'AMP1-8'!N1</f>
        <v>27.379219512195128</v>
      </c>
      <c r="N10" s="219">
        <f>'AMP1-8'!O1</f>
        <v>27.588243902439022</v>
      </c>
      <c r="O10" s="219" t="str">
        <f>'AMP1-8'!P1</f>
        <v/>
      </c>
      <c r="P10" s="219" t="str">
        <f>'AMP1-8'!Q1</f>
        <v/>
      </c>
      <c r="Q10" s="219">
        <f>'AMP1-8'!R1</f>
        <v>17.132390243902432</v>
      </c>
      <c r="R10" s="219">
        <f>'AMP1-8'!S1</f>
        <v>17.037585365853655</v>
      </c>
      <c r="S10" s="219">
        <f>'AMP1-8'!T1</f>
        <v>33.705780487804873</v>
      </c>
      <c r="T10" s="219">
        <f>'AMP1-8'!U1</f>
        <v>33.924731707317079</v>
      </c>
      <c r="U10" s="219" t="str">
        <f>'AMP1-8'!V1</f>
        <v/>
      </c>
      <c r="V10" s="219">
        <f>'AMP1-8'!W1</f>
        <v>8.8292682926829243E-3</v>
      </c>
      <c r="W10" s="219">
        <f>'AMP1-8'!X1</f>
        <v>-0.21556097560975612</v>
      </c>
      <c r="X10" s="219" t="str">
        <f>'AMP1-8'!Y1</f>
        <v/>
      </c>
      <c r="Y10" s="219">
        <f>'AMP1-8'!Z1</f>
        <v>2.153658536585366E-2</v>
      </c>
      <c r="Z10" s="219">
        <f>'AMP1-8'!AA1</f>
        <v>-0.1511463414634146</v>
      </c>
      <c r="AA10" s="219">
        <f>'AMP1-8'!AB1</f>
        <v>-0.15675609756097564</v>
      </c>
      <c r="AB10" s="219">
        <f>'AMP1-8'!AC1</f>
        <v>-0.20248780487804882</v>
      </c>
      <c r="AC10" s="219">
        <f>'AMP1-8'!AD1</f>
        <v>8.8292682926829243E-3</v>
      </c>
      <c r="AD10" s="219">
        <f>'AMP1-8'!AE1</f>
        <v>-0.13880487804878047</v>
      </c>
      <c r="AE10" s="219">
        <f>'AMP1-8'!AF1</f>
        <v>-0.14907317073170731</v>
      </c>
      <c r="AF10" s="219">
        <f>'AMP1-8'!AG1</f>
        <v>-0.11656097560975612</v>
      </c>
      <c r="AG10" s="219">
        <f>'AMP1-8'!AH1</f>
        <v>1.5634146341463415E-2</v>
      </c>
      <c r="AH10" s="219">
        <f>'AMP1-8'!AI1</f>
        <v>-7.2195121951219533E-3</v>
      </c>
    </row>
    <row r="11" spans="2:34" x14ac:dyDescent="0.25">
      <c r="B11" s="218" t="s">
        <v>274</v>
      </c>
      <c r="C11" s="218" t="s">
        <v>31</v>
      </c>
      <c r="D11" s="605">
        <f>COUNTIFS(AMP1_8[Date],"&gt;="&amp;'Offset Solver'!$E$30,AMP1_8[Date],"&lt;="&amp;'Offset Solver'!$E$31,AMP1_8[Blade Part Number],C11)</f>
        <v>41</v>
      </c>
      <c r="E11" s="219" t="str">
        <f>'AMP1-8'!F2</f>
        <v/>
      </c>
      <c r="F11" s="219" t="str">
        <f>'AMP1-8'!G2</f>
        <v/>
      </c>
      <c r="G11" s="219">
        <f>'AMP1-8'!H2</f>
        <v>155.74943902439023</v>
      </c>
      <c r="H11" s="219">
        <f>'AMP1-8'!I2</f>
        <v>155.72307317073165</v>
      </c>
      <c r="I11" s="219">
        <f>'AMP1-8'!J2</f>
        <v>168.65602439024383</v>
      </c>
      <c r="J11" s="219">
        <f>'AMP1-8'!K2</f>
        <v>168.65748780487806</v>
      </c>
      <c r="K11" s="219">
        <f>'AMP1-8'!L2</f>
        <v>155.90875609756094</v>
      </c>
      <c r="L11" s="219">
        <f>'AMP1-8'!M2</f>
        <v>155.67180487804879</v>
      </c>
      <c r="M11" s="219">
        <f>'AMP1-8'!N2</f>
        <v>27.273634146341458</v>
      </c>
      <c r="N11" s="219">
        <f>'AMP1-8'!O2</f>
        <v>27.473829268292668</v>
      </c>
      <c r="O11" s="219" t="str">
        <f>'AMP1-8'!P2</f>
        <v/>
      </c>
      <c r="P11" s="219" t="str">
        <f>'AMP1-8'!Q2</f>
        <v/>
      </c>
      <c r="Q11" s="219">
        <f>'AMP1-8'!R2</f>
        <v>17.323414634146342</v>
      </c>
      <c r="R11" s="219">
        <f>'AMP1-8'!S2</f>
        <v>17.313341463414634</v>
      </c>
      <c r="S11" s="219">
        <f>'AMP1-8'!T2</f>
        <v>37.476146341463419</v>
      </c>
      <c r="T11" s="219">
        <f>'AMP1-8'!U2</f>
        <v>38.623853658536582</v>
      </c>
      <c r="U11" s="219" t="str">
        <f>'AMP1-8'!V2</f>
        <v/>
      </c>
      <c r="V11" s="219">
        <f>'AMP1-8'!W2</f>
        <v>3.1878048780487805E-2</v>
      </c>
      <c r="W11" s="219">
        <f>'AMP1-8'!X2</f>
        <v>-0.35741463414634139</v>
      </c>
      <c r="X11" s="219" t="str">
        <f>'AMP1-8'!Y2</f>
        <v/>
      </c>
      <c r="Y11" s="219">
        <f>'AMP1-8'!Z2</f>
        <v>3.0121951219512215E-2</v>
      </c>
      <c r="Z11" s="219">
        <f>'AMP1-8'!AA2</f>
        <v>-0.10182926829268292</v>
      </c>
      <c r="AA11" s="219">
        <f>'AMP1-8'!AB2</f>
        <v>-0.28253658536585363</v>
      </c>
      <c r="AB11" s="219">
        <f>'AMP1-8'!AC2</f>
        <v>-0.35190243902439017</v>
      </c>
      <c r="AC11" s="219">
        <f>'AMP1-8'!AD2</f>
        <v>3.1878048780487805E-2</v>
      </c>
      <c r="AD11" s="219">
        <f>'AMP1-8'!AE2</f>
        <v>-0.22719512195121955</v>
      </c>
      <c r="AE11" s="219">
        <f>'AMP1-8'!AF2</f>
        <v>-8.1268292682926846E-2</v>
      </c>
      <c r="AF11" s="219">
        <f>'AMP1-8'!AG2</f>
        <v>-9.6121951219512197E-2</v>
      </c>
      <c r="AG11" s="219">
        <f>'AMP1-8'!AH2</f>
        <v>1.721951219512196E-2</v>
      </c>
      <c r="AH11" s="219">
        <f>'AMP1-8'!AI2</f>
        <v>1.6975609756097566E-2</v>
      </c>
    </row>
    <row r="12" spans="2:34" s="727" customFormat="1" x14ac:dyDescent="0.25">
      <c r="B12" s="729" t="s">
        <v>275</v>
      </c>
      <c r="C12" s="729" t="s">
        <v>32</v>
      </c>
      <c r="D12" s="729">
        <f>COUNTIFS(AMP2_2[Date],"&gt;="&amp;'Offset Solver'!$E$30,AMP2_2[Date],"&lt;="&amp;'Offset Solver'!$E$31,AMP2_2[Blade Part Number],C12)</f>
        <v>22</v>
      </c>
      <c r="E12" s="729">
        <f>'AMP2-2'!F1</f>
        <v>41.388954545454538</v>
      </c>
      <c r="F12" s="729">
        <f>'AMP2-2'!G1</f>
        <v>41.352772727272729</v>
      </c>
      <c r="G12" s="729">
        <f>'AMP2-2'!H1</f>
        <v>155.90040909090911</v>
      </c>
      <c r="H12" s="729">
        <f>'AMP2-2'!I1</f>
        <v>156.0691363636364</v>
      </c>
      <c r="I12" s="729" t="str">
        <f>'AMP2-2'!J1</f>
        <v/>
      </c>
      <c r="J12" s="729" t="str">
        <f>'AMP2-2'!K1</f>
        <v/>
      </c>
      <c r="K12" s="729">
        <f>'AMP2-2'!L1</f>
        <v>155.80513636363636</v>
      </c>
      <c r="L12" s="729">
        <f>'AMP2-2'!M1</f>
        <v>155.7832727272727</v>
      </c>
      <c r="M12" s="729">
        <f>'AMP2-2'!N1</f>
        <v>27.424636363636367</v>
      </c>
      <c r="N12" s="729">
        <f>'AMP2-2'!O1</f>
        <v>27.516909090909095</v>
      </c>
      <c r="O12" s="729" t="str">
        <f>'AMP2-2'!P1</f>
        <v/>
      </c>
      <c r="P12" s="729" t="str">
        <f>'AMP2-2'!Q1</f>
        <v/>
      </c>
      <c r="Q12" s="729">
        <f>'AMP2-2'!R1</f>
        <v>17.216863636363634</v>
      </c>
      <c r="R12" s="729">
        <f>'AMP2-2'!S1</f>
        <v>16.984500000000001</v>
      </c>
      <c r="S12" s="729">
        <f>'AMP2-2'!T1</f>
        <v>33.818590909090908</v>
      </c>
      <c r="T12" s="729">
        <f>'AMP2-2'!U1</f>
        <v>34.330636363636366</v>
      </c>
      <c r="U12" s="729" t="str">
        <f>'AMP2-2'!V1</f>
        <v/>
      </c>
      <c r="V12" s="729">
        <f>'AMP2-2'!W1</f>
        <v>0.42231818181818181</v>
      </c>
      <c r="W12" s="729">
        <f>'AMP2-2'!X1</f>
        <v>0.23749999999999999</v>
      </c>
      <c r="X12" s="729" t="str">
        <f>'AMP2-2'!Y1</f>
        <v/>
      </c>
      <c r="Y12" s="729">
        <f>'AMP2-2'!Z1</f>
        <v>0.35200000000000004</v>
      </c>
      <c r="Z12" s="729">
        <f>'AMP2-2'!AA1</f>
        <v>8.4136363636363648E-2</v>
      </c>
      <c r="AA12" s="729">
        <f>'AMP2-2'!AB1</f>
        <v>0.2464545454545454</v>
      </c>
      <c r="AB12" s="729">
        <f>'AMP2-2'!AC1</f>
        <v>0.27018181818181825</v>
      </c>
      <c r="AC12" s="729">
        <f>'AMP2-2'!AD1</f>
        <v>0.32918181818181824</v>
      </c>
      <c r="AD12" s="729">
        <f>'AMP2-2'!AE1</f>
        <v>0.42100000000000004</v>
      </c>
      <c r="AE12" s="729">
        <f>'AMP2-2'!AF1</f>
        <v>8.4181818181818191E-2</v>
      </c>
      <c r="AF12" s="729">
        <f>'AMP2-2'!AG1</f>
        <v>0.11113636363636363</v>
      </c>
      <c r="AG12" s="729">
        <f>'AMP2-2'!AH1</f>
        <v>0.31890909090909098</v>
      </c>
      <c r="AH12" s="729">
        <f>'AMP2-2'!AI1</f>
        <v>0.35100000000000003</v>
      </c>
    </row>
    <row r="13" spans="2:34" s="727" customFormat="1" x14ac:dyDescent="0.25">
      <c r="B13" s="729" t="s">
        <v>275</v>
      </c>
      <c r="C13" s="729" t="s">
        <v>31</v>
      </c>
      <c r="D13" s="729">
        <f>COUNTIFS(AMP2_2[Date],"&gt;="&amp;'Offset Solver'!$E$30,AMP2_2[Date],"&lt;="&amp;'Offset Solver'!$E$31,AMP2_2[Blade Part Number],C13)</f>
        <v>22</v>
      </c>
      <c r="E13" s="729" t="str">
        <f>'AMP2-2'!F2</f>
        <v/>
      </c>
      <c r="F13" s="729" t="str">
        <f>'AMP2-2'!G2</f>
        <v/>
      </c>
      <c r="G13" s="729">
        <f>'AMP2-2'!H2</f>
        <v>155.66640909090913</v>
      </c>
      <c r="H13" s="729">
        <f>'AMP2-2'!I2</f>
        <v>155.52627272727275</v>
      </c>
      <c r="I13" s="729">
        <f>'AMP2-2'!J2</f>
        <v>168.69718181818183</v>
      </c>
      <c r="J13" s="729">
        <f>'AMP2-2'!K2</f>
        <v>168.80931818181818</v>
      </c>
      <c r="K13" s="729">
        <f>'AMP2-2'!L2</f>
        <v>155.86736363636365</v>
      </c>
      <c r="L13" s="729">
        <f>'AMP2-2'!M2</f>
        <v>155.62968181818181</v>
      </c>
      <c r="M13" s="729">
        <f>'AMP2-2'!N2</f>
        <v>27.368227272727268</v>
      </c>
      <c r="N13" s="729">
        <f>'AMP2-2'!O2</f>
        <v>27.614363636363635</v>
      </c>
      <c r="O13" s="729" t="str">
        <f>'AMP2-2'!P2</f>
        <v/>
      </c>
      <c r="P13" s="729" t="str">
        <f>'AMP2-2'!Q2</f>
        <v/>
      </c>
      <c r="Q13" s="729">
        <f>'AMP2-2'!R2</f>
        <v>17.25059090909091</v>
      </c>
      <c r="R13" s="729">
        <f>'AMP2-2'!S2</f>
        <v>16.593500000000002</v>
      </c>
      <c r="S13" s="729">
        <f>'AMP2-2'!T2</f>
        <v>37.447499999999984</v>
      </c>
      <c r="T13" s="729">
        <f>'AMP2-2'!U2</f>
        <v>38.241363636363651</v>
      </c>
      <c r="U13" s="729" t="str">
        <f>'AMP2-2'!V2</f>
        <v/>
      </c>
      <c r="V13" s="729">
        <f>'AMP2-2'!W2</f>
        <v>0.16931818181818181</v>
      </c>
      <c r="W13" s="729">
        <f>'AMP2-2'!X2</f>
        <v>-0.20922727272727271</v>
      </c>
      <c r="X13" s="729" t="str">
        <f>'AMP2-2'!Y2</f>
        <v/>
      </c>
      <c r="Y13" s="729">
        <f>'AMP2-2'!Z2</f>
        <v>0.23913636363636365</v>
      </c>
      <c r="Z13" s="729">
        <f>'AMP2-2'!AA2</f>
        <v>3.1818181818181897E-3</v>
      </c>
      <c r="AA13" s="729">
        <f>'AMP2-2'!AB2</f>
        <v>-4.195454545454546E-2</v>
      </c>
      <c r="AB13" s="729">
        <f>'AMP2-2'!AC2</f>
        <v>-0.20336363636363633</v>
      </c>
      <c r="AC13" s="729">
        <f>'AMP2-2'!AD2</f>
        <v>0.15368181818181817</v>
      </c>
      <c r="AD13" s="729">
        <f>'AMP2-2'!AE2</f>
        <v>-0.10427272727272728</v>
      </c>
      <c r="AE13" s="729">
        <f>'AMP2-2'!AF2</f>
        <v>0.21509090909090914</v>
      </c>
      <c r="AF13" s="729">
        <f>'AMP2-2'!AG2</f>
        <v>0.2029090909090909</v>
      </c>
      <c r="AG13" s="729">
        <f>'AMP2-2'!AH2</f>
        <v>3.0318181818181821E-2</v>
      </c>
      <c r="AH13" s="729">
        <f>'AMP2-2'!AI2</f>
        <v>5.0227272727272745E-2</v>
      </c>
    </row>
    <row r="14" spans="2:34" x14ac:dyDescent="0.25">
      <c r="B14" s="218" t="s">
        <v>268</v>
      </c>
      <c r="C14" s="218" t="s">
        <v>32</v>
      </c>
      <c r="D14" s="605">
        <f>COUNTIFS(AMP2_6[Date],"&gt;="&amp;'Offset Solver'!$E$30,AMP2_6[Date],"&lt;="&amp;'Offset Solver'!$E$31,AMP2_6[Blade Part Number],C14)</f>
        <v>14</v>
      </c>
      <c r="E14" s="219">
        <f>'AMP2-6'!F1</f>
        <v>41.572214285714288</v>
      </c>
      <c r="F14" s="219">
        <f>'AMP2-6'!G1</f>
        <v>41.299928571428566</v>
      </c>
      <c r="G14" s="219">
        <f>'AMP2-6'!H1</f>
        <v>155.55135714285714</v>
      </c>
      <c r="H14" s="219">
        <f>'AMP2-6'!I1</f>
        <v>155.71457142857142</v>
      </c>
      <c r="I14" s="219" t="str">
        <f>'AMP2-6'!J1</f>
        <v/>
      </c>
      <c r="J14" s="219" t="str">
        <f>'AMP2-6'!K1</f>
        <v/>
      </c>
      <c r="K14" s="219">
        <f>'AMP2-6'!L1</f>
        <v>155.8604285714286</v>
      </c>
      <c r="L14" s="219">
        <f>'AMP2-6'!M1</f>
        <v>155.71342857142858</v>
      </c>
      <c r="M14" s="219">
        <f>'AMP2-6'!N1</f>
        <v>27.330285714285715</v>
      </c>
      <c r="N14" s="219">
        <f>'AMP2-6'!O1</f>
        <v>27.558428571428571</v>
      </c>
      <c r="O14" s="219" t="str">
        <f>'AMP2-6'!P1</f>
        <v/>
      </c>
      <c r="P14" s="219" t="str">
        <f>'AMP2-6'!Q1</f>
        <v/>
      </c>
      <c r="Q14" s="219">
        <f>'AMP2-6'!R1</f>
        <v>17.106500000000004</v>
      </c>
      <c r="R14" s="219">
        <f>'AMP2-6'!S1</f>
        <v>16.968428571428571</v>
      </c>
      <c r="S14" s="219">
        <f>'AMP2-6'!T1</f>
        <v>35.134928571428574</v>
      </c>
      <c r="T14" s="219">
        <f>'AMP2-6'!U1</f>
        <v>35.852785714285723</v>
      </c>
      <c r="U14" s="219" t="str">
        <f>'AMP2-6'!V1</f>
        <v/>
      </c>
      <c r="V14" s="219">
        <f>'AMP2-6'!W1</f>
        <v>0.16942857142857143</v>
      </c>
      <c r="W14" s="219">
        <f>'AMP2-6'!X1</f>
        <v>3.9999999999999983E-3</v>
      </c>
      <c r="X14" s="219" t="str">
        <f>'AMP2-6'!Y1</f>
        <v/>
      </c>
      <c r="Y14" s="219">
        <f>'AMP2-6'!Z1</f>
        <v>0.43421428571428577</v>
      </c>
      <c r="Z14" s="219">
        <f>'AMP2-6'!AA1</f>
        <v>0.16864285714285715</v>
      </c>
      <c r="AA14" s="219">
        <f>'AMP2-6'!AB1</f>
        <v>4.2714285714285719E-2</v>
      </c>
      <c r="AB14" s="219">
        <f>'AMP2-6'!AC1</f>
        <v>4.7857142857142846E-3</v>
      </c>
      <c r="AC14" s="219">
        <f>'AMP2-6'!AD1</f>
        <v>0.15078571428571427</v>
      </c>
      <c r="AD14" s="219">
        <f>'AMP2-6'!AE1</f>
        <v>0.11707142857142859</v>
      </c>
      <c r="AE14" s="219">
        <f>'AMP2-6'!AF1</f>
        <v>0.21071428571428569</v>
      </c>
      <c r="AF14" s="219">
        <f>'AMP2-6'!AG1</f>
        <v>0.16864285714285715</v>
      </c>
      <c r="AG14" s="219">
        <f>'AMP2-6'!AH1</f>
        <v>0.42935714285714288</v>
      </c>
      <c r="AH14" s="219">
        <f>'AMP2-6'!AI1</f>
        <v>0.42214285714285715</v>
      </c>
    </row>
    <row r="15" spans="2:34" x14ac:dyDescent="0.25">
      <c r="B15" s="218" t="s">
        <v>268</v>
      </c>
      <c r="C15" s="218" t="s">
        <v>31</v>
      </c>
      <c r="D15" s="605">
        <f>COUNTIFS(AMP2_6[Date],"&gt;="&amp;'Offset Solver'!$E$30,AMP2_6[Date],"&lt;="&amp;'Offset Solver'!$E$31,AMP2_6[Blade Part Number],C15)</f>
        <v>14</v>
      </c>
      <c r="E15" s="219" t="str">
        <f>'AMP2-6'!F2</f>
        <v/>
      </c>
      <c r="F15" s="219" t="str">
        <f>'AMP2-6'!G2</f>
        <v/>
      </c>
      <c r="G15" s="219">
        <f>'AMP2-6'!H2</f>
        <v>155.85642857142858</v>
      </c>
      <c r="H15" s="219">
        <f>'AMP2-6'!I2</f>
        <v>155.80285714285716</v>
      </c>
      <c r="I15" s="219">
        <f>'AMP2-6'!J2</f>
        <v>169.22628571428569</v>
      </c>
      <c r="J15" s="219">
        <f>'AMP2-6'!K2</f>
        <v>168.70971428571428</v>
      </c>
      <c r="K15" s="219">
        <f>'AMP2-6'!L2</f>
        <v>155.86071428571427</v>
      </c>
      <c r="L15" s="219">
        <f>'AMP2-6'!M2</f>
        <v>155.71314285714286</v>
      </c>
      <c r="M15" s="219">
        <f>'AMP2-6'!N2</f>
        <v>27.340357142857137</v>
      </c>
      <c r="N15" s="219">
        <f>'AMP2-6'!O2</f>
        <v>27.451714285714285</v>
      </c>
      <c r="O15" s="219" t="str">
        <f>'AMP2-6'!P2</f>
        <v/>
      </c>
      <c r="P15" s="219" t="str">
        <f>'AMP2-6'!Q2</f>
        <v/>
      </c>
      <c r="Q15" s="219">
        <f>'AMP2-6'!R2</f>
        <v>17.076142857142855</v>
      </c>
      <c r="R15" s="219">
        <f>'AMP2-6'!S2</f>
        <v>17.354571428571429</v>
      </c>
      <c r="S15" s="219">
        <f>'AMP2-6'!T2</f>
        <v>35.969928571428561</v>
      </c>
      <c r="T15" s="219">
        <f>'AMP2-6'!U2</f>
        <v>36.886928571428584</v>
      </c>
      <c r="U15" s="219" t="str">
        <f>'AMP2-6'!V2</f>
        <v/>
      </c>
      <c r="V15" s="219">
        <f>'AMP2-6'!W2</f>
        <v>-0.11214285714285714</v>
      </c>
      <c r="W15" s="219">
        <f>'AMP2-6'!X2</f>
        <v>-0.35685714285714282</v>
      </c>
      <c r="X15" s="219" t="str">
        <f>'AMP2-6'!Y2</f>
        <v/>
      </c>
      <c r="Y15" s="219">
        <f>'AMP2-6'!Z2</f>
        <v>6.9642857142857145E-2</v>
      </c>
      <c r="Z15" s="219">
        <f>'AMP2-6'!AA2</f>
        <v>-0.15221428571428572</v>
      </c>
      <c r="AA15" s="219">
        <f>'AMP2-6'!AB2</f>
        <v>-0.11828571428571429</v>
      </c>
      <c r="AB15" s="219">
        <f>'AMP2-6'!AC2</f>
        <v>-0.11678571428571427</v>
      </c>
      <c r="AC15" s="219">
        <f>'AMP2-6'!AD2</f>
        <v>-0.3327857142857143</v>
      </c>
      <c r="AD15" s="219">
        <f>'AMP2-6'!AE2</f>
        <v>-0.34299999999999997</v>
      </c>
      <c r="AE15" s="219">
        <f>'AMP2-6'!AF2</f>
        <v>6.9642857142857145E-2</v>
      </c>
      <c r="AF15" s="219">
        <f>'AMP2-6'!AG2</f>
        <v>5.9928571428571428E-2</v>
      </c>
      <c r="AG15" s="219">
        <f>'AMP2-6'!AH2</f>
        <v>-0.14385714285714288</v>
      </c>
      <c r="AH15" s="219">
        <f>'AMP2-6'!AI2</f>
        <v>-0.14307142857142857</v>
      </c>
    </row>
    <row r="16" spans="2:34" x14ac:dyDescent="0.25">
      <c r="B16" s="218" t="s">
        <v>269</v>
      </c>
      <c r="C16" s="218" t="s">
        <v>32</v>
      </c>
      <c r="D16" s="605">
        <f>COUNTIFS(AMP2_8[Date],"&gt;="&amp;'Offset Solver'!$E$30,AMP2_8[Date],"&lt;="&amp;'Offset Solver'!$E$31,AMP2_8[Blade Part Number],C16)</f>
        <v>0</v>
      </c>
      <c r="E16" s="219" t="str">
        <f>'AMP2-8'!F1</f>
        <v/>
      </c>
      <c r="F16" s="219" t="str">
        <f>'AMP2-8'!G1</f>
        <v/>
      </c>
      <c r="G16" s="219" t="str">
        <f>'AMP2-8'!H1</f>
        <v/>
      </c>
      <c r="H16" s="219" t="str">
        <f>'AMP2-8'!I1</f>
        <v/>
      </c>
      <c r="I16" s="219" t="str">
        <f>'AMP2-8'!J1</f>
        <v/>
      </c>
      <c r="J16" s="219" t="str">
        <f>'AMP2-8'!K1</f>
        <v/>
      </c>
      <c r="K16" s="219" t="str">
        <f>'AMP2-8'!L1</f>
        <v/>
      </c>
      <c r="L16" s="219" t="str">
        <f>'AMP2-8'!M1</f>
        <v/>
      </c>
      <c r="M16" s="219" t="str">
        <f>'AMP2-8'!N1</f>
        <v/>
      </c>
      <c r="N16" s="219" t="str">
        <f>'AMP2-8'!O1</f>
        <v/>
      </c>
      <c r="O16" s="219" t="str">
        <f>'AMP2-8'!P1</f>
        <v/>
      </c>
      <c r="P16" s="219" t="str">
        <f>'AMP2-8'!Q1</f>
        <v/>
      </c>
      <c r="Q16" s="219" t="str">
        <f>'AMP2-8'!R1</f>
        <v/>
      </c>
      <c r="R16" s="219" t="str">
        <f>'AMP2-8'!S1</f>
        <v/>
      </c>
      <c r="S16" s="219" t="str">
        <f>'AMP2-8'!T1</f>
        <v/>
      </c>
      <c r="T16" s="219" t="str">
        <f>'AMP2-8'!U1</f>
        <v/>
      </c>
      <c r="U16" s="219" t="str">
        <f>'AMP2-8'!V1</f>
        <v/>
      </c>
      <c r="V16" s="219" t="str">
        <f>'AMP2-8'!W1</f>
        <v/>
      </c>
      <c r="W16" s="219" t="str">
        <f>'AMP2-8'!X1</f>
        <v/>
      </c>
      <c r="X16" s="219" t="str">
        <f>'AMP2-8'!Y1</f>
        <v/>
      </c>
      <c r="Y16" s="219" t="str">
        <f>'AMP2-8'!Z1</f>
        <v/>
      </c>
      <c r="Z16" s="219" t="str">
        <f>'AMP2-8'!AA1</f>
        <v/>
      </c>
      <c r="AA16" s="219" t="str">
        <f>'AMP2-8'!AB1</f>
        <v/>
      </c>
      <c r="AB16" s="219" t="str">
        <f>'AMP2-8'!AC1</f>
        <v/>
      </c>
      <c r="AC16" s="219" t="str">
        <f>'AMP2-8'!AD1</f>
        <v/>
      </c>
      <c r="AD16" s="219" t="str">
        <f>'AMP2-8'!AE1</f>
        <v/>
      </c>
      <c r="AE16" s="219" t="str">
        <f>'AMP2-8'!AF1</f>
        <v/>
      </c>
      <c r="AF16" s="219" t="str">
        <f>'AMP2-8'!AG1</f>
        <v/>
      </c>
      <c r="AG16" s="219" t="str">
        <f>'AMP2-8'!AH1</f>
        <v/>
      </c>
      <c r="AH16" s="219" t="str">
        <f>'AMP2-8'!AI1</f>
        <v/>
      </c>
    </row>
    <row r="17" spans="2:34" x14ac:dyDescent="0.25">
      <c r="B17" s="218" t="s">
        <v>269</v>
      </c>
      <c r="C17" s="218" t="s">
        <v>31</v>
      </c>
      <c r="D17" s="605">
        <f>COUNTIFS(AMP2_8[Date],"&gt;="&amp;'Offset Solver'!$E$30,AMP2_8[Date],"&lt;="&amp;'Offset Solver'!$E$31,AMP2_8[Blade Part Number],C17)</f>
        <v>0</v>
      </c>
      <c r="E17" s="219" t="str">
        <f>'AMP2-8'!F2</f>
        <v/>
      </c>
      <c r="F17" s="219" t="str">
        <f>'AMP2-8'!G2</f>
        <v/>
      </c>
      <c r="G17" s="219" t="str">
        <f>'AMP2-8'!H2</f>
        <v/>
      </c>
      <c r="H17" s="219" t="str">
        <f>'AMP2-8'!I2</f>
        <v/>
      </c>
      <c r="I17" s="219" t="str">
        <f>'AMP2-8'!J2</f>
        <v/>
      </c>
      <c r="J17" s="219" t="str">
        <f>'AMP2-8'!K2</f>
        <v/>
      </c>
      <c r="K17" s="219" t="str">
        <f>'AMP2-8'!L2</f>
        <v/>
      </c>
      <c r="L17" s="219" t="str">
        <f>'AMP2-8'!M2</f>
        <v/>
      </c>
      <c r="M17" s="219" t="str">
        <f>'AMP2-8'!N2</f>
        <v/>
      </c>
      <c r="N17" s="219" t="str">
        <f>'AMP2-8'!O2</f>
        <v/>
      </c>
      <c r="O17" s="219" t="str">
        <f>'AMP2-8'!P2</f>
        <v/>
      </c>
      <c r="P17" s="219" t="str">
        <f>'AMP2-8'!Q2</f>
        <v/>
      </c>
      <c r="Q17" s="219" t="str">
        <f>'AMP2-8'!R2</f>
        <v/>
      </c>
      <c r="R17" s="219" t="str">
        <f>'AMP2-8'!S2</f>
        <v/>
      </c>
      <c r="S17" s="219" t="str">
        <f>'AMP2-8'!T2</f>
        <v/>
      </c>
      <c r="T17" s="219" t="str">
        <f>'AMP2-8'!U2</f>
        <v/>
      </c>
      <c r="U17" s="219" t="str">
        <f>'AMP2-8'!V2</f>
        <v/>
      </c>
      <c r="V17" s="219" t="str">
        <f>'AMP2-8'!W2</f>
        <v/>
      </c>
      <c r="W17" s="219" t="str">
        <f>'AMP2-8'!X2</f>
        <v/>
      </c>
      <c r="X17" s="219" t="str">
        <f>'AMP2-8'!Y2</f>
        <v/>
      </c>
      <c r="Y17" s="219" t="str">
        <f>'AMP2-8'!Z2</f>
        <v/>
      </c>
      <c r="Z17" s="219" t="str">
        <f>'AMP2-8'!AA2</f>
        <v/>
      </c>
      <c r="AA17" s="219" t="str">
        <f>'AMP2-8'!AB2</f>
        <v/>
      </c>
      <c r="AB17" s="219" t="str">
        <f>'AMP2-8'!AC2</f>
        <v/>
      </c>
      <c r="AC17" s="219" t="str">
        <f>'AMP2-8'!AD2</f>
        <v/>
      </c>
      <c r="AD17" s="219" t="str">
        <f>'AMP2-8'!AE2</f>
        <v/>
      </c>
      <c r="AE17" s="219" t="str">
        <f>'AMP2-8'!AF2</f>
        <v/>
      </c>
      <c r="AF17" s="219" t="str">
        <f>'AMP2-8'!AG2</f>
        <v/>
      </c>
      <c r="AG17" s="219" t="str">
        <f>'AMP2-8'!AH2</f>
        <v/>
      </c>
      <c r="AH17" s="219" t="str">
        <f>'AMP2-8'!AI2</f>
        <v/>
      </c>
    </row>
    <row r="18" spans="2:34" x14ac:dyDescent="0.25">
      <c r="B18" s="218" t="s">
        <v>282</v>
      </c>
      <c r="C18" s="218" t="s">
        <v>32</v>
      </c>
      <c r="D18" s="605">
        <f>COUNTIFS(AMP3_2[Date],"&gt;="&amp;'Offset Solver'!$E$30,AMP3_2[Date],"&lt;="&amp;'Offset Solver'!$E$31,AMP3_2[Blade Part Number],C18)</f>
        <v>72</v>
      </c>
      <c r="E18" s="219">
        <f>'AMP3-2'!F1</f>
        <v>41.21554166666666</v>
      </c>
      <c r="F18" s="219">
        <f>'AMP3-2'!G1</f>
        <v>41.36952777777779</v>
      </c>
      <c r="G18" s="219">
        <f>'AMP3-2'!H1</f>
        <v>155.78851388888893</v>
      </c>
      <c r="H18" s="219">
        <f>'AMP3-2'!I1</f>
        <v>155.78558333333334</v>
      </c>
      <c r="I18" s="219" t="str">
        <f>'AMP3-2'!J1</f>
        <v/>
      </c>
      <c r="J18" s="219" t="str">
        <f>'AMP3-2'!K1</f>
        <v/>
      </c>
      <c r="K18" s="219">
        <f>'AMP3-2'!L1</f>
        <v>155.83552777777788</v>
      </c>
      <c r="L18" s="219">
        <f>'AMP3-2'!M1</f>
        <v>155.61836111111117</v>
      </c>
      <c r="M18" s="219">
        <f>'AMP3-2'!N1</f>
        <v>27.373208333333327</v>
      </c>
      <c r="N18" s="219">
        <f>'AMP3-2'!O1</f>
        <v>27.488972222222216</v>
      </c>
      <c r="O18" s="219" t="str">
        <f>'AMP3-2'!P1</f>
        <v/>
      </c>
      <c r="P18" s="219" t="str">
        <f>'AMP3-2'!Q1</f>
        <v/>
      </c>
      <c r="Q18" s="219">
        <f>'AMP3-2'!R1</f>
        <v>17.271625</v>
      </c>
      <c r="R18" s="219">
        <f>'AMP3-2'!S1</f>
        <v>17.312319444444441</v>
      </c>
      <c r="S18" s="219">
        <f>'AMP3-2'!T1</f>
        <v>34.100722222222231</v>
      </c>
      <c r="T18" s="219">
        <f>'AMP3-2'!U1</f>
        <v>34.645555555555553</v>
      </c>
      <c r="U18" s="219" t="str">
        <f>'AMP3-2'!V1</f>
        <v/>
      </c>
      <c r="V18" s="219">
        <f>'AMP3-2'!W1</f>
        <v>0.10458333333333331</v>
      </c>
      <c r="W18" s="219">
        <f>'AMP3-2'!X1</f>
        <v>-0.1325416666666667</v>
      </c>
      <c r="X18" s="219" t="str">
        <f>'AMP3-2'!Y1</f>
        <v/>
      </c>
      <c r="Y18" s="219">
        <f>'AMP3-2'!Z1</f>
        <v>6.5180555555555547E-2</v>
      </c>
      <c r="Z18" s="219">
        <f>'AMP3-2'!AA1</f>
        <v>-0.11468055555555558</v>
      </c>
      <c r="AA18" s="219">
        <f>'AMP3-2'!AB1</f>
        <v>3.8833333333333338E-2</v>
      </c>
      <c r="AB18" s="219">
        <f>'AMP3-2'!AC1</f>
        <v>3.7347222222222226E-2</v>
      </c>
      <c r="AC18" s="219">
        <f>'AMP3-2'!AD1</f>
        <v>8.7027777777777759E-2</v>
      </c>
      <c r="AD18" s="219">
        <f>'AMP3-2'!AE1</f>
        <v>-0.12993055555555555</v>
      </c>
      <c r="AE18" s="219">
        <f>'AMP3-2'!AF1</f>
        <v>1.370833333333334E-2</v>
      </c>
      <c r="AF18" s="219">
        <f>'AMP3-2'!AG1</f>
        <v>-1.1638888888888886E-2</v>
      </c>
      <c r="AG18" s="219">
        <f>'AMP3-2'!AH1</f>
        <v>-0.10234722222222221</v>
      </c>
      <c r="AH18" s="219">
        <f>'AMP3-2'!AI1</f>
        <v>4.172222222222223E-2</v>
      </c>
    </row>
    <row r="19" spans="2:34" x14ac:dyDescent="0.25">
      <c r="B19" s="218" t="s">
        <v>282</v>
      </c>
      <c r="C19" s="218" t="s">
        <v>31</v>
      </c>
      <c r="D19" s="605">
        <f>COUNTIFS(AMP3_2[Date],"&gt;="&amp;'Offset Solver'!$E$30,AMP3_2[Date],"&lt;="&amp;'Offset Solver'!$E$31,AMP3_2[Blade Part Number],C19)</f>
        <v>73</v>
      </c>
      <c r="E19" s="219" t="str">
        <f>'AMP3-2'!F2</f>
        <v/>
      </c>
      <c r="F19" s="219" t="str">
        <f>'AMP3-2'!G2</f>
        <v/>
      </c>
      <c r="G19" s="219">
        <f>'AMP3-2'!H2</f>
        <v>155.74295890410963</v>
      </c>
      <c r="H19" s="219">
        <f>'AMP3-2'!I2</f>
        <v>155.72058904109593</v>
      </c>
      <c r="I19" s="219">
        <f>'AMP3-2'!J2</f>
        <v>168.59195890410967</v>
      </c>
      <c r="J19" s="219">
        <f>'AMP3-2'!K2</f>
        <v>168.69578082191782</v>
      </c>
      <c r="K19" s="219">
        <f>'AMP3-2'!L2</f>
        <v>155.81595890410958</v>
      </c>
      <c r="L19" s="219">
        <f>'AMP3-2'!M2</f>
        <v>155.63764383561642</v>
      </c>
      <c r="M19" s="219">
        <f>'AMP3-2'!N2</f>
        <v>27.421986301369859</v>
      </c>
      <c r="N19" s="219">
        <f>'AMP3-2'!O2</f>
        <v>27.639068493150685</v>
      </c>
      <c r="O19" s="219" t="str">
        <f>'AMP3-2'!P2</f>
        <v/>
      </c>
      <c r="P19" s="219" t="str">
        <f>'AMP3-2'!Q2</f>
        <v/>
      </c>
      <c r="Q19" s="219">
        <f>'AMP3-2'!R2</f>
        <v>17.239068493150679</v>
      </c>
      <c r="R19" s="219">
        <f>'AMP3-2'!S2</f>
        <v>17.244397260273963</v>
      </c>
      <c r="S19" s="219">
        <f>'AMP3-2'!T2</f>
        <v>37.109301369863019</v>
      </c>
      <c r="T19" s="219">
        <f>'AMP3-2'!U2</f>
        <v>37.947493150684942</v>
      </c>
      <c r="U19" s="219" t="str">
        <f>'AMP3-2'!V2</f>
        <v/>
      </c>
      <c r="V19" s="219">
        <f>'AMP3-2'!W2</f>
        <v>0.12631506849315066</v>
      </c>
      <c r="W19" s="219">
        <f>'AMP3-2'!X2</f>
        <v>-8.0260273972602728E-2</v>
      </c>
      <c r="X19" s="219" t="str">
        <f>'AMP3-2'!Y2</f>
        <v/>
      </c>
      <c r="Y19" s="219">
        <f>'AMP3-2'!Z2</f>
        <v>0.15224657534246569</v>
      </c>
      <c r="Z19" s="219">
        <f>'AMP3-2'!AA2</f>
        <v>3.7547945205479473E-2</v>
      </c>
      <c r="AA19" s="219">
        <f>'AMP3-2'!AB2</f>
        <v>-7.0520547945205486E-2</v>
      </c>
      <c r="AB19" s="219">
        <f>'AMP3-2'!AC2</f>
        <v>8.6684931506849347E-2</v>
      </c>
      <c r="AC19" s="219">
        <f>'AMP3-2'!AD2</f>
        <v>-1.1424657534246579E-2</v>
      </c>
      <c r="AD19" s="219">
        <f>'AMP3-2'!AE2</f>
        <v>0.10906849315068498</v>
      </c>
      <c r="AE19" s="219">
        <f>'AMP3-2'!AF2</f>
        <v>0.13431506849315059</v>
      </c>
      <c r="AF19" s="219">
        <f>'AMP3-2'!AG2</f>
        <v>5.634246575342465E-2</v>
      </c>
      <c r="AG19" s="219">
        <f>'AMP3-2'!AH2</f>
        <v>9.1520547945205463E-2</v>
      </c>
      <c r="AH19" s="219">
        <f>'AMP3-2'!AI2</f>
        <v>0.11575342465753428</v>
      </c>
    </row>
    <row r="20" spans="2:34" x14ac:dyDescent="0.25">
      <c r="B20" s="218" t="s">
        <v>283</v>
      </c>
      <c r="C20" s="218" t="s">
        <v>32</v>
      </c>
      <c r="D20" s="605">
        <f>COUNTIFS(AMP3_4[Date],"&gt;="&amp;'Offset Solver'!$E$30,AMP3_4[Date],"&lt;="&amp;'Offset Solver'!$E$31,AMP3_4[Blade Part Number],C20)</f>
        <v>71</v>
      </c>
      <c r="E20" s="219">
        <f>'AMP3-4'!F1</f>
        <v>41.17799999999999</v>
      </c>
      <c r="F20" s="219">
        <f>'AMP3-4'!G1</f>
        <v>41.05201408450705</v>
      </c>
      <c r="G20" s="219">
        <f>'AMP3-4'!H1</f>
        <v>155.80012676056336</v>
      </c>
      <c r="H20" s="219">
        <f>'AMP3-4'!I1</f>
        <v>155.80338028169007</v>
      </c>
      <c r="I20" s="219" t="str">
        <f>'AMP3-4'!J1</f>
        <v/>
      </c>
      <c r="J20" s="219" t="str">
        <f>'AMP3-4'!K1</f>
        <v/>
      </c>
      <c r="K20" s="219">
        <f>'AMP3-4'!L1</f>
        <v>155.88470422535212</v>
      </c>
      <c r="L20" s="219">
        <f>'AMP3-4'!M1</f>
        <v>155.71243661971835</v>
      </c>
      <c r="M20" s="219">
        <f>'AMP3-4'!N1</f>
        <v>27.277239436619716</v>
      </c>
      <c r="N20" s="219">
        <f>'AMP3-4'!O1</f>
        <v>27.409028169014089</v>
      </c>
      <c r="O20" s="219" t="str">
        <f>'AMP3-4'!P1</f>
        <v/>
      </c>
      <c r="P20" s="219" t="str">
        <f>'AMP3-4'!Q1</f>
        <v/>
      </c>
      <c r="Q20" s="219">
        <f>'AMP3-4'!R1</f>
        <v>17.226760563380282</v>
      </c>
      <c r="R20" s="219">
        <f>'AMP3-4'!S1</f>
        <v>17.250760563380293</v>
      </c>
      <c r="S20" s="219">
        <f>'AMP3-4'!T1</f>
        <v>33.731676056338031</v>
      </c>
      <c r="T20" s="219">
        <f>'AMP3-4'!U1</f>
        <v>34.104802816901405</v>
      </c>
      <c r="U20" s="219" t="str">
        <f>'AMP3-4'!V1</f>
        <v/>
      </c>
      <c r="V20" s="219">
        <f>'AMP3-4'!W1</f>
        <v>8.1943661971831006E-2</v>
      </c>
      <c r="W20" s="219">
        <f>'AMP3-4'!X1</f>
        <v>-2.8478873239436622E-2</v>
      </c>
      <c r="X20" s="219" t="str">
        <f>'AMP3-4'!Y1</f>
        <v/>
      </c>
      <c r="Y20" s="219">
        <f>'AMP3-4'!Z1</f>
        <v>8.3183098591549293E-2</v>
      </c>
      <c r="Z20" s="219">
        <f>'AMP3-4'!AA1</f>
        <v>-3.6281690140845077E-2</v>
      </c>
      <c r="AA20" s="219">
        <f>'AMP3-4'!AB1</f>
        <v>1.8436619718309847E-2</v>
      </c>
      <c r="AB20" s="219">
        <f>'AMP3-4'!AC1</f>
        <v>5.6450704225352089E-2</v>
      </c>
      <c r="AC20" s="219">
        <f>'AMP3-4'!AD1</f>
        <v>4.969014084507041E-2</v>
      </c>
      <c r="AD20" s="219">
        <f>'AMP3-4'!AE1</f>
        <v>-8.3098591549295737E-3</v>
      </c>
      <c r="AE20" s="219">
        <f>'AMP3-4'!AF1</f>
        <v>3.9070422535211279E-2</v>
      </c>
      <c r="AF20" s="219">
        <f>'AMP3-4'!AG1</f>
        <v>1.1352112676056344E-2</v>
      </c>
      <c r="AG20" s="219">
        <f>'AMP3-4'!AH1</f>
        <v>-1.3999999999999993E-2</v>
      </c>
      <c r="AH20" s="219">
        <f>'AMP3-4'!AI1</f>
        <v>6.5929577464788711E-2</v>
      </c>
    </row>
    <row r="21" spans="2:34" x14ac:dyDescent="0.25">
      <c r="B21" s="218" t="s">
        <v>283</v>
      </c>
      <c r="C21" s="218" t="s">
        <v>31</v>
      </c>
      <c r="D21" s="605">
        <f>COUNTIFS(AMP3_4[Date],"&gt;="&amp;'Offset Solver'!$E$30,AMP3_4[Date],"&lt;="&amp;'Offset Solver'!$E$31,AMP3_4[Blade Part Number],C21)</f>
        <v>71</v>
      </c>
      <c r="E21" s="219" t="str">
        <f>'AMP3-4'!F2</f>
        <v/>
      </c>
      <c r="F21" s="219" t="str">
        <f>'AMP3-4'!G2</f>
        <v/>
      </c>
      <c r="G21" s="219">
        <f>'AMP3-4'!H2</f>
        <v>155.86828169014078</v>
      </c>
      <c r="H21" s="219">
        <f>'AMP3-4'!I2</f>
        <v>155.92122535211266</v>
      </c>
      <c r="I21" s="219">
        <f>'AMP3-4'!J2</f>
        <v>168.76594366197187</v>
      </c>
      <c r="J21" s="219">
        <f>'AMP3-4'!K2</f>
        <v>168.63788732394369</v>
      </c>
      <c r="K21" s="219">
        <f>'AMP3-4'!L2</f>
        <v>155.96447887323941</v>
      </c>
      <c r="L21" s="219">
        <f>'AMP3-4'!M2</f>
        <v>155.81809859154927</v>
      </c>
      <c r="M21" s="219">
        <f>'AMP3-4'!N2</f>
        <v>27.218014084507043</v>
      </c>
      <c r="N21" s="219">
        <f>'AMP3-4'!O2</f>
        <v>27.45347887323944</v>
      </c>
      <c r="O21" s="219" t="str">
        <f>'AMP3-4'!P2</f>
        <v/>
      </c>
      <c r="P21" s="219" t="str">
        <f>'AMP3-4'!Q2</f>
        <v/>
      </c>
      <c r="Q21" s="219">
        <f>'AMP3-4'!R2</f>
        <v>17.249323943661974</v>
      </c>
      <c r="R21" s="219">
        <f>'AMP3-4'!S2</f>
        <v>17.177056338028169</v>
      </c>
      <c r="S21" s="219">
        <f>'AMP3-4'!T2</f>
        <v>37.282042253521119</v>
      </c>
      <c r="T21" s="219">
        <f>'AMP3-4'!U2</f>
        <v>38.21566197183099</v>
      </c>
      <c r="U21" s="219" t="str">
        <f>'AMP3-4'!V2</f>
        <v/>
      </c>
      <c r="V21" s="219">
        <f>'AMP3-4'!W2</f>
        <v>0.17794366197183095</v>
      </c>
      <c r="W21" s="219">
        <f>'AMP3-4'!X2</f>
        <v>-0.33545070422535211</v>
      </c>
      <c r="X21" s="219" t="str">
        <f>'AMP3-4'!Y2</f>
        <v/>
      </c>
      <c r="Y21" s="219">
        <f>'AMP3-4'!Z2</f>
        <v>4.5802816901408472E-2</v>
      </c>
      <c r="Z21" s="219">
        <f>'AMP3-4'!AA2</f>
        <v>-0.16066197183098588</v>
      </c>
      <c r="AA21" s="219">
        <f>'AMP3-4'!AB2</f>
        <v>0.13660563380281693</v>
      </c>
      <c r="AB21" s="219">
        <f>'AMP3-4'!AC2</f>
        <v>-0.17743661971830993</v>
      </c>
      <c r="AC21" s="219">
        <f>'AMP3-4'!AD2</f>
        <v>0.14378873239436624</v>
      </c>
      <c r="AD21" s="219">
        <f>'AMP3-4'!AE2</f>
        <v>-0.33008450704225351</v>
      </c>
      <c r="AE21" s="219">
        <f>'AMP3-4'!AF2</f>
        <v>3.7183098591549429E-3</v>
      </c>
      <c r="AF21" s="219">
        <f>'AMP3-4'!AG2</f>
        <v>-7.0422535211267894E-5</v>
      </c>
      <c r="AG21" s="219">
        <f>'AMP3-4'!AH2</f>
        <v>-0.14895774647887325</v>
      </c>
      <c r="AH21" s="219">
        <f>'AMP3-4'!AI2</f>
        <v>7.6478873239436626E-3</v>
      </c>
    </row>
    <row r="22" spans="2:34" x14ac:dyDescent="0.25">
      <c r="B22" s="218" t="s">
        <v>238</v>
      </c>
      <c r="C22" s="218" t="s">
        <v>32</v>
      </c>
      <c r="D22" s="605">
        <f>COUNTIFS(AMP4_2[Date],"&gt;="&amp;'Offset Solver'!$E$30,AMP4_2[Date],"&lt;="&amp;'Offset Solver'!$E$31,AMP4_2[Blade Part Number],C22)</f>
        <v>90</v>
      </c>
      <c r="E22" s="219">
        <f>'AMP4-2'!F1</f>
        <v>41.238444444444454</v>
      </c>
      <c r="F22" s="219">
        <f>'AMP4-2'!G1</f>
        <v>41.115133333333333</v>
      </c>
      <c r="G22" s="219">
        <f>'AMP4-2'!H1</f>
        <v>155.8308333333334</v>
      </c>
      <c r="H22" s="219">
        <f>'AMP4-2'!I1</f>
        <v>155.83046666666669</v>
      </c>
      <c r="I22" s="219" t="str">
        <f>'AMP4-2'!J1</f>
        <v/>
      </c>
      <c r="J22" s="219" t="str">
        <f>'AMP4-2'!K1</f>
        <v/>
      </c>
      <c r="K22" s="219">
        <f>'AMP4-2'!L1</f>
        <v>155.90725555555557</v>
      </c>
      <c r="L22" s="219">
        <f>'AMP4-2'!M1</f>
        <v>155.62692222222225</v>
      </c>
      <c r="M22" s="219">
        <f>'AMP4-2'!N1</f>
        <v>27.239888888888892</v>
      </c>
      <c r="N22" s="219">
        <f>'AMP4-2'!O1</f>
        <v>27.45836666666667</v>
      </c>
      <c r="O22" s="219" t="str">
        <f>'AMP4-2'!P1</f>
        <v/>
      </c>
      <c r="P22" s="219" t="str">
        <f>'AMP4-2'!Q1</f>
        <v/>
      </c>
      <c r="Q22" s="219">
        <f>'AMP4-2'!R1</f>
        <v>17.244477777777778</v>
      </c>
      <c r="R22" s="219">
        <f>'AMP4-2'!S1</f>
        <v>17.221755555555546</v>
      </c>
      <c r="S22" s="219">
        <f>'AMP4-2'!T1</f>
        <v>33.387833333333333</v>
      </c>
      <c r="T22" s="219">
        <f>'AMP4-2'!U1</f>
        <v>34.247722222222215</v>
      </c>
      <c r="U22" s="219" t="str">
        <f>'AMP4-2'!V1</f>
        <v/>
      </c>
      <c r="V22" s="219">
        <f>'AMP4-2'!W1</f>
        <v>3.2266666666666659E-2</v>
      </c>
      <c r="W22" s="219">
        <f>'AMP4-2'!X1</f>
        <v>-9.4466666666666657E-2</v>
      </c>
      <c r="X22" s="219" t="str">
        <f>'AMP4-2'!Y1</f>
        <v/>
      </c>
      <c r="Y22" s="219">
        <f>'AMP4-2'!Z1</f>
        <v>5.1088888888888899E-2</v>
      </c>
      <c r="Z22" s="219">
        <f>'AMP4-2'!AA1</f>
        <v>-7.473333333333336E-2</v>
      </c>
      <c r="AA22" s="219">
        <f>'AMP4-2'!AB1</f>
        <v>-4.1733333333333351E-2</v>
      </c>
      <c r="AB22" s="219">
        <f>'AMP4-2'!AC1</f>
        <v>-6.5333333333333328E-3</v>
      </c>
      <c r="AC22" s="219">
        <f>'AMP4-2'!AD1</f>
        <v>-9.2444444444444475E-3</v>
      </c>
      <c r="AD22" s="219">
        <f>'AMP4-2'!AE1</f>
        <v>-5.8577777777777777E-2</v>
      </c>
      <c r="AE22" s="219">
        <f>'AMP4-2'!AF1</f>
        <v>2.3433333333333337E-2</v>
      </c>
      <c r="AF22" s="219">
        <f>'AMP4-2'!AG1</f>
        <v>-4.3255555555555554E-2</v>
      </c>
      <c r="AG22" s="219">
        <f>'AMP4-2'!AH1</f>
        <v>-2.5455555555555554E-2</v>
      </c>
      <c r="AH22" s="219">
        <f>'AMP4-2'!AI1</f>
        <v>1.0888888888888981E-3</v>
      </c>
    </row>
    <row r="23" spans="2:34" x14ac:dyDescent="0.25">
      <c r="B23" s="218" t="s">
        <v>238</v>
      </c>
      <c r="C23" s="218" t="s">
        <v>31</v>
      </c>
      <c r="D23" s="605">
        <f>COUNTIFS(AMP4_2[Date],"&gt;="&amp;'Offset Solver'!$E$30,AMP4_2[Date],"&lt;="&amp;'Offset Solver'!$E$31,AMP4_2[Blade Part Number],C23)</f>
        <v>90</v>
      </c>
      <c r="E23" s="219" t="str">
        <f>'AMP4-2'!F2</f>
        <v/>
      </c>
      <c r="F23" s="219" t="str">
        <f>'AMP4-2'!G2</f>
        <v/>
      </c>
      <c r="G23" s="219">
        <f>'AMP4-2'!H2</f>
        <v>155.83318888888888</v>
      </c>
      <c r="H23" s="219">
        <f>'AMP4-2'!I2</f>
        <v>155.83763333333329</v>
      </c>
      <c r="I23" s="219">
        <f>'AMP4-2'!J2</f>
        <v>168.65584444444445</v>
      </c>
      <c r="J23" s="219">
        <f>'AMP4-2'!K2</f>
        <v>168.55530000000007</v>
      </c>
      <c r="K23" s="219">
        <f>'AMP4-2'!L2</f>
        <v>155.91267777777782</v>
      </c>
      <c r="L23" s="219">
        <f>'AMP4-2'!M2</f>
        <v>155.80748888888891</v>
      </c>
      <c r="M23" s="219">
        <f>'AMP4-2'!N2</f>
        <v>27.282333333333337</v>
      </c>
      <c r="N23" s="219">
        <f>'AMP4-2'!O2</f>
        <v>27.436766666666667</v>
      </c>
      <c r="O23" s="219" t="str">
        <f>'AMP4-2'!P2</f>
        <v/>
      </c>
      <c r="P23" s="219" t="str">
        <f>'AMP4-2'!Q2</f>
        <v/>
      </c>
      <c r="Q23" s="219">
        <f>'AMP4-2'!R2</f>
        <v>17.250322222222216</v>
      </c>
      <c r="R23" s="219">
        <f>'AMP4-2'!S2</f>
        <v>17.245133333333328</v>
      </c>
      <c r="S23" s="219">
        <f>'AMP4-2'!T2</f>
        <v>37.749233333333322</v>
      </c>
      <c r="T23" s="219">
        <f>'AMP4-2'!U2</f>
        <v>38.28182222222221</v>
      </c>
      <c r="U23" s="219" t="str">
        <f>'AMP4-2'!V2</f>
        <v/>
      </c>
      <c r="V23" s="219">
        <f>'AMP4-2'!W2</f>
        <v>6.6255555555555554E-2</v>
      </c>
      <c r="W23" s="219">
        <f>'AMP4-2'!X2</f>
        <v>-0.14088888888888887</v>
      </c>
      <c r="X23" s="219" t="str">
        <f>'AMP4-2'!Y2</f>
        <v/>
      </c>
      <c r="Y23" s="219">
        <f>'AMP4-2'!Z2</f>
        <v>4.3955555555555553E-2</v>
      </c>
      <c r="Z23" s="219">
        <f>'AMP4-2'!AA2</f>
        <v>-5.4922222222222226E-2</v>
      </c>
      <c r="AA23" s="219">
        <f>'AMP4-2'!AB2</f>
        <v>1.1399999999999995E-2</v>
      </c>
      <c r="AB23" s="219">
        <f>'AMP4-2'!AC2</f>
        <v>-2.8477777777777775E-2</v>
      </c>
      <c r="AC23" s="219">
        <f>'AMP4-2'!AD2</f>
        <v>4.9388888888888885E-2</v>
      </c>
      <c r="AD23" s="219">
        <f>'AMP4-2'!AE2</f>
        <v>-0.1356</v>
      </c>
      <c r="AE23" s="219">
        <f>'AMP4-2'!AF2</f>
        <v>4.2333333333333311E-3</v>
      </c>
      <c r="AF23" s="219">
        <f>'AMP4-2'!AG2</f>
        <v>-3.2011111111111143E-2</v>
      </c>
      <c r="AG23" s="219">
        <f>'AMP4-2'!AH2</f>
        <v>-3.9222222222222219E-3</v>
      </c>
      <c r="AH23" s="219">
        <f>'AMP4-2'!AI2</f>
        <v>1.8199999999999997E-2</v>
      </c>
    </row>
    <row r="24" spans="2:34" x14ac:dyDescent="0.25">
      <c r="B24" s="218" t="s">
        <v>237</v>
      </c>
      <c r="C24" s="218" t="s">
        <v>32</v>
      </c>
      <c r="D24" s="605">
        <f>COUNTIFS(AMP4_4[Date],"&gt;="&amp;'Offset Solver'!$E$30,AMP4_4[Date],"&lt;="&amp;'Offset Solver'!$E$31,AMP4_4[Blade Part Number],C24)</f>
        <v>84</v>
      </c>
      <c r="E24" s="219">
        <f>'AMP4-4'!F1</f>
        <v>41.401523809523802</v>
      </c>
      <c r="F24" s="219">
        <f>'AMP4-4'!G1</f>
        <v>41.399642857142844</v>
      </c>
      <c r="G24" s="219">
        <f>'AMP4-4'!H1</f>
        <v>155.82719047619048</v>
      </c>
      <c r="H24" s="219">
        <f>'AMP4-4'!I1</f>
        <v>155.72024999999996</v>
      </c>
      <c r="I24" s="219" t="str">
        <f>'AMP4-4'!J1</f>
        <v/>
      </c>
      <c r="J24" s="219" t="str">
        <f>'AMP4-4'!K1</f>
        <v/>
      </c>
      <c r="K24" s="219">
        <f>'AMP4-4'!L1</f>
        <v>155.95642857142857</v>
      </c>
      <c r="L24" s="219">
        <f>'AMP4-4'!M1</f>
        <v>155.67386904761904</v>
      </c>
      <c r="M24" s="219">
        <f>'AMP4-4'!N1</f>
        <v>27.209654761904755</v>
      </c>
      <c r="N24" s="219">
        <f>'AMP4-4'!O1</f>
        <v>27.40113095238096</v>
      </c>
      <c r="O24" s="219" t="str">
        <f>'AMP4-4'!P1</f>
        <v/>
      </c>
      <c r="P24" s="219" t="str">
        <f>'AMP4-4'!Q1</f>
        <v/>
      </c>
      <c r="Q24" s="219">
        <f>'AMP4-4'!R1</f>
        <v>17.236726190476194</v>
      </c>
      <c r="R24" s="219">
        <f>'AMP4-4'!S1</f>
        <v>17.229416666666673</v>
      </c>
      <c r="S24" s="219">
        <f>'AMP4-4'!T1</f>
        <v>33.732428571428578</v>
      </c>
      <c r="T24" s="219">
        <f>'AMP4-4'!U1</f>
        <v>34.538345238095246</v>
      </c>
      <c r="U24" s="219" t="str">
        <f>'AMP4-4'!V1</f>
        <v/>
      </c>
      <c r="V24" s="219">
        <f>'AMP4-4'!W1</f>
        <v>6.8238095238095264E-2</v>
      </c>
      <c r="W24" s="219">
        <f>'AMP4-4'!X1</f>
        <v>-9.6821428571428586E-2</v>
      </c>
      <c r="X24" s="219" t="str">
        <f>'AMP4-4'!Y1</f>
        <v/>
      </c>
      <c r="Y24" s="219">
        <f>'AMP4-4'!Z1</f>
        <v>5.9809523809523799E-2</v>
      </c>
      <c r="Z24" s="219">
        <f>'AMP4-4'!AA1</f>
        <v>-6.3511904761904756E-2</v>
      </c>
      <c r="AA24" s="219">
        <f>'AMP4-4'!AB1</f>
        <v>-5.9654761904761919E-2</v>
      </c>
      <c r="AB24" s="219">
        <f>'AMP4-4'!AC1</f>
        <v>-5.2297619047619058E-2</v>
      </c>
      <c r="AC24" s="219">
        <f>'AMP4-4'!AD1</f>
        <v>6.6500000000000017E-2</v>
      </c>
      <c r="AD24" s="219">
        <f>'AMP4-4'!AE1</f>
        <v>-7.1666666666666684E-2</v>
      </c>
      <c r="AE24" s="219">
        <f>'AMP4-4'!AF1</f>
        <v>-7.5714285714285753E-3</v>
      </c>
      <c r="AF24" s="219">
        <f>'AMP4-4'!AG1</f>
        <v>-5.4976190476190491E-2</v>
      </c>
      <c r="AG24" s="219">
        <f>'AMP4-4'!AH1</f>
        <v>1.7928571428571433E-2</v>
      </c>
      <c r="AH24" s="219">
        <f>'AMP4-4'!AI1</f>
        <v>4.9785714285714266E-2</v>
      </c>
    </row>
    <row r="25" spans="2:34" x14ac:dyDescent="0.25">
      <c r="B25" s="218" t="s">
        <v>237</v>
      </c>
      <c r="C25" s="218" t="s">
        <v>31</v>
      </c>
      <c r="D25" s="605">
        <f>COUNTIFS(AMP4_4[Date],"&gt;="&amp;'Offset Solver'!$E$30,AMP4_4[Date],"&lt;="&amp;'Offset Solver'!$E$31,AMP4_4[Blade Part Number],C25)</f>
        <v>84</v>
      </c>
      <c r="E25" s="219" t="str">
        <f>'AMP4-4'!F2</f>
        <v/>
      </c>
      <c r="F25" s="219" t="str">
        <f>'AMP4-4'!G2</f>
        <v/>
      </c>
      <c r="G25" s="219">
        <f>'AMP4-4'!H2</f>
        <v>155.55211904761904</v>
      </c>
      <c r="H25" s="219">
        <f>'AMP4-4'!I2</f>
        <v>155.69683333333336</v>
      </c>
      <c r="I25" s="219">
        <f>'AMP4-4'!J2</f>
        <v>168.50158333333334</v>
      </c>
      <c r="J25" s="219">
        <f>'AMP4-4'!K2</f>
        <v>168.35592857142856</v>
      </c>
      <c r="K25" s="219">
        <f>'AMP4-4'!L2</f>
        <v>155.74849999999992</v>
      </c>
      <c r="L25" s="219">
        <f>'AMP4-4'!M2</f>
        <v>155.67541666666671</v>
      </c>
      <c r="M25" s="219">
        <f>'AMP4-4'!N2</f>
        <v>27.45891666666666</v>
      </c>
      <c r="N25" s="219">
        <f>'AMP4-4'!O2</f>
        <v>27.597845238095232</v>
      </c>
      <c r="O25" s="219" t="str">
        <f>'AMP4-4'!P2</f>
        <v/>
      </c>
      <c r="P25" s="219" t="str">
        <f>'AMP4-4'!Q2</f>
        <v/>
      </c>
      <c r="Q25" s="219">
        <f>'AMP4-4'!R2</f>
        <v>17.250166666666662</v>
      </c>
      <c r="R25" s="219">
        <f>'AMP4-4'!S2</f>
        <v>17.226297619047621</v>
      </c>
      <c r="S25" s="219">
        <f>'AMP4-4'!T2</f>
        <v>37.178357142857145</v>
      </c>
      <c r="T25" s="219">
        <f>'AMP4-4'!U2</f>
        <v>37.722845238095239</v>
      </c>
      <c r="U25" s="219" t="str">
        <f>'AMP4-4'!V2</f>
        <v/>
      </c>
      <c r="V25" s="219">
        <f>'AMP4-4'!W2</f>
        <v>0.10754761904761906</v>
      </c>
      <c r="W25" s="219">
        <f>'AMP4-4'!X2</f>
        <v>-2.6178571428571436E-2</v>
      </c>
      <c r="X25" s="219" t="str">
        <f>'AMP4-4'!Y2</f>
        <v/>
      </c>
      <c r="Y25" s="219">
        <f>'AMP4-4'!Z2</f>
        <v>0.11451190476190479</v>
      </c>
      <c r="Z25" s="219">
        <f>'AMP4-4'!AA2</f>
        <v>-5.8309523809523797E-2</v>
      </c>
      <c r="AA25" s="219">
        <f>'AMP4-4'!AB2</f>
        <v>5.5880952380952378E-2</v>
      </c>
      <c r="AB25" s="219">
        <f>'AMP4-4'!AC2</f>
        <v>7.6857142857142846E-2</v>
      </c>
      <c r="AC25" s="219">
        <f>'AMP4-4'!AD2</f>
        <v>2.5369047619047628E-2</v>
      </c>
      <c r="AD25" s="219">
        <f>'AMP4-4'!AE2</f>
        <v>9.8095238095238062E-3</v>
      </c>
      <c r="AE25" s="219">
        <f>'AMP4-4'!AF2</f>
        <v>0.10417857142857144</v>
      </c>
      <c r="AF25" s="219">
        <f>'AMP4-4'!AG2</f>
        <v>3.1357142857142861E-2</v>
      </c>
      <c r="AG25" s="219">
        <f>'AMP4-4'!AH2</f>
        <v>-8.4166666666666556E-3</v>
      </c>
      <c r="AH25" s="219">
        <f>'AMP4-4'!AI2</f>
        <v>-4.0630952380952393E-2</v>
      </c>
    </row>
    <row r="26" spans="2:34" x14ac:dyDescent="0.25">
      <c r="B26" s="218" t="s">
        <v>235</v>
      </c>
      <c r="C26" s="218" t="s">
        <v>32</v>
      </c>
      <c r="D26" s="605">
        <f>COUNTIFS(AMP5_2[Date],"&gt;="&amp;'Offset Solver'!$E$30,AMP5_2[Date],"&lt;="&amp;'Offset Solver'!$E$31,AMP5_2[Blade Part Number],C26)</f>
        <v>65</v>
      </c>
      <c r="E26" s="219">
        <f>'AMP5-2'!F1</f>
        <v>41.140384615384619</v>
      </c>
      <c r="F26" s="219">
        <f>'AMP5-2'!G1</f>
        <v>41.056046153846154</v>
      </c>
      <c r="G26" s="219">
        <f>'AMP5-2'!H1</f>
        <v>155.84141538461535</v>
      </c>
      <c r="H26" s="219">
        <f>'AMP5-2'!I1</f>
        <v>155.7827076923077</v>
      </c>
      <c r="I26" s="219" t="str">
        <f>'AMP5-2'!J1</f>
        <v/>
      </c>
      <c r="J26" s="219" t="str">
        <f>'AMP5-2'!K1</f>
        <v/>
      </c>
      <c r="K26" s="219">
        <f>'AMP5-2'!L1</f>
        <v>155.93772307692305</v>
      </c>
      <c r="L26" s="219">
        <f>'AMP5-2'!M1</f>
        <v>155.64115384615388</v>
      </c>
      <c r="M26" s="219">
        <f>'AMP5-2'!N1</f>
        <v>27.231246153846158</v>
      </c>
      <c r="N26" s="219">
        <f>'AMP5-2'!O1</f>
        <v>27.441384615384628</v>
      </c>
      <c r="O26" s="219" t="str">
        <f>'AMP5-2'!P1</f>
        <v/>
      </c>
      <c r="P26" s="219" t="str">
        <f>'AMP5-2'!Q1</f>
        <v/>
      </c>
      <c r="Q26" s="219">
        <f>'AMP5-2'!R1</f>
        <v>17.217661538461535</v>
      </c>
      <c r="R26" s="219">
        <f>'AMP5-2'!S1</f>
        <v>17.221692307692301</v>
      </c>
      <c r="S26" s="219">
        <f>'AMP5-2'!T1</f>
        <v>33.377984615384605</v>
      </c>
      <c r="T26" s="219">
        <f>'AMP5-2'!U1</f>
        <v>33.734461538461531</v>
      </c>
      <c r="U26" s="219" t="str">
        <f>'AMP5-2'!V1</f>
        <v/>
      </c>
      <c r="V26" s="219">
        <f>'AMP5-2'!W1</f>
        <v>9.066153846153846E-2</v>
      </c>
      <c r="W26" s="219">
        <f>'AMP5-2'!X1</f>
        <v>-7.9092307692307698E-2</v>
      </c>
      <c r="X26" s="219" t="str">
        <f>'AMP5-2'!Y1</f>
        <v/>
      </c>
      <c r="Y26" s="219">
        <f>'AMP5-2'!Z1</f>
        <v>9.8446153846153822E-2</v>
      </c>
      <c r="Z26" s="219">
        <f>'AMP5-2'!AA1</f>
        <v>-7.0092307692307676E-2</v>
      </c>
      <c r="AA26" s="219">
        <f>'AMP5-2'!AB1</f>
        <v>-3.118461538461538E-2</v>
      </c>
      <c r="AB26" s="219">
        <f>'AMP5-2'!AC1</f>
        <v>3.3846153846153938E-4</v>
      </c>
      <c r="AC26" s="219">
        <f>'AMP5-2'!AD1</f>
        <v>6.8707692307692331E-2</v>
      </c>
      <c r="AD26" s="219">
        <f>'AMP5-2'!AE1</f>
        <v>-1.104615384615385E-2</v>
      </c>
      <c r="AE26" s="219">
        <f>'AMP5-2'!AF1</f>
        <v>1.06E-2</v>
      </c>
      <c r="AF26" s="219">
        <f>'AMP5-2'!AG1</f>
        <v>-4.9753846153846149E-2</v>
      </c>
      <c r="AG26" s="219">
        <f>'AMP5-2'!AH1</f>
        <v>3.5953846153846156E-2</v>
      </c>
      <c r="AH26" s="219">
        <f>'AMP5-2'!AI1</f>
        <v>6.0599999999999994E-2</v>
      </c>
    </row>
    <row r="27" spans="2:34" x14ac:dyDescent="0.25">
      <c r="B27" s="218" t="s">
        <v>235</v>
      </c>
      <c r="C27" s="218" t="s">
        <v>31</v>
      </c>
      <c r="D27" s="605">
        <f>COUNTIFS(AMP5_2[Date],"&gt;="&amp;'Offset Solver'!$E$30,AMP5_2[Date],"&lt;="&amp;'Offset Solver'!$E$31,AMP5_2[Blade Part Number],C27)</f>
        <v>64</v>
      </c>
      <c r="E27" s="219" t="str">
        <f>'AMP5-2'!F2</f>
        <v/>
      </c>
      <c r="F27" s="219" t="str">
        <f>'AMP5-2'!G2</f>
        <v/>
      </c>
      <c r="G27" s="219">
        <f>'AMP5-2'!H2</f>
        <v>155.96240625000002</v>
      </c>
      <c r="H27" s="219">
        <f>'AMP5-2'!I2</f>
        <v>156.02406249999996</v>
      </c>
      <c r="I27" s="219">
        <f>'AMP5-2'!J2</f>
        <v>168.72814062499998</v>
      </c>
      <c r="J27" s="219">
        <f>'AMP5-2'!K2</f>
        <v>168.62156249999998</v>
      </c>
      <c r="K27" s="219">
        <f>'AMP5-2'!L2</f>
        <v>156.12401562500003</v>
      </c>
      <c r="L27" s="219">
        <f>'AMP5-2'!M2</f>
        <v>155.98539062500001</v>
      </c>
      <c r="M27" s="219">
        <f>'AMP5-2'!N2</f>
        <v>27.081031249999995</v>
      </c>
      <c r="N27" s="219">
        <f>'AMP5-2'!O2</f>
        <v>27.242046875000003</v>
      </c>
      <c r="O27" s="219" t="str">
        <f>'AMP5-2'!P2</f>
        <v/>
      </c>
      <c r="P27" s="219" t="str">
        <f>'AMP5-2'!Q2</f>
        <v/>
      </c>
      <c r="Q27" s="219">
        <f>'AMP5-2'!R2</f>
        <v>17.251749999999998</v>
      </c>
      <c r="R27" s="219">
        <f>'AMP5-2'!S2</f>
        <v>17.205749999999998</v>
      </c>
      <c r="S27" s="219">
        <f>'AMP5-2'!T2</f>
        <v>37.500624999999999</v>
      </c>
      <c r="T27" s="219">
        <f>'AMP5-2'!U2</f>
        <v>38.551734375000002</v>
      </c>
      <c r="U27" s="219" t="str">
        <f>'AMP5-2'!V2</f>
        <v/>
      </c>
      <c r="V27" s="219">
        <f>'AMP5-2'!W2</f>
        <v>-4.8765625000000014E-2</v>
      </c>
      <c r="W27" s="219">
        <f>'AMP5-2'!X2</f>
        <v>-0.30098437500000008</v>
      </c>
      <c r="X27" s="219" t="str">
        <f>'AMP5-2'!Y2</f>
        <v/>
      </c>
      <c r="Y27" s="219">
        <f>'AMP5-2'!Z2</f>
        <v>3.5187500000000003E-2</v>
      </c>
      <c r="Z27" s="219">
        <f>'AMP5-2'!AA2</f>
        <v>-0.10548437499999999</v>
      </c>
      <c r="AA27" s="219">
        <f>'AMP5-2'!AB2</f>
        <v>-0.18426562499999996</v>
      </c>
      <c r="AB27" s="219">
        <f>'AMP5-2'!AC2</f>
        <v>-8.8171874999999983E-2</v>
      </c>
      <c r="AC27" s="219">
        <f>'AMP5-2'!AD2</f>
        <v>-0.221453125</v>
      </c>
      <c r="AD27" s="219">
        <f>'AMP5-2'!AE2</f>
        <v>-0.15510937500000002</v>
      </c>
      <c r="AE27" s="219">
        <f>'AMP5-2'!AF2</f>
        <v>-1.4562499999999992E-2</v>
      </c>
      <c r="AF27" s="219">
        <f>'AMP5-2'!AG2</f>
        <v>-7.9765625000000007E-2</v>
      </c>
      <c r="AG27" s="219">
        <f>'AMP5-2'!AH2</f>
        <v>-5.9703125000000024E-2</v>
      </c>
      <c r="AH27" s="219">
        <f>'AMP5-2'!AI2</f>
        <v>5.3125000000000012E-3</v>
      </c>
    </row>
    <row r="28" spans="2:34" x14ac:dyDescent="0.25">
      <c r="B28" s="218" t="s">
        <v>236</v>
      </c>
      <c r="C28" s="218" t="s">
        <v>32</v>
      </c>
      <c r="D28" s="605">
        <f>COUNTIFS(AMP5_4[Date],"&gt;="&amp;'Offset Solver'!$E$30,AMP5_4[Date],"&lt;="&amp;'Offset Solver'!$E$31,AMP5_4[Blade Part Number],C28)</f>
        <v>62</v>
      </c>
      <c r="E28" s="219">
        <f>'AMP5-4'!F1</f>
        <v>41.547790322580646</v>
      </c>
      <c r="F28" s="219">
        <f>'AMP5-4'!G1</f>
        <v>41.576951612903237</v>
      </c>
      <c r="G28" s="219">
        <f>'AMP5-4'!H1</f>
        <v>155.81677419354844</v>
      </c>
      <c r="H28" s="219">
        <f>'AMP5-4'!I1</f>
        <v>155.86098387096774</v>
      </c>
      <c r="I28" s="219" t="str">
        <f>'AMP5-4'!J1</f>
        <v/>
      </c>
      <c r="J28" s="219" t="str">
        <f>'AMP5-4'!K1</f>
        <v/>
      </c>
      <c r="K28" s="219">
        <f>'AMP5-4'!L1</f>
        <v>155.91491935483867</v>
      </c>
      <c r="L28" s="219">
        <f>'AMP5-4'!M1</f>
        <v>155.72151612903221</v>
      </c>
      <c r="M28" s="219">
        <f>'AMP5-4'!N1</f>
        <v>27.284661290322575</v>
      </c>
      <c r="N28" s="219">
        <f>'AMP5-4'!O1</f>
        <v>27.337080645161297</v>
      </c>
      <c r="O28" s="219" t="str">
        <f>'AMP5-4'!P1</f>
        <v/>
      </c>
      <c r="P28" s="219" t="str">
        <f>'AMP5-4'!Q1</f>
        <v/>
      </c>
      <c r="Q28" s="219">
        <f>'AMP5-4'!R1</f>
        <v>17.257354838709681</v>
      </c>
      <c r="R28" s="219">
        <f>'AMP5-4'!S1</f>
        <v>17.24077419354839</v>
      </c>
      <c r="S28" s="219">
        <f>'AMP5-4'!T1</f>
        <v>33.445129032258066</v>
      </c>
      <c r="T28" s="219">
        <f>'AMP5-4'!U1</f>
        <v>34.099354838709679</v>
      </c>
      <c r="U28" s="219" t="str">
        <f>'AMP5-4'!V1</f>
        <v/>
      </c>
      <c r="V28" s="219">
        <f>'AMP5-4'!W1</f>
        <v>8.785483870967746E-2</v>
      </c>
      <c r="W28" s="219">
        <f>'AMP5-4'!X1</f>
        <v>-0.10704838709677417</v>
      </c>
      <c r="X28" s="219" t="str">
        <f>'AMP5-4'!Y1</f>
        <v/>
      </c>
      <c r="Y28" s="219">
        <f>'AMP5-4'!Z1</f>
        <v>9.4693548387096774E-2</v>
      </c>
      <c r="Z28" s="219">
        <f>'AMP5-4'!AA1</f>
        <v>-8.3854838709677429E-2</v>
      </c>
      <c r="AA28" s="219">
        <f>'AMP5-4'!AB1</f>
        <v>-3.1370967741935478E-2</v>
      </c>
      <c r="AB28" s="219">
        <f>'AMP5-4'!AC1</f>
        <v>-7.8064516129032254E-3</v>
      </c>
      <c r="AC28" s="219">
        <f>'AMP5-4'!AD1</f>
        <v>6.8854838709677416E-2</v>
      </c>
      <c r="AD28" s="219">
        <f>'AMP5-4'!AE1</f>
        <v>-7.7225806451612922E-2</v>
      </c>
      <c r="AE28" s="219">
        <f>'AMP5-4'!AF1</f>
        <v>2.7629032258064519E-2</v>
      </c>
      <c r="AF28" s="219">
        <f>'AMP5-4'!AG1</f>
        <v>-2.196774193548387E-2</v>
      </c>
      <c r="AG28" s="219">
        <f>'AMP5-4'!AH1</f>
        <v>-2.6935483870967739E-2</v>
      </c>
      <c r="AH28" s="219">
        <f>'AMP5-4'!AI1</f>
        <v>2.749999999999999E-2</v>
      </c>
    </row>
    <row r="29" spans="2:34" x14ac:dyDescent="0.25">
      <c r="B29" s="218" t="s">
        <v>236</v>
      </c>
      <c r="C29" s="218" t="s">
        <v>31</v>
      </c>
      <c r="D29" s="605">
        <f>COUNTIFS(AMP5_4[Date],"&gt;="&amp;'Offset Solver'!$E$30,AMP5_4[Date],"&lt;="&amp;'Offset Solver'!$E$31,AMP5_4[Blade Part Number],C29)</f>
        <v>62</v>
      </c>
      <c r="E29" s="219" t="str">
        <f>'AMP5-4'!F2</f>
        <v/>
      </c>
      <c r="F29" s="219" t="str">
        <f>'AMP5-4'!G2</f>
        <v/>
      </c>
      <c r="G29" s="219">
        <f>'AMP5-4'!H2</f>
        <v>155.60646774193546</v>
      </c>
      <c r="H29" s="219">
        <f>'AMP5-4'!I2</f>
        <v>155.60890322580647</v>
      </c>
      <c r="I29" s="219">
        <f>'AMP5-4'!J2</f>
        <v>168.7206129032258</v>
      </c>
      <c r="J29" s="219">
        <f>'AMP5-4'!K2</f>
        <v>168.78733870967736</v>
      </c>
      <c r="K29" s="219">
        <f>'AMP5-4'!L2</f>
        <v>155.70735483870968</v>
      </c>
      <c r="L29" s="219">
        <f>'AMP5-4'!M2</f>
        <v>155.48053225806447</v>
      </c>
      <c r="M29" s="219">
        <f>'AMP5-4'!N2</f>
        <v>27.525790322580651</v>
      </c>
      <c r="N29" s="219">
        <f>'AMP5-4'!O2</f>
        <v>27.795838709677415</v>
      </c>
      <c r="O29" s="219" t="str">
        <f>'AMP5-4'!P2</f>
        <v/>
      </c>
      <c r="P29" s="219" t="str">
        <f>'AMP5-4'!Q2</f>
        <v/>
      </c>
      <c r="Q29" s="219">
        <f>'AMP5-4'!R2</f>
        <v>17.286112903225803</v>
      </c>
      <c r="R29" s="219">
        <f>'AMP5-4'!S2</f>
        <v>17.329112903225806</v>
      </c>
      <c r="S29" s="219">
        <f>'AMP5-4'!T2</f>
        <v>37.095112903225818</v>
      </c>
      <c r="T29" s="219">
        <f>'AMP5-4'!U2</f>
        <v>37.991612903225807</v>
      </c>
      <c r="U29" s="219" t="str">
        <f>'AMP5-4'!V2</f>
        <v/>
      </c>
      <c r="V29" s="219">
        <f>'AMP5-4'!W2</f>
        <v>0.1670322580645161</v>
      </c>
      <c r="W29" s="219">
        <f>'AMP5-4'!X2</f>
        <v>-0.18056451612903224</v>
      </c>
      <c r="X29" s="219" t="str">
        <f>'AMP5-4'!Y2</f>
        <v/>
      </c>
      <c r="Y29" s="219">
        <f>'AMP5-4'!Z2</f>
        <v>6.0370967741935497E-2</v>
      </c>
      <c r="Z29" s="219">
        <f>'AMP5-4'!AA2</f>
        <v>-0.11672580645161289</v>
      </c>
      <c r="AA29" s="219">
        <f>'AMP5-4'!AB2</f>
        <v>7.8483870967741939E-2</v>
      </c>
      <c r="AB29" s="219">
        <f>'AMP5-4'!AC2</f>
        <v>4.4177419354838723E-2</v>
      </c>
      <c r="AC29" s="219">
        <f>'AMP5-4'!AD2</f>
        <v>0.13640322580645162</v>
      </c>
      <c r="AD29" s="219">
        <f>'AMP5-4'!AE2</f>
        <v>-0.16462903225806452</v>
      </c>
      <c r="AE29" s="219">
        <f>'AMP5-4'!AF2</f>
        <v>2.1241935483870978E-2</v>
      </c>
      <c r="AF29" s="219">
        <f>'AMP5-4'!AG2</f>
        <v>-4.0112903225806455E-2</v>
      </c>
      <c r="AG29" s="219">
        <f>'AMP5-4'!AH2</f>
        <v>-5.435483870967741E-2</v>
      </c>
      <c r="AH29" s="219">
        <f>'AMP5-4'!AI2</f>
        <v>-3.9967741935483865E-2</v>
      </c>
    </row>
    <row r="30" spans="2:34" s="438" customFormat="1" x14ac:dyDescent="0.25">
      <c r="B30" s="436" t="s">
        <v>284</v>
      </c>
      <c r="C30" s="436" t="s">
        <v>32</v>
      </c>
      <c r="D30" s="605">
        <f>COUNTIFS(AMP6_2[Date],"&gt;="&amp;'Offset Solver'!$E$30,AMP6_2[Date],"&lt;="&amp;'Offset Solver'!$E$31,AMP6_2[Blade Part Number],C30)</f>
        <v>26</v>
      </c>
      <c r="E30" s="219">
        <f>'AMP6-2'!F1</f>
        <v>41.417576923076915</v>
      </c>
      <c r="F30" s="219">
        <f>'AMP6-2'!G1</f>
        <v>41.592269230769233</v>
      </c>
      <c r="G30" s="219">
        <f>'AMP6-2'!H1</f>
        <v>155.72684615384617</v>
      </c>
      <c r="H30" s="219">
        <f>'AMP6-2'!I1</f>
        <v>155.50438461538459</v>
      </c>
      <c r="I30" s="219" t="str">
        <f>'AMP6-2'!J1</f>
        <v/>
      </c>
      <c r="J30" s="219" t="str">
        <f>'AMP6-2'!K1</f>
        <v/>
      </c>
      <c r="K30" s="219">
        <f>'AMP6-2'!L1</f>
        <v>155.8317307692308</v>
      </c>
      <c r="L30" s="219">
        <f>'AMP6-2'!M1</f>
        <v>155.57065384615385</v>
      </c>
      <c r="M30" s="219">
        <f>'AMP6-2'!N1</f>
        <v>27.378538461538461</v>
      </c>
      <c r="N30" s="219">
        <f>'AMP6-2'!O1</f>
        <v>27.552961538461538</v>
      </c>
      <c r="O30" s="219" t="str">
        <f>'AMP6-2'!P1</f>
        <v/>
      </c>
      <c r="P30" s="219" t="str">
        <f>'AMP6-2'!Q1</f>
        <v/>
      </c>
      <c r="Q30" s="219">
        <f>'AMP6-2'!R1</f>
        <v>17.228653846153847</v>
      </c>
      <c r="R30" s="219">
        <f>'AMP6-2'!S1</f>
        <v>17.285653846153846</v>
      </c>
      <c r="S30" s="219">
        <f>'AMP6-2'!T1</f>
        <v>34.698461538461537</v>
      </c>
      <c r="T30" s="219">
        <f>'AMP6-2'!U1</f>
        <v>34.945538461538469</v>
      </c>
      <c r="U30" s="219" t="str">
        <f>'AMP6-2'!V1</f>
        <v/>
      </c>
      <c r="V30" s="219">
        <f>'AMP6-2'!W1</f>
        <v>0.17776923076923085</v>
      </c>
      <c r="W30" s="219">
        <f>'AMP6-2'!X1</f>
        <v>-2.3846153846153804E-3</v>
      </c>
      <c r="X30" s="219" t="str">
        <f>'AMP6-2'!Y1</f>
        <v/>
      </c>
      <c r="Y30" s="219">
        <f>'AMP6-2'!Z1</f>
        <v>0.33115384615384613</v>
      </c>
      <c r="Z30" s="219">
        <f>'AMP6-2'!AA1</f>
        <v>0.10157692307692306</v>
      </c>
      <c r="AA30" s="219">
        <f>'AMP6-2'!AB1</f>
        <v>0.11519230769230766</v>
      </c>
      <c r="AB30" s="219">
        <f>'AMP6-2'!AC1</f>
        <v>0.14126923076923076</v>
      </c>
      <c r="AC30" s="219">
        <f>'AMP6-2'!AD1</f>
        <v>8.3653846153846148E-2</v>
      </c>
      <c r="AD30" s="219">
        <f>'AMP6-2'!AE1</f>
        <v>3.9961538461538458E-2</v>
      </c>
      <c r="AE30" s="219">
        <f>'AMP6-2'!AF1</f>
        <v>0.32130769230769229</v>
      </c>
      <c r="AF30" s="219">
        <f>'AMP6-2'!AG1</f>
        <v>0.2811153846153846</v>
      </c>
      <c r="AG30" s="219">
        <f>'AMP6-2'!AH1</f>
        <v>0.12407692307692307</v>
      </c>
      <c r="AH30" s="219">
        <f>'AMP6-2'!AI1</f>
        <v>0.13496153846153847</v>
      </c>
    </row>
    <row r="31" spans="2:34" s="438" customFormat="1" x14ac:dyDescent="0.25">
      <c r="B31" s="436" t="s">
        <v>284</v>
      </c>
      <c r="C31" s="436" t="s">
        <v>31</v>
      </c>
      <c r="D31" s="605">
        <f>COUNTIFS(AMP6_2[Date],"&gt;="&amp;'Offset Solver'!$E$30,AMP6_2[Date],"&lt;="&amp;'Offset Solver'!$E$31,AMP6_2[Blade Part Number],C31)</f>
        <v>26</v>
      </c>
      <c r="E31" s="219" t="str">
        <f>'AMP6-2'!F2</f>
        <v/>
      </c>
      <c r="F31" s="219" t="str">
        <f>'AMP6-2'!G2</f>
        <v/>
      </c>
      <c r="G31" s="219">
        <f>'AMP6-2'!H2</f>
        <v>155.57923076923078</v>
      </c>
      <c r="H31" s="219">
        <f>'AMP6-2'!I2</f>
        <v>155.47261538461541</v>
      </c>
      <c r="I31" s="219">
        <f>'AMP6-2'!J2</f>
        <v>168.63673076923072</v>
      </c>
      <c r="J31" s="219">
        <f>'AMP6-2'!K2</f>
        <v>168.7929615384615</v>
      </c>
      <c r="K31" s="219">
        <f>'AMP6-2'!L2</f>
        <v>155.71980769230771</v>
      </c>
      <c r="L31" s="219">
        <f>'AMP6-2'!M2</f>
        <v>155.63623076923076</v>
      </c>
      <c r="M31" s="219">
        <f>'AMP6-2'!N2</f>
        <v>27.511538461538461</v>
      </c>
      <c r="N31" s="219">
        <f>'AMP6-2'!O2</f>
        <v>27.622038461538462</v>
      </c>
      <c r="O31" s="219" t="str">
        <f>'AMP6-2'!P2</f>
        <v/>
      </c>
      <c r="P31" s="219" t="str">
        <f>'AMP6-2'!Q2</f>
        <v/>
      </c>
      <c r="Q31" s="219">
        <f>'AMP6-2'!R2</f>
        <v>17.243807692307698</v>
      </c>
      <c r="R31" s="219">
        <f>'AMP6-2'!S2</f>
        <v>17.222307692307691</v>
      </c>
      <c r="S31" s="219">
        <f>'AMP6-2'!T2</f>
        <v>36.769307692307692</v>
      </c>
      <c r="T31" s="219">
        <f>'AMP6-2'!U2</f>
        <v>37.947769230769232</v>
      </c>
      <c r="U31" s="219" t="str">
        <f>'AMP6-2'!V2</f>
        <v/>
      </c>
      <c r="V31" s="219">
        <f>'AMP6-2'!W2</f>
        <v>0.16542307692307687</v>
      </c>
      <c r="W31" s="219">
        <f>'AMP6-2'!X2</f>
        <v>-3.707692307692307E-2</v>
      </c>
      <c r="X31" s="219" t="str">
        <f>'AMP6-2'!Y2</f>
        <v/>
      </c>
      <c r="Y31" s="219">
        <f>'AMP6-2'!Z2</f>
        <v>0.24407692307692305</v>
      </c>
      <c r="Z31" s="219">
        <f>'AMP6-2'!AA2</f>
        <v>8.5384615384615399E-3</v>
      </c>
      <c r="AA31" s="219">
        <f>'AMP6-2'!AB2</f>
        <v>7.4461538461538468E-2</v>
      </c>
      <c r="AB31" s="219">
        <f>'AMP6-2'!AC2</f>
        <v>0.14153846153846156</v>
      </c>
      <c r="AC31" s="219">
        <f>'AMP6-2'!AD2</f>
        <v>-2.9653846153846145E-2</v>
      </c>
      <c r="AD31" s="219">
        <f>'AMP6-2'!AE2</f>
        <v>9.0961538461538469E-2</v>
      </c>
      <c r="AE31" s="219">
        <f>'AMP6-2'!AF2</f>
        <v>0.23815384615384613</v>
      </c>
      <c r="AF31" s="219">
        <f>'AMP6-2'!AG2</f>
        <v>0.16123076923076918</v>
      </c>
      <c r="AG31" s="219">
        <f>'AMP6-2'!AH2</f>
        <v>2.2615384615384617E-2</v>
      </c>
      <c r="AH31" s="219">
        <f>'AMP6-2'!AI2</f>
        <v>6.6076923076923089E-2</v>
      </c>
    </row>
    <row r="32" spans="2:34" s="438" customFormat="1" x14ac:dyDescent="0.25">
      <c r="B32" s="436" t="s">
        <v>285</v>
      </c>
      <c r="C32" s="436" t="s">
        <v>32</v>
      </c>
      <c r="D32" s="605">
        <f>COUNTIFS(AMP6_4[Date],"&gt;="&amp;'Offset Solver'!$E$30,AMP6_4[Date],"&lt;="&amp;'Offset Solver'!$E$31,AMP6_4[Blade Part Number],C32)</f>
        <v>26</v>
      </c>
      <c r="E32" s="219">
        <f>'AMP6-4'!F1</f>
        <v>41.171923076923079</v>
      </c>
      <c r="F32" s="219">
        <f>'AMP6-4'!G1</f>
        <v>41.342423076923076</v>
      </c>
      <c r="G32" s="219">
        <f>'AMP6-4'!H1</f>
        <v>155.68153846153842</v>
      </c>
      <c r="H32" s="219">
        <f>'AMP6-4'!I1</f>
        <v>155.45200000000003</v>
      </c>
      <c r="I32" s="219" t="str">
        <f>'AMP6-4'!J1</f>
        <v/>
      </c>
      <c r="J32" s="219" t="str">
        <f>'AMP6-4'!K1</f>
        <v/>
      </c>
      <c r="K32" s="219">
        <f>'AMP6-4'!L1</f>
        <v>155.84546153846154</v>
      </c>
      <c r="L32" s="219">
        <f>'AMP6-4'!M1</f>
        <v>155.50542307692305</v>
      </c>
      <c r="M32" s="219">
        <f>'AMP6-4'!N1</f>
        <v>27.346153846153836</v>
      </c>
      <c r="N32" s="219">
        <f>'AMP6-4'!O1</f>
        <v>27.579730769230771</v>
      </c>
      <c r="O32" s="219" t="str">
        <f>'AMP6-4'!P1</f>
        <v/>
      </c>
      <c r="P32" s="219" t="str">
        <f>'AMP6-4'!Q1</f>
        <v/>
      </c>
      <c r="Q32" s="219">
        <f>'AMP6-4'!R1</f>
        <v>17.262961538461539</v>
      </c>
      <c r="R32" s="219">
        <f>'AMP6-4'!S1</f>
        <v>17.283846153846152</v>
      </c>
      <c r="S32" s="219">
        <f>'AMP6-4'!T1</f>
        <v>35.65880769230769</v>
      </c>
      <c r="T32" s="219">
        <f>'AMP6-4'!U1</f>
        <v>36.41496153846154</v>
      </c>
      <c r="U32" s="219" t="str">
        <f>'AMP6-4'!V1</f>
        <v/>
      </c>
      <c r="V32" s="219">
        <f>'AMP6-4'!W1</f>
        <v>0.26884615384615385</v>
      </c>
      <c r="W32" s="219">
        <f>'AMP6-4'!X1</f>
        <v>0.12050000000000002</v>
      </c>
      <c r="X32" s="219" t="str">
        <f>'AMP6-4'!Y1</f>
        <v/>
      </c>
      <c r="Y32" s="219">
        <f>'AMP6-4'!Z1</f>
        <v>0.40100000000000002</v>
      </c>
      <c r="Z32" s="219">
        <f>'AMP6-4'!AA1</f>
        <v>0.27592307692307688</v>
      </c>
      <c r="AA32" s="219">
        <f>'AMP6-4'!AB1</f>
        <v>0.21384615384615385</v>
      </c>
      <c r="AB32" s="219">
        <f>'AMP6-4'!AC1</f>
        <v>0.24280769230769225</v>
      </c>
      <c r="AC32" s="219">
        <f>'AMP6-4'!AD1</f>
        <v>0.20661538461538453</v>
      </c>
      <c r="AD32" s="219">
        <f>'AMP6-4'!AE1</f>
        <v>0.13930769230769233</v>
      </c>
      <c r="AE32" s="219">
        <f>'AMP6-4'!AF1</f>
        <v>0.37276923076923085</v>
      </c>
      <c r="AF32" s="219">
        <f>'AMP6-4'!AG1</f>
        <v>0.33319230769230768</v>
      </c>
      <c r="AG32" s="219">
        <f>'AMP6-4'!AH1</f>
        <v>0.29703846153846153</v>
      </c>
      <c r="AH32" s="219">
        <f>'AMP6-4'!AI1</f>
        <v>0.36215384615384616</v>
      </c>
    </row>
    <row r="33" spans="1:34" s="438" customFormat="1" x14ac:dyDescent="0.25">
      <c r="B33" s="436" t="s">
        <v>285</v>
      </c>
      <c r="C33" s="436" t="s">
        <v>31</v>
      </c>
      <c r="D33" s="605">
        <f>COUNTIFS(AMP6_4[Date],"&gt;="&amp;'Offset Solver'!$E$30,AMP6_4[Date],"&lt;="&amp;'Offset Solver'!$E$31,AMP6_4[Blade Part Number],C33)</f>
        <v>26</v>
      </c>
      <c r="E33" s="219" t="str">
        <f>'AMP6-4'!F2</f>
        <v/>
      </c>
      <c r="F33" s="219" t="str">
        <f>'AMP6-4'!G2</f>
        <v/>
      </c>
      <c r="G33" s="219">
        <f>'AMP6-4'!H2</f>
        <v>155.87361538461539</v>
      </c>
      <c r="H33" s="219">
        <f>'AMP6-4'!I2</f>
        <v>155.82473076923077</v>
      </c>
      <c r="I33" s="219">
        <f>'AMP6-4'!J2</f>
        <v>168.84173076923076</v>
      </c>
      <c r="J33" s="219">
        <f>'AMP6-4'!K2</f>
        <v>168.97934615384614</v>
      </c>
      <c r="K33" s="219">
        <f>'AMP6-4'!L2</f>
        <v>156.02938461538463</v>
      </c>
      <c r="L33" s="219">
        <f>'AMP6-4'!M2</f>
        <v>156.04180769230771</v>
      </c>
      <c r="M33" s="219">
        <f>'AMP6-4'!N2</f>
        <v>27.175807692307686</v>
      </c>
      <c r="N33" s="219">
        <f>'AMP6-4'!O2</f>
        <v>27.215730769230763</v>
      </c>
      <c r="O33" s="219" t="str">
        <f>'AMP6-4'!P2</f>
        <v/>
      </c>
      <c r="P33" s="219" t="str">
        <f>'AMP6-4'!Q2</f>
        <v/>
      </c>
      <c r="Q33" s="219">
        <f>'AMP6-4'!R2</f>
        <v>17.178153846153844</v>
      </c>
      <c r="R33" s="219">
        <f>'AMP6-4'!S2</f>
        <v>17.127153846153849</v>
      </c>
      <c r="S33" s="219">
        <f>'AMP6-4'!T2</f>
        <v>35.986846153846166</v>
      </c>
      <c r="T33" s="219">
        <f>'AMP6-4'!U2</f>
        <v>36.694961538461541</v>
      </c>
      <c r="U33" s="219" t="str">
        <f>'AMP6-4'!V2</f>
        <v/>
      </c>
      <c r="V33" s="219">
        <f>'AMP6-4'!W2</f>
        <v>0.14511538461538462</v>
      </c>
      <c r="W33" s="219">
        <f>'AMP6-4'!X2</f>
        <v>-5.9884615384615383E-2</v>
      </c>
      <c r="X33" s="219" t="str">
        <f>'AMP6-4'!Y2</f>
        <v/>
      </c>
      <c r="Y33" s="219">
        <f>'AMP6-4'!Z2</f>
        <v>0.38642307692307687</v>
      </c>
      <c r="Z33" s="219">
        <f>'AMP6-4'!AA2</f>
        <v>0.18746153846153846</v>
      </c>
      <c r="AA33" s="219">
        <f>'AMP6-4'!AB2</f>
        <v>0.10046153846153845</v>
      </c>
      <c r="AB33" s="219">
        <f>'AMP6-4'!AC2</f>
        <v>4.2769230769230754E-2</v>
      </c>
      <c r="AC33" s="219">
        <f>'AMP6-4'!AD2</f>
        <v>8.6615384615384622E-2</v>
      </c>
      <c r="AD33" s="219">
        <f>'AMP6-4'!AE2</f>
        <v>-2.5884615384615388E-2</v>
      </c>
      <c r="AE33" s="219">
        <f>'AMP6-4'!AF2</f>
        <v>0.36696153846153839</v>
      </c>
      <c r="AF33" s="219">
        <f>'AMP6-4'!AG2</f>
        <v>0.32003846153846155</v>
      </c>
      <c r="AG33" s="219">
        <f>'AMP6-4'!AH2</f>
        <v>0.23123076923076924</v>
      </c>
      <c r="AH33" s="219">
        <f>'AMP6-4'!AI2</f>
        <v>0.21773076923076923</v>
      </c>
    </row>
    <row r="34" spans="1:34" s="732" customFormat="1" x14ac:dyDescent="0.25">
      <c r="B34" s="733" t="s">
        <v>286</v>
      </c>
      <c r="C34" s="733" t="s">
        <v>32</v>
      </c>
      <c r="D34" s="733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</row>
    <row r="35" spans="1:34" s="732" customFormat="1" x14ac:dyDescent="0.25">
      <c r="B35" s="733" t="s">
        <v>286</v>
      </c>
      <c r="C35" s="733" t="s">
        <v>31</v>
      </c>
      <c r="D35" s="733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</row>
    <row r="36" spans="1:34" s="732" customFormat="1" x14ac:dyDescent="0.25">
      <c r="B36" s="733" t="s">
        <v>2236</v>
      </c>
      <c r="C36" s="733" t="s">
        <v>32</v>
      </c>
      <c r="D36" s="733">
        <f>COUNTIFS(AMP6_8[Date],"&gt;="&amp;'Offset Solver'!$E$30,AMP6_8[Date],"&lt;="&amp;'Offset Solver'!$E$31,AMP6_8[Blade Part Number],C36)</f>
        <v>6</v>
      </c>
      <c r="E36" s="219">
        <f>'AMP6-8'!F1</f>
        <v>41.328166666666668</v>
      </c>
      <c r="F36" s="219">
        <f>'AMP6-8'!G1</f>
        <v>41.431333333333335</v>
      </c>
      <c r="G36" s="219">
        <f>'AMP6-8'!H1</f>
        <v>155.803</v>
      </c>
      <c r="H36" s="219">
        <f>'AMP6-8'!I1</f>
        <v>155.67616666666666</v>
      </c>
      <c r="I36" s="219" t="str">
        <f>'AMP6-8'!J1</f>
        <v/>
      </c>
      <c r="J36" s="219" t="str">
        <f>'AMP6-8'!K1</f>
        <v/>
      </c>
      <c r="K36" s="219">
        <f>'AMP6-8'!L1</f>
        <v>155.94749999999999</v>
      </c>
      <c r="L36" s="219">
        <f>'AMP6-8'!M1</f>
        <v>155.66666666666666</v>
      </c>
      <c r="M36" s="219">
        <f>'AMP6-8'!N1</f>
        <v>27.267499999999998</v>
      </c>
      <c r="N36" s="219">
        <f>'AMP6-8'!O1</f>
        <v>27.394333333333336</v>
      </c>
      <c r="O36" s="219" t="str">
        <f>'AMP6-8'!P1</f>
        <v/>
      </c>
      <c r="P36" s="219" t="str">
        <f>'AMP6-8'!Q1</f>
        <v/>
      </c>
      <c r="Q36" s="219">
        <f>'AMP6-8'!R1</f>
        <v>17.2575</v>
      </c>
      <c r="R36" s="219">
        <f>'AMP6-8'!S1</f>
        <v>17.199333333333332</v>
      </c>
      <c r="S36" s="219">
        <f>'AMP6-8'!T1</f>
        <v>34.553666666666665</v>
      </c>
      <c r="T36" s="219">
        <f>'AMP6-8'!U1</f>
        <v>35.007666666666672</v>
      </c>
      <c r="U36" s="219" t="str">
        <f>'AMP6-8'!V1</f>
        <v/>
      </c>
      <c r="V36" s="219">
        <f>'AMP6-8'!W1</f>
        <v>0.12733333333333333</v>
      </c>
      <c r="W36" s="219">
        <f>'AMP6-8'!X1</f>
        <v>-4.4333333333333336E-2</v>
      </c>
      <c r="X36" s="219" t="str">
        <f>'AMP6-8'!Y1</f>
        <v/>
      </c>
      <c r="Y36" s="219">
        <f>'AMP6-8'!Z1</f>
        <v>0.1215</v>
      </c>
      <c r="Z36" s="219">
        <f>'AMP6-8'!AA1</f>
        <v>-4.6666666666666662E-2</v>
      </c>
      <c r="AA36" s="219">
        <f>'AMP6-8'!AB1</f>
        <v>2.6666666666666666E-3</v>
      </c>
      <c r="AB36" s="219">
        <f>'AMP6-8'!AC1</f>
        <v>-4.6666666666666671E-3</v>
      </c>
      <c r="AC36" s="219">
        <f>'AMP6-8'!AD1</f>
        <v>0.12733333333333333</v>
      </c>
      <c r="AD36" s="219">
        <f>'AMP6-8'!AE1</f>
        <v>-1.1499999999999998E-2</v>
      </c>
      <c r="AE36" s="219">
        <f>'AMP6-8'!AF1</f>
        <v>-3.666666666666666E-2</v>
      </c>
      <c r="AF36" s="219">
        <f>'AMP6-8'!AG1</f>
        <v>-4.6666666666666662E-2</v>
      </c>
      <c r="AG36" s="219">
        <f>'AMP6-8'!AH1</f>
        <v>8.5000000000000006E-2</v>
      </c>
      <c r="AH36" s="219">
        <f>'AMP6-8'!AI1</f>
        <v>0.1215</v>
      </c>
    </row>
    <row r="37" spans="1:34" s="732" customFormat="1" x14ac:dyDescent="0.25">
      <c r="B37" s="733" t="s">
        <v>2236</v>
      </c>
      <c r="C37" s="733" t="s">
        <v>31</v>
      </c>
      <c r="D37" s="735">
        <f>COUNTIFS(AMP6_8[Date],"&gt;="&amp;'Offset Solver'!$E$30,AMP6_8[Date],"&lt;="&amp;'Offset Solver'!$E$31,AMP6_8[Blade Part Number],C37)</f>
        <v>6</v>
      </c>
      <c r="E37" s="219" t="str">
        <f>'AMP6-8'!F2</f>
        <v/>
      </c>
      <c r="F37" s="219" t="str">
        <f>'AMP6-8'!G2</f>
        <v/>
      </c>
      <c r="G37" s="219">
        <f>'AMP6-8'!H2</f>
        <v>155.84900000000002</v>
      </c>
      <c r="H37" s="219">
        <f>'AMP6-8'!I2</f>
        <v>155.73649999999998</v>
      </c>
      <c r="I37" s="219">
        <f>'AMP6-8'!J2</f>
        <v>168.69216666666668</v>
      </c>
      <c r="J37" s="219">
        <f>'AMP6-8'!K2</f>
        <v>168.72833333333335</v>
      </c>
      <c r="K37" s="219">
        <f>'AMP6-8'!L2</f>
        <v>155.92166666666665</v>
      </c>
      <c r="L37" s="219">
        <f>'AMP6-8'!M2</f>
        <v>155.71133333333333</v>
      </c>
      <c r="M37" s="219">
        <f>'AMP6-8'!N2</f>
        <v>27.294666666666672</v>
      </c>
      <c r="N37" s="219">
        <f>'AMP6-8'!O2</f>
        <v>27.480499999999996</v>
      </c>
      <c r="O37" s="219" t="str">
        <f>'AMP6-8'!P2</f>
        <v/>
      </c>
      <c r="P37" s="219" t="str">
        <f>'AMP6-8'!Q2</f>
        <v/>
      </c>
      <c r="Q37" s="219">
        <f>'AMP6-8'!R2</f>
        <v>17.220666666666666</v>
      </c>
      <c r="R37" s="219">
        <f>'AMP6-8'!S2</f>
        <v>17.284500000000005</v>
      </c>
      <c r="S37" s="219">
        <f>'AMP6-8'!T2</f>
        <v>38.220166666666671</v>
      </c>
      <c r="T37" s="219">
        <f>'AMP6-8'!U2</f>
        <v>38.346166666666669</v>
      </c>
      <c r="U37" s="219" t="str">
        <f>'AMP6-8'!V2</f>
        <v/>
      </c>
      <c r="V37" s="219">
        <f>'AMP6-8'!W2</f>
        <v>-3.5000000000000001E-3</v>
      </c>
      <c r="W37" s="219">
        <f>'AMP6-8'!X2</f>
        <v>-0.14849999999999999</v>
      </c>
      <c r="X37" s="219" t="str">
        <f>'AMP6-8'!Y2</f>
        <v/>
      </c>
      <c r="Y37" s="219">
        <f>'AMP6-8'!Z2</f>
        <v>0.11433333333333334</v>
      </c>
      <c r="Z37" s="219">
        <f>'AMP6-8'!AA2</f>
        <v>6.466666666666665E-2</v>
      </c>
      <c r="AA37" s="219">
        <f>'AMP6-8'!AB2</f>
        <v>-5.9999999999999993E-3</v>
      </c>
      <c r="AB37" s="219">
        <f>'AMP6-8'!AC2</f>
        <v>-6.4500000000000002E-2</v>
      </c>
      <c r="AC37" s="219">
        <f>'AMP6-8'!AD2</f>
        <v>-3.1833333333333332E-2</v>
      </c>
      <c r="AD37" s="219">
        <f>'AMP6-8'!AE2</f>
        <v>-0.14849999999999999</v>
      </c>
      <c r="AE37" s="219">
        <f>'AMP6-8'!AF2</f>
        <v>9.9666666666666681E-2</v>
      </c>
      <c r="AF37" s="219">
        <f>'AMP6-8'!AG2</f>
        <v>9.6833333333333327E-2</v>
      </c>
      <c r="AG37" s="219">
        <f>'AMP6-8'!AH2</f>
        <v>6.8500000000000005E-2</v>
      </c>
      <c r="AH37" s="219">
        <f>'AMP6-8'!AI2</f>
        <v>0.10383333333333335</v>
      </c>
    </row>
    <row r="38" spans="1:34" x14ac:dyDescent="0.25">
      <c r="B38" s="218" t="s">
        <v>248</v>
      </c>
      <c r="C38" s="218" t="s">
        <v>32</v>
      </c>
      <c r="D38" s="605">
        <f>COUNTIFS(AMP7_6[Date],"&gt;="&amp;'Offset Solver'!$E$30,AMP7_6[Date],"&lt;="&amp;'Offset Solver'!$E$31,AMP7_6[Blade Part Number],C38)</f>
        <v>65</v>
      </c>
      <c r="E38" s="219">
        <f>'AMP7-6'!F1</f>
        <v>41.149969230769223</v>
      </c>
      <c r="F38" s="219">
        <f>'AMP7-6'!G1</f>
        <v>41.182138461538457</v>
      </c>
      <c r="G38" s="219">
        <f>'AMP7-6'!H1</f>
        <v>156.05132307692307</v>
      </c>
      <c r="H38" s="219">
        <f>'AMP7-6'!I1</f>
        <v>156.25106153846147</v>
      </c>
      <c r="I38" s="219" t="str">
        <f>'AMP7-6'!J1</f>
        <v/>
      </c>
      <c r="J38" s="219" t="str">
        <f>'AMP7-6'!K1</f>
        <v/>
      </c>
      <c r="K38" s="219">
        <f>'AMP7-6'!L1</f>
        <v>155.96338461538465</v>
      </c>
      <c r="L38" s="219">
        <f>'AMP7-6'!M1</f>
        <v>155.8782615384616</v>
      </c>
      <c r="M38" s="219">
        <f>'AMP7-6'!N1</f>
        <v>27.249599999999994</v>
      </c>
      <c r="N38" s="219">
        <f>'AMP7-6'!O1</f>
        <v>27.353938461538476</v>
      </c>
      <c r="O38" s="219" t="str">
        <f>'AMP7-6'!P1</f>
        <v/>
      </c>
      <c r="P38" s="219" t="str">
        <f>'AMP7-6'!Q1</f>
        <v/>
      </c>
      <c r="Q38" s="219">
        <f>'AMP7-6'!R1</f>
        <v>17.319276923076924</v>
      </c>
      <c r="R38" s="219">
        <f>'AMP7-6'!S1</f>
        <v>17.263461538461534</v>
      </c>
      <c r="S38" s="219">
        <f>'AMP7-6'!T1</f>
        <v>33.6524</v>
      </c>
      <c r="T38" s="219">
        <f>'AMP7-6'!U1</f>
        <v>34.797538461538458</v>
      </c>
      <c r="U38" s="219" t="str">
        <f>'AMP7-6'!V1</f>
        <v/>
      </c>
      <c r="V38" s="219">
        <f>'AMP7-6'!W1</f>
        <v>-0.11766153846153841</v>
      </c>
      <c r="W38" s="219">
        <f>'AMP7-6'!X1</f>
        <v>-0.3481538461538462</v>
      </c>
      <c r="X38" s="219" t="str">
        <f>'AMP7-6'!Y1</f>
        <v/>
      </c>
      <c r="Y38" s="219">
        <f>'AMP7-6'!Z1</f>
        <v>5.7984615384615384E-2</v>
      </c>
      <c r="Z38" s="219">
        <f>'AMP7-6'!AA1</f>
        <v>-0.21124615384615383</v>
      </c>
      <c r="AA38" s="219">
        <f>'AMP7-6'!AB1</f>
        <v>-0.21046153846153842</v>
      </c>
      <c r="AB38" s="219">
        <f>'AMP7-6'!AC1</f>
        <v>-0.12409230769230763</v>
      </c>
      <c r="AC38" s="219">
        <f>'AMP7-6'!AD1</f>
        <v>-0.34601538461538461</v>
      </c>
      <c r="AD38" s="219">
        <f>'AMP7-6'!AE1</f>
        <v>-0.22739999999999994</v>
      </c>
      <c r="AE38" s="219">
        <f>'AMP7-6'!AF1</f>
        <v>4.1692307692307681E-2</v>
      </c>
      <c r="AF38" s="219">
        <f>'AMP7-6'!AG1</f>
        <v>-6.1276923076923083E-2</v>
      </c>
      <c r="AG38" s="219">
        <f>'AMP7-6'!AH1</f>
        <v>-2.2061538461538459E-2</v>
      </c>
      <c r="AH38" s="219">
        <f>'AMP7-6'!AI1</f>
        <v>-0.20878461538461535</v>
      </c>
    </row>
    <row r="39" spans="1:34" x14ac:dyDescent="0.25">
      <c r="B39" s="218" t="s">
        <v>248</v>
      </c>
      <c r="C39" s="218" t="s">
        <v>31</v>
      </c>
      <c r="D39" s="605">
        <f>COUNTIFS(AMP7_6[Date],"&gt;="&amp;'Offset Solver'!$E$30,AMP7_6[Date],"&lt;="&amp;'Offset Solver'!$E$31,AMP7_6[Blade Part Number],C39)</f>
        <v>65</v>
      </c>
      <c r="E39" s="219" t="str">
        <f>'AMP7-6'!F2</f>
        <v/>
      </c>
      <c r="F39" s="219" t="str">
        <f>'AMP7-6'!G2</f>
        <v/>
      </c>
      <c r="G39" s="219">
        <f>'AMP7-6'!H2</f>
        <v>156.10243076923075</v>
      </c>
      <c r="H39" s="219">
        <f>'AMP7-6'!I2</f>
        <v>156.16892307692308</v>
      </c>
      <c r="I39" s="219">
        <f>'AMP7-6'!J2</f>
        <v>168.78456923076919</v>
      </c>
      <c r="J39" s="219">
        <f>'AMP7-6'!K2</f>
        <v>168.85750769230765</v>
      </c>
      <c r="K39" s="219">
        <f>'AMP7-6'!L2</f>
        <v>156.16936923076921</v>
      </c>
      <c r="L39" s="219">
        <f>'AMP7-6'!M2</f>
        <v>155.97460000000004</v>
      </c>
      <c r="M39" s="219">
        <f>'AMP7-6'!N2</f>
        <v>27.089676923076919</v>
      </c>
      <c r="N39" s="219">
        <f>'AMP7-6'!O2</f>
        <v>27.455630769230758</v>
      </c>
      <c r="O39" s="219" t="str">
        <f>'AMP7-6'!P2</f>
        <v/>
      </c>
      <c r="P39" s="219" t="str">
        <f>'AMP7-6'!Q2</f>
        <v/>
      </c>
      <c r="Q39" s="219">
        <f>'AMP7-6'!R2</f>
        <v>17.271015384615399</v>
      </c>
      <c r="R39" s="219">
        <f>'AMP7-6'!S2</f>
        <v>17.297000000000008</v>
      </c>
      <c r="S39" s="219">
        <f>'AMP7-6'!T2</f>
        <v>37.50135384615384</v>
      </c>
      <c r="T39" s="219">
        <f>'AMP7-6'!U2</f>
        <v>37.67943076923077</v>
      </c>
      <c r="U39" s="219" t="str">
        <f>'AMP7-6'!V2</f>
        <v/>
      </c>
      <c r="V39" s="219">
        <f>'AMP7-6'!W2</f>
        <v>-2.3476923076923065E-2</v>
      </c>
      <c r="W39" s="219">
        <f>'AMP7-6'!X2</f>
        <v>-0.28816923076923068</v>
      </c>
      <c r="X39" s="219" t="str">
        <f>'AMP7-6'!Y2</f>
        <v/>
      </c>
      <c r="Y39" s="219">
        <f>'AMP7-6'!Z2</f>
        <v>4.7692307692307701E-2</v>
      </c>
      <c r="Z39" s="219">
        <f>'AMP7-6'!AA2</f>
        <v>-0.22629230769230765</v>
      </c>
      <c r="AA39" s="219">
        <f>'AMP7-6'!AB2</f>
        <v>-0.13935384615384608</v>
      </c>
      <c r="AB39" s="219">
        <f>'AMP7-6'!AC2</f>
        <v>-3.6092307692307694E-2</v>
      </c>
      <c r="AC39" s="219">
        <f>'AMP7-6'!AD2</f>
        <v>-0.2865076923076923</v>
      </c>
      <c r="AD39" s="219">
        <f>'AMP7-6'!AE2</f>
        <v>-0.10847692307692308</v>
      </c>
      <c r="AE39" s="219">
        <f>'AMP7-6'!AF2</f>
        <v>-2.447692307692308E-2</v>
      </c>
      <c r="AF39" s="219">
        <f>'AMP7-6'!AG2</f>
        <v>-0.12623076923076923</v>
      </c>
      <c r="AG39" s="219">
        <f>'AMP7-6'!AH2</f>
        <v>3.8553846153846161E-2</v>
      </c>
      <c r="AH39" s="219">
        <f>'AMP7-6'!AI2</f>
        <v>-0.21852307692307688</v>
      </c>
    </row>
    <row r="40" spans="1:34" x14ac:dyDescent="0.25">
      <c r="B40" s="218" t="s">
        <v>249</v>
      </c>
      <c r="C40" s="218" t="s">
        <v>32</v>
      </c>
      <c r="D40" s="605">
        <f>COUNTIFS(AMP7_8[Date],"&gt;="&amp;'Offset Solver'!$E$30,AMP7_8[Date],"&lt;="&amp;'Offset Solver'!$E$31,AMP7_8[Blade Part Number],C40)</f>
        <v>64</v>
      </c>
      <c r="E40" s="219">
        <f>'AMP7-8'!F1</f>
        <v>41.090562499999997</v>
      </c>
      <c r="F40" s="219">
        <f>'AMP7-8'!G1</f>
        <v>41.299078125000008</v>
      </c>
      <c r="G40" s="219">
        <f>'AMP7-8'!H1</f>
        <v>155.92479687500003</v>
      </c>
      <c r="H40" s="219">
        <f>'AMP7-8'!I1</f>
        <v>156.18184374999998</v>
      </c>
      <c r="I40" s="219" t="str">
        <f>'AMP7-8'!J1</f>
        <v/>
      </c>
      <c r="J40" s="219" t="str">
        <f>'AMP7-8'!K1</f>
        <v/>
      </c>
      <c r="K40" s="219">
        <f>'AMP7-8'!L1</f>
        <v>155.99410937500002</v>
      </c>
      <c r="L40" s="219">
        <f>'AMP7-8'!M1</f>
        <v>155.84446874999995</v>
      </c>
      <c r="M40" s="219">
        <f>'AMP7-8'!N1</f>
        <v>27.200187499999991</v>
      </c>
      <c r="N40" s="219">
        <f>'AMP7-8'!O1</f>
        <v>27.226187499999995</v>
      </c>
      <c r="O40" s="219" t="str">
        <f>'AMP7-8'!P1</f>
        <v/>
      </c>
      <c r="P40" s="219" t="str">
        <f>'AMP7-8'!Q1</f>
        <v/>
      </c>
      <c r="Q40" s="219">
        <f>'AMP7-8'!R1</f>
        <v>17.248250000000002</v>
      </c>
      <c r="R40" s="219">
        <f>'AMP7-8'!S1</f>
        <v>17.246937499999994</v>
      </c>
      <c r="S40" s="219">
        <f>'AMP7-8'!T1</f>
        <v>32.865937500000001</v>
      </c>
      <c r="T40" s="219">
        <f>'AMP7-8'!U1</f>
        <v>33.855906250000011</v>
      </c>
      <c r="U40" s="219" t="str">
        <f>'AMP7-8'!V1</f>
        <v/>
      </c>
      <c r="V40" s="219">
        <f>'AMP7-8'!W1</f>
        <v>0.12135937499999999</v>
      </c>
      <c r="W40" s="219">
        <f>'AMP7-8'!X1</f>
        <v>-0.22753125000000007</v>
      </c>
      <c r="X40" s="219" t="str">
        <f>'AMP7-8'!Y1</f>
        <v/>
      </c>
      <c r="Y40" s="219">
        <f>'AMP7-8'!Z1</f>
        <v>-3.1249999999984415E-5</v>
      </c>
      <c r="Z40" s="219">
        <f>'AMP7-8'!AA1</f>
        <v>-0.26070312500000004</v>
      </c>
      <c r="AA40" s="219">
        <f>'AMP7-8'!AB1</f>
        <v>-0.15364062500000009</v>
      </c>
      <c r="AB40" s="219">
        <f>'AMP7-8'!AC1</f>
        <v>-8.042187499999999E-2</v>
      </c>
      <c r="AC40" s="219">
        <f>'AMP7-8'!AD1</f>
        <v>-0.20164062500000002</v>
      </c>
      <c r="AD40" s="219">
        <f>'AMP7-8'!AE1</f>
        <v>0.12135937499999999</v>
      </c>
      <c r="AE40" s="219">
        <f>'AMP7-8'!AF1</f>
        <v>-3.5671874999999992E-2</v>
      </c>
      <c r="AF40" s="219">
        <f>'AMP7-8'!AG1</f>
        <v>-0.13460937499999998</v>
      </c>
      <c r="AG40" s="219">
        <f>'AMP7-8'!AH1</f>
        <v>-7.1015624999999957E-2</v>
      </c>
      <c r="AH40" s="219">
        <f>'AMP7-8'!AI1</f>
        <v>-0.24807812500000001</v>
      </c>
    </row>
    <row r="41" spans="1:34" x14ac:dyDescent="0.25">
      <c r="B41" s="218" t="s">
        <v>249</v>
      </c>
      <c r="C41" s="218" t="s">
        <v>31</v>
      </c>
      <c r="D41" s="605">
        <f>COUNTIFS(AMP7_8[Date],"&gt;="&amp;'Offset Solver'!$E$30,AMP7_8[Date],"&lt;="&amp;'Offset Solver'!$E$31,AMP7_8[Blade Part Number],C41)</f>
        <v>64</v>
      </c>
      <c r="E41" s="219" t="str">
        <f>'AMP7-8'!F2</f>
        <v/>
      </c>
      <c r="F41" s="219" t="str">
        <f>'AMP7-8'!G2</f>
        <v/>
      </c>
      <c r="G41" s="219">
        <f>'AMP7-8'!H2</f>
        <v>155.88556250000005</v>
      </c>
      <c r="H41" s="219">
        <f>'AMP7-8'!I2</f>
        <v>155.92326562500003</v>
      </c>
      <c r="I41" s="219">
        <f>'AMP7-8'!J2</f>
        <v>168.82953125000006</v>
      </c>
      <c r="J41" s="219">
        <f>'AMP7-8'!K2</f>
        <v>169.07067187500004</v>
      </c>
      <c r="K41" s="219">
        <f>'AMP7-8'!L2</f>
        <v>155.95768749999999</v>
      </c>
      <c r="L41" s="219">
        <f>'AMP7-8'!M2</f>
        <v>155.68248437499997</v>
      </c>
      <c r="M41" s="219">
        <f>'AMP7-8'!N2</f>
        <v>27.261953125000009</v>
      </c>
      <c r="N41" s="219">
        <f>'AMP7-8'!O2</f>
        <v>27.569265625</v>
      </c>
      <c r="O41" s="219" t="str">
        <f>'AMP7-8'!P2</f>
        <v/>
      </c>
      <c r="P41" s="219" t="str">
        <f>'AMP7-8'!Q2</f>
        <v/>
      </c>
      <c r="Q41" s="219">
        <f>'AMP7-8'!R2</f>
        <v>17.252312499999999</v>
      </c>
      <c r="R41" s="219">
        <f>'AMP7-8'!S2</f>
        <v>17.285312499999996</v>
      </c>
      <c r="S41" s="219">
        <f>'AMP7-8'!T2</f>
        <v>38.012874999999994</v>
      </c>
      <c r="T41" s="219">
        <f>'AMP7-8'!U2</f>
        <v>38.506906250000007</v>
      </c>
      <c r="U41" s="219" t="str">
        <f>'AMP7-8'!V2</f>
        <v/>
      </c>
      <c r="V41" s="219">
        <f>'AMP7-8'!W2</f>
        <v>0.27048437499999994</v>
      </c>
      <c r="W41" s="219">
        <f>'AMP7-8'!X2</f>
        <v>-0.17675000000000002</v>
      </c>
      <c r="X41" s="219" t="str">
        <f>'AMP7-8'!Y2</f>
        <v/>
      </c>
      <c r="Y41" s="219">
        <f>'AMP7-8'!Z2</f>
        <v>5.9625000000000011E-2</v>
      </c>
      <c r="Z41" s="219">
        <f>'AMP7-8'!AA2</f>
        <v>-0.27829687500000005</v>
      </c>
      <c r="AA41" s="219">
        <f>'AMP7-8'!AB2</f>
        <v>-5.8312500000000017E-2</v>
      </c>
      <c r="AB41" s="219">
        <f>'AMP7-8'!AC2</f>
        <v>3.3906249999999992E-2</v>
      </c>
      <c r="AC41" s="219">
        <f>'AMP7-8'!AD2</f>
        <v>-0.17507812500000006</v>
      </c>
      <c r="AD41" s="219">
        <f>'AMP7-8'!AE2</f>
        <v>0.27048437499999994</v>
      </c>
      <c r="AE41" s="219">
        <f>'AMP7-8'!AF2</f>
        <v>-6.2218750000000024E-2</v>
      </c>
      <c r="AF41" s="219">
        <f>'AMP7-8'!AG2</f>
        <v>-0.18709374999999998</v>
      </c>
      <c r="AG41" s="219">
        <f>'AMP7-8'!AH2</f>
        <v>5.7281250000000006E-2</v>
      </c>
      <c r="AH41" s="219">
        <f>'AMP7-8'!AI2</f>
        <v>-0.27309375000000002</v>
      </c>
    </row>
    <row r="42" spans="1:34" x14ac:dyDescent="0.25">
      <c r="A42" s="756" t="s">
        <v>153</v>
      </c>
      <c r="B42" s="757" t="str">
        <f>'Offset Solver'!E28</f>
        <v>AMP6-4</v>
      </c>
      <c r="C42" s="319" t="s">
        <v>32</v>
      </c>
      <c r="D42" s="603">
        <f>INDEX(D4:D41,MATCH($B$42,$B4:$B41,0))</f>
        <v>26</v>
      </c>
      <c r="E42" s="320">
        <f t="shared" ref="E42:AH42" si="0">INDEX(E4:E41,MATCH($B$42,$B4:$B41,0))</f>
        <v>41.171923076923079</v>
      </c>
      <c r="F42" s="320">
        <f t="shared" si="0"/>
        <v>41.342423076923076</v>
      </c>
      <c r="G42" s="320">
        <f t="shared" si="0"/>
        <v>155.68153846153842</v>
      </c>
      <c r="H42" s="320">
        <f t="shared" si="0"/>
        <v>155.45200000000003</v>
      </c>
      <c r="I42" s="320" t="str">
        <f t="shared" si="0"/>
        <v/>
      </c>
      <c r="J42" s="320" t="str">
        <f t="shared" si="0"/>
        <v/>
      </c>
      <c r="K42" s="320">
        <f t="shared" si="0"/>
        <v>155.84546153846154</v>
      </c>
      <c r="L42" s="320">
        <f t="shared" si="0"/>
        <v>155.50542307692305</v>
      </c>
      <c r="M42" s="320">
        <f t="shared" si="0"/>
        <v>27.346153846153836</v>
      </c>
      <c r="N42" s="320">
        <f t="shared" si="0"/>
        <v>27.579730769230771</v>
      </c>
      <c r="O42" s="320" t="str">
        <f t="shared" si="0"/>
        <v/>
      </c>
      <c r="P42" s="320" t="str">
        <f t="shared" si="0"/>
        <v/>
      </c>
      <c r="Q42" s="320">
        <f t="shared" si="0"/>
        <v>17.262961538461539</v>
      </c>
      <c r="R42" s="320">
        <f t="shared" si="0"/>
        <v>17.283846153846152</v>
      </c>
      <c r="S42" s="320">
        <f t="shared" si="0"/>
        <v>35.65880769230769</v>
      </c>
      <c r="T42" s="320">
        <f t="shared" si="0"/>
        <v>36.41496153846154</v>
      </c>
      <c r="U42" s="320" t="str">
        <f t="shared" si="0"/>
        <v/>
      </c>
      <c r="V42" s="320">
        <f t="shared" si="0"/>
        <v>0.26884615384615385</v>
      </c>
      <c r="W42" s="320">
        <f t="shared" si="0"/>
        <v>0.12050000000000002</v>
      </c>
      <c r="X42" s="320" t="str">
        <f t="shared" si="0"/>
        <v/>
      </c>
      <c r="Y42" s="320">
        <f t="shared" si="0"/>
        <v>0.40100000000000002</v>
      </c>
      <c r="Z42" s="320">
        <f t="shared" si="0"/>
        <v>0.27592307692307688</v>
      </c>
      <c r="AA42" s="320">
        <f t="shared" si="0"/>
        <v>0.21384615384615385</v>
      </c>
      <c r="AB42" s="320">
        <f t="shared" si="0"/>
        <v>0.24280769230769225</v>
      </c>
      <c r="AC42" s="320">
        <f t="shared" si="0"/>
        <v>0.20661538461538453</v>
      </c>
      <c r="AD42" s="320">
        <f t="shared" si="0"/>
        <v>0.13930769230769233</v>
      </c>
      <c r="AE42" s="320">
        <f t="shared" si="0"/>
        <v>0.37276923076923085</v>
      </c>
      <c r="AF42" s="320">
        <f t="shared" si="0"/>
        <v>0.33319230769230768</v>
      </c>
      <c r="AG42" s="320">
        <f t="shared" si="0"/>
        <v>0.29703846153846153</v>
      </c>
      <c r="AH42" s="320">
        <f t="shared" si="0"/>
        <v>0.36215384615384616</v>
      </c>
    </row>
    <row r="43" spans="1:34" x14ac:dyDescent="0.25">
      <c r="A43" s="756"/>
      <c r="B43" s="758"/>
      <c r="C43" s="319" t="s">
        <v>31</v>
      </c>
      <c r="D43" s="603">
        <f>INDEX(D5:D42,MATCH($B$42,$B5:$B42,0))</f>
        <v>26</v>
      </c>
      <c r="E43" s="320" t="str">
        <f t="shared" ref="E43:AH43" si="1">INDEX(E4:E41,MATCH($B$42,$B4:$B41,0)+1)</f>
        <v/>
      </c>
      <c r="F43" s="320" t="str">
        <f t="shared" si="1"/>
        <v/>
      </c>
      <c r="G43" s="320">
        <f t="shared" si="1"/>
        <v>155.87361538461539</v>
      </c>
      <c r="H43" s="320">
        <f t="shared" si="1"/>
        <v>155.82473076923077</v>
      </c>
      <c r="I43" s="320">
        <f t="shared" si="1"/>
        <v>168.84173076923076</v>
      </c>
      <c r="J43" s="320">
        <f t="shared" si="1"/>
        <v>168.97934615384614</v>
      </c>
      <c r="K43" s="320">
        <f t="shared" si="1"/>
        <v>156.02938461538463</v>
      </c>
      <c r="L43" s="320">
        <f t="shared" si="1"/>
        <v>156.04180769230771</v>
      </c>
      <c r="M43" s="320">
        <f t="shared" si="1"/>
        <v>27.175807692307686</v>
      </c>
      <c r="N43" s="320">
        <f t="shared" si="1"/>
        <v>27.215730769230763</v>
      </c>
      <c r="O43" s="320" t="str">
        <f t="shared" si="1"/>
        <v/>
      </c>
      <c r="P43" s="320" t="str">
        <f t="shared" si="1"/>
        <v/>
      </c>
      <c r="Q43" s="320">
        <f t="shared" si="1"/>
        <v>17.178153846153844</v>
      </c>
      <c r="R43" s="320">
        <f t="shared" si="1"/>
        <v>17.127153846153849</v>
      </c>
      <c r="S43" s="320">
        <f t="shared" si="1"/>
        <v>35.986846153846166</v>
      </c>
      <c r="T43" s="320">
        <f t="shared" si="1"/>
        <v>36.694961538461541</v>
      </c>
      <c r="U43" s="320" t="str">
        <f t="shared" si="1"/>
        <v/>
      </c>
      <c r="V43" s="320">
        <f t="shared" si="1"/>
        <v>0.14511538461538462</v>
      </c>
      <c r="W43" s="320">
        <f t="shared" si="1"/>
        <v>-5.9884615384615383E-2</v>
      </c>
      <c r="X43" s="320" t="str">
        <f t="shared" si="1"/>
        <v/>
      </c>
      <c r="Y43" s="320">
        <f t="shared" si="1"/>
        <v>0.38642307692307687</v>
      </c>
      <c r="Z43" s="320">
        <f t="shared" si="1"/>
        <v>0.18746153846153846</v>
      </c>
      <c r="AA43" s="320">
        <f t="shared" si="1"/>
        <v>0.10046153846153845</v>
      </c>
      <c r="AB43" s="320">
        <f t="shared" si="1"/>
        <v>4.2769230769230754E-2</v>
      </c>
      <c r="AC43" s="320">
        <f t="shared" si="1"/>
        <v>8.6615384615384622E-2</v>
      </c>
      <c r="AD43" s="320">
        <f t="shared" si="1"/>
        <v>-2.5884615384615388E-2</v>
      </c>
      <c r="AE43" s="320">
        <f t="shared" si="1"/>
        <v>0.36696153846153839</v>
      </c>
      <c r="AF43" s="320">
        <f t="shared" si="1"/>
        <v>0.32003846153846155</v>
      </c>
      <c r="AG43" s="320">
        <f t="shared" si="1"/>
        <v>0.23123076923076924</v>
      </c>
      <c r="AH43" s="320">
        <f t="shared" si="1"/>
        <v>0.21773076923076923</v>
      </c>
    </row>
    <row r="52" spans="2:7" x14ac:dyDescent="0.25">
      <c r="B52" s="217" t="s">
        <v>155</v>
      </c>
      <c r="C52" s="217" t="s">
        <v>105</v>
      </c>
      <c r="D52" s="217" t="s">
        <v>147</v>
      </c>
      <c r="E52" s="217" t="s">
        <v>156</v>
      </c>
      <c r="F52" s="599" t="s">
        <v>464</v>
      </c>
      <c r="G52" s="607" t="s">
        <v>488</v>
      </c>
    </row>
    <row r="53" spans="2:7" s="426" customFormat="1" x14ac:dyDescent="0.25">
      <c r="B53" s="445" t="s">
        <v>273</v>
      </c>
      <c r="C53" s="445" t="s">
        <v>200</v>
      </c>
      <c r="D53" s="445" t="s">
        <v>278</v>
      </c>
      <c r="E53" s="445" t="s">
        <v>326</v>
      </c>
      <c r="F53" s="599" t="str">
        <f>Machine[[#This Row],[Name]]&amp;"_"&amp;Machine[[#This Row],[Fixture]]</f>
        <v>AMP 1_Fixture 1/2</v>
      </c>
      <c r="G53" s="607" t="s">
        <v>194</v>
      </c>
    </row>
    <row r="54" spans="2:7" x14ac:dyDescent="0.25">
      <c r="B54" s="217" t="s">
        <v>272</v>
      </c>
      <c r="C54" s="217" t="s">
        <v>200</v>
      </c>
      <c r="D54" s="217" t="s">
        <v>278</v>
      </c>
      <c r="E54" s="217" t="s">
        <v>324</v>
      </c>
      <c r="F54" s="599" t="str">
        <f>Machine[[#This Row],[Name]]&amp;"_"&amp;Machine[[#This Row],[Fixture]]</f>
        <v>AMP 1_Fixture 5/6</v>
      </c>
      <c r="G54" s="607" t="s">
        <v>191</v>
      </c>
    </row>
    <row r="55" spans="2:7" x14ac:dyDescent="0.25">
      <c r="B55" s="217" t="s">
        <v>274</v>
      </c>
      <c r="C55" s="217" t="s">
        <v>200</v>
      </c>
      <c r="D55" s="217" t="s">
        <v>278</v>
      </c>
      <c r="E55" s="217" t="s">
        <v>322</v>
      </c>
      <c r="F55" s="599" t="str">
        <f>Machine[[#This Row],[Name]]&amp;"_"&amp;Machine[[#This Row],[Fixture]]</f>
        <v>AMP 1_Fixture 7/8</v>
      </c>
      <c r="G55" s="607" t="s">
        <v>198</v>
      </c>
    </row>
    <row r="56" spans="2:7" s="727" customFormat="1" x14ac:dyDescent="0.25">
      <c r="B56" s="727" t="s">
        <v>275</v>
      </c>
      <c r="C56" s="727" t="s">
        <v>196</v>
      </c>
      <c r="D56" s="727" t="s">
        <v>279</v>
      </c>
      <c r="E56" s="727" t="s">
        <v>326</v>
      </c>
      <c r="F56" s="602" t="str">
        <f>Machine[[#This Row],[Name]]&amp;"_"&amp;Machine[[#This Row],[Fixture]]</f>
        <v>AMP 2_Fixture 1/2</v>
      </c>
      <c r="G56" s="727" t="s">
        <v>194</v>
      </c>
    </row>
    <row r="57" spans="2:7" x14ac:dyDescent="0.25">
      <c r="B57" s="217" t="s">
        <v>268</v>
      </c>
      <c r="C57" s="217" t="s">
        <v>196</v>
      </c>
      <c r="D57" s="433" t="s">
        <v>279</v>
      </c>
      <c r="E57" s="217" t="s">
        <v>324</v>
      </c>
      <c r="F57" s="599" t="str">
        <f>Machine[[#This Row],[Name]]&amp;"_"&amp;Machine[[#This Row],[Fixture]]</f>
        <v>AMP 2_Fixture 5/6</v>
      </c>
      <c r="G57" s="607" t="s">
        <v>191</v>
      </c>
    </row>
    <row r="58" spans="2:7" x14ac:dyDescent="0.25">
      <c r="B58" s="217" t="s">
        <v>269</v>
      </c>
      <c r="C58" s="217" t="s">
        <v>196</v>
      </c>
      <c r="D58" s="433" t="s">
        <v>279</v>
      </c>
      <c r="E58" s="445" t="s">
        <v>322</v>
      </c>
      <c r="F58" s="599" t="str">
        <f>Machine[[#This Row],[Name]]&amp;"_"&amp;Machine[[#This Row],[Fixture]]</f>
        <v>AMP 2_Fixture 7/8</v>
      </c>
      <c r="G58" s="607" t="s">
        <v>198</v>
      </c>
    </row>
    <row r="59" spans="2:7" x14ac:dyDescent="0.25">
      <c r="B59" s="217" t="s">
        <v>282</v>
      </c>
      <c r="C59" s="426" t="s">
        <v>245</v>
      </c>
      <c r="D59" s="433" t="s">
        <v>280</v>
      </c>
      <c r="E59" s="445" t="s">
        <v>326</v>
      </c>
      <c r="F59" s="599" t="str">
        <f>Machine[[#This Row],[Name]]&amp;"_"&amp;Machine[[#This Row],[Fixture]]</f>
        <v>AMP 3_Fixture 1/2</v>
      </c>
      <c r="G59" s="607" t="s">
        <v>194</v>
      </c>
    </row>
    <row r="60" spans="2:7" x14ac:dyDescent="0.25">
      <c r="B60" s="426" t="s">
        <v>283</v>
      </c>
      <c r="C60" s="426" t="s">
        <v>245</v>
      </c>
      <c r="D60" s="438" t="s">
        <v>280</v>
      </c>
      <c r="E60" s="445" t="s">
        <v>325</v>
      </c>
      <c r="F60" s="599" t="str">
        <f>Machine[[#This Row],[Name]]&amp;"_"&amp;Machine[[#This Row],[Fixture]]</f>
        <v>AMP 3_Fixture 3/4</v>
      </c>
      <c r="G60" s="607" t="s">
        <v>202</v>
      </c>
    </row>
    <row r="61" spans="2:7" s="719" customFormat="1" x14ac:dyDescent="0.25">
      <c r="B61" s="719" t="s">
        <v>238</v>
      </c>
      <c r="C61" s="719" t="s">
        <v>226</v>
      </c>
      <c r="D61" s="719" t="s">
        <v>241</v>
      </c>
      <c r="E61" s="719" t="s">
        <v>326</v>
      </c>
      <c r="F61" s="599" t="str">
        <f>Machine[[#This Row],[Name]]&amp;"_"&amp;Machine[[#This Row],[Fixture]]</f>
        <v>AMP 4_Fixture 1/2</v>
      </c>
      <c r="G61" s="719" t="s">
        <v>194</v>
      </c>
    </row>
    <row r="62" spans="2:7" x14ac:dyDescent="0.25">
      <c r="B62" s="426" t="s">
        <v>237</v>
      </c>
      <c r="C62" s="428" t="s">
        <v>226</v>
      </c>
      <c r="D62" s="438" t="s">
        <v>241</v>
      </c>
      <c r="E62" s="445" t="s">
        <v>325</v>
      </c>
      <c r="F62" s="599" t="str">
        <f>Machine[[#This Row],[Name]]&amp;"_"&amp;Machine[[#This Row],[Fixture]]</f>
        <v>AMP 4_Fixture 3/4</v>
      </c>
      <c r="G62" s="732" t="s">
        <v>202</v>
      </c>
    </row>
    <row r="63" spans="2:7" x14ac:dyDescent="0.25">
      <c r="B63" s="470" t="s">
        <v>235</v>
      </c>
      <c r="C63" s="471" t="s">
        <v>193</v>
      </c>
      <c r="D63" s="471" t="s">
        <v>240</v>
      </c>
      <c r="E63" s="471" t="s">
        <v>326</v>
      </c>
      <c r="F63" s="600" t="str">
        <f>Machine[[#This Row],[Name]]&amp;"_"&amp;Machine[[#This Row],[Fixture]]</f>
        <v>AMP 5_Fixture 1/2</v>
      </c>
      <c r="G63" s="607" t="s">
        <v>194</v>
      </c>
    </row>
    <row r="64" spans="2:7" s="722" customFormat="1" x14ac:dyDescent="0.25">
      <c r="B64" s="723" t="s">
        <v>236</v>
      </c>
      <c r="C64" s="723" t="s">
        <v>193</v>
      </c>
      <c r="D64" s="723" t="s">
        <v>240</v>
      </c>
      <c r="E64" s="723" t="s">
        <v>325</v>
      </c>
      <c r="F64" s="600" t="str">
        <f>Machine[[#This Row],[Name]]&amp;"_"&amp;Machine[[#This Row],[Fixture]]</f>
        <v>AMP 5_Fixture 3/4</v>
      </c>
      <c r="G64" s="722" t="s">
        <v>202</v>
      </c>
    </row>
    <row r="65" spans="2:7" x14ac:dyDescent="0.25">
      <c r="B65" s="426" t="s">
        <v>284</v>
      </c>
      <c r="C65" s="428" t="s">
        <v>190</v>
      </c>
      <c r="D65" s="433" t="s">
        <v>281</v>
      </c>
      <c r="E65" s="445" t="s">
        <v>326</v>
      </c>
      <c r="F65" s="599" t="str">
        <f>Machine[[#This Row],[Name]]&amp;"_"&amp;Machine[[#This Row],[Fixture]]</f>
        <v>AMP 6_Fixture 1/2</v>
      </c>
      <c r="G65" s="607" t="s">
        <v>194</v>
      </c>
    </row>
    <row r="66" spans="2:7" x14ac:dyDescent="0.25">
      <c r="B66" s="445" t="s">
        <v>285</v>
      </c>
      <c r="C66" s="445" t="s">
        <v>190</v>
      </c>
      <c r="D66" s="445" t="s">
        <v>281</v>
      </c>
      <c r="E66" s="445" t="s">
        <v>325</v>
      </c>
      <c r="F66" s="599" t="str">
        <f>Machine[[#This Row],[Name]]&amp;"_"&amp;Machine[[#This Row],[Fixture]]</f>
        <v>AMP 6_Fixture 3/4</v>
      </c>
      <c r="G66" s="607" t="s">
        <v>202</v>
      </c>
    </row>
    <row r="67" spans="2:7" s="732" customFormat="1" x14ac:dyDescent="0.25">
      <c r="B67" s="732" t="s">
        <v>286</v>
      </c>
      <c r="C67" s="732" t="s">
        <v>190</v>
      </c>
      <c r="D67" s="732" t="s">
        <v>281</v>
      </c>
      <c r="E67" s="732" t="s">
        <v>324</v>
      </c>
      <c r="F67" s="602" t="str">
        <f>Machine[[#This Row],[Name]]&amp;"_"&amp;Machine[[#This Row],[Fixture]]</f>
        <v>AMP 6_Fixture 5/6</v>
      </c>
      <c r="G67" s="732" t="s">
        <v>191</v>
      </c>
    </row>
    <row r="68" spans="2:7" s="732" customFormat="1" x14ac:dyDescent="0.25">
      <c r="B68" s="732" t="s">
        <v>2236</v>
      </c>
      <c r="C68" s="732" t="s">
        <v>190</v>
      </c>
      <c r="D68" s="732" t="s">
        <v>281</v>
      </c>
      <c r="E68" s="732" t="s">
        <v>322</v>
      </c>
      <c r="F68" s="602" t="str">
        <f>Machine[[#This Row],[Name]]&amp;"_"&amp;Machine[[#This Row],[Fixture]]</f>
        <v>AMP 6_Fixture 7/8</v>
      </c>
      <c r="G68" s="732" t="s">
        <v>198</v>
      </c>
    </row>
    <row r="69" spans="2:7" x14ac:dyDescent="0.25">
      <c r="B69" s="217" t="s">
        <v>248</v>
      </c>
      <c r="C69" s="428" t="s">
        <v>207</v>
      </c>
      <c r="D69" s="433" t="s">
        <v>247</v>
      </c>
      <c r="E69" s="445" t="s">
        <v>324</v>
      </c>
      <c r="F69" s="599" t="str">
        <f>Machine[[#This Row],[Name]]&amp;"_"&amp;Machine[[#This Row],[Fixture]]</f>
        <v>AMP 7_Fixture 5/6</v>
      </c>
      <c r="G69" s="607" t="s">
        <v>191</v>
      </c>
    </row>
    <row r="70" spans="2:7" x14ac:dyDescent="0.25">
      <c r="B70" s="217" t="s">
        <v>249</v>
      </c>
      <c r="C70" s="428" t="s">
        <v>207</v>
      </c>
      <c r="D70" s="433" t="s">
        <v>247</v>
      </c>
      <c r="E70" s="445" t="s">
        <v>322</v>
      </c>
      <c r="F70" s="599" t="str">
        <f>Machine[[#This Row],[Name]]&amp;"_"&amp;Machine[[#This Row],[Fixture]]</f>
        <v>AMP 7_Fixture 7/8</v>
      </c>
      <c r="G70" s="607" t="s">
        <v>198</v>
      </c>
    </row>
    <row r="71" spans="2:7" x14ac:dyDescent="0.25">
      <c r="B71" s="470" t="s">
        <v>961</v>
      </c>
      <c r="C71" s="471" t="s">
        <v>233</v>
      </c>
      <c r="D71" s="471" t="s">
        <v>277</v>
      </c>
      <c r="E71" s="710" t="s">
        <v>322</v>
      </c>
      <c r="F71" s="713" t="str">
        <f>Machine[[#This Row],[Name]]&amp;"_"&amp;Machine[[#This Row],[Fixture]]</f>
        <v>AA 1_Fixture 7/8</v>
      </c>
      <c r="G71" s="710" t="s">
        <v>198</v>
      </c>
    </row>
    <row r="72" spans="2:7" x14ac:dyDescent="0.25">
      <c r="B72" s="438"/>
      <c r="C72" s="438"/>
      <c r="D72" s="438"/>
      <c r="E72" s="445"/>
      <c r="F72" s="602"/>
    </row>
    <row r="73" spans="2:7" x14ac:dyDescent="0.25">
      <c r="B73" s="438"/>
      <c r="C73" s="438"/>
      <c r="D73" s="438"/>
      <c r="E73" s="445"/>
      <c r="F73" s="602"/>
    </row>
    <row r="74" spans="2:7" x14ac:dyDescent="0.25">
      <c r="F74" s="599"/>
    </row>
    <row r="75" spans="2:7" x14ac:dyDescent="0.25">
      <c r="B75" s="759" t="s">
        <v>469</v>
      </c>
      <c r="C75" s="759"/>
      <c r="D75" s="759"/>
      <c r="E75" s="759"/>
      <c r="F75" s="759"/>
    </row>
    <row r="76" spans="2:7" x14ac:dyDescent="0.25">
      <c r="B76" s="470" t="s">
        <v>243</v>
      </c>
      <c r="C76" s="471" t="s">
        <v>233</v>
      </c>
      <c r="D76" s="471" t="s">
        <v>277</v>
      </c>
      <c r="E76" s="471" t="s">
        <v>325</v>
      </c>
      <c r="F76" s="600" t="e">
        <f>Machine[[#This Row],[Name]]&amp;"_"&amp;Machine[[#This Row],[Fixture]]</f>
        <v>#VALUE!</v>
      </c>
      <c r="G76" s="613" t="s">
        <v>489</v>
      </c>
    </row>
    <row r="77" spans="2:7" x14ac:dyDescent="0.25">
      <c r="B77" s="470"/>
      <c r="C77" s="471"/>
      <c r="D77" s="471"/>
      <c r="E77" s="471"/>
      <c r="F77" s="600"/>
      <c r="G77" s="613"/>
    </row>
    <row r="78" spans="2:7" x14ac:dyDescent="0.25">
      <c r="B78" s="446"/>
      <c r="C78" s="446"/>
      <c r="D78" s="446"/>
      <c r="E78" s="446"/>
      <c r="F78" s="599"/>
      <c r="G78" s="613"/>
    </row>
    <row r="79" spans="2:7" x14ac:dyDescent="0.25">
      <c r="G79" s="446"/>
    </row>
  </sheetData>
  <mergeCells count="3">
    <mergeCell ref="A42:A43"/>
    <mergeCell ref="B42:B43"/>
    <mergeCell ref="B75:F75"/>
  </mergeCells>
  <phoneticPr fontId="53" type="noConversion"/>
  <conditionalFormatting sqref="B2:AH41">
    <cfRule type="expression" dxfId="259" priority="178">
      <formula>IF($B2=$B$42,TRUE)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7"/>
  <dimension ref="B1:N29"/>
  <sheetViews>
    <sheetView workbookViewId="0">
      <selection activeCell="S23" sqref="S23"/>
    </sheetView>
  </sheetViews>
  <sheetFormatPr defaultColWidth="9.140625" defaultRowHeight="15" x14ac:dyDescent="0.25"/>
  <cols>
    <col min="1" max="16384" width="9.140625" style="29"/>
  </cols>
  <sheetData>
    <row r="1" spans="2:14" ht="15.75" thickBot="1" x14ac:dyDescent="0.3"/>
    <row r="2" spans="2:14" ht="15" customHeight="1" x14ac:dyDescent="0.25">
      <c r="B2" s="777" t="s">
        <v>307</v>
      </c>
      <c r="C2" s="778"/>
      <c r="D2" s="778"/>
      <c r="E2" s="525"/>
      <c r="F2" s="525"/>
      <c r="G2" s="524"/>
      <c r="I2" s="786" t="s">
        <v>509</v>
      </c>
      <c r="J2" s="787"/>
      <c r="K2" s="787"/>
      <c r="L2" s="787"/>
      <c r="M2" s="787"/>
      <c r="N2" s="788"/>
    </row>
    <row r="3" spans="2:14" ht="15" customHeight="1" x14ac:dyDescent="0.25">
      <c r="B3" s="779"/>
      <c r="C3" s="780"/>
      <c r="D3" s="780"/>
      <c r="E3" s="522"/>
      <c r="F3" s="522"/>
      <c r="G3" s="521"/>
      <c r="I3" s="789"/>
      <c r="J3" s="790"/>
      <c r="K3" s="790"/>
      <c r="L3" s="790"/>
      <c r="M3" s="790"/>
      <c r="N3" s="791"/>
    </row>
    <row r="4" spans="2:14" ht="19.5" thickBot="1" x14ac:dyDescent="0.35">
      <c r="B4" s="517"/>
      <c r="C4" s="516"/>
      <c r="D4" s="516"/>
      <c r="E4" s="515" t="s">
        <v>93</v>
      </c>
      <c r="F4" s="515" t="s">
        <v>304</v>
      </c>
      <c r="G4" s="509"/>
      <c r="I4" s="660"/>
      <c r="J4" s="661"/>
      <c r="K4" s="661"/>
      <c r="L4" s="662" t="s">
        <v>93</v>
      </c>
      <c r="M4" s="662" t="s">
        <v>304</v>
      </c>
      <c r="N4" s="505"/>
    </row>
    <row r="5" spans="2:14" x14ac:dyDescent="0.25">
      <c r="B5" s="773" t="s">
        <v>250</v>
      </c>
      <c r="C5" s="771" t="s">
        <v>251</v>
      </c>
      <c r="D5" s="411" t="s">
        <v>252</v>
      </c>
      <c r="E5" s="503">
        <f>'Offset Solver'!AP2</f>
        <v>-0.2</v>
      </c>
      <c r="F5" s="503">
        <f>'Offset Solver'!AQ2</f>
        <v>-0.2</v>
      </c>
      <c r="G5" s="440" t="s">
        <v>293</v>
      </c>
      <c r="I5" s="773" t="s">
        <v>250</v>
      </c>
      <c r="J5" s="771" t="s">
        <v>251</v>
      </c>
      <c r="K5" s="411" t="s">
        <v>252</v>
      </c>
      <c r="L5" s="672">
        <f>'Manual Offset'!K26</f>
        <v>0</v>
      </c>
      <c r="M5" s="672">
        <f>'Manual Offset'!J26</f>
        <v>0</v>
      </c>
      <c r="N5" s="631" t="s">
        <v>293</v>
      </c>
    </row>
    <row r="6" spans="2:14" x14ac:dyDescent="0.25">
      <c r="B6" s="774"/>
      <c r="C6" s="785"/>
      <c r="D6" s="513" t="s">
        <v>253</v>
      </c>
      <c r="E6" s="512">
        <f>'Offset Solver'!AP3</f>
        <v>-0.2</v>
      </c>
      <c r="F6" s="512">
        <f>'Offset Solver'!AQ3</f>
        <v>-0.2</v>
      </c>
      <c r="G6" s="511" t="s">
        <v>293</v>
      </c>
      <c r="I6" s="774"/>
      <c r="J6" s="785"/>
      <c r="K6" s="513" t="s">
        <v>253</v>
      </c>
      <c r="L6" s="673">
        <f>'Manual Offset'!M43</f>
        <v>0</v>
      </c>
      <c r="M6" s="673">
        <f>'Manual Offset'!L43</f>
        <v>0</v>
      </c>
      <c r="N6" s="511" t="s">
        <v>293</v>
      </c>
    </row>
    <row r="7" spans="2:14" x14ac:dyDescent="0.25">
      <c r="B7" s="774"/>
      <c r="C7" s="439" t="s">
        <v>254</v>
      </c>
      <c r="D7" s="496" t="s">
        <v>253</v>
      </c>
      <c r="E7" s="490">
        <f>'Offset Solver'!AP4</f>
        <v>-0.1</v>
      </c>
      <c r="F7" s="490">
        <f>'Offset Solver'!AQ4</f>
        <v>-0.2</v>
      </c>
      <c r="G7" s="489" t="s">
        <v>293</v>
      </c>
      <c r="I7" s="774"/>
      <c r="J7" s="630" t="s">
        <v>254</v>
      </c>
      <c r="K7" s="496" t="s">
        <v>253</v>
      </c>
      <c r="L7" s="674">
        <f>'Manual Offset'!G45</f>
        <v>0</v>
      </c>
      <c r="M7" s="674">
        <f>'Manual Offset'!G46</f>
        <v>0</v>
      </c>
      <c r="N7" s="489" t="s">
        <v>293</v>
      </c>
    </row>
    <row r="8" spans="2:14" x14ac:dyDescent="0.25">
      <c r="B8" s="774"/>
      <c r="C8" s="439" t="s">
        <v>255</v>
      </c>
      <c r="D8" s="496" t="s">
        <v>252</v>
      </c>
      <c r="E8" s="490">
        <f>'Offset Solver'!AP5</f>
        <v>0</v>
      </c>
      <c r="F8" s="490">
        <f>'Offset Solver'!AQ5</f>
        <v>0</v>
      </c>
      <c r="G8" s="489" t="s">
        <v>293</v>
      </c>
      <c r="I8" s="774"/>
      <c r="J8" s="630" t="s">
        <v>255</v>
      </c>
      <c r="K8" s="496" t="s">
        <v>252</v>
      </c>
      <c r="L8" s="674">
        <f>'Manual Offset'!G21</f>
        <v>0</v>
      </c>
      <c r="M8" s="674">
        <f>'Manual Offset'!G22</f>
        <v>0</v>
      </c>
      <c r="N8" s="489" t="s">
        <v>293</v>
      </c>
    </row>
    <row r="9" spans="2:14" ht="15.75" thickBot="1" x14ac:dyDescent="0.3">
      <c r="B9" s="775"/>
      <c r="C9" s="507" t="s">
        <v>256</v>
      </c>
      <c r="D9" s="507" t="s">
        <v>257</v>
      </c>
      <c r="E9" s="488">
        <f>'Offset Solver'!AP6</f>
        <v>0.1</v>
      </c>
      <c r="F9" s="488">
        <f>'Offset Solver'!AQ6</f>
        <v>0</v>
      </c>
      <c r="G9" s="487" t="s">
        <v>293</v>
      </c>
      <c r="I9" s="775"/>
      <c r="J9" s="507" t="s">
        <v>256</v>
      </c>
      <c r="K9" s="507" t="s">
        <v>257</v>
      </c>
      <c r="L9" s="675">
        <f>'Manual Offset'!G4</f>
        <v>0</v>
      </c>
      <c r="M9" s="675">
        <f>'Manual Offset'!G5</f>
        <v>0</v>
      </c>
      <c r="N9" s="487" t="s">
        <v>293</v>
      </c>
    </row>
    <row r="10" spans="2:14" x14ac:dyDescent="0.25">
      <c r="B10" s="773" t="s">
        <v>258</v>
      </c>
      <c r="C10" s="771" t="s">
        <v>251</v>
      </c>
      <c r="D10" s="411" t="s">
        <v>259</v>
      </c>
      <c r="E10" s="503">
        <f>'Offset Solver'!AP7</f>
        <v>0.2</v>
      </c>
      <c r="F10" s="503">
        <f>'Offset Solver'!AQ7</f>
        <v>0.2</v>
      </c>
      <c r="G10" s="440" t="s">
        <v>293</v>
      </c>
      <c r="I10" s="773" t="s">
        <v>258</v>
      </c>
      <c r="J10" s="771" t="s">
        <v>251</v>
      </c>
      <c r="K10" s="411" t="s">
        <v>259</v>
      </c>
      <c r="L10" s="672">
        <f>'Manual Offset'!W13</f>
        <v>0</v>
      </c>
      <c r="M10" s="672">
        <f>'Manual Offset'!X13</f>
        <v>0</v>
      </c>
      <c r="N10" s="631" t="s">
        <v>293</v>
      </c>
    </row>
    <row r="11" spans="2:14" x14ac:dyDescent="0.25">
      <c r="B11" s="774"/>
      <c r="C11" s="772"/>
      <c r="D11" s="502" t="s">
        <v>260</v>
      </c>
      <c r="E11" s="485">
        <f>'Offset Solver'!AP8</f>
        <v>0.1</v>
      </c>
      <c r="F11" s="485">
        <f>'Offset Solver'!AQ8</f>
        <v>0</v>
      </c>
      <c r="G11" s="484" t="s">
        <v>293</v>
      </c>
      <c r="I11" s="774"/>
      <c r="J11" s="772"/>
      <c r="K11" s="502" t="s">
        <v>260</v>
      </c>
      <c r="L11" s="676">
        <f>'Manual Offset'!Y30</f>
        <v>0</v>
      </c>
      <c r="M11" s="676">
        <f>'Manual Offset'!Z30</f>
        <v>0</v>
      </c>
      <c r="N11" s="484" t="s">
        <v>293</v>
      </c>
    </row>
    <row r="12" spans="2:14" x14ac:dyDescent="0.25">
      <c r="B12" s="774"/>
      <c r="C12" s="500" t="s">
        <v>254</v>
      </c>
      <c r="D12" s="500" t="s">
        <v>259</v>
      </c>
      <c r="E12" s="499">
        <f>'Offset Solver'!AP9</f>
        <v>0</v>
      </c>
      <c r="F12" s="499">
        <f>'Offset Solver'!AQ9</f>
        <v>0.1</v>
      </c>
      <c r="G12" s="498" t="s">
        <v>293</v>
      </c>
      <c r="I12" s="774"/>
      <c r="J12" s="500" t="s">
        <v>254</v>
      </c>
      <c r="K12" s="500" t="s">
        <v>259</v>
      </c>
      <c r="L12" s="677">
        <f>'Manual Offset'!AD11</f>
        <v>0</v>
      </c>
      <c r="M12" s="677">
        <f>'Manual Offset'!AD12</f>
        <v>0</v>
      </c>
      <c r="N12" s="498" t="s">
        <v>293</v>
      </c>
    </row>
    <row r="13" spans="2:14" x14ac:dyDescent="0.25">
      <c r="B13" s="774"/>
      <c r="C13" s="496" t="s">
        <v>255</v>
      </c>
      <c r="D13" s="496" t="s">
        <v>260</v>
      </c>
      <c r="E13" s="490">
        <f>'Offset Solver'!AP10</f>
        <v>0.1</v>
      </c>
      <c r="F13" s="490">
        <f>'Offset Solver'!AQ10</f>
        <v>0.1</v>
      </c>
      <c r="G13" s="489" t="s">
        <v>293</v>
      </c>
      <c r="I13" s="774"/>
      <c r="J13" s="496" t="s">
        <v>255</v>
      </c>
      <c r="K13" s="496" t="s">
        <v>260</v>
      </c>
      <c r="L13" s="674">
        <f>'Manual Offset'!AD35</f>
        <v>0</v>
      </c>
      <c r="M13" s="674">
        <f>'Manual Offset'!AD36</f>
        <v>0</v>
      </c>
      <c r="N13" s="489" t="s">
        <v>293</v>
      </c>
    </row>
    <row r="14" spans="2:14" ht="15.75" thickBot="1" x14ac:dyDescent="0.3">
      <c r="B14" s="775"/>
      <c r="C14" s="418" t="s">
        <v>261</v>
      </c>
      <c r="D14" s="418" t="s">
        <v>257</v>
      </c>
      <c r="E14" s="483">
        <f>'Offset Solver'!AP11</f>
        <v>0</v>
      </c>
      <c r="F14" s="483">
        <f>'Offset Solver'!AQ11</f>
        <v>-0.2</v>
      </c>
      <c r="G14" s="482" t="s">
        <v>293</v>
      </c>
      <c r="I14" s="775"/>
      <c r="J14" s="418" t="s">
        <v>261</v>
      </c>
      <c r="K14" s="418" t="s">
        <v>257</v>
      </c>
      <c r="L14" s="678">
        <f>'Manual Offset'!AD4</f>
        <v>0</v>
      </c>
      <c r="M14" s="678">
        <f>'Manual Offset'!AD5</f>
        <v>0</v>
      </c>
      <c r="N14" s="482" t="s">
        <v>293</v>
      </c>
    </row>
    <row r="15" spans="2:14" x14ac:dyDescent="0.25">
      <c r="B15" s="773" t="s">
        <v>262</v>
      </c>
      <c r="C15" s="776" t="s">
        <v>254</v>
      </c>
      <c r="D15" s="776"/>
      <c r="E15" s="494">
        <f>'Offset Solver'!AP12</f>
        <v>0.1</v>
      </c>
      <c r="F15" s="494">
        <f>'Offset Solver'!AQ12</f>
        <v>0.1</v>
      </c>
      <c r="G15" s="442" t="s">
        <v>293</v>
      </c>
      <c r="I15" s="773" t="s">
        <v>262</v>
      </c>
      <c r="J15" s="776" t="s">
        <v>254</v>
      </c>
      <c r="K15" s="776"/>
      <c r="L15" s="679">
        <f>'Manual Offset'!J8</f>
        <v>0</v>
      </c>
      <c r="M15" s="679">
        <f>'Manual Offset'!K8</f>
        <v>0</v>
      </c>
      <c r="N15" s="442" t="s">
        <v>293</v>
      </c>
    </row>
    <row r="16" spans="2:14" x14ac:dyDescent="0.25">
      <c r="B16" s="774"/>
      <c r="C16" s="770" t="s">
        <v>263</v>
      </c>
      <c r="D16" s="770"/>
      <c r="E16" s="485">
        <f>'Offset Solver'!AP13</f>
        <v>0</v>
      </c>
      <c r="F16" s="485">
        <f>'Offset Solver'!AQ13</f>
        <v>-0.2</v>
      </c>
      <c r="G16" s="484" t="s">
        <v>293</v>
      </c>
      <c r="I16" s="774"/>
      <c r="J16" s="770" t="s">
        <v>263</v>
      </c>
      <c r="K16" s="770"/>
      <c r="L16" s="676">
        <f>'Manual Offset'!O13</f>
        <v>0</v>
      </c>
      <c r="M16" s="676">
        <f>'Manual Offset'!O14</f>
        <v>0</v>
      </c>
      <c r="N16" s="484" t="s">
        <v>293</v>
      </c>
    </row>
    <row r="17" spans="2:14" x14ac:dyDescent="0.25">
      <c r="B17" s="774"/>
      <c r="C17" s="783" t="s">
        <v>264</v>
      </c>
      <c r="D17" s="783"/>
      <c r="E17" s="490">
        <f>'Offset Solver'!AP14</f>
        <v>0</v>
      </c>
      <c r="F17" s="490">
        <f>'Offset Solver'!AQ14</f>
        <v>0</v>
      </c>
      <c r="G17" s="489" t="s">
        <v>293</v>
      </c>
      <c r="I17" s="774"/>
      <c r="J17" s="783" t="s">
        <v>264</v>
      </c>
      <c r="K17" s="783"/>
      <c r="L17" s="674">
        <f>'Manual Offset'!R28</f>
        <v>0</v>
      </c>
      <c r="M17" s="674">
        <f>'Manual Offset'!S28</f>
        <v>0</v>
      </c>
      <c r="N17" s="489" t="s">
        <v>293</v>
      </c>
    </row>
    <row r="18" spans="2:14" x14ac:dyDescent="0.25">
      <c r="B18" s="774"/>
      <c r="C18" s="770" t="s">
        <v>265</v>
      </c>
      <c r="D18" s="770"/>
      <c r="E18" s="485">
        <f>'Offset Solver'!AP15</f>
        <v>0</v>
      </c>
      <c r="F18" s="485">
        <f>'Offset Solver'!AQ15</f>
        <v>-0.2</v>
      </c>
      <c r="G18" s="484" t="s">
        <v>293</v>
      </c>
      <c r="I18" s="774"/>
      <c r="J18" s="770" t="s">
        <v>265</v>
      </c>
      <c r="K18" s="770"/>
      <c r="L18" s="676">
        <f>'Manual Offset'!W45</f>
        <v>0</v>
      </c>
      <c r="M18" s="676">
        <f>'Manual Offset'!W46</f>
        <v>0</v>
      </c>
      <c r="N18" s="484" t="s">
        <v>293</v>
      </c>
    </row>
    <row r="19" spans="2:14" ht="15.75" thickBot="1" x14ac:dyDescent="0.3">
      <c r="B19" s="775"/>
      <c r="C19" s="784" t="s">
        <v>266</v>
      </c>
      <c r="D19" s="784"/>
      <c r="E19" s="488">
        <f>'Offset Solver'!AP16</f>
        <v>0</v>
      </c>
      <c r="F19" s="488">
        <f>'Offset Solver'!AQ16</f>
        <v>0</v>
      </c>
      <c r="G19" s="487" t="s">
        <v>293</v>
      </c>
      <c r="I19" s="775"/>
      <c r="J19" s="784" t="s">
        <v>266</v>
      </c>
      <c r="K19" s="784"/>
      <c r="L19" s="675">
        <f>'Manual Offset'!Z48</f>
        <v>0</v>
      </c>
      <c r="M19" s="675">
        <f>'Manual Offset'!AA48</f>
        <v>0</v>
      </c>
      <c r="N19" s="487" t="s">
        <v>293</v>
      </c>
    </row>
    <row r="20" spans="2:14" x14ac:dyDescent="0.25">
      <c r="B20" s="769" t="s">
        <v>297</v>
      </c>
      <c r="C20" s="770"/>
      <c r="D20" s="770"/>
      <c r="E20" s="485">
        <f>'Offset Solver'!AP17</f>
        <v>0</v>
      </c>
      <c r="F20" s="485">
        <f>'Offset Solver'!AQ17</f>
        <v>0</v>
      </c>
      <c r="G20" s="484" t="s">
        <v>293</v>
      </c>
      <c r="I20" s="769" t="s">
        <v>297</v>
      </c>
      <c r="J20" s="770"/>
      <c r="K20" s="770"/>
      <c r="L20" s="676">
        <f>'Manual Offset'!$AD$15</f>
        <v>0</v>
      </c>
      <c r="M20" s="676">
        <f>'Manual Offset'!$AD$15</f>
        <v>0</v>
      </c>
      <c r="N20" s="484" t="s">
        <v>293</v>
      </c>
    </row>
    <row r="21" spans="2:14" ht="15.75" thickBot="1" x14ac:dyDescent="0.3">
      <c r="B21" s="769" t="s">
        <v>296</v>
      </c>
      <c r="C21" s="770"/>
      <c r="D21" s="770"/>
      <c r="E21" s="485">
        <f>'Offset Solver'!AP18</f>
        <v>0</v>
      </c>
      <c r="F21" s="485">
        <f>'Offset Solver'!AQ18</f>
        <v>0</v>
      </c>
      <c r="G21" s="484" t="s">
        <v>293</v>
      </c>
      <c r="I21" s="769" t="s">
        <v>296</v>
      </c>
      <c r="J21" s="770"/>
      <c r="K21" s="770"/>
      <c r="L21" s="676">
        <f>'Manual Offset'!$AD$14</f>
        <v>0</v>
      </c>
      <c r="M21" s="676">
        <f>'Manual Offset'!$AD$14</f>
        <v>0</v>
      </c>
      <c r="N21" s="484" t="s">
        <v>293</v>
      </c>
    </row>
    <row r="22" spans="2:14" x14ac:dyDescent="0.25">
      <c r="B22" s="766" t="s">
        <v>295</v>
      </c>
      <c r="C22" s="767"/>
      <c r="D22" s="767"/>
      <c r="E22" s="503">
        <f>'Offset Solver'!AP19</f>
        <v>0</v>
      </c>
      <c r="F22" s="503">
        <f>'Offset Solver'!AQ19</f>
        <v>0</v>
      </c>
      <c r="G22" s="606" t="s">
        <v>293</v>
      </c>
      <c r="I22" s="766" t="s">
        <v>295</v>
      </c>
      <c r="J22" s="767"/>
      <c r="K22" s="767"/>
      <c r="L22" s="672">
        <f>'Manual Offset'!$AD$15</f>
        <v>0</v>
      </c>
      <c r="M22" s="672">
        <f>'Manual Offset'!$AD$15</f>
        <v>0</v>
      </c>
      <c r="N22" s="631" t="s">
        <v>293</v>
      </c>
    </row>
    <row r="23" spans="2:14" ht="15.75" thickBot="1" x14ac:dyDescent="0.3">
      <c r="B23" s="781" t="s">
        <v>294</v>
      </c>
      <c r="C23" s="782"/>
      <c r="D23" s="782"/>
      <c r="E23" s="483">
        <f>'Offset Solver'!AP20</f>
        <v>0</v>
      </c>
      <c r="F23" s="483">
        <f>'Offset Solver'!AQ20</f>
        <v>0</v>
      </c>
      <c r="G23" s="482" t="s">
        <v>293</v>
      </c>
      <c r="I23" s="781" t="s">
        <v>294</v>
      </c>
      <c r="J23" s="782"/>
      <c r="K23" s="782"/>
      <c r="L23" s="678">
        <f>'Manual Offset'!$AD$14</f>
        <v>0</v>
      </c>
      <c r="M23" s="678">
        <f>'Manual Offset'!$AD$14</f>
        <v>0</v>
      </c>
      <c r="N23" s="482" t="s">
        <v>293</v>
      </c>
    </row>
    <row r="24" spans="2:14" x14ac:dyDescent="0.25">
      <c r="B24" s="768" t="s">
        <v>292</v>
      </c>
      <c r="C24" s="768"/>
      <c r="D24" s="768"/>
      <c r="E24" s="768"/>
      <c r="F24" s="768"/>
      <c r="G24" s="768"/>
      <c r="I24" s="768" t="s">
        <v>292</v>
      </c>
      <c r="J24" s="768"/>
      <c r="K24" s="768"/>
      <c r="L24" s="768"/>
      <c r="M24" s="768"/>
      <c r="N24" s="768"/>
    </row>
    <row r="26" spans="2:14" ht="15.75" thickBot="1" x14ac:dyDescent="0.3"/>
    <row r="27" spans="2:14" ht="15" customHeight="1" x14ac:dyDescent="0.25">
      <c r="B27" s="760" t="s">
        <v>291</v>
      </c>
      <c r="C27" s="761"/>
      <c r="D27" s="761"/>
      <c r="E27" s="480"/>
      <c r="F27" s="481"/>
      <c r="G27" s="480"/>
      <c r="H27" s="480"/>
      <c r="I27" s="479"/>
    </row>
    <row r="28" spans="2:14" ht="15" customHeight="1" x14ac:dyDescent="0.25">
      <c r="B28" s="762"/>
      <c r="C28" s="763"/>
      <c r="D28" s="763"/>
      <c r="E28" s="477"/>
      <c r="F28" s="478"/>
      <c r="G28" s="477"/>
      <c r="H28" s="477"/>
      <c r="I28" s="476"/>
    </row>
    <row r="29" spans="2:14" ht="15.75" customHeight="1" thickBot="1" x14ac:dyDescent="0.3">
      <c r="B29" s="764"/>
      <c r="C29" s="765"/>
      <c r="D29" s="765"/>
      <c r="E29" s="474"/>
      <c r="F29" s="475"/>
      <c r="G29" s="474"/>
      <c r="H29" s="474"/>
      <c r="I29" s="473"/>
    </row>
  </sheetData>
  <mergeCells count="33">
    <mergeCell ref="I20:K20"/>
    <mergeCell ref="I21:K21"/>
    <mergeCell ref="I22:K22"/>
    <mergeCell ref="I23:K23"/>
    <mergeCell ref="I24:N24"/>
    <mergeCell ref="I15:I19"/>
    <mergeCell ref="J15:K15"/>
    <mergeCell ref="J16:K16"/>
    <mergeCell ref="J17:K17"/>
    <mergeCell ref="J18:K18"/>
    <mergeCell ref="J19:K19"/>
    <mergeCell ref="I5:I9"/>
    <mergeCell ref="J5:J6"/>
    <mergeCell ref="I10:I14"/>
    <mergeCell ref="J10:J11"/>
    <mergeCell ref="I2:N3"/>
    <mergeCell ref="C10:C11"/>
    <mergeCell ref="B15:B19"/>
    <mergeCell ref="C15:D15"/>
    <mergeCell ref="B2:D3"/>
    <mergeCell ref="B23:D23"/>
    <mergeCell ref="C16:D16"/>
    <mergeCell ref="C17:D17"/>
    <mergeCell ref="C18:D18"/>
    <mergeCell ref="C19:D19"/>
    <mergeCell ref="B5:B9"/>
    <mergeCell ref="C5:C6"/>
    <mergeCell ref="B10:B14"/>
    <mergeCell ref="B27:D29"/>
    <mergeCell ref="B22:D22"/>
    <mergeCell ref="B24:G24"/>
    <mergeCell ref="B20:D20"/>
    <mergeCell ref="B21:D21"/>
  </mergeCells>
  <pageMargins left="0.7" right="0.7" top="0.75" bottom="0.75" header="0.3" footer="0.3"/>
  <pageSetup orientation="portrait" r:id="rId1"/>
  <ignoredErrors>
    <ignoredError sqref="L21:M2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GetPathFromNominalORD">
                <anchor moveWithCells="1">
                  <from>
                    <xdr:col>4</xdr:col>
                    <xdr:colOff>0</xdr:colOff>
                    <xdr:row>26</xdr:row>
                    <xdr:rowOff>66675</xdr:rowOff>
                  </from>
                  <to>
                    <xdr:col>6</xdr:col>
                    <xdr:colOff>57150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5" name="Button 4">
              <controlPr defaultSize="0" print="0" autoFill="0" autoPict="0" macro="[0]!ShowHideSheets">
                <anchor moveWithCells="1">
                  <from>
                    <xdr:col>6</xdr:col>
                    <xdr:colOff>333375</xdr:colOff>
                    <xdr:row>26</xdr:row>
                    <xdr:rowOff>66675</xdr:rowOff>
                  </from>
                  <to>
                    <xdr:col>8</xdr:col>
                    <xdr:colOff>400050</xdr:colOff>
                    <xdr:row>28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AL38"/>
  <sheetViews>
    <sheetView workbookViewId="0"/>
  </sheetViews>
  <sheetFormatPr defaultRowHeight="15" x14ac:dyDescent="0.25"/>
  <cols>
    <col min="1" max="1" width="7.42578125" bestFit="1" customWidth="1"/>
    <col min="2" max="2" width="15.140625" bestFit="1" customWidth="1"/>
    <col min="3" max="3" width="13.140625" bestFit="1" customWidth="1"/>
    <col min="4" max="4" width="9" bestFit="1" customWidth="1"/>
    <col min="5" max="5" width="9.28515625" bestFit="1" customWidth="1"/>
    <col min="6" max="6" width="14.7109375" bestFit="1" customWidth="1"/>
    <col min="7" max="7" width="15" bestFit="1" customWidth="1"/>
    <col min="8" max="8" width="13.7109375" bestFit="1" customWidth="1"/>
    <col min="9" max="14" width="12.28515625" bestFit="1" customWidth="1"/>
    <col min="15" max="16" width="10.28515625" bestFit="1" customWidth="1"/>
    <col min="17" max="18" width="12.28515625" bestFit="1" customWidth="1"/>
    <col min="19" max="20" width="13.28515625" bestFit="1" customWidth="1"/>
    <col min="21" max="21" width="11.28515625" bestFit="1" customWidth="1"/>
    <col min="22" max="22" width="15.28515625" bestFit="1" customWidth="1"/>
    <col min="23" max="23" width="15" bestFit="1" customWidth="1"/>
    <col min="24" max="24" width="11.28515625" bestFit="1" customWidth="1"/>
    <col min="25" max="25" width="15.28515625" bestFit="1" customWidth="1"/>
    <col min="26" max="26" width="15" bestFit="1" customWidth="1"/>
    <col min="27" max="38" width="7.85546875" bestFit="1" customWidth="1"/>
  </cols>
  <sheetData>
    <row r="1" spans="1:38" x14ac:dyDescent="0.25">
      <c r="A1" s="3" t="s">
        <v>34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5" t="s">
        <v>30</v>
      </c>
    </row>
    <row r="2" spans="1:38" x14ac:dyDescent="0.25">
      <c r="A2" s="6" t="s">
        <v>37</v>
      </c>
      <c r="B2" s="7">
        <f>VLOOKUP(Tol_Summary[[#Headers],[Dim 1_1]],_00_Tolerances[[#All],[Dimension]:[Obsolete]],2,FALSE)</f>
        <v>41.3</v>
      </c>
      <c r="C2" s="7">
        <f>VLOOKUP(Tol_Summary[[#Headers],[Dim 1_2]],_00_Tolerances[[#All],[Dimension]:[Obsolete]],2,FALSE)</f>
        <v>41.3</v>
      </c>
      <c r="D2" s="7">
        <f>VLOOKUP(Tol_Summary[[#Headers],[Dim 2_1]],_00_Tolerances[[#All],[Dimension]:[Obsolete]],2,FALSE)</f>
        <v>155.80000000000001</v>
      </c>
      <c r="E2" s="7">
        <f>VLOOKUP(Tol_Summary[[#Headers],[Dim 2_2]],_00_Tolerances[[#All],[Dimension]:[Obsolete]],2,FALSE)</f>
        <v>155.80000000000001</v>
      </c>
      <c r="F2" s="7">
        <f>VLOOKUP(Tol_Summary[[#Headers],[Dim 3_1]],_00_Tolerances[[#All],[Dimension]:[Obsolete]],2,FALSE)</f>
        <v>168.7</v>
      </c>
      <c r="G2" s="7">
        <f>VLOOKUP(Tol_Summary[[#Headers],[Dim 3_2]],_00_Tolerances[[#All],[Dimension]:[Obsolete]],2,FALSE)</f>
        <v>168.7</v>
      </c>
      <c r="H2" s="7">
        <f>VLOOKUP(Tol_Summary[[#Headers],[Dim 4_1]],_00_Tolerances[[#All],[Dimension]:[Obsolete]],2,FALSE)</f>
        <v>155.80000000000001</v>
      </c>
      <c r="I2" s="7">
        <f>VLOOKUP(Tol_Summary[[#Headers],[Dim 4_2]],_00_Tolerances[[#All],[Dimension]:[Obsolete]],2,FALSE)</f>
        <v>155.80000000000001</v>
      </c>
      <c r="J2" s="7">
        <f>VLOOKUP(Tol_Summary[[#Headers],[Dim 5_1]],_00_Tolerances[[#All],[Dimension]:[Obsolete]],2,FALSE)</f>
        <v>27.4</v>
      </c>
      <c r="K2" s="7">
        <f>VLOOKUP(Tol_Summary[[#Headers],[Dim 5_2]],_00_Tolerances[[#All],[Dimension]:[Obsolete]],2,FALSE)</f>
        <v>27.4</v>
      </c>
      <c r="L2" s="7">
        <f>VLOOKUP(Tol_Summary[[#Headers],[Dim 6]],_00_Tolerances[[#All],[Dimension]:[Obsolete]],2,FALSE)</f>
        <v>0</v>
      </c>
      <c r="M2" s="7">
        <f>VLOOKUP(Tol_Summary[[#Headers],[Dim 7]],_00_Tolerances[[#All],[Dimension]:[Obsolete]],2,FALSE)</f>
        <v>0</v>
      </c>
      <c r="N2" s="7">
        <f>VLOOKUP(Tol_Summary[[#Headers],[Dim 9_1]],_00_Tolerances[[#All],[Dimension]:[Obsolete]],2,FALSE)</f>
        <v>17.25</v>
      </c>
      <c r="O2" s="7">
        <f>VLOOKUP(Tol_Summary[[#Headers],[Dim 9_2]],_00_Tolerances[[#All],[Dimension]:[Obsolete]],2,FALSE)</f>
        <v>17.25</v>
      </c>
      <c r="P2" s="7">
        <f>VLOOKUP(Tol_Summary[[#Headers],[Dim 10_1]],_00_Tolerances[[#All],[Dimension]:[Obsolete]],2,FALSE)</f>
        <v>32</v>
      </c>
      <c r="Q2" s="7">
        <f>VLOOKUP(Tol_Summary[[#Headers],[Dim 10_2]],_00_Tolerances[[#All],[Dimension]:[Obsolete]],2,FALSE)</f>
        <v>32</v>
      </c>
      <c r="R2" s="7">
        <f>VLOOKUP(Tol_Summary[[#Headers],[Dim 11]],_00_Tolerances[[#All],[Dimension]:[Obsolete]],2,FALSE)</f>
        <v>0</v>
      </c>
      <c r="S2" s="7">
        <f>VLOOKUP(Tol_Summary[[#Headers],[Dim 11 Max]],_00_Tolerances[[#All],[Dimension]:[Obsolete]],2,FALSE)</f>
        <v>0</v>
      </c>
      <c r="T2" s="7">
        <f>VLOOKUP(Tol_Summary[[#Headers],[Dim 11 Min]],_00_Tolerances[[#All],[Dimension]:[Obsolete]],2,FALSE)</f>
        <v>0</v>
      </c>
      <c r="U2" s="7">
        <f>VLOOKUP(Tol_Summary[[#Headers],[Dim 12]],_00_Tolerances[[#All],[Dimension]:[Obsolete]],2,FALSE)</f>
        <v>0</v>
      </c>
      <c r="V2" s="7">
        <f>VLOOKUP(Tol_Summary[[#Headers],[Dim 12 Max]],_00_Tolerances[[#All],[Dimension]:[Obsolete]],2,FALSE)</f>
        <v>0</v>
      </c>
      <c r="W2" s="7">
        <f>VLOOKUP(Tol_Summary[[#Headers],[Dim 12 Min]],_00_Tolerances[[#All],[Dimension]:[Obsolete]],2,FALSE)</f>
        <v>0</v>
      </c>
      <c r="X2" s="7">
        <f>VLOOKUP(Tol_Summary[[#Headers],[T 1]],_00_Tolerances[[#All],[Dimension]:[Obsolete]],2,FALSE)</f>
        <v>0</v>
      </c>
      <c r="Y2" s="7">
        <f>VLOOKUP(Tol_Summary[[#Headers],[T 2]],_00_Tolerances[[#All],[Dimension]:[Obsolete]],2,FALSE)</f>
        <v>0</v>
      </c>
      <c r="Z2" s="7">
        <f>VLOOKUP(Tol_Summary[[#Headers],[T 3]],_00_Tolerances[[#All],[Dimension]:[Obsolete]],2,FALSE)</f>
        <v>0</v>
      </c>
      <c r="AA2" s="7">
        <f>VLOOKUP(Tol_Summary[[#Headers],[T 4]],_00_Tolerances[[#All],[Dimension]:[Obsolete]],2,FALSE)</f>
        <v>0</v>
      </c>
      <c r="AB2" s="7">
        <f>VLOOKUP(Tol_Summary[[#Headers],[T 5]],_00_Tolerances[[#All],[Dimension]:[Obsolete]],2,FALSE)</f>
        <v>0</v>
      </c>
      <c r="AC2" s="7">
        <f>VLOOKUP(Tol_Summary[[#Headers],[T 6]],_00_Tolerances[[#All],[Dimension]:[Obsolete]],2,FALSE)</f>
        <v>0</v>
      </c>
      <c r="AD2" s="7">
        <f>VLOOKUP(Tol_Summary[[#Headers],[T 7]],_00_Tolerances[[#All],[Dimension]:[Obsolete]],2,FALSE)</f>
        <v>0</v>
      </c>
      <c r="AE2" s="7">
        <f>VLOOKUP(Tol_Summary[[#Headers],[T 8]],_00_Tolerances[[#All],[Dimension]:[Obsolete]],2,FALSE)</f>
        <v>0</v>
      </c>
    </row>
    <row r="3" spans="1:38" x14ac:dyDescent="0.25">
      <c r="A3" s="6" t="s">
        <v>35</v>
      </c>
      <c r="B3" s="7">
        <f>VLOOKUP(Tol_Summary[[#Headers],[Dim 1_1]],_00_Tolerances[[#All],[Dimension]:[Obsolete]],5,FALSE)</f>
        <v>40.795000000000002</v>
      </c>
      <c r="C3" s="7">
        <f>VLOOKUP(Tol_Summary[[#Headers],[Dim 1_2]],_00_Tolerances[[#All],[Dimension]:[Obsolete]],5,FALSE)</f>
        <v>40.795000000000002</v>
      </c>
      <c r="D3" s="7">
        <f>VLOOKUP(Tol_Summary[[#Headers],[Dim 2_1]],_00_Tolerances[[#All],[Dimension]:[Obsolete]],5,FALSE)</f>
        <v>155.1</v>
      </c>
      <c r="E3" s="7">
        <f>VLOOKUP(Tol_Summary[[#Headers],[Dim 2_2]],_00_Tolerances[[#All],[Dimension]:[Obsolete]],5,FALSE)</f>
        <v>155.1</v>
      </c>
      <c r="F3" s="7">
        <f>VLOOKUP(Tol_Summary[[#Headers],[Dim 3_1]],_00_Tolerances[[#All],[Dimension]:[Obsolete]],5,FALSE)</f>
        <v>168</v>
      </c>
      <c r="G3" s="7">
        <f>VLOOKUP(Tol_Summary[[#Headers],[Dim 3_2]],_00_Tolerances[[#All],[Dimension]:[Obsolete]],5,FALSE)</f>
        <v>168</v>
      </c>
      <c r="H3" s="7">
        <f>VLOOKUP(Tol_Summary[[#Headers],[Dim 4_1]],_00_Tolerances[[#All],[Dimension]:[Obsolete]],5,FALSE)</f>
        <v>155.1</v>
      </c>
      <c r="I3" s="7">
        <f>VLOOKUP(Tol_Summary[[#Headers],[Dim 4_2]],_00_Tolerances[[#All],[Dimension]:[Obsolete]],5,FALSE)</f>
        <v>155.1</v>
      </c>
      <c r="J3" s="7">
        <f>VLOOKUP(Tol_Summary[[#Headers],[Dim 5_1]],_00_Tolerances[[#All],[Dimension]:[Obsolete]],5,FALSE)</f>
        <v>26.7</v>
      </c>
      <c r="K3" s="7">
        <f>VLOOKUP(Tol_Summary[[#Headers],[Dim 5_2]],_00_Tolerances[[#All],[Dimension]:[Obsolete]],5,FALSE)</f>
        <v>26.7</v>
      </c>
      <c r="L3" s="7">
        <f>VLOOKUP(Tol_Summary[[#Headers],[Dim 6]],_00_Tolerances[[#All],[Dimension]:[Obsolete]],5,FALSE)</f>
        <v>-0.505</v>
      </c>
      <c r="M3" s="7">
        <f>VLOOKUP(Tol_Summary[[#Headers],[Dim 7]],_00_Tolerances[[#All],[Dimension]:[Obsolete]],5,FALSE)</f>
        <v>-0.505</v>
      </c>
      <c r="N3" s="7">
        <f>VLOOKUP(Tol_Summary[[#Headers],[Dim 9_1]],_00_Tolerances[[#All],[Dimension]:[Obsolete]],5,FALSE)</f>
        <v>16.55</v>
      </c>
      <c r="O3" s="7">
        <f>VLOOKUP(Tol_Summary[[#Headers],[Dim 9_2]],_00_Tolerances[[#All],[Dimension]:[Obsolete]],5,FALSE)</f>
        <v>16.55</v>
      </c>
      <c r="P3" s="7">
        <f>VLOOKUP(Tol_Summary[[#Headers],[Dim 10_1]],_00_Tolerances[[#All],[Dimension]:[Obsolete]],5,FALSE)</f>
        <v>32</v>
      </c>
      <c r="Q3" s="7">
        <f>VLOOKUP(Tol_Summary[[#Headers],[Dim 10_2]],_00_Tolerances[[#All],[Dimension]:[Obsolete]],5,FALSE)</f>
        <v>32</v>
      </c>
      <c r="R3" s="7">
        <f>VLOOKUP(Tol_Summary[[#Headers],[Dim 11]],_00_Tolerances[[#All],[Dimension]:[Obsolete]],5,FALSE)</f>
        <v>-0.505</v>
      </c>
      <c r="S3" s="7">
        <f>VLOOKUP(Tol_Summary[[#Headers],[Dim 11 Max]],_00_Tolerances[[#All],[Dimension]:[Obsolete]],5,FALSE)</f>
        <v>-0.7</v>
      </c>
      <c r="T3" s="7">
        <f>VLOOKUP(Tol_Summary[[#Headers],[Dim 11 Min]],_00_Tolerances[[#All],[Dimension]:[Obsolete]],5,FALSE)</f>
        <v>-0.7</v>
      </c>
      <c r="U3" s="7">
        <f>VLOOKUP(Tol_Summary[[#Headers],[Dim 12]],_00_Tolerances[[#All],[Dimension]:[Obsolete]],5,FALSE)</f>
        <v>-0.505</v>
      </c>
      <c r="V3" s="7">
        <f>VLOOKUP(Tol_Summary[[#Headers],[Dim 12 Max]],_00_Tolerances[[#All],[Dimension]:[Obsolete]],5,FALSE)</f>
        <v>-0.7</v>
      </c>
      <c r="W3" s="7">
        <f>VLOOKUP(Tol_Summary[[#Headers],[Dim 12 Min]],_00_Tolerances[[#All],[Dimension]:[Obsolete]],5,FALSE)</f>
        <v>-0.7</v>
      </c>
      <c r="X3" s="7">
        <f>VLOOKUP(Tol_Summary[[#Headers],[T 1]],_00_Tolerances[[#All],[Dimension]:[Obsolete]],5,FALSE)</f>
        <v>-0.7</v>
      </c>
      <c r="Y3" s="7">
        <f>VLOOKUP(Tol_Summary[[#Headers],[T 2]],_00_Tolerances[[#All],[Dimension]:[Obsolete]],5,FALSE)</f>
        <v>-0.7</v>
      </c>
      <c r="Z3" s="7">
        <f>VLOOKUP(Tol_Summary[[#Headers],[T 3]],_00_Tolerances[[#All],[Dimension]:[Obsolete]],5,FALSE)</f>
        <v>-0.7</v>
      </c>
      <c r="AA3" s="7">
        <f>VLOOKUP(Tol_Summary[[#Headers],[T 4]],_00_Tolerances[[#All],[Dimension]:[Obsolete]],5,FALSE)</f>
        <v>-0.7</v>
      </c>
      <c r="AB3" s="7">
        <f>VLOOKUP(Tol_Summary[[#Headers],[T 5]],_00_Tolerances[[#All],[Dimension]:[Obsolete]],5,FALSE)</f>
        <v>-0.7</v>
      </c>
      <c r="AC3" s="7">
        <f>VLOOKUP(Tol_Summary[[#Headers],[T 6]],_00_Tolerances[[#All],[Dimension]:[Obsolete]],5,FALSE)</f>
        <v>-0.7</v>
      </c>
      <c r="AD3" s="7">
        <f>VLOOKUP(Tol_Summary[[#Headers],[T 7]],_00_Tolerances[[#All],[Dimension]:[Obsolete]],5,FALSE)</f>
        <v>-0.7</v>
      </c>
      <c r="AE3" s="7">
        <f>VLOOKUP(Tol_Summary[[#Headers],[T 8]],_00_Tolerances[[#All],[Dimension]:[Obsolete]],5,FALSE)</f>
        <v>-0.7</v>
      </c>
    </row>
    <row r="4" spans="1:38" x14ac:dyDescent="0.25">
      <c r="A4" s="8" t="s">
        <v>36</v>
      </c>
      <c r="B4" s="7">
        <f>VLOOKUP(Tol_Summary[[#Headers],[Dim 1_1]],_00_Tolerances[[#All],[Dimension]:[Obsolete]],6,FALSE)</f>
        <v>41.805</v>
      </c>
      <c r="C4" s="7">
        <f>VLOOKUP(Tol_Summary[[#Headers],[Dim 1_2]],_00_Tolerances[[#All],[Dimension]:[Obsolete]],6,FALSE)</f>
        <v>41.805</v>
      </c>
      <c r="D4" s="7">
        <f>VLOOKUP(Tol_Summary[[#Headers],[Dim 2_1]],_00_Tolerances[[#All],[Dimension]:[Obsolete]],6,FALSE)</f>
        <v>156.5</v>
      </c>
      <c r="E4" s="7">
        <f>VLOOKUP(Tol_Summary[[#Headers],[Dim 2_2]],_00_Tolerances[[#All],[Dimension]:[Obsolete]],6,FALSE)</f>
        <v>156.5</v>
      </c>
      <c r="F4" s="7">
        <f>VLOOKUP(Tol_Summary[[#Headers],[Dim 3_1]],_00_Tolerances[[#All],[Dimension]:[Obsolete]],6,FALSE)</f>
        <v>169.4</v>
      </c>
      <c r="G4" s="7">
        <f>VLOOKUP(Tol_Summary[[#Headers],[Dim 3_2]],_00_Tolerances[[#All],[Dimension]:[Obsolete]],6,FALSE)</f>
        <v>169.4</v>
      </c>
      <c r="H4" s="7">
        <f>VLOOKUP(Tol_Summary[[#Headers],[Dim 4_1]],_00_Tolerances[[#All],[Dimension]:[Obsolete]],6,FALSE)</f>
        <v>156.5</v>
      </c>
      <c r="I4" s="7">
        <f>VLOOKUP(Tol_Summary[[#Headers],[Dim 4_2]],_00_Tolerances[[#All],[Dimension]:[Obsolete]],6,FALSE)</f>
        <v>156.5</v>
      </c>
      <c r="J4" s="7">
        <f>VLOOKUP(Tol_Summary[[#Headers],[Dim 5_1]],_00_Tolerances[[#All],[Dimension]:[Obsolete]],6,FALSE)</f>
        <v>28.1</v>
      </c>
      <c r="K4" s="7">
        <f>VLOOKUP(Tol_Summary[[#Headers],[Dim 5_2]],_00_Tolerances[[#All],[Dimension]:[Obsolete]],6,FALSE)</f>
        <v>28.1</v>
      </c>
      <c r="L4" s="7">
        <f>VLOOKUP(Tol_Summary[[#Headers],[Dim 6]],_00_Tolerances[[#All],[Dimension]:[Obsolete]],6,FALSE)</f>
        <v>0.505</v>
      </c>
      <c r="M4" s="7">
        <f>VLOOKUP(Tol_Summary[[#Headers],[Dim 7]],_00_Tolerances[[#All],[Dimension]:[Obsolete]],6,FALSE)</f>
        <v>0.505</v>
      </c>
      <c r="N4" s="7">
        <f>VLOOKUP(Tol_Summary[[#Headers],[Dim 9_1]],_00_Tolerances[[#All],[Dimension]:[Obsolete]],6,FALSE)</f>
        <v>17.95</v>
      </c>
      <c r="O4" s="7">
        <f>VLOOKUP(Tol_Summary[[#Headers],[Dim 9_2]],_00_Tolerances[[#All],[Dimension]:[Obsolete]],6,FALSE)</f>
        <v>17.95</v>
      </c>
      <c r="P4" s="7">
        <f>VLOOKUP(Tol_Summary[[#Headers],[Dim 10_1]],_00_Tolerances[[#All],[Dimension]:[Obsolete]],6,FALSE)</f>
        <v>52</v>
      </c>
      <c r="Q4" s="7">
        <f>VLOOKUP(Tol_Summary[[#Headers],[Dim 10_2]],_00_Tolerances[[#All],[Dimension]:[Obsolete]],6,FALSE)</f>
        <v>52</v>
      </c>
      <c r="R4" s="7">
        <f>VLOOKUP(Tol_Summary[[#Headers],[Dim 11]],_00_Tolerances[[#All],[Dimension]:[Obsolete]],6,FALSE)</f>
        <v>0.505</v>
      </c>
      <c r="S4" s="7">
        <f>VLOOKUP(Tol_Summary[[#Headers],[Dim 11 Max]],_00_Tolerances[[#All],[Dimension]:[Obsolete]],6,FALSE)</f>
        <v>0.7</v>
      </c>
      <c r="T4" s="7">
        <f>VLOOKUP(Tol_Summary[[#Headers],[Dim 11 Min]],_00_Tolerances[[#All],[Dimension]:[Obsolete]],6,FALSE)</f>
        <v>0.7</v>
      </c>
      <c r="U4" s="7">
        <f>VLOOKUP(Tol_Summary[[#Headers],[Dim 12]],_00_Tolerances[[#All],[Dimension]:[Obsolete]],6,FALSE)</f>
        <v>0.505</v>
      </c>
      <c r="V4" s="7">
        <f>VLOOKUP(Tol_Summary[[#Headers],[Dim 12 Max]],_00_Tolerances[[#All],[Dimension]:[Obsolete]],6,FALSE)</f>
        <v>0.7</v>
      </c>
      <c r="W4" s="7">
        <f>VLOOKUP(Tol_Summary[[#Headers],[Dim 12 Min]],_00_Tolerances[[#All],[Dimension]:[Obsolete]],6,FALSE)</f>
        <v>0.7</v>
      </c>
      <c r="X4" s="7">
        <f>VLOOKUP(Tol_Summary[[#Headers],[T 1]],_00_Tolerances[[#All],[Dimension]:[Obsolete]],6,FALSE)</f>
        <v>0.7</v>
      </c>
      <c r="Y4" s="7">
        <f>VLOOKUP(Tol_Summary[[#Headers],[T 2]],_00_Tolerances[[#All],[Dimension]:[Obsolete]],6,FALSE)</f>
        <v>0.7</v>
      </c>
      <c r="Z4" s="7">
        <f>VLOOKUP(Tol_Summary[[#Headers],[T 3]],_00_Tolerances[[#All],[Dimension]:[Obsolete]],6,FALSE)</f>
        <v>0.7</v>
      </c>
      <c r="AA4" s="7">
        <f>VLOOKUP(Tol_Summary[[#Headers],[T 4]],_00_Tolerances[[#All],[Dimension]:[Obsolete]],6,FALSE)</f>
        <v>0.7</v>
      </c>
      <c r="AB4" s="7">
        <f>VLOOKUP(Tol_Summary[[#Headers],[T 5]],_00_Tolerances[[#All],[Dimension]:[Obsolete]],6,FALSE)</f>
        <v>0.7</v>
      </c>
      <c r="AC4" s="7">
        <f>VLOOKUP(Tol_Summary[[#Headers],[T 6]],_00_Tolerances[[#All],[Dimension]:[Obsolete]],6,FALSE)</f>
        <v>0.7</v>
      </c>
      <c r="AD4" s="7">
        <f>VLOOKUP(Tol_Summary[[#Headers],[T 7]],_00_Tolerances[[#All],[Dimension]:[Obsolete]],6,FALSE)</f>
        <v>0.7</v>
      </c>
      <c r="AE4" s="7">
        <f>VLOOKUP(Tol_Summary[[#Headers],[T 8]],_00_Tolerances[[#All],[Dimension]:[Obsolete]],6,FALSE)</f>
        <v>0.7</v>
      </c>
    </row>
    <row r="6" spans="1:38" x14ac:dyDescent="0.25">
      <c r="H6" s="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</row>
    <row r="7" spans="1:38" x14ac:dyDescent="0.25">
      <c r="H7" s="9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W7" s="10"/>
      <c r="X7" s="10"/>
      <c r="Y7" s="10"/>
      <c r="Z7" s="10"/>
      <c r="AA7" s="10"/>
      <c r="AB7" s="10"/>
      <c r="AC7" s="10"/>
      <c r="AD7" s="10"/>
      <c r="AE7" s="10"/>
      <c r="AG7" s="10"/>
      <c r="AH7" s="10"/>
      <c r="AI7" s="10"/>
      <c r="AJ7" s="10"/>
      <c r="AK7" s="10"/>
      <c r="AL7" s="10"/>
    </row>
    <row r="8" spans="1:38" x14ac:dyDescent="0.25">
      <c r="A8" s="277" t="s">
        <v>151</v>
      </c>
      <c r="B8" s="265" t="s">
        <v>34</v>
      </c>
      <c r="C8" s="265" t="s">
        <v>37</v>
      </c>
      <c r="D8" s="265" t="s">
        <v>38</v>
      </c>
      <c r="E8" s="265" t="s">
        <v>39</v>
      </c>
      <c r="F8" s="265" t="s">
        <v>35</v>
      </c>
      <c r="G8" s="265" t="s">
        <v>36</v>
      </c>
      <c r="H8" s="266" t="s">
        <v>152</v>
      </c>
      <c r="I8" s="10"/>
      <c r="J8" s="10"/>
      <c r="K8" s="10"/>
      <c r="L8" s="10"/>
      <c r="M8" s="10"/>
      <c r="N8" s="10"/>
      <c r="P8" s="10"/>
      <c r="Q8" s="10"/>
      <c r="R8" s="10"/>
      <c r="S8" s="10"/>
      <c r="T8" s="10"/>
      <c r="U8" s="10"/>
      <c r="V8" s="10"/>
      <c r="W8" s="10"/>
      <c r="X8" s="10"/>
      <c r="Z8" s="10"/>
      <c r="AA8" s="10"/>
      <c r="AB8" s="10"/>
      <c r="AC8" s="10"/>
      <c r="AD8" s="10"/>
      <c r="AE8" s="10"/>
    </row>
    <row r="9" spans="1:38" x14ac:dyDescent="0.25">
      <c r="A9" s="224">
        <v>1</v>
      </c>
      <c r="B9" s="14" t="s">
        <v>1</v>
      </c>
      <c r="C9" s="14">
        <v>41.3</v>
      </c>
      <c r="D9" s="14">
        <v>-0.505</v>
      </c>
      <c r="E9" s="14">
        <v>0.505</v>
      </c>
      <c r="F9" s="14">
        <v>40.795000000000002</v>
      </c>
      <c r="G9" s="14">
        <v>41.805</v>
      </c>
      <c r="H9" s="229" t="b">
        <v>0</v>
      </c>
      <c r="I9" s="10"/>
      <c r="J9" s="10"/>
      <c r="K9" s="10"/>
      <c r="L9" s="10"/>
      <c r="M9" s="10"/>
      <c r="N9" s="10"/>
      <c r="P9" s="10"/>
      <c r="Q9" s="10"/>
      <c r="R9" s="10"/>
      <c r="S9" s="10"/>
      <c r="T9" s="10"/>
      <c r="U9" s="10"/>
      <c r="V9" s="10"/>
      <c r="W9" s="10"/>
      <c r="X9" s="10"/>
      <c r="Z9" s="10"/>
      <c r="AA9" s="10"/>
      <c r="AB9" s="10"/>
      <c r="AC9" s="10"/>
      <c r="AD9" s="10"/>
      <c r="AE9" s="10"/>
    </row>
    <row r="10" spans="1:38" x14ac:dyDescent="0.25">
      <c r="A10" s="224">
        <v>2</v>
      </c>
      <c r="B10" s="14" t="s">
        <v>2</v>
      </c>
      <c r="C10" s="14">
        <v>41.3</v>
      </c>
      <c r="D10" s="14">
        <v>-0.505</v>
      </c>
      <c r="E10" s="14">
        <v>0.505</v>
      </c>
      <c r="F10" s="14">
        <v>40.795000000000002</v>
      </c>
      <c r="G10" s="14">
        <v>41.805</v>
      </c>
      <c r="H10" s="229" t="b">
        <v>0</v>
      </c>
      <c r="I10" s="10"/>
      <c r="J10" s="10"/>
      <c r="K10" s="10"/>
      <c r="L10" s="10"/>
      <c r="M10" s="10"/>
      <c r="N10" s="10"/>
      <c r="P10" s="10"/>
      <c r="Q10" s="10"/>
      <c r="R10" s="10"/>
      <c r="S10" s="10"/>
      <c r="T10" s="10"/>
      <c r="U10" s="10"/>
      <c r="V10" s="10"/>
      <c r="W10" s="10"/>
      <c r="X10" s="10"/>
      <c r="Z10" s="10"/>
      <c r="AA10" s="10"/>
      <c r="AB10" s="10"/>
      <c r="AC10" s="10"/>
      <c r="AD10" s="10"/>
      <c r="AE10" s="10"/>
    </row>
    <row r="11" spans="1:38" x14ac:dyDescent="0.25">
      <c r="A11" s="224">
        <v>3</v>
      </c>
      <c r="B11" s="14" t="s">
        <v>3</v>
      </c>
      <c r="C11" s="14">
        <v>155.80000000000001</v>
      </c>
      <c r="D11" s="14">
        <v>-0.7</v>
      </c>
      <c r="E11" s="14">
        <v>0.7</v>
      </c>
      <c r="F11" s="14">
        <v>155.1</v>
      </c>
      <c r="G11" s="14">
        <v>156.5</v>
      </c>
      <c r="H11" s="229" t="b">
        <v>0</v>
      </c>
      <c r="I11" s="10"/>
      <c r="J11" s="10"/>
      <c r="K11" s="10"/>
      <c r="L11" s="10"/>
      <c r="M11" s="10"/>
      <c r="N11" s="10"/>
      <c r="P11" s="10"/>
      <c r="Q11" s="10"/>
      <c r="R11" s="10"/>
      <c r="S11" s="10"/>
      <c r="T11" s="10"/>
      <c r="U11" s="10"/>
      <c r="V11" s="10"/>
      <c r="W11" s="10"/>
      <c r="X11" s="10"/>
      <c r="Z11" s="10"/>
      <c r="AA11" s="10"/>
      <c r="AB11" s="10"/>
      <c r="AC11" s="10"/>
      <c r="AD11" s="10"/>
      <c r="AE11" s="10"/>
    </row>
    <row r="12" spans="1:38" x14ac:dyDescent="0.25">
      <c r="A12" s="224">
        <v>4</v>
      </c>
      <c r="B12" s="14" t="s">
        <v>4</v>
      </c>
      <c r="C12" s="14">
        <v>155.80000000000001</v>
      </c>
      <c r="D12" s="14">
        <v>-0.7</v>
      </c>
      <c r="E12" s="14">
        <v>0.7</v>
      </c>
      <c r="F12" s="14">
        <v>155.1</v>
      </c>
      <c r="G12" s="14">
        <v>156.5</v>
      </c>
      <c r="H12" s="229" t="b">
        <v>0</v>
      </c>
      <c r="I12" s="10"/>
      <c r="J12" s="10"/>
      <c r="K12" s="10"/>
      <c r="L12" s="10"/>
      <c r="M12" s="10"/>
      <c r="N12" s="10"/>
      <c r="P12" s="10"/>
      <c r="Q12" s="10"/>
      <c r="R12" s="10"/>
      <c r="S12" s="10"/>
      <c r="T12" s="10"/>
      <c r="U12" s="10"/>
      <c r="V12" s="10"/>
      <c r="W12" s="10"/>
      <c r="X12" s="10"/>
      <c r="Z12" s="10"/>
      <c r="AA12" s="10"/>
      <c r="AB12" s="10"/>
      <c r="AC12" s="10"/>
      <c r="AD12" s="10"/>
      <c r="AE12" s="10"/>
    </row>
    <row r="13" spans="1:38" x14ac:dyDescent="0.25">
      <c r="A13" s="224">
        <v>5</v>
      </c>
      <c r="B13" s="14" t="s">
        <v>5</v>
      </c>
      <c r="C13" s="14">
        <v>168.7</v>
      </c>
      <c r="D13" s="14">
        <v>-0.7</v>
      </c>
      <c r="E13" s="14">
        <v>0.7</v>
      </c>
      <c r="F13" s="14">
        <v>168</v>
      </c>
      <c r="G13" s="14">
        <v>169.4</v>
      </c>
      <c r="H13" s="229" t="b">
        <v>0</v>
      </c>
      <c r="I13" s="10"/>
      <c r="J13" s="10"/>
      <c r="K13" s="10"/>
      <c r="L13" s="10"/>
      <c r="M13" s="10"/>
      <c r="N13" s="10"/>
      <c r="P13" s="10"/>
      <c r="Q13" s="10"/>
      <c r="R13" s="10"/>
      <c r="S13" s="10"/>
      <c r="T13" s="10"/>
      <c r="U13" s="10"/>
      <c r="V13" s="10"/>
      <c r="W13" s="10"/>
      <c r="X13" s="10"/>
      <c r="Z13" s="10"/>
      <c r="AA13" s="10"/>
      <c r="AB13" s="10"/>
      <c r="AC13" s="10"/>
      <c r="AD13" s="10"/>
      <c r="AE13" s="10"/>
    </row>
    <row r="14" spans="1:38" x14ac:dyDescent="0.25">
      <c r="A14" s="224">
        <v>6</v>
      </c>
      <c r="B14" s="14" t="s">
        <v>6</v>
      </c>
      <c r="C14" s="14">
        <v>168.7</v>
      </c>
      <c r="D14" s="14">
        <v>-0.7</v>
      </c>
      <c r="E14" s="14">
        <v>0.7</v>
      </c>
      <c r="F14" s="14">
        <v>168</v>
      </c>
      <c r="G14" s="14">
        <v>169.4</v>
      </c>
      <c r="H14" s="229" t="b">
        <v>0</v>
      </c>
      <c r="I14" s="10"/>
      <c r="J14" s="10"/>
      <c r="K14" s="10"/>
      <c r="L14" s="10"/>
      <c r="M14" s="10"/>
      <c r="N14" s="10"/>
      <c r="P14" s="10"/>
      <c r="Q14" s="10"/>
      <c r="R14" s="10"/>
      <c r="S14" s="10"/>
      <c r="T14" s="10"/>
      <c r="U14" s="10"/>
      <c r="V14" s="10"/>
      <c r="W14" s="10"/>
      <c r="X14" s="10"/>
      <c r="Z14" s="10"/>
      <c r="AA14" s="10"/>
      <c r="AB14" s="10"/>
      <c r="AC14" s="10"/>
      <c r="AD14" s="10"/>
      <c r="AE14" s="10"/>
    </row>
    <row r="15" spans="1:38" x14ac:dyDescent="0.25">
      <c r="A15" s="224">
        <v>7</v>
      </c>
      <c r="B15" s="14" t="s">
        <v>7</v>
      </c>
      <c r="C15" s="14">
        <v>155.80000000000001</v>
      </c>
      <c r="D15" s="14">
        <v>-0.7</v>
      </c>
      <c r="E15" s="14">
        <v>0.7</v>
      </c>
      <c r="F15" s="14">
        <v>155.1</v>
      </c>
      <c r="G15" s="14">
        <v>156.5</v>
      </c>
      <c r="H15" s="229" t="b">
        <v>0</v>
      </c>
      <c r="I15" s="10"/>
      <c r="J15" s="10"/>
      <c r="K15" s="10"/>
      <c r="L15" s="10"/>
      <c r="M15" s="10"/>
      <c r="N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8" x14ac:dyDescent="0.25">
      <c r="A16" s="224">
        <v>8</v>
      </c>
      <c r="B16" s="14" t="s">
        <v>8</v>
      </c>
      <c r="C16" s="14">
        <v>155.80000000000001</v>
      </c>
      <c r="D16" s="14">
        <v>-0.7</v>
      </c>
      <c r="E16" s="14">
        <v>0.7</v>
      </c>
      <c r="F16" s="14">
        <v>155.1</v>
      </c>
      <c r="G16" s="14">
        <v>156.5</v>
      </c>
      <c r="H16" s="229" t="b">
        <v>0</v>
      </c>
      <c r="I16" s="10"/>
      <c r="J16" s="10"/>
      <c r="K16" s="10"/>
      <c r="L16" s="10"/>
      <c r="M16" s="10"/>
      <c r="N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1" x14ac:dyDescent="0.25">
      <c r="A17" s="224">
        <v>9</v>
      </c>
      <c r="B17" s="14" t="s">
        <v>9</v>
      </c>
      <c r="C17" s="14">
        <v>27.4</v>
      </c>
      <c r="D17" s="14">
        <v>-0.7</v>
      </c>
      <c r="E17" s="14">
        <v>0.7</v>
      </c>
      <c r="F17" s="14">
        <v>26.7</v>
      </c>
      <c r="G17" s="14">
        <v>28.1</v>
      </c>
      <c r="H17" s="229" t="b">
        <v>0</v>
      </c>
      <c r="I17" s="10"/>
      <c r="J17" s="10"/>
      <c r="K17" s="10"/>
      <c r="L17" s="10"/>
      <c r="M17" s="10"/>
      <c r="N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spans="1:31" x14ac:dyDescent="0.25">
      <c r="A18" s="224">
        <v>10</v>
      </c>
      <c r="B18" s="14" t="s">
        <v>10</v>
      </c>
      <c r="C18" s="14">
        <v>27.4</v>
      </c>
      <c r="D18" s="14">
        <v>-0.7</v>
      </c>
      <c r="E18" s="14">
        <v>0.7</v>
      </c>
      <c r="F18" s="14">
        <v>26.7</v>
      </c>
      <c r="G18" s="14">
        <v>28.1</v>
      </c>
      <c r="H18" s="229" t="b">
        <v>0</v>
      </c>
      <c r="I18" s="10"/>
      <c r="J18" s="10"/>
      <c r="K18" s="10"/>
      <c r="L18" s="10"/>
      <c r="M18" s="10"/>
      <c r="N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1" x14ac:dyDescent="0.25">
      <c r="A19" s="224">
        <v>11</v>
      </c>
      <c r="B19" s="14" t="s">
        <v>11</v>
      </c>
      <c r="C19" s="14">
        <v>0</v>
      </c>
      <c r="D19" s="14">
        <v>-0.505</v>
      </c>
      <c r="E19" s="14">
        <v>0.505</v>
      </c>
      <c r="F19" s="14">
        <v>-0.505</v>
      </c>
      <c r="G19" s="14">
        <v>0.505</v>
      </c>
      <c r="H19" s="229" t="b">
        <v>1</v>
      </c>
      <c r="I19" s="10"/>
      <c r="J19" s="10"/>
      <c r="K19" s="10"/>
      <c r="L19" s="10"/>
      <c r="M19" s="10"/>
      <c r="N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1:31" x14ac:dyDescent="0.25">
      <c r="A20" s="224">
        <v>12</v>
      </c>
      <c r="B20" s="14" t="s">
        <v>12</v>
      </c>
      <c r="C20" s="14">
        <v>0</v>
      </c>
      <c r="D20" s="14">
        <v>-0.505</v>
      </c>
      <c r="E20" s="14">
        <v>0.505</v>
      </c>
      <c r="F20" s="14">
        <v>-0.505</v>
      </c>
      <c r="G20" s="14">
        <v>0.505</v>
      </c>
      <c r="H20" s="229" t="b">
        <v>1</v>
      </c>
      <c r="I20" s="10"/>
      <c r="J20" s="10"/>
      <c r="K20" s="10"/>
      <c r="L20" s="10"/>
      <c r="M20" s="10"/>
      <c r="N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1" x14ac:dyDescent="0.25">
      <c r="A21" s="224">
        <v>13</v>
      </c>
      <c r="B21" s="14" t="s">
        <v>13</v>
      </c>
      <c r="C21" s="14">
        <v>17.25</v>
      </c>
      <c r="D21" s="14">
        <v>-0.7</v>
      </c>
      <c r="E21" s="14">
        <v>0.7</v>
      </c>
      <c r="F21" s="14">
        <v>16.55</v>
      </c>
      <c r="G21" s="14">
        <v>17.95</v>
      </c>
      <c r="H21" s="229" t="b">
        <v>0</v>
      </c>
      <c r="I21" s="10"/>
      <c r="J21" s="10"/>
      <c r="K21" s="10"/>
      <c r="L21" s="10"/>
      <c r="M21" s="10"/>
      <c r="N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1:31" x14ac:dyDescent="0.25">
      <c r="A22" s="224">
        <v>14</v>
      </c>
      <c r="B22" s="14" t="s">
        <v>14</v>
      </c>
      <c r="C22" s="14">
        <v>17.25</v>
      </c>
      <c r="D22" s="14">
        <v>-0.7</v>
      </c>
      <c r="E22" s="14">
        <v>0.7</v>
      </c>
      <c r="F22" s="14">
        <v>16.55</v>
      </c>
      <c r="G22" s="14">
        <v>17.95</v>
      </c>
      <c r="H22" s="229" t="b">
        <v>0</v>
      </c>
      <c r="I22" s="10"/>
      <c r="J22" s="10"/>
      <c r="K22" s="10"/>
      <c r="L22" s="10"/>
      <c r="M22" s="10"/>
      <c r="N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1" x14ac:dyDescent="0.25">
      <c r="A23" s="224">
        <v>15</v>
      </c>
      <c r="B23" s="14" t="s">
        <v>15</v>
      </c>
      <c r="C23" s="14">
        <v>32</v>
      </c>
      <c r="D23" s="14">
        <v>0</v>
      </c>
      <c r="E23" s="14">
        <v>20</v>
      </c>
      <c r="F23" s="14">
        <v>32</v>
      </c>
      <c r="G23" s="14">
        <v>52</v>
      </c>
      <c r="H23" s="229" t="b">
        <v>0</v>
      </c>
      <c r="I23" s="10"/>
      <c r="J23" s="10"/>
      <c r="K23" s="10"/>
      <c r="L23" s="10"/>
      <c r="M23" s="10"/>
      <c r="N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1:31" x14ac:dyDescent="0.25">
      <c r="A24" s="224">
        <v>16</v>
      </c>
      <c r="B24" s="14" t="s">
        <v>16</v>
      </c>
      <c r="C24" s="14">
        <v>32</v>
      </c>
      <c r="D24" s="14">
        <v>0</v>
      </c>
      <c r="E24" s="14">
        <v>20</v>
      </c>
      <c r="F24" s="14">
        <v>32</v>
      </c>
      <c r="G24" s="14">
        <v>52</v>
      </c>
      <c r="H24" s="229" t="b">
        <v>0</v>
      </c>
      <c r="I24" s="10"/>
      <c r="J24" s="10"/>
      <c r="K24" s="10"/>
      <c r="L24" s="10"/>
      <c r="M24" s="10"/>
      <c r="N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1" x14ac:dyDescent="0.25">
      <c r="A25" s="224">
        <v>17</v>
      </c>
      <c r="B25" s="14" t="s">
        <v>17</v>
      </c>
      <c r="C25" s="14">
        <v>0</v>
      </c>
      <c r="D25" s="14">
        <v>-0.505</v>
      </c>
      <c r="E25" s="14">
        <v>0.505</v>
      </c>
      <c r="F25" s="14">
        <v>-0.505</v>
      </c>
      <c r="G25" s="14">
        <v>0.505</v>
      </c>
      <c r="H25" s="229" t="b">
        <v>1</v>
      </c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1:31" x14ac:dyDescent="0.25">
      <c r="A26" s="224">
        <v>18</v>
      </c>
      <c r="B26" s="14" t="s">
        <v>18</v>
      </c>
      <c r="C26" s="14">
        <v>0</v>
      </c>
      <c r="D26" s="14">
        <v>-0.7</v>
      </c>
      <c r="E26" s="14">
        <v>0.7</v>
      </c>
      <c r="F26" s="14">
        <v>-0.7</v>
      </c>
      <c r="G26" s="14">
        <v>0.7</v>
      </c>
      <c r="H26" s="229" t="b">
        <v>0</v>
      </c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1" x14ac:dyDescent="0.25">
      <c r="A27" s="224">
        <v>19</v>
      </c>
      <c r="B27" s="14" t="s">
        <v>19</v>
      </c>
      <c r="C27" s="14">
        <v>0</v>
      </c>
      <c r="D27" s="14">
        <v>-0.7</v>
      </c>
      <c r="E27" s="14">
        <v>0.7</v>
      </c>
      <c r="F27" s="14">
        <v>-0.7</v>
      </c>
      <c r="G27" s="14">
        <v>0.7</v>
      </c>
      <c r="H27" s="229" t="b">
        <v>0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1:31" x14ac:dyDescent="0.25">
      <c r="A28" s="224">
        <v>20</v>
      </c>
      <c r="B28" s="14" t="s">
        <v>20</v>
      </c>
      <c r="C28" s="14">
        <v>0</v>
      </c>
      <c r="D28" s="14">
        <v>-0.505</v>
      </c>
      <c r="E28" s="14">
        <v>0.505</v>
      </c>
      <c r="F28" s="14">
        <v>-0.505</v>
      </c>
      <c r="G28" s="14">
        <v>0.505</v>
      </c>
      <c r="H28" s="229" t="b">
        <v>1</v>
      </c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1" x14ac:dyDescent="0.25">
      <c r="A29" s="224">
        <v>21</v>
      </c>
      <c r="B29" s="14" t="s">
        <v>21</v>
      </c>
      <c r="C29" s="14">
        <v>0</v>
      </c>
      <c r="D29" s="14">
        <v>-0.7</v>
      </c>
      <c r="E29" s="14">
        <v>0.7</v>
      </c>
      <c r="F29" s="14">
        <v>-0.7</v>
      </c>
      <c r="G29" s="14">
        <v>0.7</v>
      </c>
      <c r="H29" s="229" t="b">
        <v>0</v>
      </c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1:31" x14ac:dyDescent="0.25">
      <c r="A30" s="224">
        <v>22</v>
      </c>
      <c r="B30" s="14" t="s">
        <v>22</v>
      </c>
      <c r="C30" s="14">
        <v>0</v>
      </c>
      <c r="D30" s="14">
        <v>-0.7</v>
      </c>
      <c r="E30" s="14">
        <v>0.7</v>
      </c>
      <c r="F30" s="14">
        <v>-0.7</v>
      </c>
      <c r="G30" s="14">
        <v>0.7</v>
      </c>
      <c r="H30" s="229" t="b">
        <v>0</v>
      </c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1:31" x14ac:dyDescent="0.25">
      <c r="A31" s="224">
        <v>23</v>
      </c>
      <c r="B31" s="14" t="s">
        <v>23</v>
      </c>
      <c r="C31" s="14">
        <v>0</v>
      </c>
      <c r="D31" s="14">
        <v>-0.7</v>
      </c>
      <c r="E31" s="14">
        <v>0.7</v>
      </c>
      <c r="F31" s="14">
        <v>-0.7</v>
      </c>
      <c r="G31" s="14">
        <v>0.7</v>
      </c>
      <c r="H31" s="229" t="b">
        <v>0</v>
      </c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1:31" x14ac:dyDescent="0.25">
      <c r="A32" s="224">
        <v>24</v>
      </c>
      <c r="B32" s="14" t="s">
        <v>24</v>
      </c>
      <c r="C32" s="14">
        <v>0</v>
      </c>
      <c r="D32" s="14">
        <v>-0.7</v>
      </c>
      <c r="E32" s="14">
        <v>0.7</v>
      </c>
      <c r="F32" s="14">
        <v>-0.7</v>
      </c>
      <c r="G32" s="14">
        <v>0.7</v>
      </c>
      <c r="H32" s="229" t="b">
        <v>0</v>
      </c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1:8" x14ac:dyDescent="0.25">
      <c r="A33" s="224">
        <v>25</v>
      </c>
      <c r="B33" s="14" t="s">
        <v>25</v>
      </c>
      <c r="C33" s="14">
        <v>0</v>
      </c>
      <c r="D33" s="14">
        <v>-0.7</v>
      </c>
      <c r="E33" s="14">
        <v>0.7</v>
      </c>
      <c r="F33" s="14">
        <v>-0.7</v>
      </c>
      <c r="G33" s="14">
        <v>0.7</v>
      </c>
      <c r="H33" s="229" t="b">
        <v>0</v>
      </c>
    </row>
    <row r="34" spans="1:8" x14ac:dyDescent="0.25">
      <c r="A34" s="224">
        <v>26</v>
      </c>
      <c r="B34" s="14" t="s">
        <v>26</v>
      </c>
      <c r="C34" s="14">
        <v>0</v>
      </c>
      <c r="D34" s="14">
        <v>-0.7</v>
      </c>
      <c r="E34" s="14">
        <v>0.7</v>
      </c>
      <c r="F34" s="14">
        <v>-0.7</v>
      </c>
      <c r="G34" s="14">
        <v>0.7</v>
      </c>
      <c r="H34" s="229" t="b">
        <v>0</v>
      </c>
    </row>
    <row r="35" spans="1:8" x14ac:dyDescent="0.25">
      <c r="A35" s="224">
        <v>27</v>
      </c>
      <c r="B35" s="14" t="s">
        <v>27</v>
      </c>
      <c r="C35" s="14">
        <v>0</v>
      </c>
      <c r="D35" s="14">
        <v>-0.7</v>
      </c>
      <c r="E35" s="14">
        <v>0.7</v>
      </c>
      <c r="F35" s="14">
        <v>-0.7</v>
      </c>
      <c r="G35" s="14">
        <v>0.7</v>
      </c>
      <c r="H35" s="229" t="b">
        <v>0</v>
      </c>
    </row>
    <row r="36" spans="1:8" x14ac:dyDescent="0.25">
      <c r="A36" s="224">
        <v>28</v>
      </c>
      <c r="B36" s="14" t="s">
        <v>28</v>
      </c>
      <c r="C36" s="14">
        <v>0</v>
      </c>
      <c r="D36" s="14">
        <v>-0.7</v>
      </c>
      <c r="E36" s="14">
        <v>0.7</v>
      </c>
      <c r="F36" s="14">
        <v>-0.7</v>
      </c>
      <c r="G36" s="14">
        <v>0.7</v>
      </c>
      <c r="H36" s="229" t="b">
        <v>0</v>
      </c>
    </row>
    <row r="37" spans="1:8" x14ac:dyDescent="0.25">
      <c r="A37" s="224">
        <v>29</v>
      </c>
      <c r="B37" s="14" t="s">
        <v>29</v>
      </c>
      <c r="C37" s="14">
        <v>0</v>
      </c>
      <c r="D37" s="14">
        <v>-0.7</v>
      </c>
      <c r="E37" s="14">
        <v>0.7</v>
      </c>
      <c r="F37" s="14">
        <v>-0.7</v>
      </c>
      <c r="G37" s="14">
        <v>0.7</v>
      </c>
      <c r="H37" s="229" t="b">
        <v>0</v>
      </c>
    </row>
    <row r="38" spans="1:8" x14ac:dyDescent="0.25">
      <c r="A38" s="249">
        <v>30</v>
      </c>
      <c r="B38" s="179" t="s">
        <v>30</v>
      </c>
      <c r="C38" s="179">
        <v>0</v>
      </c>
      <c r="D38" s="179">
        <v>-0.7</v>
      </c>
      <c r="E38" s="179">
        <v>0.7</v>
      </c>
      <c r="F38" s="179">
        <v>-0.7</v>
      </c>
      <c r="G38" s="179">
        <v>0.7</v>
      </c>
      <c r="H38" s="198" t="b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pageSetUpPr fitToPage="1"/>
  </sheetPr>
  <dimension ref="A1:P62"/>
  <sheetViews>
    <sheetView workbookViewId="0"/>
  </sheetViews>
  <sheetFormatPr defaultRowHeight="15" x14ac:dyDescent="0.25"/>
  <cols>
    <col min="1" max="3" width="11.5703125" bestFit="1" customWidth="1"/>
    <col min="4" max="8" width="11.5703125" customWidth="1"/>
    <col min="9" max="9" width="0.85546875" customWidth="1"/>
    <col min="10" max="10" width="6.28515625" bestFit="1" customWidth="1"/>
    <col min="11" max="11" width="12.42578125" style="13" bestFit="1" customWidth="1"/>
    <col min="12" max="12" width="10.28515625" bestFit="1" customWidth="1"/>
    <col min="15" max="16" width="12.5703125" bestFit="1" customWidth="1"/>
  </cols>
  <sheetData>
    <row r="1" spans="1:16" x14ac:dyDescent="0.25">
      <c r="B1" s="793" t="s">
        <v>58</v>
      </c>
      <c r="C1" s="793"/>
      <c r="D1" s="793"/>
      <c r="E1" s="793"/>
      <c r="F1" s="793"/>
      <c r="G1" s="793"/>
      <c r="H1" s="793"/>
      <c r="I1" s="13"/>
    </row>
    <row r="2" spans="1:16" x14ac:dyDescent="0.25">
      <c r="A2" s="14"/>
      <c r="B2" s="14" t="s">
        <v>51</v>
      </c>
      <c r="C2" s="14" t="s">
        <v>52</v>
      </c>
      <c r="D2" s="14" t="s">
        <v>53</v>
      </c>
      <c r="E2" s="14" t="s">
        <v>54</v>
      </c>
      <c r="F2" s="14" t="s">
        <v>56</v>
      </c>
      <c r="G2" s="14" t="s">
        <v>57</v>
      </c>
      <c r="H2" s="14" t="s">
        <v>55</v>
      </c>
      <c r="I2" s="18"/>
      <c r="J2" s="14" t="s">
        <v>45</v>
      </c>
      <c r="K2" s="14" t="s">
        <v>44</v>
      </c>
      <c r="L2" s="14" t="s">
        <v>143</v>
      </c>
      <c r="O2" s="792" t="s">
        <v>48</v>
      </c>
      <c r="P2" s="792"/>
    </row>
    <row r="3" spans="1:16" x14ac:dyDescent="0.25">
      <c r="A3" s="16">
        <f ca="1">TODAY()-14.85</f>
        <v>43697.15</v>
      </c>
      <c r="B3" s="15">
        <f ca="1">COUNTIFS(AMP1_6[[#All],[Date]],"&gt;="&amp;YieldRates!A3,AMP1_6[[#All],[Date]],"&lt;"&amp;YieldRates!A4)</f>
        <v>0</v>
      </c>
      <c r="C3" s="15">
        <f ca="1">COUNTIFS(AMP1_8[[#All],[Date]],"&gt;="&amp;YieldRates!A3,AMP1_8[[#All],[Date]],"&lt;"&amp;YieldRates!A4)</f>
        <v>0</v>
      </c>
      <c r="D3" s="15">
        <f ca="1">COUNTIFS(AMP2_6[[#All],[Date]],"&gt;="&amp;YieldRates!A3,AMP2_6[[#All],[Date]],"&lt;"&amp;YieldRates!A4)</f>
        <v>0</v>
      </c>
      <c r="E3" s="15">
        <f ca="1">COUNTIFS(AMP2_8[[#All],[Date]],"&gt;="&amp;YieldRates!A3,AMP2_8[[#All],[Date]],"&lt;"&amp;YieldRates!A4)</f>
        <v>0</v>
      </c>
      <c r="F3" s="15">
        <f ca="1">COUNTIFS(AMP6_4[[#All],[Date]],"&gt;="&amp;YieldRates!A3,AMP6_4[[#All],[Date]],"&lt;"&amp;YieldRates!A4)</f>
        <v>0</v>
      </c>
      <c r="G3" s="15">
        <f ca="1">COUNTIFS(AMP7_8[[#All],[Date]],"&gt;="&amp;YieldRates!A3,AMP7_8[[#All],[Date]],"&lt;"&amp;YieldRates!A4)</f>
        <v>0</v>
      </c>
      <c r="H3" s="15">
        <f ca="1">COUNTIFS(AMP5_4[[#All],[Date]],"&gt;="&amp;YieldRates!A3,AMP5_4[[#All],[Date]],"&lt;"&amp;YieldRates!A4)</f>
        <v>0</v>
      </c>
      <c r="I3" s="18"/>
      <c r="J3" s="15"/>
      <c r="K3" s="15"/>
      <c r="L3" s="15"/>
      <c r="O3" s="14" t="s">
        <v>46</v>
      </c>
      <c r="P3" s="14" t="s">
        <v>47</v>
      </c>
    </row>
    <row r="4" spans="1:16" x14ac:dyDescent="0.25">
      <c r="A4" s="16">
        <f ca="1">TODAY()-13.85</f>
        <v>43698.15</v>
      </c>
      <c r="B4" s="14">
        <f ca="1">COUNTIFS(AMP1_6[[#All],[Date]],"&gt;="&amp;YieldRates!A4,AMP1_6[[#All],[Date]],"&lt;"&amp;YieldRates!A5)</f>
        <v>0</v>
      </c>
      <c r="C4" s="14">
        <f ca="1">COUNTIFS(AMP1_8[[#All],[Date]],"&gt;="&amp;YieldRates!A4,AMP1_8[[#All],[Date]],"&lt;"&amp;YieldRates!A5)</f>
        <v>0</v>
      </c>
      <c r="D4" s="14">
        <f ca="1">COUNTIFS(AMP2_6[[#All],[Date]],"&gt;="&amp;YieldRates!A4,AMP2_6[[#All],[Date]],"&lt;"&amp;YieldRates!A5)</f>
        <v>0</v>
      </c>
      <c r="E4" s="14">
        <f ca="1">COUNTIFS(AMP2_8[[#All],[Date]],"&gt;="&amp;YieldRates!A4,AMP2_8[[#All],[Date]],"&lt;"&amp;YieldRates!A5)</f>
        <v>0</v>
      </c>
      <c r="F4" s="14">
        <f ca="1">COUNTIFS(AMP6_4[[#All],[Date]],"&gt;="&amp;YieldRates!A4,AMP6_4[[#All],[Date]],"&lt;"&amp;YieldRates!A5)</f>
        <v>14</v>
      </c>
      <c r="G4" s="14">
        <f ca="1">COUNTIFS(AMP7_8[[#All],[Date]],"&gt;="&amp;YieldRates!A4,AMP7_8[[#All],[Date]],"&lt;"&amp;YieldRates!A5)</f>
        <v>2</v>
      </c>
      <c r="H4" s="14">
        <f ca="1">COUNTIFS(AMP5_4[[#All],[Date]],"&gt;="&amp;YieldRates!A4,AMP5_4[[#All],[Date]],"&lt;"&amp;YieldRates!A5)</f>
        <v>14</v>
      </c>
      <c r="I4" s="18"/>
      <c r="J4" s="14">
        <f t="shared" ref="J4:J18" ca="1" si="0">SUM(B4:H4)</f>
        <v>30</v>
      </c>
      <c r="K4" s="14" t="str">
        <f t="shared" ref="K4:K18" ca="1" si="1">IF(WEEKDAY(A4,11)&lt;5,"1st and 2nd","3rd")</f>
        <v>1st and 2nd</v>
      </c>
      <c r="L4" s="274">
        <f ca="1">IF(K4="3rd",J4/$P$10,J4/$O$10)</f>
        <v>0.15</v>
      </c>
      <c r="O4" s="19">
        <f ca="1">AVERAGEIF(K4:K18,O3,J4:J18)</f>
        <v>44.222222222222221</v>
      </c>
      <c r="P4" s="19">
        <f ca="1">AVERAGEIF(K4:K18,P3,J4:J18)</f>
        <v>19</v>
      </c>
    </row>
    <row r="5" spans="1:16" x14ac:dyDescent="0.25">
      <c r="A5" s="16">
        <f ca="1">TODAY()-12.85</f>
        <v>43699.15</v>
      </c>
      <c r="B5" s="14">
        <f ca="1">COUNTIFS(AMP1_6[[#All],[Date]],"&gt;="&amp;YieldRates!A5,AMP1_6[[#All],[Date]],"&lt;"&amp;YieldRates!A6)</f>
        <v>6</v>
      </c>
      <c r="C5" s="14">
        <f ca="1">COUNTIFS(AMP1_8[[#All],[Date]],"&gt;="&amp;YieldRates!A5,AMP1_8[[#All],[Date]],"&lt;"&amp;YieldRates!A6)</f>
        <v>6</v>
      </c>
      <c r="D5" s="14">
        <f ca="1">COUNTIFS(AMP2_6[[#All],[Date]],"&gt;="&amp;YieldRates!A5,AMP2_6[[#All],[Date]],"&lt;"&amp;YieldRates!A6)</f>
        <v>0</v>
      </c>
      <c r="E5" s="14">
        <f ca="1">COUNTIFS(AMP2_8[[#All],[Date]],"&gt;="&amp;YieldRates!A5,AMP2_8[[#All],[Date]],"&lt;"&amp;YieldRates!A6)</f>
        <v>0</v>
      </c>
      <c r="F5" s="14">
        <f ca="1">COUNTIFS(AMP6_4[[#All],[Date]],"&gt;="&amp;YieldRates!A5,AMP6_4[[#All],[Date]],"&lt;"&amp;YieldRates!A6)</f>
        <v>8</v>
      </c>
      <c r="G5" s="14">
        <f ca="1">COUNTIFS(AMP7_8[[#All],[Date]],"&gt;="&amp;YieldRates!A5,AMP7_8[[#All],[Date]],"&lt;"&amp;YieldRates!A6)</f>
        <v>12</v>
      </c>
      <c r="H5" s="14">
        <f ca="1">COUNTIFS(AMP5_4[[#All],[Date]],"&gt;="&amp;YieldRates!A5,AMP5_4[[#All],[Date]],"&lt;"&amp;YieldRates!A6)</f>
        <v>16</v>
      </c>
      <c r="I5" s="18"/>
      <c r="J5" s="14">
        <f t="shared" ca="1" si="0"/>
        <v>48</v>
      </c>
      <c r="K5" s="14" t="str">
        <f t="shared" ca="1" si="1"/>
        <v>1st and 2nd</v>
      </c>
      <c r="L5" s="274">
        <f t="shared" ref="L5:L18" ca="1" si="2">IF(K5="3rd",J5/$P$10,J5/$O$10)</f>
        <v>0.24</v>
      </c>
    </row>
    <row r="6" spans="1:16" x14ac:dyDescent="0.25">
      <c r="A6" s="16">
        <f ca="1">TODAY()-11.85</f>
        <v>43700.15</v>
      </c>
      <c r="B6" s="14">
        <f ca="1">COUNTIFS(AMP1_6[[#All],[Date]],"&gt;="&amp;YieldRates!A6,AMP1_6[[#All],[Date]],"&lt;"&amp;YieldRates!A7)</f>
        <v>6</v>
      </c>
      <c r="C6" s="14">
        <f ca="1">COUNTIFS(AMP1_8[[#All],[Date]],"&gt;="&amp;YieldRates!A6,AMP1_8[[#All],[Date]],"&lt;"&amp;YieldRates!A7)</f>
        <v>6</v>
      </c>
      <c r="D6" s="14">
        <f ca="1">COUNTIFS(AMP2_6[[#All],[Date]],"&gt;="&amp;YieldRates!A6,AMP2_6[[#All],[Date]],"&lt;"&amp;YieldRates!A7)</f>
        <v>0</v>
      </c>
      <c r="E6" s="14">
        <f ca="1">COUNTIFS(AMP2_8[[#All],[Date]],"&gt;="&amp;YieldRates!A6,AMP2_8[[#All],[Date]],"&lt;"&amp;YieldRates!A7)</f>
        <v>0</v>
      </c>
      <c r="F6" s="14">
        <f ca="1">COUNTIFS(AMP6_4[[#All],[Date]],"&gt;="&amp;YieldRates!A6,AMP6_4[[#All],[Date]],"&lt;"&amp;YieldRates!A7)</f>
        <v>0</v>
      </c>
      <c r="G6" s="14">
        <f ca="1">COUNTIFS(AMP7_8[[#All],[Date]],"&gt;="&amp;YieldRates!A6,AMP7_8[[#All],[Date]],"&lt;"&amp;YieldRates!A7)</f>
        <v>2</v>
      </c>
      <c r="H6" s="14">
        <f ca="1">COUNTIFS(AMP5_4[[#All],[Date]],"&gt;="&amp;YieldRates!A6,AMP5_4[[#All],[Date]],"&lt;"&amp;YieldRates!A7)</f>
        <v>6</v>
      </c>
      <c r="I6" s="18"/>
      <c r="J6" s="14">
        <f t="shared" ca="1" si="0"/>
        <v>20</v>
      </c>
      <c r="K6" s="14" t="str">
        <f t="shared" ca="1" si="1"/>
        <v>3rd</v>
      </c>
      <c r="L6" s="274">
        <f t="shared" ca="1" si="2"/>
        <v>0.16666666666666666</v>
      </c>
      <c r="N6" t="s">
        <v>50</v>
      </c>
      <c r="O6" s="19">
        <f ca="1">O4/20</f>
        <v>2.2111111111111112</v>
      </c>
      <c r="P6" s="19">
        <f ca="1">P4/12</f>
        <v>1.5833333333333333</v>
      </c>
    </row>
    <row r="7" spans="1:16" x14ac:dyDescent="0.25">
      <c r="A7" s="16">
        <f ca="1">TODAY()-10.85</f>
        <v>43701.15</v>
      </c>
      <c r="B7" s="14">
        <f ca="1">COUNTIFS(AMP1_6[[#All],[Date]],"&gt;="&amp;YieldRates!A7,AMP1_6[[#All],[Date]],"&lt;"&amp;YieldRates!A8)</f>
        <v>8</v>
      </c>
      <c r="C7" s="14">
        <f ca="1">COUNTIFS(AMP1_8[[#All],[Date]],"&gt;="&amp;YieldRates!A7,AMP1_8[[#All],[Date]],"&lt;"&amp;YieldRates!A8)</f>
        <v>6</v>
      </c>
      <c r="D7" s="14">
        <f ca="1">COUNTIFS(AMP2_6[[#All],[Date]],"&gt;="&amp;YieldRates!A7,AMP2_6[[#All],[Date]],"&lt;"&amp;YieldRates!A8)</f>
        <v>0</v>
      </c>
      <c r="E7" s="14">
        <f ca="1">COUNTIFS(AMP2_8[[#All],[Date]],"&gt;="&amp;YieldRates!A7,AMP2_8[[#All],[Date]],"&lt;"&amp;YieldRates!A8)</f>
        <v>0</v>
      </c>
      <c r="F7" s="14">
        <f ca="1">COUNTIFS(AMP6_4[[#All],[Date]],"&gt;="&amp;YieldRates!A7,AMP6_4[[#All],[Date]],"&lt;"&amp;YieldRates!A8)</f>
        <v>0</v>
      </c>
      <c r="G7" s="14">
        <f ca="1">COUNTIFS(AMP7_8[[#All],[Date]],"&gt;="&amp;YieldRates!A7,AMP7_8[[#All],[Date]],"&lt;"&amp;YieldRates!A8)</f>
        <v>10</v>
      </c>
      <c r="H7" s="14">
        <f ca="1">COUNTIFS(AMP5_4[[#All],[Date]],"&gt;="&amp;YieldRates!A7,AMP5_4[[#All],[Date]],"&lt;"&amp;YieldRates!A8)</f>
        <v>0</v>
      </c>
      <c r="I7" s="18"/>
      <c r="J7" s="14">
        <f t="shared" ca="1" si="0"/>
        <v>24</v>
      </c>
      <c r="K7" s="14" t="str">
        <f t="shared" ca="1" si="1"/>
        <v>3rd</v>
      </c>
      <c r="L7" s="274">
        <f t="shared" ca="1" si="2"/>
        <v>0.2</v>
      </c>
    </row>
    <row r="8" spans="1:16" x14ac:dyDescent="0.25">
      <c r="A8" s="16">
        <f ca="1">TODAY()-9.85</f>
        <v>43702.15</v>
      </c>
      <c r="B8" s="14">
        <f ca="1">COUNTIFS(AMP1_6[[#All],[Date]],"&gt;="&amp;YieldRates!A8,AMP1_6[[#All],[Date]],"&lt;"&amp;YieldRates!A9)</f>
        <v>8</v>
      </c>
      <c r="C8" s="14">
        <f ca="1">COUNTIFS(AMP1_8[[#All],[Date]],"&gt;="&amp;YieldRates!A8,AMP1_8[[#All],[Date]],"&lt;"&amp;YieldRates!A9)</f>
        <v>6</v>
      </c>
      <c r="D8" s="14">
        <f ca="1">COUNTIFS(AMP2_6[[#All],[Date]],"&gt;="&amp;YieldRates!A8,AMP2_6[[#All],[Date]],"&lt;"&amp;YieldRates!A9)</f>
        <v>0</v>
      </c>
      <c r="E8" s="14">
        <f ca="1">COUNTIFS(AMP2_8[[#All],[Date]],"&gt;="&amp;YieldRates!A8,AMP2_8[[#All],[Date]],"&lt;"&amp;YieldRates!A9)</f>
        <v>0</v>
      </c>
      <c r="F8" s="14">
        <f ca="1">COUNTIFS(AMP6_4[[#All],[Date]],"&gt;="&amp;YieldRates!A8,AMP6_4[[#All],[Date]],"&lt;"&amp;YieldRates!A9)</f>
        <v>0</v>
      </c>
      <c r="G8" s="14">
        <f ca="1">COUNTIFS(AMP7_8[[#All],[Date]],"&gt;="&amp;YieldRates!A8,AMP7_8[[#All],[Date]],"&lt;"&amp;YieldRates!A9)</f>
        <v>10</v>
      </c>
      <c r="H8" s="14">
        <f ca="1">COUNTIFS(AMP5_4[[#All],[Date]],"&gt;="&amp;YieldRates!A8,AMP5_4[[#All],[Date]],"&lt;"&amp;YieldRates!A9)</f>
        <v>0</v>
      </c>
      <c r="I8" s="18"/>
      <c r="J8" s="14">
        <f t="shared" ca="1" si="0"/>
        <v>24</v>
      </c>
      <c r="K8" s="14" t="str">
        <f t="shared" ca="1" si="1"/>
        <v>3rd</v>
      </c>
      <c r="L8" s="274">
        <f t="shared" ca="1" si="2"/>
        <v>0.2</v>
      </c>
      <c r="O8" s="792" t="s">
        <v>144</v>
      </c>
      <c r="P8" s="792"/>
    </row>
    <row r="9" spans="1:16" x14ac:dyDescent="0.25">
      <c r="A9" s="16">
        <f ca="1">TODAY()-8.85</f>
        <v>43703.15</v>
      </c>
      <c r="B9" s="14">
        <f ca="1">COUNTIFS(AMP1_6[[#All],[Date]],"&gt;="&amp;YieldRates!A9,AMP1_6[[#All],[Date]],"&lt;"&amp;YieldRates!A10)</f>
        <v>14</v>
      </c>
      <c r="C9" s="14">
        <f ca="1">COUNTIFS(AMP1_8[[#All],[Date]],"&gt;="&amp;YieldRates!A9,AMP1_8[[#All],[Date]],"&lt;"&amp;YieldRates!A10)</f>
        <v>12</v>
      </c>
      <c r="D9" s="14">
        <f ca="1">COUNTIFS(AMP2_6[[#All],[Date]],"&gt;="&amp;YieldRates!A9,AMP2_6[[#All],[Date]],"&lt;"&amp;YieldRates!A10)</f>
        <v>0</v>
      </c>
      <c r="E9" s="14">
        <f ca="1">COUNTIFS(AMP2_8[[#All],[Date]],"&gt;="&amp;YieldRates!A9,AMP2_8[[#All],[Date]],"&lt;"&amp;YieldRates!A10)</f>
        <v>0</v>
      </c>
      <c r="F9" s="14">
        <f ca="1">COUNTIFS(AMP6_4[[#All],[Date]],"&gt;="&amp;YieldRates!A9,AMP6_4[[#All],[Date]],"&lt;"&amp;YieldRates!A10)</f>
        <v>0</v>
      </c>
      <c r="G9" s="14">
        <f ca="1">COUNTIFS(AMP7_8[[#All],[Date]],"&gt;="&amp;YieldRates!A9,AMP7_8[[#All],[Date]],"&lt;"&amp;YieldRates!A10)</f>
        <v>18</v>
      </c>
      <c r="H9" s="14">
        <f ca="1">COUNTIFS(AMP5_4[[#All],[Date]],"&gt;="&amp;YieldRates!A9,AMP5_4[[#All],[Date]],"&lt;"&amp;YieldRates!A10)</f>
        <v>6</v>
      </c>
      <c r="I9" s="18"/>
      <c r="J9" s="14">
        <f t="shared" ca="1" si="0"/>
        <v>50</v>
      </c>
      <c r="K9" s="14" t="str">
        <f t="shared" ca="1" si="1"/>
        <v>1st and 2nd</v>
      </c>
      <c r="L9" s="274">
        <f t="shared" ca="1" si="2"/>
        <v>0.25</v>
      </c>
      <c r="O9" s="14" t="s">
        <v>46</v>
      </c>
      <c r="P9" s="14" t="s">
        <v>47</v>
      </c>
    </row>
    <row r="10" spans="1:16" x14ac:dyDescent="0.25">
      <c r="A10" s="16">
        <f ca="1">TODAY()-7.85</f>
        <v>43704.15</v>
      </c>
      <c r="B10" s="14">
        <f ca="1">COUNTIFS(AMP1_6[[#All],[Date]],"&gt;="&amp;YieldRates!A10,AMP1_6[[#All],[Date]],"&lt;"&amp;YieldRates!A11)</f>
        <v>14</v>
      </c>
      <c r="C10" s="14">
        <f ca="1">COUNTIFS(AMP1_8[[#All],[Date]],"&gt;="&amp;YieldRates!A10,AMP1_8[[#All],[Date]],"&lt;"&amp;YieldRates!A11)</f>
        <v>12</v>
      </c>
      <c r="D10" s="14">
        <f ca="1">COUNTIFS(AMP2_6[[#All],[Date]],"&gt;="&amp;YieldRates!A10,AMP2_6[[#All],[Date]],"&lt;"&amp;YieldRates!A11)</f>
        <v>0</v>
      </c>
      <c r="E10" s="14">
        <f ca="1">COUNTIFS(AMP2_8[[#All],[Date]],"&gt;="&amp;YieldRates!A10,AMP2_8[[#All],[Date]],"&lt;"&amp;YieldRates!A11)</f>
        <v>0</v>
      </c>
      <c r="F10" s="14">
        <f ca="1">COUNTIFS(AMP6_4[[#All],[Date]],"&gt;="&amp;YieldRates!A10,AMP6_4[[#All],[Date]],"&lt;"&amp;YieldRates!A11)</f>
        <v>0</v>
      </c>
      <c r="G10" s="14">
        <f ca="1">COUNTIFS(AMP7_8[[#All],[Date]],"&gt;="&amp;YieldRates!A10,AMP7_8[[#All],[Date]],"&lt;"&amp;YieldRates!A11)</f>
        <v>18</v>
      </c>
      <c r="H10" s="14">
        <f ca="1">COUNTIFS(AMP5_4[[#All],[Date]],"&gt;="&amp;YieldRates!A10,AMP5_4[[#All],[Date]],"&lt;"&amp;YieldRates!A11)</f>
        <v>18</v>
      </c>
      <c r="I10" s="18"/>
      <c r="J10" s="14">
        <f t="shared" ca="1" si="0"/>
        <v>62</v>
      </c>
      <c r="K10" s="14" t="str">
        <f t="shared" ca="1" si="1"/>
        <v>1st and 2nd</v>
      </c>
      <c r="L10" s="274">
        <f t="shared" ca="1" si="2"/>
        <v>0.31</v>
      </c>
      <c r="O10" s="14">
        <f>10*5*2*2</f>
        <v>200</v>
      </c>
      <c r="P10" s="14">
        <f>12*5*2</f>
        <v>120</v>
      </c>
    </row>
    <row r="11" spans="1:16" x14ac:dyDescent="0.25">
      <c r="A11" s="16">
        <f ca="1">TODAY()-6.85</f>
        <v>43705.15</v>
      </c>
      <c r="B11" s="14">
        <f ca="1">COUNTIFS(AMP1_6[[#All],[Date]],"&gt;="&amp;YieldRates!A11,AMP1_6[[#All],[Date]],"&lt;"&amp;YieldRates!A12)</f>
        <v>12</v>
      </c>
      <c r="C11" s="14">
        <f ca="1">COUNTIFS(AMP1_8[[#All],[Date]],"&gt;="&amp;YieldRates!A11,AMP1_8[[#All],[Date]],"&lt;"&amp;YieldRates!A12)</f>
        <v>12</v>
      </c>
      <c r="D11" s="14">
        <f ca="1">COUNTIFS(AMP2_6[[#All],[Date]],"&gt;="&amp;YieldRates!A11,AMP2_6[[#All],[Date]],"&lt;"&amp;YieldRates!A12)</f>
        <v>10</v>
      </c>
      <c r="E11" s="14">
        <f ca="1">COUNTIFS(AMP2_8[[#All],[Date]],"&gt;="&amp;YieldRates!A11,AMP2_8[[#All],[Date]],"&lt;"&amp;YieldRates!A12)</f>
        <v>0</v>
      </c>
      <c r="F11" s="14">
        <f ca="1">COUNTIFS(AMP6_4[[#All],[Date]],"&gt;="&amp;YieldRates!A11,AMP6_4[[#All],[Date]],"&lt;"&amp;YieldRates!A12)</f>
        <v>8</v>
      </c>
      <c r="G11" s="14">
        <f ca="1">COUNTIFS(AMP7_8[[#All],[Date]],"&gt;="&amp;YieldRates!A11,AMP7_8[[#All],[Date]],"&lt;"&amp;YieldRates!A12)</f>
        <v>20</v>
      </c>
      <c r="H11" s="14">
        <f ca="1">COUNTIFS(AMP5_4[[#All],[Date]],"&gt;="&amp;YieldRates!A11,AMP5_4[[#All],[Date]],"&lt;"&amp;YieldRates!A12)</f>
        <v>18</v>
      </c>
      <c r="I11" s="18"/>
      <c r="J11" s="14">
        <f t="shared" ca="1" si="0"/>
        <v>80</v>
      </c>
      <c r="K11" s="14" t="str">
        <f t="shared" ca="1" si="1"/>
        <v>1st and 2nd</v>
      </c>
      <c r="L11" s="274">
        <f t="shared" ca="1" si="2"/>
        <v>0.4</v>
      </c>
      <c r="O11" s="274">
        <f ca="1">AVERAGEIF(K4:K18,O9,L4:L18)</f>
        <v>0.22111111111111115</v>
      </c>
      <c r="P11" s="274">
        <f ca="1">AVERAGEIF(K4:K18,P9,L4:L18)</f>
        <v>0.15833333333333333</v>
      </c>
    </row>
    <row r="12" spans="1:16" x14ac:dyDescent="0.25">
      <c r="A12" s="16">
        <f ca="1">TODAY()-5.85</f>
        <v>43706.15</v>
      </c>
      <c r="B12" s="14">
        <f ca="1">COUNTIFS(AMP1_6[[#All],[Date]],"&gt;="&amp;YieldRates!A12,AMP1_6[[#All],[Date]],"&lt;"&amp;YieldRates!A13)</f>
        <v>12</v>
      </c>
      <c r="C12" s="14">
        <f ca="1">COUNTIFS(AMP1_8[[#All],[Date]],"&gt;="&amp;YieldRates!A12,AMP1_8[[#All],[Date]],"&lt;"&amp;YieldRates!A13)</f>
        <v>10</v>
      </c>
      <c r="D12" s="14">
        <f ca="1">COUNTIFS(AMP2_6[[#All],[Date]],"&gt;="&amp;YieldRates!A12,AMP2_6[[#All],[Date]],"&lt;"&amp;YieldRates!A13)</f>
        <v>12</v>
      </c>
      <c r="E12" s="14">
        <f ca="1">COUNTIFS(AMP2_8[[#All],[Date]],"&gt;="&amp;YieldRates!A12,AMP2_8[[#All],[Date]],"&lt;"&amp;YieldRates!A13)</f>
        <v>0</v>
      </c>
      <c r="F12" s="14">
        <f ca="1">COUNTIFS(AMP6_4[[#All],[Date]],"&gt;="&amp;YieldRates!A12,AMP6_4[[#All],[Date]],"&lt;"&amp;YieldRates!A13)</f>
        <v>8</v>
      </c>
      <c r="G12" s="14">
        <f ca="1">COUNTIFS(AMP7_8[[#All],[Date]],"&gt;="&amp;YieldRates!A12,AMP7_8[[#All],[Date]],"&lt;"&amp;YieldRates!A13)</f>
        <v>8</v>
      </c>
      <c r="H12" s="14">
        <f ca="1">COUNTIFS(AMP5_4[[#All],[Date]],"&gt;="&amp;YieldRates!A12,AMP5_4[[#All],[Date]],"&lt;"&amp;YieldRates!A13)</f>
        <v>14</v>
      </c>
      <c r="I12" s="18"/>
      <c r="J12" s="14">
        <f t="shared" ca="1" si="0"/>
        <v>64</v>
      </c>
      <c r="K12" s="14" t="str">
        <f t="shared" ca="1" si="1"/>
        <v>1st and 2nd</v>
      </c>
      <c r="L12" s="274">
        <f t="shared" ca="1" si="2"/>
        <v>0.32</v>
      </c>
    </row>
    <row r="13" spans="1:16" x14ac:dyDescent="0.25">
      <c r="A13" s="16">
        <f ca="1">TODAY()-4.85</f>
        <v>43707.15</v>
      </c>
      <c r="B13" s="14">
        <f ca="1">COUNTIFS(AMP1_6[[#All],[Date]],"&gt;="&amp;YieldRates!A13,AMP1_6[[#All],[Date]],"&lt;"&amp;YieldRates!A14)</f>
        <v>6</v>
      </c>
      <c r="C13" s="14">
        <f ca="1">COUNTIFS(AMP1_8[[#All],[Date]],"&gt;="&amp;YieldRates!A13,AMP1_8[[#All],[Date]],"&lt;"&amp;YieldRates!A14)</f>
        <v>6</v>
      </c>
      <c r="D13" s="14">
        <f ca="1">COUNTIFS(AMP2_6[[#All],[Date]],"&gt;="&amp;YieldRates!A13,AMP2_6[[#All],[Date]],"&lt;"&amp;YieldRates!A14)</f>
        <v>4</v>
      </c>
      <c r="E13" s="14">
        <f ca="1">COUNTIFS(AMP2_8[[#All],[Date]],"&gt;="&amp;YieldRates!A13,AMP2_8[[#All],[Date]],"&lt;"&amp;YieldRates!A14)</f>
        <v>0</v>
      </c>
      <c r="F13" s="14">
        <f ca="1">COUNTIFS(AMP6_4[[#All],[Date]],"&gt;="&amp;YieldRates!A13,AMP6_4[[#All],[Date]],"&lt;"&amp;YieldRates!A14)</f>
        <v>0</v>
      </c>
      <c r="G13" s="14">
        <f ca="1">COUNTIFS(AMP7_8[[#All],[Date]],"&gt;="&amp;YieldRates!A13,AMP7_8[[#All],[Date]],"&lt;"&amp;YieldRates!A14)</f>
        <v>8</v>
      </c>
      <c r="H13" s="14">
        <f ca="1">COUNTIFS(AMP5_4[[#All],[Date]],"&gt;="&amp;YieldRates!A13,AMP5_4[[#All],[Date]],"&lt;"&amp;YieldRates!A14)</f>
        <v>10</v>
      </c>
      <c r="I13" s="18"/>
      <c r="J13" s="14">
        <f t="shared" ca="1" si="0"/>
        <v>34</v>
      </c>
      <c r="K13" s="14" t="str">
        <f t="shared" ca="1" si="1"/>
        <v>3rd</v>
      </c>
      <c r="L13" s="274">
        <f t="shared" ca="1" si="2"/>
        <v>0.28333333333333333</v>
      </c>
    </row>
    <row r="14" spans="1:16" x14ac:dyDescent="0.25">
      <c r="A14" s="16">
        <f ca="1">TODAY()-3.85</f>
        <v>43708.15</v>
      </c>
      <c r="B14" s="14">
        <f ca="1">COUNTIFS(AMP1_6[[#All],[Date]],"&gt;="&amp;YieldRates!A14,AMP1_6[[#All],[Date]],"&lt;"&amp;YieldRates!A15)</f>
        <v>0</v>
      </c>
      <c r="C14" s="14">
        <f ca="1">COUNTIFS(AMP1_8[[#All],[Date]],"&gt;="&amp;YieldRates!A14,AMP1_8[[#All],[Date]],"&lt;"&amp;YieldRates!A15)</f>
        <v>0</v>
      </c>
      <c r="D14" s="14">
        <f ca="1">COUNTIFS(AMP2_6[[#All],[Date]],"&gt;="&amp;YieldRates!A14,AMP2_6[[#All],[Date]],"&lt;"&amp;YieldRates!A15)</f>
        <v>2</v>
      </c>
      <c r="E14" s="14">
        <f ca="1">COUNTIFS(AMP2_8[[#All],[Date]],"&gt;="&amp;YieldRates!A14,AMP2_8[[#All],[Date]],"&lt;"&amp;YieldRates!A15)</f>
        <v>0</v>
      </c>
      <c r="F14" s="14">
        <f ca="1">COUNTIFS(AMP6_4[[#All],[Date]],"&gt;="&amp;YieldRates!A14,AMP6_4[[#All],[Date]],"&lt;"&amp;YieldRates!A15)</f>
        <v>0</v>
      </c>
      <c r="G14" s="14">
        <f ca="1">COUNTIFS(AMP7_8[[#All],[Date]],"&gt;="&amp;YieldRates!A14,AMP7_8[[#All],[Date]],"&lt;"&amp;YieldRates!A15)</f>
        <v>0</v>
      </c>
      <c r="H14" s="14">
        <f ca="1">COUNTIFS(AMP5_4[[#All],[Date]],"&gt;="&amp;YieldRates!A14,AMP5_4[[#All],[Date]],"&lt;"&amp;YieldRates!A15)</f>
        <v>10</v>
      </c>
      <c r="I14" s="18"/>
      <c r="J14" s="14">
        <f t="shared" ca="1" si="0"/>
        <v>12</v>
      </c>
      <c r="K14" s="14" t="str">
        <f t="shared" ca="1" si="1"/>
        <v>3rd</v>
      </c>
      <c r="L14" s="274">
        <f t="shared" ca="1" si="2"/>
        <v>0.1</v>
      </c>
    </row>
    <row r="15" spans="1:16" x14ac:dyDescent="0.25">
      <c r="A15" s="16">
        <f ca="1">TODAY()-2.85</f>
        <v>43709.15</v>
      </c>
      <c r="B15" s="14">
        <f ca="1">COUNTIFS(AMP1_6[[#All],[Date]],"&gt;="&amp;YieldRates!A15,AMP1_6[[#All],[Date]],"&lt;"&amp;YieldRates!A16)</f>
        <v>0</v>
      </c>
      <c r="C15" s="14">
        <f ca="1">COUNTIFS(AMP1_8[[#All],[Date]],"&gt;="&amp;YieldRates!A15,AMP1_8[[#All],[Date]],"&lt;"&amp;YieldRates!A16)</f>
        <v>0</v>
      </c>
      <c r="D15" s="14">
        <f ca="1">COUNTIFS(AMP2_6[[#All],[Date]],"&gt;="&amp;YieldRates!A15,AMP2_6[[#All],[Date]],"&lt;"&amp;YieldRates!A16)</f>
        <v>0</v>
      </c>
      <c r="E15" s="14">
        <f ca="1">COUNTIFS(AMP2_8[[#All],[Date]],"&gt;="&amp;YieldRates!A15,AMP2_8[[#All],[Date]],"&lt;"&amp;YieldRates!A16)</f>
        <v>0</v>
      </c>
      <c r="F15" s="14">
        <f ca="1">COUNTIFS(AMP6_4[[#All],[Date]],"&gt;="&amp;YieldRates!A15,AMP6_4[[#All],[Date]],"&lt;"&amp;YieldRates!A16)</f>
        <v>0</v>
      </c>
      <c r="G15" s="14">
        <f ca="1">COUNTIFS(AMP7_8[[#All],[Date]],"&gt;="&amp;YieldRates!A15,AMP7_8[[#All],[Date]],"&lt;"&amp;YieldRates!A16)</f>
        <v>0</v>
      </c>
      <c r="H15" s="14">
        <f ca="1">COUNTIFS(AMP5_4[[#All],[Date]],"&gt;="&amp;YieldRates!A15,AMP5_4[[#All],[Date]],"&lt;"&amp;YieldRates!A16)</f>
        <v>0</v>
      </c>
      <c r="I15" s="18"/>
      <c r="J15" s="14">
        <f t="shared" ca="1" si="0"/>
        <v>0</v>
      </c>
      <c r="K15" s="14" t="str">
        <f t="shared" ca="1" si="1"/>
        <v>3rd</v>
      </c>
      <c r="L15" s="274">
        <f t="shared" ca="1" si="2"/>
        <v>0</v>
      </c>
    </row>
    <row r="16" spans="1:16" x14ac:dyDescent="0.25">
      <c r="A16" s="16">
        <f ca="1">TODAY()-1.85</f>
        <v>43710.15</v>
      </c>
      <c r="B16" s="14">
        <f ca="1">COUNTIFS(AMP1_6[[#All],[Date]],"&gt;="&amp;YieldRates!A16,AMP1_6[[#All],[Date]],"&lt;"&amp;YieldRates!A17)</f>
        <v>0</v>
      </c>
      <c r="C16" s="14">
        <f ca="1">COUNTIFS(AMP1_8[[#All],[Date]],"&gt;="&amp;YieldRates!A16,AMP1_8[[#All],[Date]],"&lt;"&amp;YieldRates!A17)</f>
        <v>0</v>
      </c>
      <c r="D16" s="14">
        <f ca="1">COUNTIFS(AMP2_6[[#All],[Date]],"&gt;="&amp;YieldRates!A16,AMP2_6[[#All],[Date]],"&lt;"&amp;YieldRates!A17)</f>
        <v>0</v>
      </c>
      <c r="E16" s="14">
        <f ca="1">COUNTIFS(AMP2_8[[#All],[Date]],"&gt;="&amp;YieldRates!A16,AMP2_8[[#All],[Date]],"&lt;"&amp;YieldRates!A17)</f>
        <v>0</v>
      </c>
      <c r="F16" s="14">
        <f ca="1">COUNTIFS(AMP6_4[[#All],[Date]],"&gt;="&amp;YieldRates!A16,AMP6_4[[#All],[Date]],"&lt;"&amp;YieldRates!A17)</f>
        <v>0</v>
      </c>
      <c r="G16" s="14">
        <f ca="1">COUNTIFS(AMP7_8[[#All],[Date]],"&gt;="&amp;YieldRates!A16,AMP7_8[[#All],[Date]],"&lt;"&amp;YieldRates!A17)</f>
        <v>0</v>
      </c>
      <c r="H16" s="14">
        <f ca="1">COUNTIFS(AMP5_4[[#All],[Date]],"&gt;="&amp;YieldRates!A16,AMP5_4[[#All],[Date]],"&lt;"&amp;YieldRates!A17)</f>
        <v>0</v>
      </c>
      <c r="I16" s="18"/>
      <c r="J16" s="14">
        <f t="shared" ca="1" si="0"/>
        <v>0</v>
      </c>
      <c r="K16" s="14" t="str">
        <f t="shared" ca="1" si="1"/>
        <v>1st and 2nd</v>
      </c>
      <c r="L16" s="274">
        <f t="shared" ca="1" si="2"/>
        <v>0</v>
      </c>
    </row>
    <row r="17" spans="1:16" x14ac:dyDescent="0.25">
      <c r="A17" s="16">
        <f ca="1">TODAY()-0.85</f>
        <v>43711.15</v>
      </c>
      <c r="B17" s="14">
        <f ca="1">COUNTIFS(AMP1_6[[#All],[Date]],"&gt;="&amp;YieldRates!A17,AMP1_6[[#All],[Date]],"&lt;"&amp;YieldRates!A18)</f>
        <v>10</v>
      </c>
      <c r="C17" s="14">
        <f ca="1">COUNTIFS(AMP1_8[[#All],[Date]],"&gt;="&amp;YieldRates!A17,AMP1_8[[#All],[Date]],"&lt;"&amp;YieldRates!A18)</f>
        <v>6</v>
      </c>
      <c r="D17" s="14">
        <f ca="1">COUNTIFS(AMP2_6[[#All],[Date]],"&gt;="&amp;YieldRates!A17,AMP2_6[[#All],[Date]],"&lt;"&amp;YieldRates!A18)</f>
        <v>0</v>
      </c>
      <c r="E17" s="14">
        <f ca="1">COUNTIFS(AMP2_8[[#All],[Date]],"&gt;="&amp;YieldRates!A17,AMP2_8[[#All],[Date]],"&lt;"&amp;YieldRates!A18)</f>
        <v>0</v>
      </c>
      <c r="F17" s="14">
        <f ca="1">COUNTIFS(AMP6_4[[#All],[Date]],"&gt;="&amp;YieldRates!A17,AMP6_4[[#All],[Date]],"&lt;"&amp;YieldRates!A18)</f>
        <v>12</v>
      </c>
      <c r="G17" s="14">
        <f ca="1">COUNTIFS(AMP7_8[[#All],[Date]],"&gt;="&amp;YieldRates!A17,AMP7_8[[#All],[Date]],"&lt;"&amp;YieldRates!A18)</f>
        <v>18</v>
      </c>
      <c r="H17" s="14">
        <f ca="1">COUNTIFS(AMP5_4[[#All],[Date]],"&gt;="&amp;YieldRates!A17,AMP5_4[[#All],[Date]],"&lt;"&amp;YieldRates!A18)</f>
        <v>12</v>
      </c>
      <c r="I17" s="18"/>
      <c r="J17" s="14">
        <f t="shared" ca="1" si="0"/>
        <v>58</v>
      </c>
      <c r="K17" s="14" t="str">
        <f t="shared" ca="1" si="1"/>
        <v>1st and 2nd</v>
      </c>
      <c r="L17" s="274">
        <f t="shared" ca="1" si="2"/>
        <v>0.28999999999999998</v>
      </c>
    </row>
    <row r="18" spans="1:16" x14ac:dyDescent="0.25">
      <c r="A18" s="16">
        <f ca="1">TODAY()+0.15</f>
        <v>43712.15</v>
      </c>
      <c r="B18" s="14">
        <f ca="1">COUNTIFS(AMP1_6[[#All],[Date]],"&gt;="&amp;YieldRates!A18,AMP1_6[[#All],[Date]],"&lt;"&amp;YieldRates!A19)</f>
        <v>2</v>
      </c>
      <c r="C18" s="14">
        <f ca="1">COUNTIFS(AMP1_8[[#All],[Date]],"&gt;="&amp;YieldRates!A18,AMP1_8[[#All],[Date]],"&lt;"&amp;YieldRates!A19)</f>
        <v>0</v>
      </c>
      <c r="D18" s="14">
        <f ca="1">COUNTIFS(AMP2_6[[#All],[Date]],"&gt;="&amp;YieldRates!A18,AMP2_6[[#All],[Date]],"&lt;"&amp;YieldRates!A19)</f>
        <v>0</v>
      </c>
      <c r="E18" s="14">
        <f ca="1">COUNTIFS(AMP2_8[[#All],[Date]],"&gt;="&amp;YieldRates!A18,AMP2_8[[#All],[Date]],"&lt;"&amp;YieldRates!A19)</f>
        <v>0</v>
      </c>
      <c r="F18" s="14">
        <f ca="1">COUNTIFS(AMP6_4[[#All],[Date]],"&gt;="&amp;YieldRates!A18,AMP6_4[[#All],[Date]],"&lt;"&amp;YieldRates!A19)</f>
        <v>2</v>
      </c>
      <c r="G18" s="14">
        <f ca="1">COUNTIFS(AMP7_8[[#All],[Date]],"&gt;="&amp;YieldRates!A18,AMP7_8[[#All],[Date]],"&lt;"&amp;YieldRates!A19)</f>
        <v>2</v>
      </c>
      <c r="H18" s="14">
        <f ca="1">COUNTIFS(AMP5_4[[#All],[Date]],"&gt;="&amp;YieldRates!A18,AMP5_4[[#All],[Date]],"&lt;"&amp;YieldRates!A19)</f>
        <v>0</v>
      </c>
      <c r="I18" s="18"/>
      <c r="J18" s="14">
        <f t="shared" ca="1" si="0"/>
        <v>6</v>
      </c>
      <c r="K18" s="14" t="str">
        <f t="shared" ca="1" si="1"/>
        <v>1st and 2nd</v>
      </c>
      <c r="L18" s="274">
        <f t="shared" ca="1" si="2"/>
        <v>0.03</v>
      </c>
    </row>
    <row r="19" spans="1:16" x14ac:dyDescent="0.25">
      <c r="A19" s="17">
        <f ca="1">TODAY()+1.15</f>
        <v>43713.15</v>
      </c>
      <c r="B19" s="15"/>
      <c r="C19" s="15"/>
      <c r="D19" s="15"/>
      <c r="E19" s="15"/>
      <c r="F19" s="15"/>
      <c r="G19" s="15"/>
      <c r="H19" s="15"/>
      <c r="I19" s="18"/>
      <c r="J19" s="15"/>
      <c r="K19" s="15"/>
      <c r="L19" s="275"/>
    </row>
    <row r="20" spans="1:16" x14ac:dyDescent="0.25">
      <c r="A20" s="1"/>
      <c r="B20" s="23">
        <f ca="1">AVERAGE(B4:B18)</f>
        <v>6.5333333333333332</v>
      </c>
      <c r="C20" s="23">
        <f t="shared" ref="C20:L20" ca="1" si="3">AVERAGE(C4:C18)</f>
        <v>5.4666666666666668</v>
      </c>
      <c r="D20" s="23">
        <f t="shared" ca="1" si="3"/>
        <v>1.8666666666666667</v>
      </c>
      <c r="E20" s="23">
        <f t="shared" ca="1" si="3"/>
        <v>0</v>
      </c>
      <c r="F20" s="23">
        <f t="shared" ca="1" si="3"/>
        <v>3.4666666666666668</v>
      </c>
      <c r="G20" s="23">
        <f t="shared" ca="1" si="3"/>
        <v>8.5333333333333332</v>
      </c>
      <c r="H20" s="23">
        <f t="shared" ca="1" si="3"/>
        <v>8.2666666666666675</v>
      </c>
      <c r="I20" s="24"/>
      <c r="J20" s="23">
        <f t="shared" ca="1" si="3"/>
        <v>34.133333333333333</v>
      </c>
      <c r="L20" s="274">
        <f t="shared" ca="1" si="3"/>
        <v>0.19599999999999998</v>
      </c>
    </row>
    <row r="21" spans="1:16" x14ac:dyDescent="0.25">
      <c r="A21" s="1"/>
    </row>
    <row r="22" spans="1:16" x14ac:dyDescent="0.25">
      <c r="B22" s="793" t="s">
        <v>59</v>
      </c>
      <c r="C22" s="793"/>
      <c r="D22" s="793"/>
      <c r="E22" s="793"/>
      <c r="F22" s="793"/>
      <c r="G22" s="793"/>
      <c r="H22" s="793"/>
      <c r="I22" s="13"/>
    </row>
    <row r="23" spans="1:16" x14ac:dyDescent="0.25">
      <c r="A23" s="14"/>
      <c r="B23" s="14" t="str">
        <f t="shared" ref="B23:H23" si="4">B2</f>
        <v>AE1_5</v>
      </c>
      <c r="C23" s="14" t="str">
        <f t="shared" si="4"/>
        <v>AE1_7</v>
      </c>
      <c r="D23" s="14" t="str">
        <f t="shared" si="4"/>
        <v>AE2_5</v>
      </c>
      <c r="E23" s="14" t="str">
        <f t="shared" si="4"/>
        <v>AE2_7</v>
      </c>
      <c r="F23" s="14" t="str">
        <f t="shared" si="4"/>
        <v>AE3_3</v>
      </c>
      <c r="G23" s="14" t="str">
        <f t="shared" si="4"/>
        <v>AE4_7</v>
      </c>
      <c r="H23" s="14" t="str">
        <f t="shared" si="4"/>
        <v>AE5_3</v>
      </c>
      <c r="I23" s="18"/>
      <c r="J23" s="14" t="s">
        <v>45</v>
      </c>
      <c r="K23" s="14" t="s">
        <v>44</v>
      </c>
      <c r="O23" s="792" t="s">
        <v>48</v>
      </c>
      <c r="P23" s="792"/>
    </row>
    <row r="24" spans="1:16" x14ac:dyDescent="0.25">
      <c r="A24" s="16">
        <f ca="1">A3</f>
        <v>43697.15</v>
      </c>
      <c r="B24" s="15">
        <f ca="1">COUNTIFS(AMP1_6[[#All],[Date]],"&gt;="&amp;YieldRates!A24,AMP1_6[[#All],[Date]],"&lt;"&amp;YieldRates!A25,AMP1_6[[#All],[OOT]],"&gt;0")</f>
        <v>0</v>
      </c>
      <c r="C24" s="15">
        <f ca="1">COUNTIFS(AMP1_8[[#All],[Date]],"&gt;="&amp;YieldRates!A24,AMP1_8[[#All],[Date]],"&lt;"&amp;YieldRates!A25,AMP1_8[[#All],[OOT]],"&gt;0")</f>
        <v>0</v>
      </c>
      <c r="D24" s="15">
        <f ca="1">COUNTIFS(AMP2_6[[#All],[Date]],"&gt;="&amp;YieldRates!A24,AMP2_6[[#All],[Date]],"&lt;"&amp;YieldRates!A25,AMP2_6[[#All],[OOT]],"&gt;0")</f>
        <v>0</v>
      </c>
      <c r="E24" s="15">
        <f ca="1">COUNTIFS(AMP2_8[[#All],[Date]],"&gt;="&amp;YieldRates!A24,AMP2_8[[#All],[Date]],"&lt;"&amp;YieldRates!A25,AMP2_8[[#All],[OOT]],"&gt;0")</f>
        <v>0</v>
      </c>
      <c r="F24" s="15">
        <f ca="1">COUNTIFS(AMP6_4[[#All],[Date]],"&gt;="&amp;YieldRates!A24,AMP6_4[[#All],[Date]],"&lt;"&amp;YieldRates!A25,AMP6_4[[#All],[OOT]],"&gt;0")</f>
        <v>0</v>
      </c>
      <c r="G24" s="15">
        <f ca="1">COUNTIFS(AMP7_8[[#All],[Date]],"&gt;="&amp;YieldRates!A24,AMP7_8[[#All],[Date]],"&lt;"&amp;YieldRates!A25,AMP7_8[[#All],[OOT]],"&gt;0")</f>
        <v>0</v>
      </c>
      <c r="H24" s="15">
        <f ca="1">COUNTIFS(AMP5_4[[#All],[Date]],"&gt;="&amp;YieldRates!A24,AMP5_4[[#All],[Date]],"&lt;"&amp;YieldRates!A25,AMP5_4[[#All],[OOT]],"&gt;0")</f>
        <v>0</v>
      </c>
      <c r="I24" s="18"/>
      <c r="J24" s="15"/>
      <c r="K24" s="15"/>
      <c r="O24" s="14" t="s">
        <v>46</v>
      </c>
      <c r="P24" s="14" t="s">
        <v>47</v>
      </c>
    </row>
    <row r="25" spans="1:16" x14ac:dyDescent="0.25">
      <c r="A25" s="16">
        <f t="shared" ref="A25:A40" ca="1" si="5">A4</f>
        <v>43698.15</v>
      </c>
      <c r="B25" s="14">
        <f ca="1">COUNTIFS(AMP1_6[[#All],[Date]],"&gt;="&amp;YieldRates!A25,AMP1_6[[#All],[Date]],"&lt;"&amp;YieldRates!A26,AMP1_6[[#All],[OOT]],"&gt;0")</f>
        <v>0</v>
      </c>
      <c r="C25" s="14">
        <f ca="1">COUNTIFS(AMP1_8[[#All],[Date]],"&gt;="&amp;YieldRates!A25,AMP1_8[[#All],[Date]],"&lt;"&amp;YieldRates!A26,AMP1_8[[#All],[OOT]],"&gt;0")</f>
        <v>0</v>
      </c>
      <c r="D25" s="14">
        <f ca="1">COUNTIFS(AMP2_6[[#All],[Date]],"&gt;="&amp;YieldRates!A25,AMP2_6[[#All],[Date]],"&lt;"&amp;YieldRates!A26,AMP2_6[[#All],[OOT]],"&gt;0")</f>
        <v>0</v>
      </c>
      <c r="E25" s="14">
        <f ca="1">COUNTIFS(AMP2_8[[#All],[Date]],"&gt;="&amp;YieldRates!A25,AMP2_8[[#All],[Date]],"&lt;"&amp;YieldRates!A26,AMP2_8[[#All],[OOT]],"&gt;0")</f>
        <v>0</v>
      </c>
      <c r="F25" s="14">
        <f ca="1">COUNTIFS(AMP6_4[[#All],[Date]],"&gt;="&amp;YieldRates!A25,AMP6_4[[#All],[Date]],"&lt;"&amp;YieldRates!A26,AMP6_4[[#All],[OOT]],"&gt;0")</f>
        <v>0</v>
      </c>
      <c r="G25" s="14">
        <f ca="1">COUNTIFS(AMP7_8[[#All],[Date]],"&gt;="&amp;YieldRates!A25,AMP7_8[[#All],[Date]],"&lt;"&amp;YieldRates!A26,AMP7_8[[#All],[OOT]],"&gt;0")</f>
        <v>0</v>
      </c>
      <c r="H25" s="14">
        <f ca="1">COUNTIFS(AMP5_4[[#All],[Date]],"&gt;="&amp;YieldRates!A25,AMP5_4[[#All],[Date]],"&lt;"&amp;YieldRates!A26,AMP5_4[[#All],[OOT]],"&gt;0")</f>
        <v>0</v>
      </c>
      <c r="I25" s="18"/>
      <c r="J25" s="14">
        <f t="shared" ref="J25:J39" ca="1" si="6">SUM(B25:H25)</f>
        <v>0</v>
      </c>
      <c r="K25" s="14" t="str">
        <f t="shared" ref="K25:K39" ca="1" si="7">IF(WEEKDAY(A25,11)&lt;5,"1st and 2nd","3rd")</f>
        <v>1st and 2nd</v>
      </c>
      <c r="O25" s="19">
        <f ca="1">AVERAGEIF(K25:K39,O24,J25:J39)</f>
        <v>2.7777777777777777</v>
      </c>
      <c r="P25" s="19">
        <f ca="1">AVERAGEIF(K25:K39,P24,J25:J39)</f>
        <v>1.1666666666666667</v>
      </c>
    </row>
    <row r="26" spans="1:16" x14ac:dyDescent="0.25">
      <c r="A26" s="16">
        <f t="shared" ca="1" si="5"/>
        <v>43699.15</v>
      </c>
      <c r="B26" s="14">
        <f ca="1">COUNTIFS(AMP1_6[[#All],[Date]],"&gt;="&amp;YieldRates!A26,AMP1_6[[#All],[Date]],"&lt;"&amp;YieldRates!A27,AMP1_6[[#All],[OOT]],"&gt;0")</f>
        <v>0</v>
      </c>
      <c r="C26" s="14">
        <f ca="1">COUNTIFS(AMP1_8[[#All],[Date]],"&gt;="&amp;YieldRates!A26,AMP1_8[[#All],[Date]],"&lt;"&amp;YieldRates!A27,AMP1_8[[#All],[OOT]],"&gt;0")</f>
        <v>0</v>
      </c>
      <c r="D26" s="14">
        <f ca="1">COUNTIFS(AMP2_6[[#All],[Date]],"&gt;="&amp;YieldRates!A26,AMP2_6[[#All],[Date]],"&lt;"&amp;YieldRates!A27,AMP2_6[[#All],[OOT]],"&gt;0")</f>
        <v>0</v>
      </c>
      <c r="E26" s="14">
        <f ca="1">COUNTIFS(AMP2_8[[#All],[Date]],"&gt;="&amp;YieldRates!A26,AMP2_8[[#All],[Date]],"&lt;"&amp;YieldRates!A27,AMP2_8[[#All],[OOT]],"&gt;0")</f>
        <v>0</v>
      </c>
      <c r="F26" s="14">
        <f ca="1">COUNTIFS(AMP6_4[[#All],[Date]],"&gt;="&amp;YieldRates!A26,AMP6_4[[#All],[Date]],"&lt;"&amp;YieldRates!A27,AMP6_4[[#All],[OOT]],"&gt;0")</f>
        <v>0</v>
      </c>
      <c r="G26" s="14">
        <f ca="1">COUNTIFS(AMP7_8[[#All],[Date]],"&gt;="&amp;YieldRates!A26,AMP7_8[[#All],[Date]],"&lt;"&amp;YieldRates!A27,AMP7_8[[#All],[OOT]],"&gt;0")</f>
        <v>0</v>
      </c>
      <c r="H26" s="14">
        <f ca="1">COUNTIFS(AMP5_4[[#All],[Date]],"&gt;="&amp;YieldRates!A26,AMP5_4[[#All],[Date]],"&lt;"&amp;YieldRates!A27,AMP5_4[[#All],[OOT]],"&gt;0")</f>
        <v>2</v>
      </c>
      <c r="I26" s="18"/>
      <c r="J26" s="14">
        <f t="shared" ca="1" si="6"/>
        <v>2</v>
      </c>
      <c r="K26" s="14" t="str">
        <f t="shared" ca="1" si="7"/>
        <v>1st and 2nd</v>
      </c>
    </row>
    <row r="27" spans="1:16" x14ac:dyDescent="0.25">
      <c r="A27" s="16">
        <f t="shared" ca="1" si="5"/>
        <v>43700.15</v>
      </c>
      <c r="B27" s="14">
        <f ca="1">COUNTIFS(AMP1_6[[#All],[Date]],"&gt;="&amp;YieldRates!A27,AMP1_6[[#All],[Date]],"&lt;"&amp;YieldRates!A28,AMP1_6[[#All],[OOT]],"&gt;0")</f>
        <v>0</v>
      </c>
      <c r="C27" s="14">
        <f ca="1">COUNTIFS(AMP1_8[[#All],[Date]],"&gt;="&amp;YieldRates!A27,AMP1_8[[#All],[Date]],"&lt;"&amp;YieldRates!A28,AMP1_8[[#All],[OOT]],"&gt;0")</f>
        <v>0</v>
      </c>
      <c r="D27" s="14">
        <f ca="1">COUNTIFS(AMP2_6[[#All],[Date]],"&gt;="&amp;YieldRates!A27,AMP2_6[[#All],[Date]],"&lt;"&amp;YieldRates!A28,AMP2_6[[#All],[OOT]],"&gt;0")</f>
        <v>0</v>
      </c>
      <c r="E27" s="14">
        <f ca="1">COUNTIFS(AMP2_8[[#All],[Date]],"&gt;="&amp;YieldRates!A27,AMP2_8[[#All],[Date]],"&lt;"&amp;YieldRates!A28,AMP2_8[[#All],[OOT]],"&gt;0")</f>
        <v>0</v>
      </c>
      <c r="F27" s="14">
        <f ca="1">COUNTIFS(AMP6_4[[#All],[Date]],"&gt;="&amp;YieldRates!A27,AMP6_4[[#All],[Date]],"&lt;"&amp;YieldRates!A28,AMP6_4[[#All],[OOT]],"&gt;0")</f>
        <v>0</v>
      </c>
      <c r="G27" s="14">
        <f ca="1">COUNTIFS(AMP7_8[[#All],[Date]],"&gt;="&amp;YieldRates!A27,AMP7_8[[#All],[Date]],"&lt;"&amp;YieldRates!A28,AMP7_8[[#All],[OOT]],"&gt;0")</f>
        <v>1</v>
      </c>
      <c r="H27" s="14">
        <f ca="1">COUNTIFS(AMP5_4[[#All],[Date]],"&gt;="&amp;YieldRates!A27,AMP5_4[[#All],[Date]],"&lt;"&amp;YieldRates!A28,AMP5_4[[#All],[OOT]],"&gt;0")</f>
        <v>2</v>
      </c>
      <c r="I27" s="18"/>
      <c r="J27" s="14">
        <f t="shared" ca="1" si="6"/>
        <v>3</v>
      </c>
      <c r="K27" s="14" t="str">
        <f t="shared" ca="1" si="7"/>
        <v>3rd</v>
      </c>
    </row>
    <row r="28" spans="1:16" x14ac:dyDescent="0.25">
      <c r="A28" s="16">
        <f t="shared" ca="1" si="5"/>
        <v>43701.15</v>
      </c>
      <c r="B28" s="14">
        <f ca="1">COUNTIFS(AMP1_6[[#All],[Date]],"&gt;="&amp;YieldRates!A28,AMP1_6[[#All],[Date]],"&lt;"&amp;YieldRates!A29,AMP1_6[[#All],[OOT]],"&gt;0")</f>
        <v>0</v>
      </c>
      <c r="C28" s="14">
        <f ca="1">COUNTIFS(AMP1_8[[#All],[Date]],"&gt;="&amp;YieldRates!A28,AMP1_8[[#All],[Date]],"&lt;"&amp;YieldRates!A29,AMP1_8[[#All],[OOT]],"&gt;0")</f>
        <v>0</v>
      </c>
      <c r="D28" s="14">
        <f ca="1">COUNTIFS(AMP2_6[[#All],[Date]],"&gt;="&amp;YieldRates!A28,AMP2_6[[#All],[Date]],"&lt;"&amp;YieldRates!A29,AMP2_6[[#All],[OOT]],"&gt;0")</f>
        <v>0</v>
      </c>
      <c r="E28" s="14">
        <f ca="1">COUNTIFS(AMP2_8[[#All],[Date]],"&gt;="&amp;YieldRates!A28,AMP2_8[[#All],[Date]],"&lt;"&amp;YieldRates!A29,AMP2_8[[#All],[OOT]],"&gt;0")</f>
        <v>0</v>
      </c>
      <c r="F28" s="14">
        <f ca="1">COUNTIFS(AMP6_4[[#All],[Date]],"&gt;="&amp;YieldRates!A28,AMP6_4[[#All],[Date]],"&lt;"&amp;YieldRates!A29,AMP6_4[[#All],[OOT]],"&gt;0")</f>
        <v>0</v>
      </c>
      <c r="G28" s="14">
        <f ca="1">COUNTIFS(AMP7_8[[#All],[Date]],"&gt;="&amp;YieldRates!A28,AMP7_8[[#All],[Date]],"&lt;"&amp;YieldRates!A29,AMP7_8[[#All],[OOT]],"&gt;0")</f>
        <v>1</v>
      </c>
      <c r="H28" s="14">
        <f ca="1">COUNTIFS(AMP5_4[[#All],[Date]],"&gt;="&amp;YieldRates!A28,AMP5_4[[#All],[Date]],"&lt;"&amp;YieldRates!A29,AMP5_4[[#All],[OOT]],"&gt;0")</f>
        <v>0</v>
      </c>
      <c r="I28" s="18"/>
      <c r="J28" s="14">
        <f t="shared" ca="1" si="6"/>
        <v>1</v>
      </c>
      <c r="K28" s="14" t="str">
        <f t="shared" ca="1" si="7"/>
        <v>3rd</v>
      </c>
    </row>
    <row r="29" spans="1:16" x14ac:dyDescent="0.25">
      <c r="A29" s="16">
        <f t="shared" ca="1" si="5"/>
        <v>43702.15</v>
      </c>
      <c r="B29" s="14">
        <f ca="1">COUNTIFS(AMP1_6[[#All],[Date]],"&gt;="&amp;YieldRates!A29,AMP1_6[[#All],[Date]],"&lt;"&amp;YieldRates!A30,AMP1_6[[#All],[OOT]],"&gt;0")</f>
        <v>0</v>
      </c>
      <c r="C29" s="14">
        <f ca="1">COUNTIFS(AMP1_8[[#All],[Date]],"&gt;="&amp;YieldRates!A29,AMP1_8[[#All],[Date]],"&lt;"&amp;YieldRates!A30,AMP1_8[[#All],[OOT]],"&gt;0")</f>
        <v>0</v>
      </c>
      <c r="D29" s="14">
        <f ca="1">COUNTIFS(AMP2_6[[#All],[Date]],"&gt;="&amp;YieldRates!A29,AMP2_6[[#All],[Date]],"&lt;"&amp;YieldRates!A30,AMP2_6[[#All],[OOT]],"&gt;0")</f>
        <v>0</v>
      </c>
      <c r="E29" s="14">
        <f ca="1">COUNTIFS(AMP2_8[[#All],[Date]],"&gt;="&amp;YieldRates!A29,AMP2_8[[#All],[Date]],"&lt;"&amp;YieldRates!A30,AMP2_8[[#All],[OOT]],"&gt;0")</f>
        <v>0</v>
      </c>
      <c r="F29" s="14">
        <f ca="1">COUNTIFS(AMP6_4[[#All],[Date]],"&gt;="&amp;YieldRates!A29,AMP6_4[[#All],[Date]],"&lt;"&amp;YieldRates!A30,AMP6_4[[#All],[OOT]],"&gt;0")</f>
        <v>0</v>
      </c>
      <c r="G29" s="14">
        <f ca="1">COUNTIFS(AMP7_8[[#All],[Date]],"&gt;="&amp;YieldRates!A29,AMP7_8[[#All],[Date]],"&lt;"&amp;YieldRates!A30,AMP7_8[[#All],[OOT]],"&gt;0")</f>
        <v>0</v>
      </c>
      <c r="H29" s="14">
        <f ca="1">COUNTIFS(AMP5_4[[#All],[Date]],"&gt;="&amp;YieldRates!A29,AMP5_4[[#All],[Date]],"&lt;"&amp;YieldRates!A30,AMP5_4[[#All],[OOT]],"&gt;0")</f>
        <v>0</v>
      </c>
      <c r="I29" s="18"/>
      <c r="J29" s="14">
        <f t="shared" ca="1" si="6"/>
        <v>0</v>
      </c>
      <c r="K29" s="14" t="str">
        <f t="shared" ca="1" si="7"/>
        <v>3rd</v>
      </c>
    </row>
    <row r="30" spans="1:16" x14ac:dyDescent="0.25">
      <c r="A30" s="16">
        <f t="shared" ca="1" si="5"/>
        <v>43703.15</v>
      </c>
      <c r="B30" s="14">
        <f ca="1">COUNTIFS(AMP1_6[[#All],[Date]],"&gt;="&amp;YieldRates!A30,AMP1_6[[#All],[Date]],"&lt;"&amp;YieldRates!A31,AMP1_6[[#All],[OOT]],"&gt;0")</f>
        <v>0</v>
      </c>
      <c r="C30" s="14">
        <f ca="1">COUNTIFS(AMP1_8[[#All],[Date]],"&gt;="&amp;YieldRates!A30,AMP1_8[[#All],[Date]],"&lt;"&amp;YieldRates!A31,AMP1_8[[#All],[OOT]],"&gt;0")</f>
        <v>0</v>
      </c>
      <c r="D30" s="14">
        <f ca="1">COUNTIFS(AMP2_6[[#All],[Date]],"&gt;="&amp;YieldRates!A30,AMP2_6[[#All],[Date]],"&lt;"&amp;YieldRates!A31,AMP2_6[[#All],[OOT]],"&gt;0")</f>
        <v>0</v>
      </c>
      <c r="E30" s="14">
        <f ca="1">COUNTIFS(AMP2_8[[#All],[Date]],"&gt;="&amp;YieldRates!A30,AMP2_8[[#All],[Date]],"&lt;"&amp;YieldRates!A31,AMP2_8[[#All],[OOT]],"&gt;0")</f>
        <v>0</v>
      </c>
      <c r="F30" s="14">
        <f ca="1">COUNTIFS(AMP6_4[[#All],[Date]],"&gt;="&amp;YieldRates!A30,AMP6_4[[#All],[Date]],"&lt;"&amp;YieldRates!A31,AMP6_4[[#All],[OOT]],"&gt;0")</f>
        <v>0</v>
      </c>
      <c r="G30" s="14">
        <f ca="1">COUNTIFS(AMP7_8[[#All],[Date]],"&gt;="&amp;YieldRates!A30,AMP7_8[[#All],[Date]],"&lt;"&amp;YieldRates!A31,AMP7_8[[#All],[OOT]],"&gt;0")</f>
        <v>2</v>
      </c>
      <c r="H30" s="14">
        <f ca="1">COUNTIFS(AMP5_4[[#All],[Date]],"&gt;="&amp;YieldRates!A30,AMP5_4[[#All],[Date]],"&lt;"&amp;YieldRates!A31,AMP5_4[[#All],[OOT]],"&gt;0")</f>
        <v>2</v>
      </c>
      <c r="I30" s="18"/>
      <c r="J30" s="14">
        <f t="shared" ca="1" si="6"/>
        <v>4</v>
      </c>
      <c r="K30" s="14" t="str">
        <f t="shared" ca="1" si="7"/>
        <v>1st and 2nd</v>
      </c>
    </row>
    <row r="31" spans="1:16" x14ac:dyDescent="0.25">
      <c r="A31" s="16">
        <f t="shared" ca="1" si="5"/>
        <v>43704.15</v>
      </c>
      <c r="B31" s="14">
        <f ca="1">COUNTIFS(AMP1_6[[#All],[Date]],"&gt;="&amp;YieldRates!A31,AMP1_6[[#All],[Date]],"&lt;"&amp;YieldRates!A32,AMP1_6[[#All],[OOT]],"&gt;0")</f>
        <v>3</v>
      </c>
      <c r="C31" s="14">
        <f ca="1">COUNTIFS(AMP1_8[[#All],[Date]],"&gt;="&amp;YieldRates!A31,AMP1_8[[#All],[Date]],"&lt;"&amp;YieldRates!A32,AMP1_8[[#All],[OOT]],"&gt;0")</f>
        <v>0</v>
      </c>
      <c r="D31" s="14">
        <f ca="1">COUNTIFS(AMP2_6[[#All],[Date]],"&gt;="&amp;YieldRates!A31,AMP2_6[[#All],[Date]],"&lt;"&amp;YieldRates!A32,AMP2_6[[#All],[OOT]],"&gt;0")</f>
        <v>0</v>
      </c>
      <c r="E31" s="14">
        <f ca="1">COUNTIFS(AMP2_8[[#All],[Date]],"&gt;="&amp;YieldRates!A31,AMP2_8[[#All],[Date]],"&lt;"&amp;YieldRates!A32,AMP2_8[[#All],[OOT]],"&gt;0")</f>
        <v>0</v>
      </c>
      <c r="F31" s="14">
        <f ca="1">COUNTIFS(AMP6_4[[#All],[Date]],"&gt;="&amp;YieldRates!A31,AMP6_4[[#All],[Date]],"&lt;"&amp;YieldRates!A32,AMP6_4[[#All],[OOT]],"&gt;0")</f>
        <v>0</v>
      </c>
      <c r="G31" s="14">
        <f ca="1">COUNTIFS(AMP7_8[[#All],[Date]],"&gt;="&amp;YieldRates!A31,AMP7_8[[#All],[Date]],"&lt;"&amp;YieldRates!A32,AMP7_8[[#All],[OOT]],"&gt;0")</f>
        <v>2</v>
      </c>
      <c r="H31" s="14">
        <f ca="1">COUNTIFS(AMP5_4[[#All],[Date]],"&gt;="&amp;YieldRates!A31,AMP5_4[[#All],[Date]],"&lt;"&amp;YieldRates!A32,AMP5_4[[#All],[OOT]],"&gt;0")</f>
        <v>0</v>
      </c>
      <c r="I31" s="18"/>
      <c r="J31" s="14">
        <f t="shared" ca="1" si="6"/>
        <v>5</v>
      </c>
      <c r="K31" s="14" t="str">
        <f t="shared" ca="1" si="7"/>
        <v>1st and 2nd</v>
      </c>
    </row>
    <row r="32" spans="1:16" x14ac:dyDescent="0.25">
      <c r="A32" s="16">
        <f t="shared" ca="1" si="5"/>
        <v>43705.15</v>
      </c>
      <c r="B32" s="14">
        <f ca="1">COUNTIFS(AMP1_6[[#All],[Date]],"&gt;="&amp;YieldRates!A32,AMP1_6[[#All],[Date]],"&lt;"&amp;YieldRates!A33,AMP1_6[[#All],[OOT]],"&gt;0")</f>
        <v>0</v>
      </c>
      <c r="C32" s="14">
        <f ca="1">COUNTIFS(AMP1_8[[#All],[Date]],"&gt;="&amp;YieldRates!A32,AMP1_8[[#All],[Date]],"&lt;"&amp;YieldRates!A33,AMP1_8[[#All],[OOT]],"&gt;0")</f>
        <v>0</v>
      </c>
      <c r="D32" s="14">
        <f ca="1">COUNTIFS(AMP2_6[[#All],[Date]],"&gt;="&amp;YieldRates!A32,AMP2_6[[#All],[Date]],"&lt;"&amp;YieldRates!A33,AMP2_6[[#All],[OOT]],"&gt;0")</f>
        <v>1</v>
      </c>
      <c r="E32" s="14">
        <f ca="1">COUNTIFS(AMP2_8[[#All],[Date]],"&gt;="&amp;YieldRates!A32,AMP2_8[[#All],[Date]],"&lt;"&amp;YieldRates!A33,AMP2_8[[#All],[OOT]],"&gt;0")</f>
        <v>0</v>
      </c>
      <c r="F32" s="14">
        <f ca="1">COUNTIFS(AMP6_4[[#All],[Date]],"&gt;="&amp;YieldRates!A32,AMP6_4[[#All],[Date]],"&lt;"&amp;YieldRates!A33,AMP6_4[[#All],[OOT]],"&gt;0")</f>
        <v>4</v>
      </c>
      <c r="G32" s="14">
        <f ca="1">COUNTIFS(AMP7_8[[#All],[Date]],"&gt;="&amp;YieldRates!A32,AMP7_8[[#All],[Date]],"&lt;"&amp;YieldRates!A33,AMP7_8[[#All],[OOT]],"&gt;0")</f>
        <v>3</v>
      </c>
      <c r="H32" s="14">
        <f ca="1">COUNTIFS(AMP5_4[[#All],[Date]],"&gt;="&amp;YieldRates!A32,AMP5_4[[#All],[Date]],"&lt;"&amp;YieldRates!A33,AMP5_4[[#All],[OOT]],"&gt;0")</f>
        <v>2</v>
      </c>
      <c r="I32" s="18"/>
      <c r="J32" s="14">
        <f t="shared" ca="1" si="6"/>
        <v>10</v>
      </c>
      <c r="K32" s="14" t="str">
        <f t="shared" ca="1" si="7"/>
        <v>1st and 2nd</v>
      </c>
    </row>
    <row r="33" spans="1:16" x14ac:dyDescent="0.25">
      <c r="A33" s="16">
        <f t="shared" ca="1" si="5"/>
        <v>43706.15</v>
      </c>
      <c r="B33" s="14">
        <f ca="1">COUNTIFS(AMP1_6[[#All],[Date]],"&gt;="&amp;YieldRates!A33,AMP1_6[[#All],[Date]],"&lt;"&amp;YieldRates!A34,AMP1_6[[#All],[OOT]],"&gt;0")</f>
        <v>0</v>
      </c>
      <c r="C33" s="14">
        <f ca="1">COUNTIFS(AMP1_8[[#All],[Date]],"&gt;="&amp;YieldRates!A33,AMP1_8[[#All],[Date]],"&lt;"&amp;YieldRates!A34,AMP1_8[[#All],[OOT]],"&gt;0")</f>
        <v>0</v>
      </c>
      <c r="D33" s="14">
        <f ca="1">COUNTIFS(AMP2_6[[#All],[Date]],"&gt;="&amp;YieldRates!A33,AMP2_6[[#All],[Date]],"&lt;"&amp;YieldRates!A34,AMP2_6[[#All],[OOT]],"&gt;0")</f>
        <v>0</v>
      </c>
      <c r="E33" s="14">
        <f ca="1">COUNTIFS(AMP2_8[[#All],[Date]],"&gt;="&amp;YieldRates!A33,AMP2_8[[#All],[Date]],"&lt;"&amp;YieldRates!A34,AMP2_8[[#All],[OOT]],"&gt;0")</f>
        <v>0</v>
      </c>
      <c r="F33" s="14">
        <f ca="1">COUNTIFS(AMP6_4[[#All],[Date]],"&gt;="&amp;YieldRates!A33,AMP6_4[[#All],[Date]],"&lt;"&amp;YieldRates!A34,AMP6_4[[#All],[OOT]],"&gt;0")</f>
        <v>0</v>
      </c>
      <c r="G33" s="14">
        <f ca="1">COUNTIFS(AMP7_8[[#All],[Date]],"&gt;="&amp;YieldRates!A33,AMP7_8[[#All],[Date]],"&lt;"&amp;YieldRates!A34,AMP7_8[[#All],[OOT]],"&gt;0")</f>
        <v>0</v>
      </c>
      <c r="H33" s="14">
        <f ca="1">COUNTIFS(AMP5_4[[#All],[Date]],"&gt;="&amp;YieldRates!A33,AMP5_4[[#All],[Date]],"&lt;"&amp;YieldRates!A34,AMP5_4[[#All],[OOT]],"&gt;0")</f>
        <v>0</v>
      </c>
      <c r="I33" s="18"/>
      <c r="J33" s="14">
        <f t="shared" ca="1" si="6"/>
        <v>0</v>
      </c>
      <c r="K33" s="14" t="str">
        <f t="shared" ca="1" si="7"/>
        <v>1st and 2nd</v>
      </c>
    </row>
    <row r="34" spans="1:16" x14ac:dyDescent="0.25">
      <c r="A34" s="16">
        <f t="shared" ca="1" si="5"/>
        <v>43707.15</v>
      </c>
      <c r="B34" s="14">
        <f ca="1">COUNTIFS(AMP1_6[[#All],[Date]],"&gt;="&amp;YieldRates!A34,AMP1_6[[#All],[Date]],"&lt;"&amp;YieldRates!A35,AMP1_6[[#All],[OOT]],"&gt;0")</f>
        <v>0</v>
      </c>
      <c r="C34" s="14">
        <f ca="1">COUNTIFS(AMP1_8[[#All],[Date]],"&gt;="&amp;YieldRates!A34,AMP1_8[[#All],[Date]],"&lt;"&amp;YieldRates!A35,AMP1_8[[#All],[OOT]],"&gt;0")</f>
        <v>0</v>
      </c>
      <c r="D34" s="14">
        <f ca="1">COUNTIFS(AMP2_6[[#All],[Date]],"&gt;="&amp;YieldRates!A34,AMP2_6[[#All],[Date]],"&lt;"&amp;YieldRates!A35,AMP2_6[[#All],[OOT]],"&gt;0")</f>
        <v>0</v>
      </c>
      <c r="E34" s="14">
        <f ca="1">COUNTIFS(AMP2_8[[#All],[Date]],"&gt;="&amp;YieldRates!A34,AMP2_8[[#All],[Date]],"&lt;"&amp;YieldRates!A35,AMP2_8[[#All],[OOT]],"&gt;0")</f>
        <v>0</v>
      </c>
      <c r="F34" s="14">
        <f ca="1">COUNTIFS(AMP6_4[[#All],[Date]],"&gt;="&amp;YieldRates!A34,AMP6_4[[#All],[Date]],"&lt;"&amp;YieldRates!A35,AMP6_4[[#All],[OOT]],"&gt;0")</f>
        <v>0</v>
      </c>
      <c r="G34" s="14">
        <f ca="1">COUNTIFS(AMP7_8[[#All],[Date]],"&gt;="&amp;YieldRates!A34,AMP7_8[[#All],[Date]],"&lt;"&amp;YieldRates!A35,AMP7_8[[#All],[OOT]],"&gt;0")</f>
        <v>0</v>
      </c>
      <c r="H34" s="14">
        <f ca="1">COUNTIFS(AMP5_4[[#All],[Date]],"&gt;="&amp;YieldRates!A34,AMP5_4[[#All],[Date]],"&lt;"&amp;YieldRates!A35,AMP5_4[[#All],[OOT]],"&gt;0")</f>
        <v>0</v>
      </c>
      <c r="I34" s="18"/>
      <c r="J34" s="14">
        <f t="shared" ca="1" si="6"/>
        <v>0</v>
      </c>
      <c r="K34" s="14" t="str">
        <f t="shared" ca="1" si="7"/>
        <v>3rd</v>
      </c>
    </row>
    <row r="35" spans="1:16" x14ac:dyDescent="0.25">
      <c r="A35" s="16">
        <f t="shared" ca="1" si="5"/>
        <v>43708.15</v>
      </c>
      <c r="B35" s="14">
        <f ca="1">COUNTIFS(AMP1_6[[#All],[Date]],"&gt;="&amp;YieldRates!A35,AMP1_6[[#All],[Date]],"&lt;"&amp;YieldRates!A36,AMP1_6[[#All],[OOT]],"&gt;0")</f>
        <v>0</v>
      </c>
      <c r="C35" s="14">
        <f ca="1">COUNTIFS(AMP1_8[[#All],[Date]],"&gt;="&amp;YieldRates!A35,AMP1_8[[#All],[Date]],"&lt;"&amp;YieldRates!A36,AMP1_8[[#All],[OOT]],"&gt;0")</f>
        <v>0</v>
      </c>
      <c r="D35" s="14">
        <f ca="1">COUNTIFS(AMP2_6[[#All],[Date]],"&gt;="&amp;YieldRates!A35,AMP2_6[[#All],[Date]],"&lt;"&amp;YieldRates!A36,AMP2_6[[#All],[OOT]],"&gt;0")</f>
        <v>2</v>
      </c>
      <c r="E35" s="14">
        <f ca="1">COUNTIFS(AMP2_8[[#All],[Date]],"&gt;="&amp;YieldRates!A35,AMP2_8[[#All],[Date]],"&lt;"&amp;YieldRates!A36,AMP2_8[[#All],[OOT]],"&gt;0")</f>
        <v>0</v>
      </c>
      <c r="F35" s="14">
        <f ca="1">COUNTIFS(AMP6_4[[#All],[Date]],"&gt;="&amp;YieldRates!A35,AMP6_4[[#All],[Date]],"&lt;"&amp;YieldRates!A36,AMP6_4[[#All],[OOT]],"&gt;0")</f>
        <v>0</v>
      </c>
      <c r="G35" s="14">
        <f ca="1">COUNTIFS(AMP7_8[[#All],[Date]],"&gt;="&amp;YieldRates!A35,AMP7_8[[#All],[Date]],"&lt;"&amp;YieldRates!A36,AMP7_8[[#All],[OOT]],"&gt;0")</f>
        <v>0</v>
      </c>
      <c r="H35" s="14">
        <f ca="1">COUNTIFS(AMP5_4[[#All],[Date]],"&gt;="&amp;YieldRates!A35,AMP5_4[[#All],[Date]],"&lt;"&amp;YieldRates!A36,AMP5_4[[#All],[OOT]],"&gt;0")</f>
        <v>1</v>
      </c>
      <c r="I35" s="18"/>
      <c r="J35" s="14">
        <f t="shared" ca="1" si="6"/>
        <v>3</v>
      </c>
      <c r="K35" s="14" t="str">
        <f t="shared" ca="1" si="7"/>
        <v>3rd</v>
      </c>
    </row>
    <row r="36" spans="1:16" x14ac:dyDescent="0.25">
      <c r="A36" s="16">
        <f t="shared" ca="1" si="5"/>
        <v>43709.15</v>
      </c>
      <c r="B36" s="14">
        <f ca="1">COUNTIFS(AMP1_6[[#All],[Date]],"&gt;="&amp;YieldRates!A36,AMP1_6[[#All],[Date]],"&lt;"&amp;YieldRates!A37,AMP1_6[[#All],[OOT]],"&gt;0")</f>
        <v>0</v>
      </c>
      <c r="C36" s="14">
        <f ca="1">COUNTIFS(AMP1_8[[#All],[Date]],"&gt;="&amp;YieldRates!A36,AMP1_8[[#All],[Date]],"&lt;"&amp;YieldRates!A37,AMP1_8[[#All],[OOT]],"&gt;0")</f>
        <v>0</v>
      </c>
      <c r="D36" s="14">
        <f ca="1">COUNTIFS(AMP2_6[[#All],[Date]],"&gt;="&amp;YieldRates!A36,AMP2_6[[#All],[Date]],"&lt;"&amp;YieldRates!A37,AMP2_6[[#All],[OOT]],"&gt;0")</f>
        <v>0</v>
      </c>
      <c r="E36" s="14">
        <f ca="1">COUNTIFS(AMP2_8[[#All],[Date]],"&gt;="&amp;YieldRates!A36,AMP2_8[[#All],[Date]],"&lt;"&amp;YieldRates!A37,AMP2_8[[#All],[OOT]],"&gt;0")</f>
        <v>0</v>
      </c>
      <c r="F36" s="14">
        <f ca="1">COUNTIFS(AMP6_4[[#All],[Date]],"&gt;="&amp;YieldRates!A36,AMP6_4[[#All],[Date]],"&lt;"&amp;YieldRates!A37,AMP6_4[[#All],[OOT]],"&gt;0")</f>
        <v>0</v>
      </c>
      <c r="G36" s="14">
        <f ca="1">COUNTIFS(AMP7_8[[#All],[Date]],"&gt;="&amp;YieldRates!A36,AMP7_8[[#All],[Date]],"&lt;"&amp;YieldRates!A37,AMP7_8[[#All],[OOT]],"&gt;0")</f>
        <v>0</v>
      </c>
      <c r="H36" s="14">
        <f ca="1">COUNTIFS(AMP5_4[[#All],[Date]],"&gt;="&amp;YieldRates!A36,AMP5_4[[#All],[Date]],"&lt;"&amp;YieldRates!A37,AMP5_4[[#All],[OOT]],"&gt;0")</f>
        <v>0</v>
      </c>
      <c r="I36" s="18"/>
      <c r="J36" s="14">
        <f t="shared" ca="1" si="6"/>
        <v>0</v>
      </c>
      <c r="K36" s="14" t="str">
        <f t="shared" ca="1" si="7"/>
        <v>3rd</v>
      </c>
    </row>
    <row r="37" spans="1:16" x14ac:dyDescent="0.25">
      <c r="A37" s="16">
        <f t="shared" ca="1" si="5"/>
        <v>43710.15</v>
      </c>
      <c r="B37" s="14">
        <f ca="1">COUNTIFS(AMP1_6[[#All],[Date]],"&gt;="&amp;YieldRates!A37,AMP1_6[[#All],[Date]],"&lt;"&amp;YieldRates!A38,AMP1_6[[#All],[OOT]],"&gt;0")</f>
        <v>0</v>
      </c>
      <c r="C37" s="14">
        <f ca="1">COUNTIFS(AMP1_8[[#All],[Date]],"&gt;="&amp;YieldRates!A37,AMP1_8[[#All],[Date]],"&lt;"&amp;YieldRates!A38,AMP1_8[[#All],[OOT]],"&gt;0")</f>
        <v>0</v>
      </c>
      <c r="D37" s="14">
        <f ca="1">COUNTIFS(AMP2_6[[#All],[Date]],"&gt;="&amp;YieldRates!A37,AMP2_6[[#All],[Date]],"&lt;"&amp;YieldRates!A38,AMP2_6[[#All],[OOT]],"&gt;0")</f>
        <v>0</v>
      </c>
      <c r="E37" s="14">
        <f ca="1">COUNTIFS(AMP2_8[[#All],[Date]],"&gt;="&amp;YieldRates!A37,AMP2_8[[#All],[Date]],"&lt;"&amp;YieldRates!A38,AMP2_8[[#All],[OOT]],"&gt;0")</f>
        <v>0</v>
      </c>
      <c r="F37" s="14">
        <f ca="1">COUNTIFS(AMP6_4[[#All],[Date]],"&gt;="&amp;YieldRates!A37,AMP6_4[[#All],[Date]],"&lt;"&amp;YieldRates!A38,AMP6_4[[#All],[OOT]],"&gt;0")</f>
        <v>0</v>
      </c>
      <c r="G37" s="14">
        <f ca="1">COUNTIFS(AMP7_8[[#All],[Date]],"&gt;="&amp;YieldRates!A37,AMP7_8[[#All],[Date]],"&lt;"&amp;YieldRates!A38,AMP7_8[[#All],[OOT]],"&gt;0")</f>
        <v>0</v>
      </c>
      <c r="H37" s="14">
        <f ca="1">COUNTIFS(AMP5_4[[#All],[Date]],"&gt;="&amp;YieldRates!A37,AMP5_4[[#All],[Date]],"&lt;"&amp;YieldRates!A38,AMP5_4[[#All],[OOT]],"&gt;0")</f>
        <v>0</v>
      </c>
      <c r="I37" s="18"/>
      <c r="J37" s="14">
        <f t="shared" ca="1" si="6"/>
        <v>0</v>
      </c>
      <c r="K37" s="14" t="str">
        <f t="shared" ca="1" si="7"/>
        <v>1st and 2nd</v>
      </c>
    </row>
    <row r="38" spans="1:16" x14ac:dyDescent="0.25">
      <c r="A38" s="16">
        <f t="shared" ca="1" si="5"/>
        <v>43711.15</v>
      </c>
      <c r="B38" s="14">
        <f ca="1">COUNTIFS(AMP1_6[[#All],[Date]],"&gt;="&amp;YieldRates!A38,AMP1_6[[#All],[Date]],"&lt;"&amp;YieldRates!A39,AMP1_6[[#All],[OOT]],"&gt;0")</f>
        <v>0</v>
      </c>
      <c r="C38" s="14">
        <f ca="1">COUNTIFS(AMP1_8[[#All],[Date]],"&gt;="&amp;YieldRates!A38,AMP1_8[[#All],[Date]],"&lt;"&amp;YieldRates!A39,AMP1_8[[#All],[OOT]],"&gt;0")</f>
        <v>0</v>
      </c>
      <c r="D38" s="14">
        <f ca="1">COUNTIFS(AMP2_6[[#All],[Date]],"&gt;="&amp;YieldRates!A38,AMP2_6[[#All],[Date]],"&lt;"&amp;YieldRates!A39,AMP2_6[[#All],[OOT]],"&gt;0")</f>
        <v>0</v>
      </c>
      <c r="E38" s="14">
        <f ca="1">COUNTIFS(AMP2_8[[#All],[Date]],"&gt;="&amp;YieldRates!A38,AMP2_8[[#All],[Date]],"&lt;"&amp;YieldRates!A39,AMP2_8[[#All],[OOT]],"&gt;0")</f>
        <v>0</v>
      </c>
      <c r="F38" s="14">
        <f ca="1">COUNTIFS(AMP6_4[[#All],[Date]],"&gt;="&amp;YieldRates!A38,AMP6_4[[#All],[Date]],"&lt;"&amp;YieldRates!A39,AMP6_4[[#All],[OOT]],"&gt;0")</f>
        <v>2</v>
      </c>
      <c r="G38" s="14">
        <f ca="1">COUNTIFS(AMP7_8[[#All],[Date]],"&gt;="&amp;YieldRates!A38,AMP7_8[[#All],[Date]],"&lt;"&amp;YieldRates!A39,AMP7_8[[#All],[OOT]],"&gt;0")</f>
        <v>1</v>
      </c>
      <c r="H38" s="14">
        <f ca="1">COUNTIFS(AMP5_4[[#All],[Date]],"&gt;="&amp;YieldRates!A38,AMP5_4[[#All],[Date]],"&lt;"&amp;YieldRates!A39,AMP5_4[[#All],[OOT]],"&gt;0")</f>
        <v>0</v>
      </c>
      <c r="I38" s="18"/>
      <c r="J38" s="14">
        <f t="shared" ca="1" si="6"/>
        <v>3</v>
      </c>
      <c r="K38" s="14" t="str">
        <f t="shared" ca="1" si="7"/>
        <v>1st and 2nd</v>
      </c>
    </row>
    <row r="39" spans="1:16" x14ac:dyDescent="0.25">
      <c r="A39" s="16">
        <f t="shared" ca="1" si="5"/>
        <v>43712.15</v>
      </c>
      <c r="B39" s="14">
        <f ca="1">COUNTIFS(AMP1_6[[#All],[Date]],"&gt;="&amp;YieldRates!A39,AMP1_6[[#All],[Date]],"&lt;"&amp;YieldRates!A40,AMP1_6[[#All],[OOT]],"&gt;0")</f>
        <v>0</v>
      </c>
      <c r="C39" s="14">
        <f ca="1">COUNTIFS(AMP1_8[[#All],[Date]],"&gt;="&amp;YieldRates!A39,AMP1_8[[#All],[Date]],"&lt;"&amp;YieldRates!A40,AMP1_8[[#All],[OOT]],"&gt;0")</f>
        <v>0</v>
      </c>
      <c r="D39" s="14">
        <f ca="1">COUNTIFS(AMP2_6[[#All],[Date]],"&gt;="&amp;YieldRates!A39,AMP2_6[[#All],[Date]],"&lt;"&amp;YieldRates!A40,AMP2_6[[#All],[OOT]],"&gt;0")</f>
        <v>0</v>
      </c>
      <c r="E39" s="14">
        <f ca="1">COUNTIFS(AMP2_8[[#All],[Date]],"&gt;="&amp;YieldRates!A39,AMP2_8[[#All],[Date]],"&lt;"&amp;YieldRates!A40,AMP2_8[[#All],[OOT]],"&gt;0")</f>
        <v>0</v>
      </c>
      <c r="F39" s="14">
        <f ca="1">COUNTIFS(AMP6_4[[#All],[Date]],"&gt;="&amp;YieldRates!A39,AMP6_4[[#All],[Date]],"&lt;"&amp;YieldRates!A40,AMP6_4[[#All],[OOT]],"&gt;0")</f>
        <v>1</v>
      </c>
      <c r="G39" s="14">
        <f ca="1">COUNTIFS(AMP7_8[[#All],[Date]],"&gt;="&amp;YieldRates!A39,AMP7_8[[#All],[Date]],"&lt;"&amp;YieldRates!A40,AMP7_8[[#All],[OOT]],"&gt;0")</f>
        <v>0</v>
      </c>
      <c r="H39" s="14">
        <f ca="1">COUNTIFS(AMP5_4[[#All],[Date]],"&gt;="&amp;YieldRates!A39,AMP5_4[[#All],[Date]],"&lt;"&amp;YieldRates!A40,AMP5_4[[#All],[OOT]],"&gt;0")</f>
        <v>0</v>
      </c>
      <c r="I39" s="18"/>
      <c r="J39" s="14">
        <f t="shared" ca="1" si="6"/>
        <v>1</v>
      </c>
      <c r="K39" s="14" t="str">
        <f t="shared" ca="1" si="7"/>
        <v>1st and 2nd</v>
      </c>
    </row>
    <row r="40" spans="1:16" x14ac:dyDescent="0.25">
      <c r="A40" s="17">
        <f t="shared" ca="1" si="5"/>
        <v>43713.15</v>
      </c>
      <c r="B40" s="15"/>
      <c r="C40" s="15"/>
      <c r="D40" s="15"/>
      <c r="E40" s="15"/>
      <c r="F40" s="15"/>
      <c r="G40" s="15"/>
      <c r="H40" s="15"/>
      <c r="I40" s="18"/>
      <c r="J40" s="15"/>
      <c r="K40" s="15"/>
    </row>
    <row r="41" spans="1:16" x14ac:dyDescent="0.25">
      <c r="A41" s="1"/>
      <c r="B41" s="23">
        <f ca="1">AVERAGE(B25:B39)</f>
        <v>0.2</v>
      </c>
      <c r="C41" s="23">
        <f t="shared" ref="C41:J41" ca="1" si="8">AVERAGE(C25:C39)</f>
        <v>0</v>
      </c>
      <c r="D41" s="23">
        <f t="shared" ca="1" si="8"/>
        <v>0.2</v>
      </c>
      <c r="E41" s="23">
        <f t="shared" ca="1" si="8"/>
        <v>0</v>
      </c>
      <c r="F41" s="23">
        <f t="shared" ca="1" si="8"/>
        <v>0.46666666666666667</v>
      </c>
      <c r="G41" s="23">
        <f t="shared" ca="1" si="8"/>
        <v>0.66666666666666663</v>
      </c>
      <c r="H41" s="23">
        <f t="shared" ca="1" si="8"/>
        <v>0.6</v>
      </c>
      <c r="I41" s="24"/>
      <c r="J41" s="23">
        <f t="shared" ca="1" si="8"/>
        <v>2.1333333333333333</v>
      </c>
    </row>
    <row r="43" spans="1:16" x14ac:dyDescent="0.25">
      <c r="B43" s="793" t="s">
        <v>49</v>
      </c>
      <c r="C43" s="793"/>
      <c r="D43" s="793"/>
      <c r="E43" s="793"/>
      <c r="F43" s="793"/>
      <c r="G43" s="793"/>
      <c r="H43" s="793"/>
      <c r="I43" s="13"/>
    </row>
    <row r="44" spans="1:16" x14ac:dyDescent="0.25">
      <c r="A44" s="14"/>
      <c r="B44" s="14" t="str">
        <f t="shared" ref="B44:H44" si="9">B2</f>
        <v>AE1_5</v>
      </c>
      <c r="C44" s="14" t="str">
        <f t="shared" si="9"/>
        <v>AE1_7</v>
      </c>
      <c r="D44" s="14" t="str">
        <f t="shared" si="9"/>
        <v>AE2_5</v>
      </c>
      <c r="E44" s="14" t="str">
        <f t="shared" si="9"/>
        <v>AE2_7</v>
      </c>
      <c r="F44" s="14" t="str">
        <f t="shared" si="9"/>
        <v>AE3_3</v>
      </c>
      <c r="G44" s="14" t="str">
        <f t="shared" si="9"/>
        <v>AE4_7</v>
      </c>
      <c r="H44" s="14" t="str">
        <f t="shared" si="9"/>
        <v>AE5_3</v>
      </c>
      <c r="I44" s="18"/>
      <c r="J44" s="14" t="s">
        <v>45</v>
      </c>
      <c r="K44" s="14" t="s">
        <v>44</v>
      </c>
      <c r="O44" s="792" t="s">
        <v>48</v>
      </c>
      <c r="P44" s="792"/>
    </row>
    <row r="45" spans="1:16" x14ac:dyDescent="0.25">
      <c r="A45" s="16">
        <f t="shared" ref="A45:A61" ca="1" si="10">A3</f>
        <v>43697.15</v>
      </c>
      <c r="B45" s="21" t="str">
        <f ca="1">IFERROR(1-B24/B3,"")</f>
        <v/>
      </c>
      <c r="C45" s="21" t="str">
        <f ca="1">IFERROR(1-C24/C3,"")</f>
        <v/>
      </c>
      <c r="D45" s="21"/>
      <c r="E45" s="21"/>
      <c r="F45" s="21"/>
      <c r="G45" s="21"/>
      <c r="H45" s="21"/>
      <c r="I45" s="18"/>
      <c r="J45" s="15"/>
      <c r="K45" s="15"/>
      <c r="O45" s="14" t="s">
        <v>46</v>
      </c>
      <c r="P45" s="14" t="s">
        <v>47</v>
      </c>
    </row>
    <row r="46" spans="1:16" x14ac:dyDescent="0.25">
      <c r="A46" s="16">
        <f t="shared" ca="1" si="10"/>
        <v>43698.15</v>
      </c>
      <c r="B46" s="20" t="str">
        <f t="shared" ref="B46:H46" ca="1" si="11">IFERROR(1-B25/B4,"")</f>
        <v/>
      </c>
      <c r="C46" s="20" t="str">
        <f t="shared" ca="1" si="11"/>
        <v/>
      </c>
      <c r="D46" s="20" t="str">
        <f t="shared" ca="1" si="11"/>
        <v/>
      </c>
      <c r="E46" s="20" t="str">
        <f t="shared" ca="1" si="11"/>
        <v/>
      </c>
      <c r="F46" s="20">
        <f t="shared" ca="1" si="11"/>
        <v>1</v>
      </c>
      <c r="G46" s="20">
        <f t="shared" ca="1" si="11"/>
        <v>1</v>
      </c>
      <c r="H46" s="20">
        <f t="shared" ca="1" si="11"/>
        <v>1</v>
      </c>
      <c r="I46" s="18"/>
      <c r="J46" s="20">
        <f ca="1">IFERROR(AVERAGE(B46:H46),"")</f>
        <v>1</v>
      </c>
      <c r="K46" s="14" t="str">
        <f t="shared" ref="K46:K60" ca="1" si="12">IF(WEEKDAY(A46,11)&lt;5,"1st and 2nd","3rd")</f>
        <v>1st and 2nd</v>
      </c>
      <c r="O46" s="20">
        <f ca="1">AVERAGEIF(K46:K60,O45,J46:J60)</f>
        <v>0.92848875661375663</v>
      </c>
      <c r="P46" s="20">
        <f ca="1">AVERAGEIF(K46:K60,P45,J46:J60)</f>
        <v>0.84166666666666656</v>
      </c>
    </row>
    <row r="47" spans="1:16" x14ac:dyDescent="0.25">
      <c r="A47" s="16">
        <f t="shared" ca="1" si="10"/>
        <v>43699.15</v>
      </c>
      <c r="B47" s="20">
        <f t="shared" ref="B47:H47" ca="1" si="13">IFERROR(1-B26/B5,"")</f>
        <v>1</v>
      </c>
      <c r="C47" s="20">
        <f t="shared" ca="1" si="13"/>
        <v>1</v>
      </c>
      <c r="D47" s="20" t="str">
        <f t="shared" ca="1" si="13"/>
        <v/>
      </c>
      <c r="E47" s="20" t="str">
        <f t="shared" ca="1" si="13"/>
        <v/>
      </c>
      <c r="F47" s="20">
        <f t="shared" ca="1" si="13"/>
        <v>1</v>
      </c>
      <c r="G47" s="20">
        <f t="shared" ca="1" si="13"/>
        <v>1</v>
      </c>
      <c r="H47" s="20">
        <f t="shared" ca="1" si="13"/>
        <v>0.875</v>
      </c>
      <c r="I47" s="18"/>
      <c r="J47" s="20">
        <f t="shared" ref="J47:J60" ca="1" si="14">IFERROR(AVERAGE(B47:H47),"")</f>
        <v>0.97499999999999998</v>
      </c>
      <c r="K47" s="14" t="str">
        <f t="shared" ca="1" si="12"/>
        <v>1st and 2nd</v>
      </c>
    </row>
    <row r="48" spans="1:16" x14ac:dyDescent="0.25">
      <c r="A48" s="16">
        <f t="shared" ca="1" si="10"/>
        <v>43700.15</v>
      </c>
      <c r="B48" s="20">
        <f t="shared" ref="B48:H48" ca="1" si="15">IFERROR(1-B27/B6,"")</f>
        <v>1</v>
      </c>
      <c r="C48" s="20">
        <f t="shared" ca="1" si="15"/>
        <v>1</v>
      </c>
      <c r="D48" s="20" t="str">
        <f t="shared" ca="1" si="15"/>
        <v/>
      </c>
      <c r="E48" s="20" t="str">
        <f t="shared" ca="1" si="15"/>
        <v/>
      </c>
      <c r="F48" s="20" t="str">
        <f t="shared" ca="1" si="15"/>
        <v/>
      </c>
      <c r="G48" s="20">
        <f t="shared" ca="1" si="15"/>
        <v>0.5</v>
      </c>
      <c r="H48" s="20">
        <f t="shared" ca="1" si="15"/>
        <v>0.66666666666666674</v>
      </c>
      <c r="I48" s="18"/>
      <c r="J48" s="20">
        <f t="shared" ca="1" si="14"/>
        <v>0.79166666666666674</v>
      </c>
      <c r="K48" s="14" t="str">
        <f t="shared" ca="1" si="12"/>
        <v>3rd</v>
      </c>
    </row>
    <row r="49" spans="1:11" x14ac:dyDescent="0.25">
      <c r="A49" s="16">
        <f t="shared" ca="1" si="10"/>
        <v>43701.15</v>
      </c>
      <c r="B49" s="20">
        <f t="shared" ref="B49:H49" ca="1" si="16">IFERROR(1-B28/B7,"")</f>
        <v>1</v>
      </c>
      <c r="C49" s="20">
        <f t="shared" ca="1" si="16"/>
        <v>1</v>
      </c>
      <c r="D49" s="20" t="str">
        <f t="shared" ca="1" si="16"/>
        <v/>
      </c>
      <c r="E49" s="20" t="str">
        <f t="shared" ca="1" si="16"/>
        <v/>
      </c>
      <c r="F49" s="20" t="str">
        <f t="shared" ca="1" si="16"/>
        <v/>
      </c>
      <c r="G49" s="20">
        <f t="shared" ca="1" si="16"/>
        <v>0.9</v>
      </c>
      <c r="H49" s="20" t="str">
        <f t="shared" ca="1" si="16"/>
        <v/>
      </c>
      <c r="I49" s="18"/>
      <c r="J49" s="20">
        <f t="shared" ca="1" si="14"/>
        <v>0.96666666666666667</v>
      </c>
      <c r="K49" s="14" t="str">
        <f t="shared" ca="1" si="12"/>
        <v>3rd</v>
      </c>
    </row>
    <row r="50" spans="1:11" x14ac:dyDescent="0.25">
      <c r="A50" s="16">
        <f t="shared" ca="1" si="10"/>
        <v>43702.15</v>
      </c>
      <c r="B50" s="20">
        <f t="shared" ref="B50:H50" ca="1" si="17">IFERROR(1-B29/B8,"")</f>
        <v>1</v>
      </c>
      <c r="C50" s="20">
        <f t="shared" ca="1" si="17"/>
        <v>1</v>
      </c>
      <c r="D50" s="20" t="str">
        <f t="shared" ca="1" si="17"/>
        <v/>
      </c>
      <c r="E50" s="20" t="str">
        <f t="shared" ca="1" si="17"/>
        <v/>
      </c>
      <c r="F50" s="20" t="str">
        <f t="shared" ca="1" si="17"/>
        <v/>
      </c>
      <c r="G50" s="20">
        <f t="shared" ca="1" si="17"/>
        <v>1</v>
      </c>
      <c r="H50" s="20" t="str">
        <f t="shared" ca="1" si="17"/>
        <v/>
      </c>
      <c r="I50" s="18"/>
      <c r="J50" s="20">
        <f t="shared" ca="1" si="14"/>
        <v>1</v>
      </c>
      <c r="K50" s="14" t="str">
        <f t="shared" ca="1" si="12"/>
        <v>3rd</v>
      </c>
    </row>
    <row r="51" spans="1:11" x14ac:dyDescent="0.25">
      <c r="A51" s="16">
        <f t="shared" ca="1" si="10"/>
        <v>43703.15</v>
      </c>
      <c r="B51" s="20">
        <f t="shared" ref="B51:H51" ca="1" si="18">IFERROR(1-B30/B9,"")</f>
        <v>1</v>
      </c>
      <c r="C51" s="20">
        <f t="shared" ca="1" si="18"/>
        <v>1</v>
      </c>
      <c r="D51" s="20" t="str">
        <f t="shared" ca="1" si="18"/>
        <v/>
      </c>
      <c r="E51" s="20" t="str">
        <f t="shared" ca="1" si="18"/>
        <v/>
      </c>
      <c r="F51" s="20" t="str">
        <f t="shared" ca="1" si="18"/>
        <v/>
      </c>
      <c r="G51" s="20">
        <f t="shared" ca="1" si="18"/>
        <v>0.88888888888888884</v>
      </c>
      <c r="H51" s="20">
        <f t="shared" ca="1" si="18"/>
        <v>0.66666666666666674</v>
      </c>
      <c r="I51" s="18"/>
      <c r="J51" s="20">
        <f t="shared" ca="1" si="14"/>
        <v>0.88888888888888884</v>
      </c>
      <c r="K51" s="14" t="str">
        <f t="shared" ca="1" si="12"/>
        <v>1st and 2nd</v>
      </c>
    </row>
    <row r="52" spans="1:11" x14ac:dyDescent="0.25">
      <c r="A52" s="16">
        <f t="shared" ca="1" si="10"/>
        <v>43704.15</v>
      </c>
      <c r="B52" s="20">
        <f t="shared" ref="B52:H52" ca="1" si="19">IFERROR(1-B31/B10,"")</f>
        <v>0.7857142857142857</v>
      </c>
      <c r="C52" s="20">
        <f t="shared" ca="1" si="19"/>
        <v>1</v>
      </c>
      <c r="D52" s="20" t="str">
        <f t="shared" ca="1" si="19"/>
        <v/>
      </c>
      <c r="E52" s="20" t="str">
        <f t="shared" ca="1" si="19"/>
        <v/>
      </c>
      <c r="F52" s="20" t="str">
        <f t="shared" ca="1" si="19"/>
        <v/>
      </c>
      <c r="G52" s="20">
        <f t="shared" ca="1" si="19"/>
        <v>0.88888888888888884</v>
      </c>
      <c r="H52" s="20">
        <f t="shared" ca="1" si="19"/>
        <v>1</v>
      </c>
      <c r="I52" s="18"/>
      <c r="J52" s="20">
        <f t="shared" ca="1" si="14"/>
        <v>0.91865079365079361</v>
      </c>
      <c r="K52" s="14" t="str">
        <f t="shared" ca="1" si="12"/>
        <v>1st and 2nd</v>
      </c>
    </row>
    <row r="53" spans="1:11" x14ac:dyDescent="0.25">
      <c r="A53" s="16">
        <f t="shared" ca="1" si="10"/>
        <v>43705.15</v>
      </c>
      <c r="B53" s="20">
        <f t="shared" ref="B53:H53" ca="1" si="20">IFERROR(1-B32/B11,"")</f>
        <v>1</v>
      </c>
      <c r="C53" s="20">
        <f t="shared" ca="1" si="20"/>
        <v>1</v>
      </c>
      <c r="D53" s="20">
        <f t="shared" ca="1" si="20"/>
        <v>0.9</v>
      </c>
      <c r="E53" s="20" t="str">
        <f t="shared" ca="1" si="20"/>
        <v/>
      </c>
      <c r="F53" s="20">
        <f t="shared" ca="1" si="20"/>
        <v>0.5</v>
      </c>
      <c r="G53" s="20">
        <f t="shared" ca="1" si="20"/>
        <v>0.85</v>
      </c>
      <c r="H53" s="20">
        <f t="shared" ca="1" si="20"/>
        <v>0.88888888888888884</v>
      </c>
      <c r="I53" s="18"/>
      <c r="J53" s="20">
        <f t="shared" ca="1" si="14"/>
        <v>0.85648148148148151</v>
      </c>
      <c r="K53" s="14" t="str">
        <f t="shared" ca="1" si="12"/>
        <v>1st and 2nd</v>
      </c>
    </row>
    <row r="54" spans="1:11" x14ac:dyDescent="0.25">
      <c r="A54" s="16">
        <f t="shared" ca="1" si="10"/>
        <v>43706.15</v>
      </c>
      <c r="B54" s="20">
        <f t="shared" ref="B54:H54" ca="1" si="21">IFERROR(1-B33/B12,"")</f>
        <v>1</v>
      </c>
      <c r="C54" s="20">
        <f t="shared" ca="1" si="21"/>
        <v>1</v>
      </c>
      <c r="D54" s="20">
        <f t="shared" ca="1" si="21"/>
        <v>1</v>
      </c>
      <c r="E54" s="20" t="str">
        <f t="shared" ca="1" si="21"/>
        <v/>
      </c>
      <c r="F54" s="20">
        <f t="shared" ca="1" si="21"/>
        <v>1</v>
      </c>
      <c r="G54" s="20">
        <f t="shared" ca="1" si="21"/>
        <v>1</v>
      </c>
      <c r="H54" s="20">
        <f t="shared" ca="1" si="21"/>
        <v>1</v>
      </c>
      <c r="I54" s="18"/>
      <c r="J54" s="20">
        <f t="shared" ca="1" si="14"/>
        <v>1</v>
      </c>
      <c r="K54" s="14" t="str">
        <f t="shared" ca="1" si="12"/>
        <v>1st and 2nd</v>
      </c>
    </row>
    <row r="55" spans="1:11" x14ac:dyDescent="0.25">
      <c r="A55" s="16">
        <f t="shared" ca="1" si="10"/>
        <v>43707.15</v>
      </c>
      <c r="B55" s="20">
        <f t="shared" ref="B55:H55" ca="1" si="22">IFERROR(1-B34/B13,"")</f>
        <v>1</v>
      </c>
      <c r="C55" s="20">
        <f t="shared" ca="1" si="22"/>
        <v>1</v>
      </c>
      <c r="D55" s="20">
        <f t="shared" ca="1" si="22"/>
        <v>1</v>
      </c>
      <c r="E55" s="20" t="str">
        <f t="shared" ca="1" si="22"/>
        <v/>
      </c>
      <c r="F55" s="20" t="str">
        <f t="shared" ca="1" si="22"/>
        <v/>
      </c>
      <c r="G55" s="20">
        <f t="shared" ca="1" si="22"/>
        <v>1</v>
      </c>
      <c r="H55" s="20">
        <f t="shared" ca="1" si="22"/>
        <v>1</v>
      </c>
      <c r="I55" s="18"/>
      <c r="J55" s="20">
        <f t="shared" ca="1" si="14"/>
        <v>1</v>
      </c>
      <c r="K55" s="14" t="str">
        <f t="shared" ca="1" si="12"/>
        <v>3rd</v>
      </c>
    </row>
    <row r="56" spans="1:11" x14ac:dyDescent="0.25">
      <c r="A56" s="16">
        <f t="shared" ca="1" si="10"/>
        <v>43708.15</v>
      </c>
      <c r="B56" s="20" t="str">
        <f t="shared" ref="B56:H56" ca="1" si="23">IFERROR(1-B35/B14,"")</f>
        <v/>
      </c>
      <c r="C56" s="20" t="str">
        <f t="shared" ca="1" si="23"/>
        <v/>
      </c>
      <c r="D56" s="20">
        <f t="shared" ca="1" si="23"/>
        <v>0</v>
      </c>
      <c r="E56" s="20" t="str">
        <f t="shared" ca="1" si="23"/>
        <v/>
      </c>
      <c r="F56" s="20" t="str">
        <f t="shared" ca="1" si="23"/>
        <v/>
      </c>
      <c r="G56" s="20" t="str">
        <f t="shared" ca="1" si="23"/>
        <v/>
      </c>
      <c r="H56" s="20">
        <f t="shared" ca="1" si="23"/>
        <v>0.9</v>
      </c>
      <c r="I56" s="18"/>
      <c r="J56" s="20">
        <f t="shared" ca="1" si="14"/>
        <v>0.45</v>
      </c>
      <c r="K56" s="14" t="str">
        <f t="shared" ca="1" si="12"/>
        <v>3rd</v>
      </c>
    </row>
    <row r="57" spans="1:11" x14ac:dyDescent="0.25">
      <c r="A57" s="16">
        <f t="shared" ca="1" si="10"/>
        <v>43709.15</v>
      </c>
      <c r="B57" s="20" t="str">
        <f t="shared" ref="B57:H57" ca="1" si="24">IFERROR(1-B36/B15,"")</f>
        <v/>
      </c>
      <c r="C57" s="20" t="str">
        <f t="shared" ca="1" si="24"/>
        <v/>
      </c>
      <c r="D57" s="20" t="str">
        <f t="shared" ca="1" si="24"/>
        <v/>
      </c>
      <c r="E57" s="20" t="str">
        <f t="shared" ca="1" si="24"/>
        <v/>
      </c>
      <c r="F57" s="20" t="str">
        <f t="shared" ca="1" si="24"/>
        <v/>
      </c>
      <c r="G57" s="20" t="str">
        <f t="shared" ca="1" si="24"/>
        <v/>
      </c>
      <c r="H57" s="20" t="str">
        <f t="shared" ca="1" si="24"/>
        <v/>
      </c>
      <c r="I57" s="18"/>
      <c r="J57" s="20" t="str">
        <f t="shared" ca="1" si="14"/>
        <v/>
      </c>
      <c r="K57" s="14" t="str">
        <f t="shared" ca="1" si="12"/>
        <v>3rd</v>
      </c>
    </row>
    <row r="58" spans="1:11" x14ac:dyDescent="0.25">
      <c r="A58" s="16">
        <f t="shared" ca="1" si="10"/>
        <v>43710.15</v>
      </c>
      <c r="B58" s="20" t="str">
        <f t="shared" ref="B58:H58" ca="1" si="25">IFERROR(1-B37/B16,"")</f>
        <v/>
      </c>
      <c r="C58" s="20" t="str">
        <f t="shared" ca="1" si="25"/>
        <v/>
      </c>
      <c r="D58" s="20" t="str">
        <f t="shared" ca="1" si="25"/>
        <v/>
      </c>
      <c r="E58" s="20" t="str">
        <f t="shared" ca="1" si="25"/>
        <v/>
      </c>
      <c r="F58" s="20" t="str">
        <f t="shared" ca="1" si="25"/>
        <v/>
      </c>
      <c r="G58" s="20" t="str">
        <f t="shared" ca="1" si="25"/>
        <v/>
      </c>
      <c r="H58" s="20" t="str">
        <f t="shared" ca="1" si="25"/>
        <v/>
      </c>
      <c r="I58" s="18"/>
      <c r="J58" s="20" t="str">
        <f t="shared" ca="1" si="14"/>
        <v/>
      </c>
      <c r="K58" s="14" t="str">
        <f t="shared" ca="1" si="12"/>
        <v>1st and 2nd</v>
      </c>
    </row>
    <row r="59" spans="1:11" x14ac:dyDescent="0.25">
      <c r="A59" s="16">
        <f t="shared" ca="1" si="10"/>
        <v>43711.15</v>
      </c>
      <c r="B59" s="20">
        <f t="shared" ref="B59:H59" ca="1" si="26">IFERROR(1-B38/B17,"")</f>
        <v>1</v>
      </c>
      <c r="C59" s="20">
        <f t="shared" ca="1" si="26"/>
        <v>1</v>
      </c>
      <c r="D59" s="20" t="str">
        <f t="shared" ca="1" si="26"/>
        <v/>
      </c>
      <c r="E59" s="20" t="str">
        <f t="shared" ca="1" si="26"/>
        <v/>
      </c>
      <c r="F59" s="20">
        <f t="shared" ca="1" si="26"/>
        <v>0.83333333333333337</v>
      </c>
      <c r="G59" s="20">
        <f t="shared" ca="1" si="26"/>
        <v>0.94444444444444442</v>
      </c>
      <c r="H59" s="20">
        <f t="shared" ca="1" si="26"/>
        <v>1</v>
      </c>
      <c r="I59" s="18"/>
      <c r="J59" s="20">
        <f t="shared" ca="1" si="14"/>
        <v>0.95555555555555549</v>
      </c>
      <c r="K59" s="14" t="str">
        <f t="shared" ca="1" si="12"/>
        <v>1st and 2nd</v>
      </c>
    </row>
    <row r="60" spans="1:11" x14ac:dyDescent="0.25">
      <c r="A60" s="16">
        <f t="shared" ca="1" si="10"/>
        <v>43712.15</v>
      </c>
      <c r="B60" s="20">
        <f t="shared" ref="B60:H60" ca="1" si="27">IFERROR(1-B39/B18,"")</f>
        <v>1</v>
      </c>
      <c r="C60" s="20" t="str">
        <f t="shared" ca="1" si="27"/>
        <v/>
      </c>
      <c r="D60" s="20" t="str">
        <f t="shared" ca="1" si="27"/>
        <v/>
      </c>
      <c r="E60" s="20" t="str">
        <f t="shared" ca="1" si="27"/>
        <v/>
      </c>
      <c r="F60" s="20">
        <f t="shared" ca="1" si="27"/>
        <v>0.5</v>
      </c>
      <c r="G60" s="20">
        <f t="shared" ca="1" si="27"/>
        <v>1</v>
      </c>
      <c r="H60" s="20" t="str">
        <f t="shared" ca="1" si="27"/>
        <v/>
      </c>
      <c r="I60" s="18"/>
      <c r="J60" s="20">
        <f t="shared" ca="1" si="14"/>
        <v>0.83333333333333337</v>
      </c>
      <c r="K60" s="14" t="str">
        <f t="shared" ca="1" si="12"/>
        <v>1st and 2nd</v>
      </c>
    </row>
    <row r="61" spans="1:11" x14ac:dyDescent="0.25">
      <c r="A61" s="17">
        <f t="shared" ca="1" si="10"/>
        <v>43713.15</v>
      </c>
      <c r="B61" s="15"/>
      <c r="C61" s="15"/>
      <c r="D61" s="15"/>
      <c r="E61" s="15"/>
      <c r="F61" s="15"/>
      <c r="G61" s="15"/>
      <c r="H61" s="15"/>
      <c r="I61" s="18"/>
      <c r="J61" s="15"/>
      <c r="K61" s="15"/>
    </row>
    <row r="62" spans="1:11" x14ac:dyDescent="0.25">
      <c r="B62" s="22">
        <f t="shared" ref="B62:H62" ca="1" si="28">IFERROR(1-SUM(B25:B39)/SUM(B4:B18),"")</f>
        <v>0.96938775510204078</v>
      </c>
      <c r="C62" s="22">
        <f t="shared" ca="1" si="28"/>
        <v>1</v>
      </c>
      <c r="D62" s="22">
        <f t="shared" ca="1" si="28"/>
        <v>0.8928571428571429</v>
      </c>
      <c r="E62" s="22" t="str">
        <f t="shared" ca="1" si="28"/>
        <v/>
      </c>
      <c r="F62" s="22">
        <f t="shared" ca="1" si="28"/>
        <v>0.86538461538461542</v>
      </c>
      <c r="G62" s="22">
        <f t="shared" ca="1" si="28"/>
        <v>0.921875</v>
      </c>
      <c r="H62" s="22">
        <f t="shared" ca="1" si="28"/>
        <v>0.92741935483870963</v>
      </c>
      <c r="I62" s="22" t="str">
        <f>IFERROR(AVERAGE(I45:I61),"")</f>
        <v/>
      </c>
      <c r="J62" s="22">
        <f ca="1">IFERROR(AVERAGE(J45:J61),"")</f>
        <v>0.8950956450956451</v>
      </c>
    </row>
  </sheetData>
  <mergeCells count="7">
    <mergeCell ref="O44:P44"/>
    <mergeCell ref="B1:H1"/>
    <mergeCell ref="O2:P2"/>
    <mergeCell ref="B22:H22"/>
    <mergeCell ref="B43:H43"/>
    <mergeCell ref="O23:P23"/>
    <mergeCell ref="O8:P8"/>
  </mergeCells>
  <conditionalFormatting sqref="L3:L20 O11:P11">
    <cfRule type="cellIs" dxfId="258" priority="1" operator="greaterThanOrEqual">
      <formula>0.8</formula>
    </cfRule>
    <cfRule type="cellIs" dxfId="257" priority="2" operator="between">
      <formula>0.65</formula>
      <formula>0.8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9"/>
  <sheetViews>
    <sheetView workbookViewId="0"/>
  </sheetViews>
  <sheetFormatPr defaultRowHeight="15" x14ac:dyDescent="0.25"/>
  <cols>
    <col min="1" max="1" width="13.140625" bestFit="1" customWidth="1"/>
    <col min="2" max="2" width="14" bestFit="1" customWidth="1"/>
    <col min="3" max="3" width="9.7109375" bestFit="1" customWidth="1"/>
    <col min="4" max="4" width="12.28515625" bestFit="1" customWidth="1"/>
  </cols>
  <sheetData>
    <row r="1" spans="1:4" x14ac:dyDescent="0.25">
      <c r="A1" t="s">
        <v>229</v>
      </c>
      <c r="B1" t="s">
        <v>230</v>
      </c>
      <c r="C1" t="s">
        <v>231</v>
      </c>
      <c r="D1" t="s">
        <v>232</v>
      </c>
    </row>
    <row r="2" spans="1:4" x14ac:dyDescent="0.25">
      <c r="A2" t="s">
        <v>200</v>
      </c>
      <c r="B2">
        <v>26</v>
      </c>
      <c r="C2">
        <v>24</v>
      </c>
      <c r="D2">
        <v>850</v>
      </c>
    </row>
    <row r="3" spans="1:4" x14ac:dyDescent="0.25">
      <c r="A3" t="s">
        <v>196</v>
      </c>
      <c r="B3">
        <v>0</v>
      </c>
      <c r="C3">
        <v>0</v>
      </c>
      <c r="D3">
        <v>0</v>
      </c>
    </row>
    <row r="4" spans="1:4" x14ac:dyDescent="0.25">
      <c r="A4" t="s">
        <v>233</v>
      </c>
      <c r="B4">
        <v>32</v>
      </c>
      <c r="C4">
        <v>24</v>
      </c>
      <c r="D4">
        <v>111</v>
      </c>
    </row>
    <row r="5" spans="1:4" x14ac:dyDescent="0.25">
      <c r="A5" t="s">
        <v>190</v>
      </c>
      <c r="B5">
        <v>10</v>
      </c>
      <c r="C5">
        <v>2</v>
      </c>
      <c r="D5">
        <v>462</v>
      </c>
    </row>
    <row r="6" spans="1:4" x14ac:dyDescent="0.25">
      <c r="A6" t="s">
        <v>207</v>
      </c>
      <c r="B6">
        <v>24</v>
      </c>
      <c r="C6">
        <v>34</v>
      </c>
      <c r="D6">
        <v>605</v>
      </c>
    </row>
    <row r="7" spans="1:4" x14ac:dyDescent="0.25">
      <c r="A7" t="s">
        <v>193</v>
      </c>
      <c r="B7">
        <v>8</v>
      </c>
      <c r="C7">
        <v>8</v>
      </c>
      <c r="D7">
        <v>91</v>
      </c>
    </row>
    <row r="8" spans="1:4" x14ac:dyDescent="0.25">
      <c r="A8" t="s">
        <v>226</v>
      </c>
      <c r="B8">
        <v>1</v>
      </c>
      <c r="C8">
        <v>16</v>
      </c>
      <c r="D8">
        <v>720</v>
      </c>
    </row>
    <row r="9" spans="1:4" x14ac:dyDescent="0.25">
      <c r="A9" t="s">
        <v>245</v>
      </c>
      <c r="B9">
        <v>18</v>
      </c>
      <c r="C9">
        <v>18</v>
      </c>
      <c r="D9">
        <v>1032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I244"/>
  <sheetViews>
    <sheetView workbookViewId="0"/>
  </sheetViews>
  <sheetFormatPr defaultRowHeight="15" x14ac:dyDescent="0.25"/>
  <cols>
    <col min="1" max="1" width="18.42578125" bestFit="1" customWidth="1"/>
    <col min="2" max="2" width="11.85546875" bestFit="1" customWidth="1"/>
    <col min="3" max="3" width="15.85546875" bestFit="1" customWidth="1"/>
    <col min="4" max="5" width="16.7109375" bestFit="1" customWidth="1"/>
    <col min="6" max="7" width="21.85546875" bestFit="1" customWidth="1"/>
    <col min="8" max="8" width="15.140625" bestFit="1" customWidth="1"/>
    <col min="9" max="9" width="27.140625" bestFit="1" customWidth="1"/>
    <col min="10" max="10" width="22.42578125" bestFit="1" customWidth="1"/>
  </cols>
  <sheetData>
    <row r="1" spans="1:9" x14ac:dyDescent="0.25">
      <c r="A1" t="s">
        <v>185</v>
      </c>
      <c r="B1" t="s">
        <v>186</v>
      </c>
      <c r="C1" t="s">
        <v>187</v>
      </c>
      <c r="D1" t="s">
        <v>956</v>
      </c>
      <c r="E1" t="s">
        <v>957</v>
      </c>
      <c r="F1" t="s">
        <v>958</v>
      </c>
      <c r="G1" t="s">
        <v>959</v>
      </c>
      <c r="H1" t="s">
        <v>188</v>
      </c>
      <c r="I1" t="s">
        <v>189</v>
      </c>
    </row>
    <row r="2" spans="1:9" x14ac:dyDescent="0.25">
      <c r="A2" s="423" t="s">
        <v>190</v>
      </c>
      <c r="B2" s="423" t="s">
        <v>194</v>
      </c>
      <c r="C2" s="395">
        <v>43711.255972222221</v>
      </c>
      <c r="H2" t="s">
        <v>220</v>
      </c>
      <c r="I2" s="423" t="s">
        <v>284</v>
      </c>
    </row>
    <row r="3" spans="1:9" x14ac:dyDescent="0.25">
      <c r="A3" s="423" t="s">
        <v>193</v>
      </c>
      <c r="B3" s="423" t="s">
        <v>194</v>
      </c>
      <c r="C3" s="395">
        <v>43711.254386574074</v>
      </c>
      <c r="H3" t="s">
        <v>195</v>
      </c>
      <c r="I3" s="423" t="s">
        <v>235</v>
      </c>
    </row>
    <row r="4" spans="1:9" x14ac:dyDescent="0.25">
      <c r="A4" s="423" t="s">
        <v>190</v>
      </c>
      <c r="B4" s="423" t="s">
        <v>202</v>
      </c>
      <c r="C4" s="395">
        <v>43706.246365740742</v>
      </c>
      <c r="H4" t="s">
        <v>203</v>
      </c>
      <c r="I4" s="423" t="s">
        <v>285</v>
      </c>
    </row>
    <row r="5" spans="1:9" x14ac:dyDescent="0.25">
      <c r="A5" s="423" t="s">
        <v>190</v>
      </c>
      <c r="B5" s="423" t="s">
        <v>194</v>
      </c>
      <c r="C5" s="395">
        <v>43706.245729166665</v>
      </c>
      <c r="H5" t="s">
        <v>220</v>
      </c>
      <c r="I5" s="423" t="s">
        <v>284</v>
      </c>
    </row>
    <row r="6" spans="1:9" x14ac:dyDescent="0.25">
      <c r="A6" s="423" t="s">
        <v>193</v>
      </c>
      <c r="B6" s="423" t="s">
        <v>202</v>
      </c>
      <c r="C6" s="395">
        <v>43706.244490740741</v>
      </c>
      <c r="H6" t="s">
        <v>204</v>
      </c>
      <c r="I6" s="423" t="s">
        <v>236</v>
      </c>
    </row>
    <row r="7" spans="1:9" x14ac:dyDescent="0.25">
      <c r="A7" s="423" t="s">
        <v>193</v>
      </c>
      <c r="B7" s="423" t="s">
        <v>194</v>
      </c>
      <c r="C7" s="395">
        <v>43706.24359953704</v>
      </c>
      <c r="H7" t="s">
        <v>195</v>
      </c>
      <c r="I7" s="423" t="s">
        <v>235</v>
      </c>
    </row>
    <row r="8" spans="1:9" x14ac:dyDescent="0.25">
      <c r="A8" s="423" t="s">
        <v>196</v>
      </c>
      <c r="B8" s="423" t="s">
        <v>194</v>
      </c>
      <c r="C8" s="395">
        <v>43705.646435185183</v>
      </c>
      <c r="H8" t="s">
        <v>1826</v>
      </c>
      <c r="I8" s="423" t="s">
        <v>275</v>
      </c>
    </row>
    <row r="9" spans="1:9" x14ac:dyDescent="0.25">
      <c r="A9" s="423" t="s">
        <v>207</v>
      </c>
      <c r="B9" s="423" t="s">
        <v>198</v>
      </c>
      <c r="C9" s="395">
        <v>43705.466631944444</v>
      </c>
      <c r="H9" t="s">
        <v>208</v>
      </c>
      <c r="I9" s="423" t="s">
        <v>249</v>
      </c>
    </row>
    <row r="10" spans="1:9" x14ac:dyDescent="0.25">
      <c r="A10" s="423" t="s">
        <v>226</v>
      </c>
      <c r="B10" s="423" t="s">
        <v>194</v>
      </c>
      <c r="C10" s="395">
        <v>43703.282743055555</v>
      </c>
      <c r="H10" t="s">
        <v>234</v>
      </c>
      <c r="I10" s="423" t="s">
        <v>238</v>
      </c>
    </row>
    <row r="11" spans="1:9" x14ac:dyDescent="0.25">
      <c r="A11" s="423" t="s">
        <v>245</v>
      </c>
      <c r="B11" s="423" t="s">
        <v>202</v>
      </c>
      <c r="C11" s="395">
        <v>43700.562951388885</v>
      </c>
      <c r="H11" t="s">
        <v>492</v>
      </c>
      <c r="I11" s="423" t="s">
        <v>283</v>
      </c>
    </row>
    <row r="12" spans="1:9" x14ac:dyDescent="0.25">
      <c r="A12" s="423" t="s">
        <v>245</v>
      </c>
      <c r="B12" s="423" t="s">
        <v>194</v>
      </c>
      <c r="C12" s="395">
        <v>43700.56181712963</v>
      </c>
      <c r="H12" t="s">
        <v>940</v>
      </c>
      <c r="I12" s="423" t="s">
        <v>282</v>
      </c>
    </row>
    <row r="13" spans="1:9" x14ac:dyDescent="0.25">
      <c r="A13" s="423" t="s">
        <v>193</v>
      </c>
      <c r="B13" s="423" t="s">
        <v>202</v>
      </c>
      <c r="C13" s="395">
        <v>43700.558715277781</v>
      </c>
      <c r="H13" t="s">
        <v>204</v>
      </c>
      <c r="I13" s="423" t="s">
        <v>236</v>
      </c>
    </row>
    <row r="14" spans="1:9" x14ac:dyDescent="0.25">
      <c r="A14" s="423" t="s">
        <v>190</v>
      </c>
      <c r="B14" s="423" t="s">
        <v>194</v>
      </c>
      <c r="C14" s="395">
        <v>43699.689826388887</v>
      </c>
      <c r="H14" t="s">
        <v>220</v>
      </c>
      <c r="I14" s="423" t="s">
        <v>284</v>
      </c>
    </row>
    <row r="15" spans="1:9" x14ac:dyDescent="0.25">
      <c r="A15" s="423" t="s">
        <v>226</v>
      </c>
      <c r="B15" s="423" t="s">
        <v>194</v>
      </c>
      <c r="C15" s="395">
        <v>43697.617766203701</v>
      </c>
      <c r="H15" t="s">
        <v>234</v>
      </c>
      <c r="I15" s="423" t="s">
        <v>238</v>
      </c>
    </row>
    <row r="16" spans="1:9" x14ac:dyDescent="0.25">
      <c r="A16" s="423" t="s">
        <v>193</v>
      </c>
      <c r="B16" s="423" t="s">
        <v>194</v>
      </c>
      <c r="C16" s="395">
        <v>43693.515682870369</v>
      </c>
      <c r="H16" t="s">
        <v>195</v>
      </c>
      <c r="I16" s="423" t="s">
        <v>235</v>
      </c>
    </row>
    <row r="17" spans="1:9" x14ac:dyDescent="0.25">
      <c r="A17" s="423" t="s">
        <v>226</v>
      </c>
      <c r="B17" s="423" t="s">
        <v>194</v>
      </c>
      <c r="C17" s="395">
        <v>43691.452731481484</v>
      </c>
      <c r="H17" t="s">
        <v>234</v>
      </c>
      <c r="I17" s="423" t="s">
        <v>238</v>
      </c>
    </row>
    <row r="18" spans="1:9" x14ac:dyDescent="0.25">
      <c r="A18" s="423" t="s">
        <v>226</v>
      </c>
      <c r="B18" s="423" t="s">
        <v>202</v>
      </c>
      <c r="C18" s="395">
        <v>43690.223993055559</v>
      </c>
      <c r="H18" t="s">
        <v>227</v>
      </c>
      <c r="I18" s="423" t="s">
        <v>237</v>
      </c>
    </row>
    <row r="19" spans="1:9" x14ac:dyDescent="0.25">
      <c r="A19" s="423" t="s">
        <v>226</v>
      </c>
      <c r="B19" s="423" t="s">
        <v>194</v>
      </c>
      <c r="C19" s="395">
        <v>43690.222986111112</v>
      </c>
      <c r="H19" t="s">
        <v>234</v>
      </c>
      <c r="I19" s="423" t="s">
        <v>238</v>
      </c>
    </row>
    <row r="20" spans="1:9" x14ac:dyDescent="0.25">
      <c r="A20" s="423" t="s">
        <v>193</v>
      </c>
      <c r="B20" s="423" t="s">
        <v>202</v>
      </c>
      <c r="C20" s="395">
        <v>43689.614270833335</v>
      </c>
      <c r="H20" t="s">
        <v>204</v>
      </c>
      <c r="I20" s="423" t="s">
        <v>236</v>
      </c>
    </row>
    <row r="21" spans="1:9" x14ac:dyDescent="0.25">
      <c r="A21" s="423" t="s">
        <v>193</v>
      </c>
      <c r="B21" s="423" t="s">
        <v>202</v>
      </c>
      <c r="C21" s="395">
        <v>43689.602523148147</v>
      </c>
      <c r="E21">
        <v>-1.2</v>
      </c>
      <c r="G21">
        <v>-1.2</v>
      </c>
      <c r="H21" t="s">
        <v>204</v>
      </c>
      <c r="I21" s="423" t="s">
        <v>236</v>
      </c>
    </row>
    <row r="22" spans="1:9" x14ac:dyDescent="0.25">
      <c r="A22" s="423" t="s">
        <v>193</v>
      </c>
      <c r="B22" s="423" t="s">
        <v>202</v>
      </c>
      <c r="C22" s="395">
        <v>43689.502627314818</v>
      </c>
      <c r="D22">
        <v>0.6</v>
      </c>
      <c r="F22">
        <v>0.6</v>
      </c>
      <c r="H22" t="s">
        <v>204</v>
      </c>
      <c r="I22" s="423" t="s">
        <v>236</v>
      </c>
    </row>
    <row r="23" spans="1:9" x14ac:dyDescent="0.25">
      <c r="A23" s="423" t="s">
        <v>193</v>
      </c>
      <c r="B23" s="423" t="s">
        <v>202</v>
      </c>
      <c r="C23" s="395">
        <v>43689.489664351851</v>
      </c>
      <c r="D23">
        <v>6.35</v>
      </c>
      <c r="F23">
        <v>6.35</v>
      </c>
      <c r="H23" t="s">
        <v>204</v>
      </c>
      <c r="I23" s="423" t="s">
        <v>236</v>
      </c>
    </row>
    <row r="24" spans="1:9" x14ac:dyDescent="0.25">
      <c r="A24" s="423" t="s">
        <v>193</v>
      </c>
      <c r="B24" s="423" t="s">
        <v>202</v>
      </c>
      <c r="C24" s="395">
        <v>43689.439664351848</v>
      </c>
      <c r="E24">
        <v>17.266919999999999</v>
      </c>
      <c r="G24">
        <v>17.266919999999999</v>
      </c>
      <c r="H24" t="s">
        <v>204</v>
      </c>
      <c r="I24" s="423" t="s">
        <v>236</v>
      </c>
    </row>
    <row r="25" spans="1:9" x14ac:dyDescent="0.25">
      <c r="A25" s="423" t="s">
        <v>226</v>
      </c>
      <c r="B25" s="423" t="s">
        <v>194</v>
      </c>
      <c r="C25" s="395">
        <v>43685.664849537039</v>
      </c>
      <c r="H25" t="s">
        <v>234</v>
      </c>
      <c r="I25" s="423" t="s">
        <v>238</v>
      </c>
    </row>
    <row r="26" spans="1:9" x14ac:dyDescent="0.25">
      <c r="A26" s="423" t="s">
        <v>226</v>
      </c>
      <c r="B26" s="423" t="s">
        <v>194</v>
      </c>
      <c r="C26" s="395">
        <v>43685.546597222223</v>
      </c>
      <c r="D26">
        <v>-1.7462500000000001</v>
      </c>
      <c r="F26">
        <v>-1.7462500000000001</v>
      </c>
      <c r="H26" t="s">
        <v>234</v>
      </c>
      <c r="I26" s="423" t="s">
        <v>238</v>
      </c>
    </row>
    <row r="27" spans="1:9" x14ac:dyDescent="0.25">
      <c r="A27" s="423" t="s">
        <v>226</v>
      </c>
      <c r="B27" s="423" t="s">
        <v>194</v>
      </c>
      <c r="C27" s="395">
        <v>43685.546226851853</v>
      </c>
      <c r="H27" t="s">
        <v>234</v>
      </c>
      <c r="I27" s="423" t="s">
        <v>238</v>
      </c>
    </row>
    <row r="28" spans="1:9" x14ac:dyDescent="0.25">
      <c r="A28" s="423" t="s">
        <v>226</v>
      </c>
      <c r="B28" s="423" t="s">
        <v>194</v>
      </c>
      <c r="C28" s="395">
        <v>43685.527881944443</v>
      </c>
      <c r="E28">
        <v>7.12</v>
      </c>
      <c r="G28">
        <v>7.12</v>
      </c>
      <c r="H28" t="s">
        <v>234</v>
      </c>
      <c r="I28" s="423" t="s">
        <v>238</v>
      </c>
    </row>
    <row r="29" spans="1:9" x14ac:dyDescent="0.25">
      <c r="A29" s="423" t="s">
        <v>226</v>
      </c>
      <c r="B29" s="423" t="s">
        <v>202</v>
      </c>
      <c r="C29" s="395">
        <v>43678.277731481481</v>
      </c>
      <c r="H29" t="s">
        <v>227</v>
      </c>
      <c r="I29" s="423" t="s">
        <v>237</v>
      </c>
    </row>
    <row r="30" spans="1:9" x14ac:dyDescent="0.25">
      <c r="A30" s="423" t="s">
        <v>196</v>
      </c>
      <c r="B30" s="423" t="s">
        <v>191</v>
      </c>
      <c r="C30" s="395">
        <v>43678.270532407405</v>
      </c>
      <c r="H30" t="s">
        <v>197</v>
      </c>
      <c r="I30" s="423" t="s">
        <v>268</v>
      </c>
    </row>
    <row r="31" spans="1:9" x14ac:dyDescent="0.25">
      <c r="A31" s="423" t="s">
        <v>245</v>
      </c>
      <c r="B31" s="423" t="s">
        <v>202</v>
      </c>
      <c r="C31" s="395">
        <v>43677.224918981483</v>
      </c>
      <c r="H31" t="s">
        <v>492</v>
      </c>
      <c r="I31" s="423" t="s">
        <v>283</v>
      </c>
    </row>
    <row r="32" spans="1:9" x14ac:dyDescent="0.25">
      <c r="A32" s="423" t="s">
        <v>226</v>
      </c>
      <c r="B32" s="423" t="s">
        <v>202</v>
      </c>
      <c r="C32" s="395">
        <v>43641.566261574073</v>
      </c>
      <c r="H32" t="s">
        <v>227</v>
      </c>
      <c r="I32" s="423" t="s">
        <v>237</v>
      </c>
    </row>
    <row r="33" spans="1:9" x14ac:dyDescent="0.25">
      <c r="A33" s="423" t="s">
        <v>193</v>
      </c>
      <c r="B33" s="423" t="s">
        <v>194</v>
      </c>
      <c r="C33" s="395">
        <v>43637.725347222222</v>
      </c>
      <c r="H33" t="s">
        <v>195</v>
      </c>
      <c r="I33" s="423" t="s">
        <v>235</v>
      </c>
    </row>
    <row r="34" spans="1:9" x14ac:dyDescent="0.25">
      <c r="A34" s="423" t="s">
        <v>207</v>
      </c>
      <c r="B34" s="423" t="s">
        <v>198</v>
      </c>
      <c r="C34" s="395">
        <v>43634.235682870371</v>
      </c>
      <c r="H34" t="s">
        <v>208</v>
      </c>
      <c r="I34" s="423" t="s">
        <v>249</v>
      </c>
    </row>
    <row r="35" spans="1:9" x14ac:dyDescent="0.25">
      <c r="A35" s="423" t="s">
        <v>207</v>
      </c>
      <c r="B35" s="423" t="s">
        <v>198</v>
      </c>
      <c r="C35" s="395">
        <v>43633.601180555554</v>
      </c>
      <c r="H35" t="s">
        <v>208</v>
      </c>
      <c r="I35" s="423" t="s">
        <v>249</v>
      </c>
    </row>
    <row r="36" spans="1:9" x14ac:dyDescent="0.25">
      <c r="A36" s="423" t="s">
        <v>207</v>
      </c>
      <c r="B36" s="423" t="s">
        <v>198</v>
      </c>
      <c r="C36" s="395">
        <v>43633.496064814812</v>
      </c>
      <c r="H36" t="s">
        <v>208</v>
      </c>
      <c r="I36" s="423" t="s">
        <v>249</v>
      </c>
    </row>
    <row r="37" spans="1:9" x14ac:dyDescent="0.25">
      <c r="A37" s="423" t="s">
        <v>207</v>
      </c>
      <c r="B37" s="423" t="s">
        <v>198</v>
      </c>
      <c r="C37" s="395">
        <v>43633.364664351851</v>
      </c>
      <c r="H37" t="s">
        <v>208</v>
      </c>
      <c r="I37" s="423" t="s">
        <v>249</v>
      </c>
    </row>
    <row r="38" spans="1:9" x14ac:dyDescent="0.25">
      <c r="A38" s="423" t="s">
        <v>226</v>
      </c>
      <c r="B38" s="423" t="s">
        <v>202</v>
      </c>
      <c r="C38" s="395">
        <v>43633.355046296296</v>
      </c>
      <c r="H38" t="s">
        <v>227</v>
      </c>
      <c r="I38" s="423" t="s">
        <v>237</v>
      </c>
    </row>
    <row r="39" spans="1:9" x14ac:dyDescent="0.25">
      <c r="A39" s="423" t="s">
        <v>226</v>
      </c>
      <c r="B39" s="423" t="s">
        <v>202</v>
      </c>
      <c r="C39" s="395">
        <v>43633.29420138889</v>
      </c>
      <c r="H39" t="s">
        <v>227</v>
      </c>
      <c r="I39" s="423" t="s">
        <v>237</v>
      </c>
    </row>
    <row r="40" spans="1:9" x14ac:dyDescent="0.25">
      <c r="A40" s="423" t="s">
        <v>207</v>
      </c>
      <c r="B40" s="423" t="s">
        <v>198</v>
      </c>
      <c r="C40" s="395">
        <v>43633.279108796298</v>
      </c>
      <c r="H40" t="s">
        <v>208</v>
      </c>
      <c r="I40" s="423" t="s">
        <v>249</v>
      </c>
    </row>
    <row r="41" spans="1:9" x14ac:dyDescent="0.25">
      <c r="A41" s="423" t="s">
        <v>207</v>
      </c>
      <c r="B41" s="423" t="s">
        <v>191</v>
      </c>
      <c r="C41" s="395">
        <v>43633.276064814818</v>
      </c>
      <c r="H41" t="s">
        <v>222</v>
      </c>
      <c r="I41" s="423" t="s">
        <v>248</v>
      </c>
    </row>
    <row r="42" spans="1:9" x14ac:dyDescent="0.25">
      <c r="A42" s="423" t="s">
        <v>226</v>
      </c>
      <c r="B42" s="423" t="s">
        <v>202</v>
      </c>
      <c r="C42" s="395">
        <v>43633.239733796298</v>
      </c>
      <c r="H42" t="s">
        <v>227</v>
      </c>
      <c r="I42" s="423" t="s">
        <v>237</v>
      </c>
    </row>
    <row r="43" spans="1:9" x14ac:dyDescent="0.25">
      <c r="A43" s="423" t="s">
        <v>245</v>
      </c>
      <c r="B43" s="423" t="s">
        <v>194</v>
      </c>
      <c r="C43" s="395">
        <v>43633.231053240743</v>
      </c>
      <c r="H43" t="s">
        <v>940</v>
      </c>
      <c r="I43" s="423" t="s">
        <v>282</v>
      </c>
    </row>
    <row r="44" spans="1:9" x14ac:dyDescent="0.25">
      <c r="A44" s="423" t="s">
        <v>245</v>
      </c>
      <c r="B44" s="423" t="s">
        <v>194</v>
      </c>
      <c r="C44" s="395">
        <v>43633.230752314812</v>
      </c>
      <c r="H44" t="s">
        <v>940</v>
      </c>
      <c r="I44" s="423" t="s">
        <v>282</v>
      </c>
    </row>
    <row r="45" spans="1:9" x14ac:dyDescent="0.25">
      <c r="A45" s="423" t="s">
        <v>245</v>
      </c>
      <c r="B45" s="423" t="s">
        <v>202</v>
      </c>
      <c r="C45" s="395">
        <v>43633.229143518518</v>
      </c>
      <c r="H45" t="s">
        <v>492</v>
      </c>
      <c r="I45" s="423" t="s">
        <v>283</v>
      </c>
    </row>
    <row r="46" spans="1:9" x14ac:dyDescent="0.25">
      <c r="A46" s="423" t="s">
        <v>226</v>
      </c>
      <c r="B46" s="423" t="s">
        <v>202</v>
      </c>
      <c r="C46" s="395">
        <v>43631.640648148146</v>
      </c>
      <c r="H46" t="s">
        <v>227</v>
      </c>
      <c r="I46" s="423" t="s">
        <v>237</v>
      </c>
    </row>
    <row r="47" spans="1:9" x14ac:dyDescent="0.25">
      <c r="A47" s="423" t="s">
        <v>226</v>
      </c>
      <c r="B47" s="423" t="s">
        <v>202</v>
      </c>
      <c r="C47" s="395">
        <v>43631.593055555553</v>
      </c>
      <c r="H47" t="s">
        <v>227</v>
      </c>
      <c r="I47" s="423" t="s">
        <v>237</v>
      </c>
    </row>
    <row r="48" spans="1:9" x14ac:dyDescent="0.25">
      <c r="A48" s="423" t="s">
        <v>226</v>
      </c>
      <c r="B48" s="423" t="s">
        <v>202</v>
      </c>
      <c r="C48" s="395">
        <v>43631.583229166667</v>
      </c>
      <c r="H48" t="s">
        <v>227</v>
      </c>
      <c r="I48" s="423" t="s">
        <v>237</v>
      </c>
    </row>
    <row r="49" spans="1:9" x14ac:dyDescent="0.25">
      <c r="A49" s="423" t="s">
        <v>193</v>
      </c>
      <c r="B49" s="423" t="s">
        <v>194</v>
      </c>
      <c r="C49" s="395">
        <v>43630.648900462962</v>
      </c>
      <c r="H49" t="s">
        <v>195</v>
      </c>
      <c r="I49" s="423" t="s">
        <v>235</v>
      </c>
    </row>
    <row r="50" spans="1:9" x14ac:dyDescent="0.25">
      <c r="A50" s="423" t="s">
        <v>207</v>
      </c>
      <c r="B50" s="423" t="s">
        <v>191</v>
      </c>
      <c r="C50" s="395">
        <v>43630.513831018521</v>
      </c>
      <c r="H50" t="s">
        <v>222</v>
      </c>
      <c r="I50" s="423" t="s">
        <v>248</v>
      </c>
    </row>
    <row r="51" spans="1:9" x14ac:dyDescent="0.25">
      <c r="A51" s="423" t="s">
        <v>190</v>
      </c>
      <c r="B51" s="423" t="s">
        <v>202</v>
      </c>
      <c r="C51" s="395">
        <v>43630.497129629628</v>
      </c>
      <c r="H51" t="s">
        <v>203</v>
      </c>
      <c r="I51" s="423" t="s">
        <v>285</v>
      </c>
    </row>
    <row r="52" spans="1:9" x14ac:dyDescent="0.25">
      <c r="A52" s="423" t="s">
        <v>193</v>
      </c>
      <c r="B52" s="423" t="s">
        <v>194</v>
      </c>
      <c r="C52" s="395">
        <v>43630.493576388886</v>
      </c>
      <c r="H52" t="s">
        <v>195</v>
      </c>
      <c r="I52" s="423" t="s">
        <v>235</v>
      </c>
    </row>
    <row r="53" spans="1:9" x14ac:dyDescent="0.25">
      <c r="A53" s="423" t="s">
        <v>193</v>
      </c>
      <c r="B53" s="423" t="s">
        <v>194</v>
      </c>
      <c r="C53" s="395">
        <v>43628.455752314818</v>
      </c>
      <c r="H53" t="s">
        <v>195</v>
      </c>
      <c r="I53" s="423" t="s">
        <v>235</v>
      </c>
    </row>
    <row r="54" spans="1:9" x14ac:dyDescent="0.25">
      <c r="A54" s="423" t="s">
        <v>200</v>
      </c>
      <c r="B54" s="423" t="s">
        <v>191</v>
      </c>
      <c r="C54" s="395">
        <v>43628.430706018517</v>
      </c>
      <c r="H54" t="s">
        <v>205</v>
      </c>
      <c r="I54" s="423" t="s">
        <v>272</v>
      </c>
    </row>
    <row r="55" spans="1:9" x14ac:dyDescent="0.25">
      <c r="A55" s="423" t="s">
        <v>193</v>
      </c>
      <c r="B55" s="423" t="s">
        <v>194</v>
      </c>
      <c r="C55" s="395">
        <v>43628.295694444445</v>
      </c>
      <c r="H55" t="s">
        <v>195</v>
      </c>
      <c r="I55" s="423" t="s">
        <v>235</v>
      </c>
    </row>
    <row r="56" spans="1:9" x14ac:dyDescent="0.25">
      <c r="A56" s="423" t="s">
        <v>190</v>
      </c>
      <c r="B56" s="423" t="s">
        <v>194</v>
      </c>
      <c r="C56" s="395">
        <v>43627.704826388886</v>
      </c>
      <c r="H56" t="s">
        <v>220</v>
      </c>
      <c r="I56" s="423" t="s">
        <v>284</v>
      </c>
    </row>
    <row r="57" spans="1:9" x14ac:dyDescent="0.25">
      <c r="A57" s="423" t="s">
        <v>190</v>
      </c>
      <c r="B57" s="423" t="s">
        <v>194</v>
      </c>
      <c r="C57" s="395">
        <v>43627.539976851855</v>
      </c>
      <c r="H57" t="s">
        <v>220</v>
      </c>
      <c r="I57" s="423" t="s">
        <v>284</v>
      </c>
    </row>
    <row r="58" spans="1:9" x14ac:dyDescent="0.25">
      <c r="A58" s="423" t="s">
        <v>190</v>
      </c>
      <c r="B58" s="423" t="s">
        <v>202</v>
      </c>
      <c r="C58" s="395">
        <v>43627.539166666669</v>
      </c>
      <c r="H58" t="s">
        <v>203</v>
      </c>
      <c r="I58" s="423" t="s">
        <v>285</v>
      </c>
    </row>
    <row r="59" spans="1:9" x14ac:dyDescent="0.25">
      <c r="A59" s="423" t="s">
        <v>207</v>
      </c>
      <c r="B59" s="423" t="s">
        <v>198</v>
      </c>
      <c r="C59" s="395">
        <v>43627.224791666667</v>
      </c>
      <c r="E59">
        <v>-0.2</v>
      </c>
      <c r="G59">
        <v>-0.2</v>
      </c>
      <c r="H59" t="s">
        <v>208</v>
      </c>
      <c r="I59" s="423" t="s">
        <v>249</v>
      </c>
    </row>
    <row r="60" spans="1:9" x14ac:dyDescent="0.25">
      <c r="A60" s="423" t="s">
        <v>226</v>
      </c>
      <c r="B60" s="423" t="s">
        <v>202</v>
      </c>
      <c r="C60" s="395">
        <v>43626.906134259261</v>
      </c>
      <c r="H60" t="s">
        <v>227</v>
      </c>
      <c r="I60" s="423" t="s">
        <v>237</v>
      </c>
    </row>
    <row r="61" spans="1:9" x14ac:dyDescent="0.25">
      <c r="A61" s="423" t="s">
        <v>190</v>
      </c>
      <c r="B61" s="423" t="s">
        <v>202</v>
      </c>
      <c r="C61" s="395">
        <v>43626.85596064815</v>
      </c>
      <c r="D61">
        <v>1</v>
      </c>
      <c r="F61">
        <v>1</v>
      </c>
      <c r="H61" t="s">
        <v>203</v>
      </c>
      <c r="I61" s="423" t="s">
        <v>285</v>
      </c>
    </row>
    <row r="62" spans="1:9" x14ac:dyDescent="0.25">
      <c r="A62" s="423" t="s">
        <v>190</v>
      </c>
      <c r="B62" s="423" t="s">
        <v>194</v>
      </c>
      <c r="C62" s="395">
        <v>43626.855891203704</v>
      </c>
      <c r="D62">
        <v>1</v>
      </c>
      <c r="F62">
        <v>1</v>
      </c>
      <c r="H62" t="s">
        <v>220</v>
      </c>
      <c r="I62" s="423" t="s">
        <v>284</v>
      </c>
    </row>
    <row r="63" spans="1:9" x14ac:dyDescent="0.25">
      <c r="A63" s="423" t="s">
        <v>190</v>
      </c>
      <c r="B63" s="423" t="s">
        <v>194</v>
      </c>
      <c r="C63" s="395">
        <v>43626.833425925928</v>
      </c>
      <c r="D63">
        <v>-5</v>
      </c>
      <c r="F63">
        <v>-5</v>
      </c>
      <c r="H63" t="s">
        <v>220</v>
      </c>
      <c r="I63" s="423" t="s">
        <v>284</v>
      </c>
    </row>
    <row r="64" spans="1:9" x14ac:dyDescent="0.25">
      <c r="A64" s="423" t="s">
        <v>190</v>
      </c>
      <c r="B64" s="423" t="s">
        <v>202</v>
      </c>
      <c r="C64" s="395">
        <v>43626.833310185182</v>
      </c>
      <c r="D64">
        <v>-5</v>
      </c>
      <c r="F64">
        <v>-5</v>
      </c>
      <c r="H64" t="s">
        <v>203</v>
      </c>
      <c r="I64" s="423" t="s">
        <v>285</v>
      </c>
    </row>
    <row r="65" spans="1:9" x14ac:dyDescent="0.25">
      <c r="A65" s="423" t="s">
        <v>190</v>
      </c>
      <c r="B65" s="423" t="s">
        <v>202</v>
      </c>
      <c r="C65" s="395">
        <v>43626.825416666667</v>
      </c>
      <c r="E65">
        <v>-34.5</v>
      </c>
      <c r="G65">
        <v>-34.5</v>
      </c>
      <c r="H65" t="s">
        <v>203</v>
      </c>
      <c r="I65" s="423" t="s">
        <v>285</v>
      </c>
    </row>
    <row r="66" spans="1:9" x14ac:dyDescent="0.25">
      <c r="A66" s="423" t="s">
        <v>190</v>
      </c>
      <c r="B66" s="423" t="s">
        <v>194</v>
      </c>
      <c r="C66" s="395">
        <v>43626.825335648151</v>
      </c>
      <c r="E66">
        <v>-34.5</v>
      </c>
      <c r="G66">
        <v>-34.5</v>
      </c>
      <c r="H66" t="s">
        <v>220</v>
      </c>
      <c r="I66" s="423" t="s">
        <v>284</v>
      </c>
    </row>
    <row r="67" spans="1:9" x14ac:dyDescent="0.25">
      <c r="A67" s="423" t="s">
        <v>190</v>
      </c>
      <c r="B67" s="423" t="s">
        <v>194</v>
      </c>
      <c r="C67" s="395">
        <v>43626.821956018517</v>
      </c>
      <c r="E67">
        <v>34.5</v>
      </c>
      <c r="G67">
        <v>34.5</v>
      </c>
      <c r="H67" t="s">
        <v>220</v>
      </c>
      <c r="I67" s="423" t="s">
        <v>284</v>
      </c>
    </row>
    <row r="68" spans="1:9" x14ac:dyDescent="0.25">
      <c r="A68" s="423" t="s">
        <v>190</v>
      </c>
      <c r="B68" s="423" t="s">
        <v>202</v>
      </c>
      <c r="C68" s="395">
        <v>43626.821875000001</v>
      </c>
      <c r="E68">
        <v>34.5</v>
      </c>
      <c r="G68">
        <v>34.5</v>
      </c>
      <c r="H68" t="s">
        <v>203</v>
      </c>
      <c r="I68" s="423" t="s">
        <v>285</v>
      </c>
    </row>
    <row r="69" spans="1:9" x14ac:dyDescent="0.25">
      <c r="A69" s="423" t="s">
        <v>190</v>
      </c>
      <c r="B69" s="423" t="s">
        <v>202</v>
      </c>
      <c r="C69" s="395">
        <v>43626.809351851851</v>
      </c>
      <c r="D69">
        <v>34.5</v>
      </c>
      <c r="F69">
        <v>34.5</v>
      </c>
      <c r="H69" t="s">
        <v>203</v>
      </c>
      <c r="I69" s="423" t="s">
        <v>285</v>
      </c>
    </row>
    <row r="70" spans="1:9" x14ac:dyDescent="0.25">
      <c r="A70" s="423" t="s">
        <v>190</v>
      </c>
      <c r="B70" s="423" t="s">
        <v>194</v>
      </c>
      <c r="C70" s="395">
        <v>43626.809247685182</v>
      </c>
      <c r="D70">
        <v>34.5</v>
      </c>
      <c r="F70">
        <v>34.5</v>
      </c>
      <c r="H70" t="s">
        <v>220</v>
      </c>
      <c r="I70" s="423" t="s">
        <v>284</v>
      </c>
    </row>
    <row r="71" spans="1:9" x14ac:dyDescent="0.25">
      <c r="A71" s="423" t="s">
        <v>207</v>
      </c>
      <c r="B71" s="423" t="s">
        <v>191</v>
      </c>
      <c r="C71" s="395">
        <v>43626.663831018515</v>
      </c>
      <c r="H71" t="s">
        <v>222</v>
      </c>
      <c r="I71" s="423" t="s">
        <v>248</v>
      </c>
    </row>
    <row r="72" spans="1:9" x14ac:dyDescent="0.25">
      <c r="A72" s="423" t="s">
        <v>193</v>
      </c>
      <c r="B72" s="423" t="s">
        <v>194</v>
      </c>
      <c r="C72" s="395">
        <v>43626.659594907411</v>
      </c>
      <c r="E72">
        <v>-0.2</v>
      </c>
      <c r="G72">
        <v>-0.2</v>
      </c>
      <c r="H72" t="s">
        <v>195</v>
      </c>
      <c r="I72" s="423" t="s">
        <v>235</v>
      </c>
    </row>
    <row r="73" spans="1:9" x14ac:dyDescent="0.25">
      <c r="A73" s="423" t="s">
        <v>193</v>
      </c>
      <c r="B73" s="423" t="s">
        <v>194</v>
      </c>
      <c r="C73" s="395">
        <v>43626.646261574075</v>
      </c>
      <c r="H73" t="s">
        <v>195</v>
      </c>
      <c r="I73" s="423" t="s">
        <v>235</v>
      </c>
    </row>
    <row r="74" spans="1:9" x14ac:dyDescent="0.25">
      <c r="A74" s="423" t="s">
        <v>207</v>
      </c>
      <c r="B74" s="423" t="s">
        <v>198</v>
      </c>
      <c r="C74" s="395">
        <v>43626.554479166669</v>
      </c>
      <c r="H74" t="s">
        <v>208</v>
      </c>
      <c r="I74" s="423" t="s">
        <v>249</v>
      </c>
    </row>
    <row r="75" spans="1:9" x14ac:dyDescent="0.25">
      <c r="A75" s="423" t="s">
        <v>207</v>
      </c>
      <c r="B75" s="423" t="s">
        <v>191</v>
      </c>
      <c r="C75" s="395">
        <v>43626.554328703707</v>
      </c>
      <c r="H75" t="s">
        <v>222</v>
      </c>
      <c r="I75" s="423" t="s">
        <v>248</v>
      </c>
    </row>
    <row r="76" spans="1:9" x14ac:dyDescent="0.25">
      <c r="A76" s="423" t="s">
        <v>245</v>
      </c>
      <c r="B76" s="423" t="s">
        <v>202</v>
      </c>
      <c r="C76" s="395">
        <v>43623.686273148145</v>
      </c>
      <c r="H76" t="s">
        <v>492</v>
      </c>
      <c r="I76" s="423" t="s">
        <v>283</v>
      </c>
    </row>
    <row r="77" spans="1:9" x14ac:dyDescent="0.25">
      <c r="A77" s="423" t="s">
        <v>245</v>
      </c>
      <c r="B77" s="423" t="s">
        <v>194</v>
      </c>
      <c r="C77" s="395">
        <v>43623.531469907408</v>
      </c>
      <c r="H77" t="s">
        <v>940</v>
      </c>
      <c r="I77" s="423" t="s">
        <v>282</v>
      </c>
    </row>
    <row r="78" spans="1:9" x14ac:dyDescent="0.25">
      <c r="A78" s="423" t="s">
        <v>226</v>
      </c>
      <c r="B78" s="423" t="s">
        <v>202</v>
      </c>
      <c r="C78" s="395">
        <v>43623.392881944441</v>
      </c>
      <c r="H78" t="s">
        <v>227</v>
      </c>
      <c r="I78" s="423" t="s">
        <v>237</v>
      </c>
    </row>
    <row r="79" spans="1:9" x14ac:dyDescent="0.25">
      <c r="A79" s="423" t="s">
        <v>207</v>
      </c>
      <c r="B79" s="423" t="s">
        <v>198</v>
      </c>
      <c r="C79" s="395">
        <v>43623.384814814817</v>
      </c>
      <c r="H79" t="s">
        <v>208</v>
      </c>
      <c r="I79" s="423" t="s">
        <v>249</v>
      </c>
    </row>
    <row r="80" spans="1:9" x14ac:dyDescent="0.25">
      <c r="A80" s="423" t="s">
        <v>207</v>
      </c>
      <c r="B80" s="423" t="s">
        <v>191</v>
      </c>
      <c r="C80" s="395">
        <v>43623.383831018517</v>
      </c>
      <c r="H80" t="s">
        <v>222</v>
      </c>
      <c r="I80" s="423" t="s">
        <v>248</v>
      </c>
    </row>
    <row r="81" spans="1:9" x14ac:dyDescent="0.25">
      <c r="A81" s="423" t="s">
        <v>245</v>
      </c>
      <c r="B81" s="423" t="s">
        <v>202</v>
      </c>
      <c r="C81" s="395">
        <v>43623.367175925923</v>
      </c>
      <c r="H81" t="s">
        <v>492</v>
      </c>
      <c r="I81" s="423" t="s">
        <v>283</v>
      </c>
    </row>
    <row r="82" spans="1:9" x14ac:dyDescent="0.25">
      <c r="A82" s="423" t="s">
        <v>245</v>
      </c>
      <c r="B82" s="423" t="s">
        <v>194</v>
      </c>
      <c r="C82" s="395">
        <v>43623.366678240738</v>
      </c>
      <c r="H82" t="s">
        <v>940</v>
      </c>
      <c r="I82" s="423" t="s">
        <v>282</v>
      </c>
    </row>
    <row r="83" spans="1:9" x14ac:dyDescent="0.25">
      <c r="A83" s="423" t="s">
        <v>207</v>
      </c>
      <c r="B83" s="423" t="s">
        <v>198</v>
      </c>
      <c r="C83" s="395">
        <v>43622.768263888887</v>
      </c>
      <c r="H83" t="s">
        <v>208</v>
      </c>
      <c r="I83" s="423" t="s">
        <v>249</v>
      </c>
    </row>
    <row r="84" spans="1:9" x14ac:dyDescent="0.25">
      <c r="A84" s="423" t="s">
        <v>207</v>
      </c>
      <c r="B84" s="423" t="s">
        <v>191</v>
      </c>
      <c r="C84" s="395">
        <v>43622.767557870371</v>
      </c>
      <c r="H84" t="s">
        <v>222</v>
      </c>
      <c r="I84" s="423" t="s">
        <v>248</v>
      </c>
    </row>
    <row r="85" spans="1:9" x14ac:dyDescent="0.25">
      <c r="A85" s="423" t="s">
        <v>245</v>
      </c>
      <c r="B85" s="423" t="s">
        <v>202</v>
      </c>
      <c r="C85" s="395">
        <v>43621.756469907406</v>
      </c>
      <c r="H85" t="s">
        <v>492</v>
      </c>
      <c r="I85" s="423" t="s">
        <v>283</v>
      </c>
    </row>
    <row r="86" spans="1:9" x14ac:dyDescent="0.25">
      <c r="A86" s="423" t="s">
        <v>193</v>
      </c>
      <c r="B86" s="423" t="s">
        <v>194</v>
      </c>
      <c r="C86" s="395">
        <v>43620.40148148148</v>
      </c>
      <c r="H86" t="s">
        <v>195</v>
      </c>
      <c r="I86" s="423" t="s">
        <v>235</v>
      </c>
    </row>
    <row r="87" spans="1:9" x14ac:dyDescent="0.25">
      <c r="A87" s="423" t="s">
        <v>226</v>
      </c>
      <c r="B87" s="423" t="s">
        <v>202</v>
      </c>
      <c r="C87" s="395">
        <v>43620.243831018517</v>
      </c>
      <c r="H87" t="s">
        <v>227</v>
      </c>
      <c r="I87" s="423" t="s">
        <v>237</v>
      </c>
    </row>
    <row r="88" spans="1:9" x14ac:dyDescent="0.25">
      <c r="A88" s="423" t="s">
        <v>226</v>
      </c>
      <c r="B88" s="423" t="s">
        <v>202</v>
      </c>
      <c r="C88" s="395">
        <v>43615.325277777774</v>
      </c>
      <c r="H88" t="s">
        <v>227</v>
      </c>
      <c r="I88" s="423" t="s">
        <v>237</v>
      </c>
    </row>
    <row r="89" spans="1:9" x14ac:dyDescent="0.25">
      <c r="A89" s="423" t="s">
        <v>226</v>
      </c>
      <c r="B89" s="423" t="s">
        <v>202</v>
      </c>
      <c r="C89" s="395">
        <v>43614.433576388888</v>
      </c>
      <c r="H89" t="s">
        <v>227</v>
      </c>
      <c r="I89" s="423" t="s">
        <v>237</v>
      </c>
    </row>
    <row r="90" spans="1:9" x14ac:dyDescent="0.25">
      <c r="A90" s="423" t="s">
        <v>207</v>
      </c>
      <c r="B90" s="423" t="s">
        <v>198</v>
      </c>
      <c r="C90" s="395">
        <v>43613.769143518519</v>
      </c>
      <c r="H90" t="s">
        <v>208</v>
      </c>
      <c r="I90" s="423" t="s">
        <v>249</v>
      </c>
    </row>
    <row r="91" spans="1:9" x14ac:dyDescent="0.25">
      <c r="A91" s="423" t="s">
        <v>226</v>
      </c>
      <c r="B91" s="423" t="s">
        <v>202</v>
      </c>
      <c r="C91" s="395">
        <v>43613.668668981481</v>
      </c>
      <c r="H91" t="s">
        <v>227</v>
      </c>
      <c r="I91" s="423" t="s">
        <v>237</v>
      </c>
    </row>
    <row r="92" spans="1:9" x14ac:dyDescent="0.25">
      <c r="A92" s="423" t="s">
        <v>193</v>
      </c>
      <c r="B92" s="423" t="s">
        <v>194</v>
      </c>
      <c r="C92" s="395">
        <v>43613.525671296295</v>
      </c>
      <c r="H92" t="s">
        <v>195</v>
      </c>
      <c r="I92" s="423" t="s">
        <v>235</v>
      </c>
    </row>
    <row r="93" spans="1:9" x14ac:dyDescent="0.25">
      <c r="A93" s="423" t="s">
        <v>226</v>
      </c>
      <c r="B93" s="423" t="s">
        <v>202</v>
      </c>
      <c r="C93" s="395">
        <v>43613.459953703707</v>
      </c>
      <c r="H93" t="s">
        <v>227</v>
      </c>
      <c r="I93" s="423" t="s">
        <v>237</v>
      </c>
    </row>
    <row r="94" spans="1:9" x14ac:dyDescent="0.25">
      <c r="A94" s="423" t="s">
        <v>226</v>
      </c>
      <c r="B94" s="423" t="s">
        <v>202</v>
      </c>
      <c r="C94" s="395">
        <v>43607.24355324074</v>
      </c>
      <c r="H94" t="s">
        <v>227</v>
      </c>
      <c r="I94" s="423" t="s">
        <v>237</v>
      </c>
    </row>
    <row r="95" spans="1:9" x14ac:dyDescent="0.25">
      <c r="A95" s="423" t="s">
        <v>226</v>
      </c>
      <c r="B95" s="423" t="s">
        <v>202</v>
      </c>
      <c r="C95" s="395">
        <v>43607.24355324074</v>
      </c>
      <c r="H95" t="s">
        <v>227</v>
      </c>
      <c r="I95" s="423" t="s">
        <v>237</v>
      </c>
    </row>
    <row r="96" spans="1:9" x14ac:dyDescent="0.25">
      <c r="A96" s="423" t="s">
        <v>226</v>
      </c>
      <c r="B96" s="423" t="s">
        <v>202</v>
      </c>
      <c r="C96" s="395">
        <v>43607.24355324074</v>
      </c>
      <c r="H96" t="s">
        <v>227</v>
      </c>
      <c r="I96" s="423" t="s">
        <v>237</v>
      </c>
    </row>
    <row r="97" spans="1:9" x14ac:dyDescent="0.25">
      <c r="A97" s="423" t="s">
        <v>226</v>
      </c>
      <c r="B97" s="423" t="s">
        <v>202</v>
      </c>
      <c r="C97" s="395">
        <v>43607.24355324074</v>
      </c>
      <c r="H97" t="s">
        <v>227</v>
      </c>
      <c r="I97" s="423" t="s">
        <v>237</v>
      </c>
    </row>
    <row r="98" spans="1:9" x14ac:dyDescent="0.25">
      <c r="A98" s="423" t="s">
        <v>193</v>
      </c>
      <c r="B98" s="423" t="s">
        <v>194</v>
      </c>
      <c r="C98" s="395">
        <v>43605.657465277778</v>
      </c>
      <c r="H98" t="s">
        <v>195</v>
      </c>
      <c r="I98" s="423" t="s">
        <v>235</v>
      </c>
    </row>
    <row r="99" spans="1:9" x14ac:dyDescent="0.25">
      <c r="A99" s="423" t="s">
        <v>207</v>
      </c>
      <c r="B99" s="423" t="s">
        <v>194</v>
      </c>
      <c r="C99" s="395">
        <v>43601.457499999997</v>
      </c>
      <c r="H99" t="s">
        <v>224</v>
      </c>
      <c r="I99" s="423" t="s">
        <v>270</v>
      </c>
    </row>
    <row r="100" spans="1:9" x14ac:dyDescent="0.25">
      <c r="A100" s="423" t="s">
        <v>226</v>
      </c>
      <c r="B100" s="423" t="s">
        <v>202</v>
      </c>
      <c r="C100" s="395">
        <v>43601.424733796295</v>
      </c>
      <c r="H100" t="s">
        <v>227</v>
      </c>
      <c r="I100" s="423" t="s">
        <v>237</v>
      </c>
    </row>
    <row r="101" spans="1:9" x14ac:dyDescent="0.25">
      <c r="A101" s="423" t="s">
        <v>200</v>
      </c>
      <c r="B101" s="423" t="s">
        <v>191</v>
      </c>
      <c r="C101" s="395">
        <v>43600.273865740739</v>
      </c>
      <c r="H101" t="s">
        <v>205</v>
      </c>
      <c r="I101" s="423" t="s">
        <v>272</v>
      </c>
    </row>
    <row r="102" spans="1:9" x14ac:dyDescent="0.25">
      <c r="A102" s="423" t="s">
        <v>233</v>
      </c>
      <c r="B102" s="423" t="s">
        <v>202</v>
      </c>
      <c r="C102" s="395">
        <v>43599.646817129629</v>
      </c>
      <c r="H102" t="s">
        <v>244</v>
      </c>
      <c r="I102" s="423" t="s">
        <v>243</v>
      </c>
    </row>
    <row r="103" spans="1:9" x14ac:dyDescent="0.25">
      <c r="A103" s="423" t="s">
        <v>226</v>
      </c>
      <c r="B103" s="423" t="s">
        <v>202</v>
      </c>
      <c r="C103" s="395">
        <v>43598.55265046296</v>
      </c>
      <c r="H103" t="s">
        <v>227</v>
      </c>
      <c r="I103" s="423" t="s">
        <v>237</v>
      </c>
    </row>
    <row r="104" spans="1:9" x14ac:dyDescent="0.25">
      <c r="A104" s="423" t="s">
        <v>190</v>
      </c>
      <c r="B104" s="423" t="s">
        <v>202</v>
      </c>
      <c r="C104" s="395">
        <v>43593.344618055555</v>
      </c>
      <c r="H104" t="s">
        <v>203</v>
      </c>
      <c r="I104" s="423" t="s">
        <v>285</v>
      </c>
    </row>
    <row r="105" spans="1:9" x14ac:dyDescent="0.25">
      <c r="A105" s="423" t="s">
        <v>193</v>
      </c>
      <c r="B105" s="423" t="s">
        <v>194</v>
      </c>
      <c r="C105" s="395">
        <v>43592.462916666664</v>
      </c>
      <c r="H105" t="s">
        <v>195</v>
      </c>
      <c r="I105" s="423" t="s">
        <v>235</v>
      </c>
    </row>
    <row r="106" spans="1:9" x14ac:dyDescent="0.25">
      <c r="A106" s="423" t="s">
        <v>226</v>
      </c>
      <c r="B106" s="423" t="s">
        <v>202</v>
      </c>
      <c r="C106" s="395">
        <v>43589.32508101852</v>
      </c>
      <c r="H106" t="s">
        <v>227</v>
      </c>
      <c r="I106" s="423" t="s">
        <v>237</v>
      </c>
    </row>
    <row r="107" spans="1:9" x14ac:dyDescent="0.25">
      <c r="A107" s="423" t="s">
        <v>233</v>
      </c>
      <c r="B107" s="423" t="s">
        <v>202</v>
      </c>
      <c r="C107" s="395">
        <v>43588.806840277779</v>
      </c>
      <c r="H107" t="s">
        <v>244</v>
      </c>
      <c r="I107" s="423" t="s">
        <v>243</v>
      </c>
    </row>
    <row r="108" spans="1:9" x14ac:dyDescent="0.25">
      <c r="A108" s="423" t="s">
        <v>193</v>
      </c>
      <c r="B108" s="423" t="s">
        <v>194</v>
      </c>
      <c r="C108" s="395">
        <v>43573.316331018519</v>
      </c>
      <c r="H108" t="s">
        <v>195</v>
      </c>
      <c r="I108" s="423" t="s">
        <v>235</v>
      </c>
    </row>
    <row r="109" spans="1:9" x14ac:dyDescent="0.25">
      <c r="A109" s="423" t="s">
        <v>200</v>
      </c>
      <c r="B109" s="423" t="s">
        <v>191</v>
      </c>
      <c r="C109" s="395">
        <v>43572.268703703703</v>
      </c>
      <c r="H109" t="s">
        <v>205</v>
      </c>
      <c r="I109" s="423" t="s">
        <v>272</v>
      </c>
    </row>
    <row r="110" spans="1:9" x14ac:dyDescent="0.25">
      <c r="A110" s="423" t="s">
        <v>193</v>
      </c>
      <c r="B110" s="423" t="s">
        <v>194</v>
      </c>
      <c r="C110" s="395">
        <v>43571.285358796296</v>
      </c>
      <c r="H110" t="s">
        <v>195</v>
      </c>
      <c r="I110" s="423" t="s">
        <v>235</v>
      </c>
    </row>
    <row r="111" spans="1:9" x14ac:dyDescent="0.25">
      <c r="A111" s="423" t="s">
        <v>193</v>
      </c>
      <c r="B111" s="423" t="s">
        <v>202</v>
      </c>
      <c r="C111" s="395">
        <v>43566.395185185182</v>
      </c>
      <c r="H111" t="s">
        <v>204</v>
      </c>
      <c r="I111" s="423" t="s">
        <v>236</v>
      </c>
    </row>
    <row r="112" spans="1:9" x14ac:dyDescent="0.25">
      <c r="A112" s="423" t="s">
        <v>200</v>
      </c>
      <c r="B112" s="423" t="s">
        <v>191</v>
      </c>
      <c r="C112" s="395">
        <v>43565.309293981481</v>
      </c>
      <c r="H112" t="s">
        <v>205</v>
      </c>
      <c r="I112" s="423" t="s">
        <v>272</v>
      </c>
    </row>
    <row r="113" spans="1:9" x14ac:dyDescent="0.25">
      <c r="A113" s="423" t="s">
        <v>193</v>
      </c>
      <c r="B113" s="423" t="s">
        <v>194</v>
      </c>
      <c r="C113" s="395">
        <v>43565.270069444443</v>
      </c>
      <c r="H113" t="s">
        <v>195</v>
      </c>
      <c r="I113" s="423" t="s">
        <v>235</v>
      </c>
    </row>
    <row r="114" spans="1:9" x14ac:dyDescent="0.25">
      <c r="A114" s="423" t="s">
        <v>193</v>
      </c>
      <c r="B114" s="423" t="s">
        <v>202</v>
      </c>
      <c r="C114" s="395">
        <v>43565.270069444443</v>
      </c>
      <c r="H114" t="s">
        <v>204</v>
      </c>
      <c r="I114" s="423" t="s">
        <v>236</v>
      </c>
    </row>
    <row r="115" spans="1:9" x14ac:dyDescent="0.25">
      <c r="A115" s="423" t="s">
        <v>226</v>
      </c>
      <c r="B115" s="423" t="s">
        <v>202</v>
      </c>
      <c r="C115" s="395">
        <v>43563.685162037036</v>
      </c>
      <c r="H115" t="s">
        <v>227</v>
      </c>
      <c r="I115" s="423" t="s">
        <v>237</v>
      </c>
    </row>
    <row r="116" spans="1:9" x14ac:dyDescent="0.25">
      <c r="A116" s="423" t="s">
        <v>226</v>
      </c>
      <c r="B116" s="423" t="s">
        <v>194</v>
      </c>
      <c r="C116" s="395">
        <v>43563.680995370371</v>
      </c>
      <c r="H116" t="s">
        <v>234</v>
      </c>
      <c r="I116" s="423" t="s">
        <v>238</v>
      </c>
    </row>
    <row r="117" spans="1:9" x14ac:dyDescent="0.25">
      <c r="A117" s="423" t="s">
        <v>200</v>
      </c>
      <c r="B117" s="423" t="s">
        <v>194</v>
      </c>
      <c r="C117" s="395">
        <v>43557.232256944444</v>
      </c>
      <c r="H117" t="s">
        <v>201</v>
      </c>
      <c r="I117" s="423" t="s">
        <v>273</v>
      </c>
    </row>
    <row r="118" spans="1:9" x14ac:dyDescent="0.25">
      <c r="A118" s="423" t="s">
        <v>200</v>
      </c>
      <c r="B118" s="423" t="s">
        <v>194</v>
      </c>
      <c r="C118" s="395">
        <v>43557.227037037039</v>
      </c>
      <c r="H118" t="s">
        <v>201</v>
      </c>
      <c r="I118" s="423" t="s">
        <v>273</v>
      </c>
    </row>
    <row r="119" spans="1:9" x14ac:dyDescent="0.25">
      <c r="A119" s="423" t="s">
        <v>193</v>
      </c>
      <c r="B119" s="423" t="s">
        <v>194</v>
      </c>
      <c r="C119" s="395">
        <v>43550.420798611114</v>
      </c>
      <c r="H119" t="s">
        <v>195</v>
      </c>
      <c r="I119" s="423" t="s">
        <v>235</v>
      </c>
    </row>
    <row r="120" spans="1:9" x14ac:dyDescent="0.25">
      <c r="A120" s="423" t="s">
        <v>193</v>
      </c>
      <c r="B120" s="423" t="s">
        <v>194</v>
      </c>
      <c r="C120" s="395">
        <v>43549.285416666666</v>
      </c>
      <c r="H120" t="s">
        <v>195</v>
      </c>
      <c r="I120" s="423" t="s">
        <v>235</v>
      </c>
    </row>
    <row r="121" spans="1:9" x14ac:dyDescent="0.25">
      <c r="A121" s="423" t="s">
        <v>200</v>
      </c>
      <c r="B121" s="423" t="s">
        <v>194</v>
      </c>
      <c r="C121" s="395">
        <v>43549.241956018515</v>
      </c>
      <c r="H121" t="s">
        <v>201</v>
      </c>
      <c r="I121" s="423" t="s">
        <v>273</v>
      </c>
    </row>
    <row r="122" spans="1:9" x14ac:dyDescent="0.25">
      <c r="A122" s="423" t="s">
        <v>200</v>
      </c>
      <c r="B122" s="423" t="s">
        <v>198</v>
      </c>
      <c r="C122" s="395">
        <v>43545.255659722221</v>
      </c>
      <c r="H122" t="s">
        <v>206</v>
      </c>
      <c r="I122" s="423" t="s">
        <v>274</v>
      </c>
    </row>
    <row r="123" spans="1:9" x14ac:dyDescent="0.25">
      <c r="A123" s="423" t="s">
        <v>193</v>
      </c>
      <c r="B123" s="423" t="s">
        <v>194</v>
      </c>
      <c r="C123" s="395">
        <v>43544.674201388887</v>
      </c>
      <c r="H123" t="s">
        <v>195</v>
      </c>
      <c r="I123" s="423" t="s">
        <v>235</v>
      </c>
    </row>
    <row r="124" spans="1:9" x14ac:dyDescent="0.25">
      <c r="A124" s="423" t="s">
        <v>193</v>
      </c>
      <c r="B124" s="423" t="s">
        <v>194</v>
      </c>
      <c r="C124" s="395">
        <v>43544.331006944441</v>
      </c>
      <c r="H124" t="s">
        <v>195</v>
      </c>
      <c r="I124" s="423" t="s">
        <v>235</v>
      </c>
    </row>
    <row r="125" spans="1:9" x14ac:dyDescent="0.25">
      <c r="A125" s="423" t="s">
        <v>193</v>
      </c>
      <c r="B125" s="423" t="s">
        <v>202</v>
      </c>
      <c r="C125" s="395">
        <v>43544.331006944441</v>
      </c>
      <c r="H125" t="s">
        <v>204</v>
      </c>
      <c r="I125" s="423" t="s">
        <v>236</v>
      </c>
    </row>
    <row r="126" spans="1:9" x14ac:dyDescent="0.25">
      <c r="A126" s="423" t="s">
        <v>226</v>
      </c>
      <c r="B126" s="423" t="s">
        <v>202</v>
      </c>
      <c r="C126" s="395">
        <v>43544.29310185185</v>
      </c>
      <c r="H126" t="s">
        <v>227</v>
      </c>
      <c r="I126" s="423" t="s">
        <v>237</v>
      </c>
    </row>
    <row r="127" spans="1:9" x14ac:dyDescent="0.25">
      <c r="A127" s="423" t="s">
        <v>207</v>
      </c>
      <c r="B127" s="423" t="s">
        <v>198</v>
      </c>
      <c r="C127" s="395">
        <v>43543.553043981483</v>
      </c>
      <c r="H127" t="s">
        <v>208</v>
      </c>
      <c r="I127" s="423" t="s">
        <v>249</v>
      </c>
    </row>
    <row r="128" spans="1:9" x14ac:dyDescent="0.25">
      <c r="A128" s="423" t="s">
        <v>190</v>
      </c>
      <c r="B128" s="423" t="s">
        <v>194</v>
      </c>
      <c r="C128" s="395">
        <v>43542.475312499999</v>
      </c>
      <c r="H128" t="s">
        <v>220</v>
      </c>
      <c r="I128" s="423" t="s">
        <v>284</v>
      </c>
    </row>
    <row r="129" spans="1:9" x14ac:dyDescent="0.25">
      <c r="A129" s="423" t="s">
        <v>207</v>
      </c>
      <c r="B129" s="423" t="s">
        <v>191</v>
      </c>
      <c r="C129" s="395">
        <v>43538.645833333336</v>
      </c>
      <c r="H129" t="s">
        <v>222</v>
      </c>
      <c r="I129" s="423" t="s">
        <v>248</v>
      </c>
    </row>
    <row r="130" spans="1:9" x14ac:dyDescent="0.25">
      <c r="A130" s="423" t="s">
        <v>207</v>
      </c>
      <c r="B130" s="423" t="s">
        <v>198</v>
      </c>
      <c r="C130" s="395">
        <v>43538.645833333336</v>
      </c>
      <c r="H130" t="s">
        <v>208</v>
      </c>
      <c r="I130" s="423" t="s">
        <v>249</v>
      </c>
    </row>
    <row r="131" spans="1:9" x14ac:dyDescent="0.25">
      <c r="A131" s="423" t="s">
        <v>226</v>
      </c>
      <c r="B131" s="423" t="s">
        <v>202</v>
      </c>
      <c r="C131" s="395">
        <v>43538.385972222219</v>
      </c>
      <c r="H131" t="s">
        <v>227</v>
      </c>
      <c r="I131" s="423" t="s">
        <v>237</v>
      </c>
    </row>
    <row r="132" spans="1:9" x14ac:dyDescent="0.25">
      <c r="A132" s="423" t="s">
        <v>226</v>
      </c>
      <c r="B132" s="423" t="s">
        <v>202</v>
      </c>
      <c r="C132" s="395">
        <v>43537.574664351851</v>
      </c>
      <c r="H132" t="s">
        <v>227</v>
      </c>
      <c r="I132" s="423" t="s">
        <v>237</v>
      </c>
    </row>
    <row r="133" spans="1:9" x14ac:dyDescent="0.25">
      <c r="A133" s="423" t="s">
        <v>190</v>
      </c>
      <c r="B133" s="423" t="s">
        <v>194</v>
      </c>
      <c r="C133" s="395">
        <v>43535.573634259257</v>
      </c>
      <c r="H133" t="s">
        <v>220</v>
      </c>
      <c r="I133" s="423" t="s">
        <v>284</v>
      </c>
    </row>
    <row r="134" spans="1:9" x14ac:dyDescent="0.25">
      <c r="A134" s="423" t="s">
        <v>200</v>
      </c>
      <c r="B134" s="423" t="s">
        <v>191</v>
      </c>
      <c r="C134" s="395">
        <v>43535.490787037037</v>
      </c>
      <c r="H134" t="s">
        <v>205</v>
      </c>
      <c r="I134" s="423" t="s">
        <v>272</v>
      </c>
    </row>
    <row r="135" spans="1:9" x14ac:dyDescent="0.25">
      <c r="A135" s="423" t="s">
        <v>190</v>
      </c>
      <c r="B135" s="423" t="s">
        <v>194</v>
      </c>
      <c r="C135" s="395">
        <v>43532.572291666664</v>
      </c>
      <c r="H135" t="s">
        <v>220</v>
      </c>
      <c r="I135" s="423" t="s">
        <v>284</v>
      </c>
    </row>
    <row r="136" spans="1:9" x14ac:dyDescent="0.25">
      <c r="A136" s="423" t="s">
        <v>190</v>
      </c>
      <c r="B136" s="423" t="s">
        <v>202</v>
      </c>
      <c r="C136" s="395">
        <v>43532.566643518519</v>
      </c>
      <c r="H136" t="s">
        <v>203</v>
      </c>
      <c r="I136" s="423" t="s">
        <v>285</v>
      </c>
    </row>
    <row r="137" spans="1:9" x14ac:dyDescent="0.25">
      <c r="A137" s="423" t="s">
        <v>207</v>
      </c>
      <c r="B137" s="423" t="s">
        <v>198</v>
      </c>
      <c r="C137" s="395">
        <v>43532.487650462965</v>
      </c>
      <c r="H137" t="s">
        <v>208</v>
      </c>
      <c r="I137" s="423" t="s">
        <v>249</v>
      </c>
    </row>
    <row r="138" spans="1:9" x14ac:dyDescent="0.25">
      <c r="A138" s="423" t="s">
        <v>207</v>
      </c>
      <c r="B138" s="423" t="s">
        <v>191</v>
      </c>
      <c r="C138" s="395">
        <v>43532.434305555558</v>
      </c>
      <c r="H138" t="s">
        <v>222</v>
      </c>
      <c r="I138" s="423" t="s">
        <v>248</v>
      </c>
    </row>
    <row r="139" spans="1:9" x14ac:dyDescent="0.25">
      <c r="A139" s="423" t="s">
        <v>193</v>
      </c>
      <c r="B139" s="423" t="s">
        <v>202</v>
      </c>
      <c r="C139" s="395">
        <v>43531.575949074075</v>
      </c>
      <c r="H139" t="s">
        <v>204</v>
      </c>
      <c r="I139" s="423" t="s">
        <v>236</v>
      </c>
    </row>
    <row r="140" spans="1:9" x14ac:dyDescent="0.25">
      <c r="A140" s="423" t="s">
        <v>193</v>
      </c>
      <c r="B140" s="423" t="s">
        <v>194</v>
      </c>
      <c r="C140" s="395">
        <v>43531.558645833335</v>
      </c>
      <c r="H140" t="s">
        <v>195</v>
      </c>
      <c r="I140" s="423" t="s">
        <v>235</v>
      </c>
    </row>
    <row r="141" spans="1:9" x14ac:dyDescent="0.25">
      <c r="A141" s="423" t="s">
        <v>200</v>
      </c>
      <c r="B141" s="423" t="s">
        <v>191</v>
      </c>
      <c r="C141" s="395">
        <v>43531.210104166668</v>
      </c>
      <c r="H141" t="s">
        <v>205</v>
      </c>
      <c r="I141" s="423" t="s">
        <v>272</v>
      </c>
    </row>
    <row r="142" spans="1:9" x14ac:dyDescent="0.25">
      <c r="A142" s="423" t="s">
        <v>200</v>
      </c>
      <c r="B142" s="423" t="s">
        <v>194</v>
      </c>
      <c r="C142" s="395">
        <v>43531.209224537037</v>
      </c>
      <c r="H142" t="s">
        <v>201</v>
      </c>
      <c r="I142" s="423" t="s">
        <v>273</v>
      </c>
    </row>
    <row r="143" spans="1:9" x14ac:dyDescent="0.25">
      <c r="A143" s="423" t="s">
        <v>193</v>
      </c>
      <c r="B143" s="423" t="s">
        <v>194</v>
      </c>
      <c r="C143" s="395">
        <v>43528.53396990741</v>
      </c>
      <c r="H143" t="s">
        <v>195</v>
      </c>
      <c r="I143" s="423" t="s">
        <v>235</v>
      </c>
    </row>
    <row r="144" spans="1:9" x14ac:dyDescent="0.25">
      <c r="A144" s="423" t="s">
        <v>190</v>
      </c>
      <c r="B144" s="423" t="s">
        <v>202</v>
      </c>
      <c r="C144" s="395">
        <v>43527.634409722225</v>
      </c>
      <c r="H144" t="s">
        <v>203</v>
      </c>
      <c r="I144" s="423" t="s">
        <v>285</v>
      </c>
    </row>
    <row r="145" spans="1:9" x14ac:dyDescent="0.25">
      <c r="A145" s="423" t="s">
        <v>190</v>
      </c>
      <c r="B145" s="423" t="s">
        <v>194</v>
      </c>
      <c r="C145" s="395">
        <v>43527.590624999997</v>
      </c>
      <c r="H145" t="s">
        <v>220</v>
      </c>
      <c r="I145" s="423" t="s">
        <v>284</v>
      </c>
    </row>
    <row r="146" spans="1:9" x14ac:dyDescent="0.25">
      <c r="A146" s="423" t="s">
        <v>207</v>
      </c>
      <c r="B146" s="423" t="s">
        <v>194</v>
      </c>
      <c r="C146" s="395">
        <v>43527.432488425926</v>
      </c>
      <c r="H146" t="s">
        <v>224</v>
      </c>
      <c r="I146" s="423" t="s">
        <v>270</v>
      </c>
    </row>
    <row r="147" spans="1:9" x14ac:dyDescent="0.25">
      <c r="A147" s="423" t="s">
        <v>207</v>
      </c>
      <c r="B147" s="423" t="s">
        <v>202</v>
      </c>
      <c r="C147" s="395">
        <v>43527.432488425926</v>
      </c>
      <c r="H147" t="s">
        <v>225</v>
      </c>
      <c r="I147" s="423" t="s">
        <v>271</v>
      </c>
    </row>
    <row r="148" spans="1:9" x14ac:dyDescent="0.25">
      <c r="A148" s="423" t="s">
        <v>193</v>
      </c>
      <c r="B148" s="423" t="s">
        <v>194</v>
      </c>
      <c r="C148" s="395">
        <v>43527.432488425926</v>
      </c>
      <c r="H148" t="s">
        <v>195</v>
      </c>
      <c r="I148" s="423" t="s">
        <v>235</v>
      </c>
    </row>
    <row r="149" spans="1:9" x14ac:dyDescent="0.25">
      <c r="A149" s="423" t="s">
        <v>190</v>
      </c>
      <c r="B149" s="423" t="s">
        <v>194</v>
      </c>
      <c r="C149" s="395">
        <v>43524.759212962963</v>
      </c>
      <c r="H149" t="s">
        <v>220</v>
      </c>
      <c r="I149" s="423" t="s">
        <v>284</v>
      </c>
    </row>
    <row r="150" spans="1:9" x14ac:dyDescent="0.25">
      <c r="A150" s="423" t="s">
        <v>207</v>
      </c>
      <c r="B150" s="423" t="s">
        <v>191</v>
      </c>
      <c r="C150" s="395">
        <v>43523.891504629632</v>
      </c>
      <c r="H150" t="s">
        <v>222</v>
      </c>
      <c r="I150" s="423" t="s">
        <v>248</v>
      </c>
    </row>
    <row r="151" spans="1:9" x14ac:dyDescent="0.25">
      <c r="A151" s="423" t="s">
        <v>190</v>
      </c>
      <c r="B151" s="423" t="s">
        <v>194</v>
      </c>
      <c r="C151" s="395">
        <v>43523.879895833335</v>
      </c>
      <c r="H151" t="s">
        <v>220</v>
      </c>
      <c r="I151" s="423" t="s">
        <v>284</v>
      </c>
    </row>
    <row r="152" spans="1:9" x14ac:dyDescent="0.25">
      <c r="A152" s="423" t="s">
        <v>193</v>
      </c>
      <c r="B152" s="423" t="s">
        <v>194</v>
      </c>
      <c r="C152" s="395">
        <v>43523.560532407406</v>
      </c>
      <c r="H152" t="s">
        <v>195</v>
      </c>
      <c r="I152" s="423" t="s">
        <v>235</v>
      </c>
    </row>
    <row r="153" spans="1:9" x14ac:dyDescent="0.25">
      <c r="A153" s="423" t="s">
        <v>193</v>
      </c>
      <c r="B153" s="423" t="s">
        <v>202</v>
      </c>
      <c r="C153" s="395">
        <v>43523.560532407406</v>
      </c>
      <c r="H153" t="s">
        <v>204</v>
      </c>
      <c r="I153" s="423" t="s">
        <v>236</v>
      </c>
    </row>
    <row r="154" spans="1:9" x14ac:dyDescent="0.25">
      <c r="A154" s="423" t="s">
        <v>200</v>
      </c>
      <c r="B154" s="423" t="s">
        <v>194</v>
      </c>
      <c r="C154" s="395">
        <v>43523.297175925924</v>
      </c>
      <c r="H154" t="s">
        <v>201</v>
      </c>
      <c r="I154" s="423" t="s">
        <v>273</v>
      </c>
    </row>
    <row r="155" spans="1:9" x14ac:dyDescent="0.25">
      <c r="A155" s="423" t="s">
        <v>200</v>
      </c>
      <c r="B155" s="423" t="s">
        <v>194</v>
      </c>
      <c r="C155" s="395">
        <v>43521.537048611113</v>
      </c>
      <c r="H155" t="s">
        <v>201</v>
      </c>
      <c r="I155" s="423" t="s">
        <v>273</v>
      </c>
    </row>
    <row r="156" spans="1:9" x14ac:dyDescent="0.25">
      <c r="A156" s="423" t="s">
        <v>200</v>
      </c>
      <c r="B156" s="423" t="s">
        <v>194</v>
      </c>
      <c r="C156" s="395">
        <v>43521.536076388889</v>
      </c>
      <c r="H156" t="s">
        <v>201</v>
      </c>
      <c r="I156" s="423" t="s">
        <v>273</v>
      </c>
    </row>
    <row r="157" spans="1:9" x14ac:dyDescent="0.25">
      <c r="A157" s="423" t="s">
        <v>200</v>
      </c>
      <c r="B157" s="423" t="s">
        <v>194</v>
      </c>
      <c r="C157" s="395">
        <v>43521.461053240739</v>
      </c>
      <c r="H157" t="s">
        <v>201</v>
      </c>
      <c r="I157" s="423" t="s">
        <v>273</v>
      </c>
    </row>
    <row r="158" spans="1:9" x14ac:dyDescent="0.25">
      <c r="A158" s="423" t="s">
        <v>200</v>
      </c>
      <c r="B158" s="423" t="s">
        <v>198</v>
      </c>
      <c r="C158" s="395">
        <v>43521.273287037038</v>
      </c>
      <c r="H158" t="s">
        <v>206</v>
      </c>
      <c r="I158" s="423" t="s">
        <v>274</v>
      </c>
    </row>
    <row r="159" spans="1:9" x14ac:dyDescent="0.25">
      <c r="A159" s="423" t="s">
        <v>200</v>
      </c>
      <c r="B159" s="423" t="s">
        <v>194</v>
      </c>
      <c r="C159" s="395">
        <v>43521.271053240744</v>
      </c>
      <c r="H159" t="s">
        <v>201</v>
      </c>
      <c r="I159" s="423" t="s">
        <v>273</v>
      </c>
    </row>
    <row r="160" spans="1:9" x14ac:dyDescent="0.25">
      <c r="A160" s="423" t="s">
        <v>207</v>
      </c>
      <c r="B160" s="423" t="s">
        <v>191</v>
      </c>
      <c r="C160" s="395">
        <v>43517.37809027778</v>
      </c>
      <c r="H160" t="s">
        <v>222</v>
      </c>
      <c r="I160" s="423" t="s">
        <v>248</v>
      </c>
    </row>
    <row r="161" spans="1:9" x14ac:dyDescent="0.25">
      <c r="A161" s="423" t="s">
        <v>196</v>
      </c>
      <c r="B161" s="423" t="s">
        <v>191</v>
      </c>
      <c r="C161" s="395">
        <v>43509.358113425929</v>
      </c>
      <c r="H161" t="s">
        <v>197</v>
      </c>
      <c r="I161" s="423" t="s">
        <v>268</v>
      </c>
    </row>
    <row r="162" spans="1:9" x14ac:dyDescent="0.25">
      <c r="A162" s="423" t="s">
        <v>193</v>
      </c>
      <c r="B162" s="423" t="s">
        <v>202</v>
      </c>
      <c r="C162" s="395">
        <v>43495.546909722223</v>
      </c>
      <c r="H162" t="s">
        <v>204</v>
      </c>
      <c r="I162" s="423" t="s">
        <v>236</v>
      </c>
    </row>
    <row r="163" spans="1:9" x14ac:dyDescent="0.25">
      <c r="A163" s="423" t="s">
        <v>193</v>
      </c>
      <c r="B163" s="423" t="s">
        <v>194</v>
      </c>
      <c r="C163" s="395">
        <v>43495.523206018515</v>
      </c>
      <c r="H163" t="s">
        <v>195</v>
      </c>
      <c r="I163" s="423" t="s">
        <v>235</v>
      </c>
    </row>
    <row r="164" spans="1:9" x14ac:dyDescent="0.25">
      <c r="A164" s="423" t="s">
        <v>190</v>
      </c>
      <c r="B164" s="423" t="s">
        <v>194</v>
      </c>
      <c r="C164" s="395">
        <v>43493.492546296293</v>
      </c>
      <c r="H164" t="s">
        <v>220</v>
      </c>
      <c r="I164" s="423" t="s">
        <v>284</v>
      </c>
    </row>
    <row r="165" spans="1:9" x14ac:dyDescent="0.25">
      <c r="A165" s="423" t="s">
        <v>190</v>
      </c>
      <c r="B165" s="423" t="s">
        <v>202</v>
      </c>
      <c r="C165" s="395">
        <v>43493.484560185185</v>
      </c>
      <c r="H165" t="s">
        <v>203</v>
      </c>
      <c r="I165" s="423" t="s">
        <v>285</v>
      </c>
    </row>
    <row r="166" spans="1:9" x14ac:dyDescent="0.25">
      <c r="A166" s="423" t="s">
        <v>190</v>
      </c>
      <c r="B166" s="423" t="s">
        <v>191</v>
      </c>
      <c r="C166" s="395">
        <v>43486.499166666668</v>
      </c>
      <c r="H166" t="s">
        <v>192</v>
      </c>
      <c r="I166" s="423" t="s">
        <v>286</v>
      </c>
    </row>
    <row r="167" spans="1:9" x14ac:dyDescent="0.25">
      <c r="A167" s="423" t="s">
        <v>193</v>
      </c>
      <c r="B167" s="423" t="s">
        <v>194</v>
      </c>
      <c r="C167" s="395">
        <v>43476.558032407411</v>
      </c>
      <c r="H167" t="s">
        <v>195</v>
      </c>
      <c r="I167" s="423" t="s">
        <v>235</v>
      </c>
    </row>
    <row r="168" spans="1:9" x14ac:dyDescent="0.25">
      <c r="A168" s="423" t="s">
        <v>196</v>
      </c>
      <c r="B168" s="423" t="s">
        <v>191</v>
      </c>
      <c r="C168" s="395">
        <v>43471.437962962962</v>
      </c>
      <c r="H168" t="s">
        <v>197</v>
      </c>
      <c r="I168" s="423" t="s">
        <v>268</v>
      </c>
    </row>
    <row r="169" spans="1:9" x14ac:dyDescent="0.25">
      <c r="A169" s="423" t="s">
        <v>196</v>
      </c>
      <c r="B169" s="423" t="s">
        <v>198</v>
      </c>
      <c r="C169" s="395">
        <v>43471.437962962962</v>
      </c>
      <c r="H169" t="s">
        <v>199</v>
      </c>
      <c r="I169" s="423" t="s">
        <v>269</v>
      </c>
    </row>
    <row r="170" spans="1:9" x14ac:dyDescent="0.25">
      <c r="A170" s="423" t="s">
        <v>196</v>
      </c>
      <c r="B170" s="423" t="s">
        <v>191</v>
      </c>
      <c r="C170" s="395">
        <v>43467.437962962962</v>
      </c>
      <c r="H170" t="s">
        <v>197</v>
      </c>
      <c r="I170" s="423" t="s">
        <v>268</v>
      </c>
    </row>
    <row r="171" spans="1:9" x14ac:dyDescent="0.25">
      <c r="A171" s="423" t="s">
        <v>200</v>
      </c>
      <c r="B171" s="423" t="s">
        <v>194</v>
      </c>
      <c r="C171" s="395">
        <v>43467.437962962962</v>
      </c>
      <c r="H171" t="s">
        <v>201</v>
      </c>
      <c r="I171" s="423" t="s">
        <v>273</v>
      </c>
    </row>
    <row r="172" spans="1:9" x14ac:dyDescent="0.25">
      <c r="A172" s="423" t="s">
        <v>190</v>
      </c>
      <c r="B172" s="423" t="s">
        <v>202</v>
      </c>
      <c r="C172" s="395">
        <v>43467.437962962962</v>
      </c>
      <c r="H172" t="s">
        <v>203</v>
      </c>
      <c r="I172" s="423" t="s">
        <v>285</v>
      </c>
    </row>
    <row r="173" spans="1:9" x14ac:dyDescent="0.25">
      <c r="A173" s="423" t="s">
        <v>196</v>
      </c>
      <c r="B173" s="423" t="s">
        <v>198</v>
      </c>
      <c r="C173" s="395">
        <v>43467.437962962962</v>
      </c>
      <c r="H173" t="s">
        <v>199</v>
      </c>
      <c r="I173" s="423" t="s">
        <v>269</v>
      </c>
    </row>
    <row r="174" spans="1:9" x14ac:dyDescent="0.25">
      <c r="A174" s="423" t="s">
        <v>193</v>
      </c>
      <c r="B174" s="423" t="s">
        <v>202</v>
      </c>
      <c r="C174" s="395">
        <v>43460.587060185186</v>
      </c>
      <c r="H174" t="s">
        <v>204</v>
      </c>
      <c r="I174" s="423" t="s">
        <v>236</v>
      </c>
    </row>
    <row r="175" spans="1:9" x14ac:dyDescent="0.25">
      <c r="A175" s="423" t="s">
        <v>200</v>
      </c>
      <c r="B175" s="423" t="s">
        <v>191</v>
      </c>
      <c r="C175" s="395">
        <v>43455.738425925927</v>
      </c>
      <c r="H175" t="s">
        <v>205</v>
      </c>
      <c r="I175" s="423" t="s">
        <v>272</v>
      </c>
    </row>
    <row r="176" spans="1:9" x14ac:dyDescent="0.25">
      <c r="A176" s="423" t="s">
        <v>200</v>
      </c>
      <c r="B176" s="423" t="s">
        <v>198</v>
      </c>
      <c r="C176" s="395">
        <v>43455.738425925927</v>
      </c>
      <c r="H176" t="s">
        <v>206</v>
      </c>
      <c r="I176" s="423" t="s">
        <v>274</v>
      </c>
    </row>
    <row r="177" spans="1:9" x14ac:dyDescent="0.25">
      <c r="A177" s="423" t="s">
        <v>200</v>
      </c>
      <c r="B177" s="423" t="s">
        <v>194</v>
      </c>
      <c r="C177" s="395">
        <v>43455.738425925927</v>
      </c>
      <c r="H177" t="s">
        <v>201</v>
      </c>
      <c r="I177" s="423" t="s">
        <v>273</v>
      </c>
    </row>
    <row r="178" spans="1:9" x14ac:dyDescent="0.25">
      <c r="A178" s="423" t="s">
        <v>190</v>
      </c>
      <c r="B178" s="423" t="s">
        <v>202</v>
      </c>
      <c r="C178" s="395">
        <v>43455.555949074071</v>
      </c>
      <c r="H178" t="s">
        <v>203</v>
      </c>
      <c r="I178" s="423" t="s">
        <v>285</v>
      </c>
    </row>
    <row r="179" spans="1:9" x14ac:dyDescent="0.25">
      <c r="A179" s="423" t="s">
        <v>196</v>
      </c>
      <c r="B179" s="423" t="s">
        <v>191</v>
      </c>
      <c r="C179" s="395">
        <v>43454.589826388888</v>
      </c>
      <c r="H179" t="s">
        <v>197</v>
      </c>
      <c r="I179" s="423" t="s">
        <v>268</v>
      </c>
    </row>
    <row r="180" spans="1:9" x14ac:dyDescent="0.25">
      <c r="A180" s="423" t="s">
        <v>190</v>
      </c>
      <c r="B180" s="423" t="s">
        <v>202</v>
      </c>
      <c r="C180" s="395">
        <v>43454.558530092596</v>
      </c>
      <c r="H180" t="s">
        <v>203</v>
      </c>
      <c r="I180" s="423" t="s">
        <v>285</v>
      </c>
    </row>
    <row r="181" spans="1:9" x14ac:dyDescent="0.25">
      <c r="A181" s="423" t="s">
        <v>190</v>
      </c>
      <c r="B181" s="423" t="s">
        <v>202</v>
      </c>
      <c r="C181" s="395">
        <v>43452.625486111108</v>
      </c>
      <c r="H181" t="s">
        <v>203</v>
      </c>
      <c r="I181" s="423" t="s">
        <v>285</v>
      </c>
    </row>
    <row r="182" spans="1:9" x14ac:dyDescent="0.25">
      <c r="A182" s="423" t="s">
        <v>193</v>
      </c>
      <c r="B182" s="423" t="s">
        <v>202</v>
      </c>
      <c r="C182" s="395">
        <v>43447.436701388891</v>
      </c>
      <c r="H182" t="s">
        <v>204</v>
      </c>
      <c r="I182" s="423" t="s">
        <v>236</v>
      </c>
    </row>
    <row r="183" spans="1:9" x14ac:dyDescent="0.25">
      <c r="A183" s="423" t="s">
        <v>193</v>
      </c>
      <c r="B183" s="423" t="s">
        <v>202</v>
      </c>
      <c r="C183" s="395">
        <v>43442.492604166669</v>
      </c>
      <c r="H183" t="s">
        <v>204</v>
      </c>
      <c r="I183" s="423" t="s">
        <v>236</v>
      </c>
    </row>
    <row r="184" spans="1:9" x14ac:dyDescent="0.25">
      <c r="A184" s="423" t="s">
        <v>193</v>
      </c>
      <c r="B184" s="423" t="s">
        <v>202</v>
      </c>
      <c r="C184" s="395">
        <v>43440.723356481481</v>
      </c>
      <c r="H184" t="s">
        <v>204</v>
      </c>
      <c r="I184" s="423" t="s">
        <v>236</v>
      </c>
    </row>
    <row r="185" spans="1:9" x14ac:dyDescent="0.25">
      <c r="A185" s="423" t="s">
        <v>190</v>
      </c>
      <c r="B185" s="423" t="s">
        <v>202</v>
      </c>
      <c r="C185" s="395">
        <v>43440.67465277778</v>
      </c>
      <c r="H185" t="s">
        <v>203</v>
      </c>
      <c r="I185" s="423" t="s">
        <v>285</v>
      </c>
    </row>
    <row r="186" spans="1:9" x14ac:dyDescent="0.25">
      <c r="A186" s="423" t="s">
        <v>196</v>
      </c>
      <c r="B186" s="423" t="s">
        <v>198</v>
      </c>
      <c r="C186" s="395">
        <v>43440.605740740742</v>
      </c>
      <c r="H186" t="s">
        <v>199</v>
      </c>
      <c r="I186" s="423" t="s">
        <v>269</v>
      </c>
    </row>
    <row r="187" spans="1:9" x14ac:dyDescent="0.25">
      <c r="A187" s="423" t="s">
        <v>196</v>
      </c>
      <c r="B187" s="423" t="s">
        <v>191</v>
      </c>
      <c r="C187" s="395">
        <v>43440.525289351855</v>
      </c>
      <c r="H187" t="s">
        <v>197</v>
      </c>
      <c r="I187" s="423" t="s">
        <v>268</v>
      </c>
    </row>
    <row r="188" spans="1:9" x14ac:dyDescent="0.25">
      <c r="A188" s="423" t="s">
        <v>207</v>
      </c>
      <c r="B188" s="423" t="s">
        <v>198</v>
      </c>
      <c r="C188" s="395">
        <v>43436.33693287037</v>
      </c>
      <c r="H188" t="s">
        <v>208</v>
      </c>
      <c r="I188" s="423" t="s">
        <v>249</v>
      </c>
    </row>
    <row r="189" spans="1:9" x14ac:dyDescent="0.25">
      <c r="A189" s="423" t="s">
        <v>193</v>
      </c>
      <c r="B189" s="423" t="s">
        <v>202</v>
      </c>
      <c r="C189" s="395">
        <v>43436.33693287037</v>
      </c>
      <c r="H189" t="s">
        <v>204</v>
      </c>
      <c r="I189" s="423" t="s">
        <v>236</v>
      </c>
    </row>
    <row r="190" spans="1:9" x14ac:dyDescent="0.25">
      <c r="A190" s="423" t="s">
        <v>193</v>
      </c>
      <c r="B190" s="423" t="s">
        <v>202</v>
      </c>
      <c r="C190" s="395">
        <v>43433.941134259258</v>
      </c>
      <c r="H190" t="s">
        <v>204</v>
      </c>
      <c r="I190" s="423" t="s">
        <v>236</v>
      </c>
    </row>
    <row r="191" spans="1:9" x14ac:dyDescent="0.25">
      <c r="A191" s="423" t="s">
        <v>190</v>
      </c>
      <c r="B191" s="423" t="s">
        <v>202</v>
      </c>
      <c r="C191" s="395">
        <v>43433.941134259258</v>
      </c>
      <c r="H191" t="s">
        <v>203</v>
      </c>
      <c r="I191" s="423" t="s">
        <v>285</v>
      </c>
    </row>
    <row r="192" spans="1:9" x14ac:dyDescent="0.25">
      <c r="A192" s="423" t="s">
        <v>190</v>
      </c>
      <c r="B192" s="423" t="s">
        <v>202</v>
      </c>
      <c r="C192" s="395">
        <v>43430.76357638889</v>
      </c>
      <c r="H192" t="s">
        <v>203</v>
      </c>
      <c r="I192" s="423" t="s">
        <v>285</v>
      </c>
    </row>
    <row r="193" spans="1:9" x14ac:dyDescent="0.25">
      <c r="A193" s="423" t="s">
        <v>207</v>
      </c>
      <c r="B193" s="423" t="s">
        <v>198</v>
      </c>
      <c r="C193" s="395">
        <v>43430.701388888891</v>
      </c>
      <c r="H193" t="s">
        <v>208</v>
      </c>
      <c r="I193" s="423" t="s">
        <v>249</v>
      </c>
    </row>
    <row r="194" spans="1:9" x14ac:dyDescent="0.25">
      <c r="A194" s="423" t="s">
        <v>207</v>
      </c>
      <c r="B194" s="423" t="s">
        <v>198</v>
      </c>
      <c r="C194" s="395">
        <v>43424.538541666669</v>
      </c>
      <c r="H194" t="s">
        <v>208</v>
      </c>
      <c r="I194" s="423" t="s">
        <v>249</v>
      </c>
    </row>
    <row r="195" spans="1:9" x14ac:dyDescent="0.25">
      <c r="A195" s="423" t="s">
        <v>207</v>
      </c>
      <c r="B195" s="423" t="s">
        <v>198</v>
      </c>
      <c r="C195" s="395">
        <v>43414.645833333336</v>
      </c>
      <c r="H195" t="s">
        <v>208</v>
      </c>
      <c r="I195" s="423" t="s">
        <v>249</v>
      </c>
    </row>
    <row r="196" spans="1:9" x14ac:dyDescent="0.25">
      <c r="A196" s="423" t="s">
        <v>207</v>
      </c>
      <c r="B196" s="423" t="s">
        <v>198</v>
      </c>
      <c r="C196" s="395">
        <v>43413.645833333336</v>
      </c>
      <c r="H196" t="s">
        <v>208</v>
      </c>
      <c r="I196" s="423" t="s">
        <v>249</v>
      </c>
    </row>
    <row r="197" spans="1:9" x14ac:dyDescent="0.25">
      <c r="A197" s="423" t="s">
        <v>207</v>
      </c>
      <c r="B197" s="423" t="s">
        <v>198</v>
      </c>
      <c r="C197" s="395">
        <v>43413.332754629628</v>
      </c>
      <c r="H197" t="s">
        <v>208</v>
      </c>
      <c r="I197" s="423" t="s">
        <v>249</v>
      </c>
    </row>
    <row r="198" spans="1:9" x14ac:dyDescent="0.25">
      <c r="A198" s="423" t="s">
        <v>207</v>
      </c>
      <c r="B198" s="423" t="s">
        <v>198</v>
      </c>
      <c r="C198" s="395">
        <v>43412.708854166667</v>
      </c>
      <c r="H198" t="s">
        <v>208</v>
      </c>
      <c r="I198" s="423" t="s">
        <v>249</v>
      </c>
    </row>
    <row r="199" spans="1:9" x14ac:dyDescent="0.25">
      <c r="A199" s="423" t="s">
        <v>193</v>
      </c>
      <c r="B199" s="423" t="s">
        <v>202</v>
      </c>
      <c r="C199" s="395">
        <v>43409.650960648149</v>
      </c>
      <c r="H199" t="s">
        <v>204</v>
      </c>
      <c r="I199" s="423" t="s">
        <v>236</v>
      </c>
    </row>
    <row r="200" spans="1:9" x14ac:dyDescent="0.25">
      <c r="A200" s="423" t="s">
        <v>190</v>
      </c>
      <c r="B200" s="423" t="s">
        <v>202</v>
      </c>
      <c r="C200" s="395">
        <v>43405.458680555559</v>
      </c>
      <c r="H200" t="s">
        <v>203</v>
      </c>
      <c r="I200" s="423" t="s">
        <v>285</v>
      </c>
    </row>
    <row r="201" spans="1:9" x14ac:dyDescent="0.25">
      <c r="A201" s="423" t="s">
        <v>200</v>
      </c>
      <c r="B201" s="423" t="s">
        <v>191</v>
      </c>
      <c r="C201" s="395">
        <v>43403.37226851852</v>
      </c>
      <c r="H201" t="s">
        <v>205</v>
      </c>
      <c r="I201" s="423" t="s">
        <v>272</v>
      </c>
    </row>
    <row r="202" spans="1:9" x14ac:dyDescent="0.25">
      <c r="A202" s="423" t="s">
        <v>196</v>
      </c>
      <c r="B202" s="423" t="s">
        <v>191</v>
      </c>
      <c r="C202" s="395">
        <v>43397.297025462962</v>
      </c>
      <c r="H202" t="s">
        <v>197</v>
      </c>
      <c r="I202" s="423" t="s">
        <v>268</v>
      </c>
    </row>
    <row r="203" spans="1:9" x14ac:dyDescent="0.25">
      <c r="A203" s="423" t="s">
        <v>196</v>
      </c>
      <c r="B203" s="423" t="s">
        <v>198</v>
      </c>
      <c r="C203" s="395">
        <v>43389.46402777778</v>
      </c>
      <c r="H203" t="s">
        <v>199</v>
      </c>
      <c r="I203" s="423" t="s">
        <v>269</v>
      </c>
    </row>
    <row r="204" spans="1:9" x14ac:dyDescent="0.25">
      <c r="A204" s="423" t="s">
        <v>190</v>
      </c>
      <c r="B204" s="423" t="s">
        <v>202</v>
      </c>
      <c r="C204" s="395">
        <v>43376.433749999997</v>
      </c>
      <c r="H204" t="s">
        <v>203</v>
      </c>
      <c r="I204" s="423" t="s">
        <v>285</v>
      </c>
    </row>
    <row r="205" spans="1:9" x14ac:dyDescent="0.25">
      <c r="A205" s="423" t="s">
        <v>207</v>
      </c>
      <c r="B205" s="423" t="s">
        <v>198</v>
      </c>
      <c r="C205" s="395">
        <v>43375.690532407411</v>
      </c>
      <c r="H205" t="s">
        <v>208</v>
      </c>
      <c r="I205" s="423" t="s">
        <v>249</v>
      </c>
    </row>
    <row r="206" spans="1:9" x14ac:dyDescent="0.25">
      <c r="A206" s="423" t="s">
        <v>190</v>
      </c>
      <c r="B206" s="423" t="s">
        <v>202</v>
      </c>
      <c r="C206" s="395">
        <v>43369.555405092593</v>
      </c>
      <c r="H206" t="s">
        <v>203</v>
      </c>
      <c r="I206" s="423" t="s">
        <v>285</v>
      </c>
    </row>
    <row r="207" spans="1:9" x14ac:dyDescent="0.25">
      <c r="A207" s="423" t="s">
        <v>190</v>
      </c>
      <c r="B207" s="423" t="s">
        <v>202</v>
      </c>
      <c r="C207" s="395">
        <v>43368.733298611114</v>
      </c>
      <c r="H207" t="s">
        <v>203</v>
      </c>
      <c r="I207" s="423" t="s">
        <v>285</v>
      </c>
    </row>
    <row r="208" spans="1:9" x14ac:dyDescent="0.25">
      <c r="A208" s="423" t="s">
        <v>200</v>
      </c>
      <c r="B208" s="423" t="s">
        <v>191</v>
      </c>
      <c r="C208" s="395">
        <v>43363.57309027778</v>
      </c>
      <c r="H208" t="s">
        <v>205</v>
      </c>
      <c r="I208" s="423" t="s">
        <v>272</v>
      </c>
    </row>
    <row r="209" spans="1:9" x14ac:dyDescent="0.25">
      <c r="A209" s="423" t="s">
        <v>200</v>
      </c>
      <c r="B209" s="423" t="s">
        <v>198</v>
      </c>
      <c r="C209" s="395">
        <v>43363.57309027778</v>
      </c>
      <c r="H209" t="s">
        <v>206</v>
      </c>
      <c r="I209" s="423" t="s">
        <v>274</v>
      </c>
    </row>
    <row r="210" spans="1:9" x14ac:dyDescent="0.25">
      <c r="A210" s="423" t="s">
        <v>190</v>
      </c>
      <c r="B210" s="423" t="s">
        <v>202</v>
      </c>
      <c r="C210" s="395">
        <v>43361.593495370369</v>
      </c>
      <c r="H210" t="s">
        <v>203</v>
      </c>
      <c r="I210" s="423" t="s">
        <v>285</v>
      </c>
    </row>
    <row r="211" spans="1:9" x14ac:dyDescent="0.25">
      <c r="A211" s="423" t="s">
        <v>193</v>
      </c>
      <c r="B211" s="423" t="s">
        <v>202</v>
      </c>
      <c r="C211" s="395">
        <v>43354.6328125</v>
      </c>
      <c r="H211" t="s">
        <v>204</v>
      </c>
      <c r="I211" s="423" t="s">
        <v>236</v>
      </c>
    </row>
    <row r="212" spans="1:9" x14ac:dyDescent="0.25">
      <c r="A212" s="423" t="s">
        <v>190</v>
      </c>
      <c r="B212" s="423" t="s">
        <v>202</v>
      </c>
      <c r="C212" s="395">
        <v>43349.635729166665</v>
      </c>
      <c r="H212" t="s">
        <v>203</v>
      </c>
      <c r="I212" s="423" t="s">
        <v>285</v>
      </c>
    </row>
    <row r="213" spans="1:9" x14ac:dyDescent="0.25">
      <c r="A213" s="423" t="s">
        <v>190</v>
      </c>
      <c r="B213" s="423" t="s">
        <v>202</v>
      </c>
      <c r="C213" s="395">
        <v>43349.635729166665</v>
      </c>
      <c r="H213" t="s">
        <v>203</v>
      </c>
      <c r="I213" s="423" t="s">
        <v>285</v>
      </c>
    </row>
    <row r="214" spans="1:9" x14ac:dyDescent="0.25">
      <c r="A214" s="423" t="s">
        <v>196</v>
      </c>
      <c r="B214" s="423" t="s">
        <v>191</v>
      </c>
      <c r="C214" s="395">
        <v>43344.458333333336</v>
      </c>
      <c r="H214" t="s">
        <v>197</v>
      </c>
      <c r="I214" s="423" t="s">
        <v>268</v>
      </c>
    </row>
    <row r="215" spans="1:9" x14ac:dyDescent="0.25">
      <c r="A215" s="423" t="s">
        <v>196</v>
      </c>
      <c r="B215" s="423" t="s">
        <v>191</v>
      </c>
      <c r="C215" s="395">
        <v>43344.458333333336</v>
      </c>
      <c r="H215" t="s">
        <v>197</v>
      </c>
      <c r="I215" s="423" t="s">
        <v>268</v>
      </c>
    </row>
    <row r="216" spans="1:9" x14ac:dyDescent="0.25">
      <c r="A216" s="423" t="s">
        <v>196</v>
      </c>
      <c r="B216" s="423" t="s">
        <v>198</v>
      </c>
      <c r="C216" s="395">
        <v>43342.714236111111</v>
      </c>
      <c r="H216" t="s">
        <v>199</v>
      </c>
      <c r="I216" s="423" t="s">
        <v>269</v>
      </c>
    </row>
    <row r="217" spans="1:9" x14ac:dyDescent="0.25">
      <c r="A217" s="423" t="s">
        <v>196</v>
      </c>
      <c r="B217" s="423" t="s">
        <v>198</v>
      </c>
      <c r="C217" s="395">
        <v>43342.714236111111</v>
      </c>
      <c r="H217" t="s">
        <v>199</v>
      </c>
      <c r="I217" s="423" t="s">
        <v>269</v>
      </c>
    </row>
    <row r="218" spans="1:9" x14ac:dyDescent="0.25">
      <c r="A218" s="423" t="s">
        <v>196</v>
      </c>
      <c r="B218" s="423" t="s">
        <v>191</v>
      </c>
      <c r="C218" s="395">
        <v>43342.714236111111</v>
      </c>
      <c r="H218" t="s">
        <v>197</v>
      </c>
      <c r="I218" s="423" t="s">
        <v>268</v>
      </c>
    </row>
    <row r="219" spans="1:9" x14ac:dyDescent="0.25">
      <c r="A219" s="423" t="s">
        <v>196</v>
      </c>
      <c r="B219" s="423" t="s">
        <v>191</v>
      </c>
      <c r="C219" s="395">
        <v>43342.714236111111</v>
      </c>
      <c r="H219" t="s">
        <v>197</v>
      </c>
      <c r="I219" s="423" t="s">
        <v>268</v>
      </c>
    </row>
    <row r="220" spans="1:9" x14ac:dyDescent="0.25">
      <c r="A220" s="423" t="s">
        <v>196</v>
      </c>
      <c r="B220" s="423" t="s">
        <v>191</v>
      </c>
      <c r="C220" s="395">
        <v>43342.71366898148</v>
      </c>
      <c r="H220" t="s">
        <v>197</v>
      </c>
      <c r="I220" s="423" t="s">
        <v>268</v>
      </c>
    </row>
    <row r="221" spans="1:9" x14ac:dyDescent="0.25">
      <c r="A221" s="423" t="s">
        <v>200</v>
      </c>
      <c r="B221" s="423" t="s">
        <v>198</v>
      </c>
      <c r="C221" s="395">
        <v>43342.494710648149</v>
      </c>
      <c r="H221" t="s">
        <v>206</v>
      </c>
      <c r="I221" s="423" t="s">
        <v>274</v>
      </c>
    </row>
    <row r="222" spans="1:9" x14ac:dyDescent="0.25">
      <c r="A222" s="423" t="s">
        <v>200</v>
      </c>
      <c r="B222" s="423" t="s">
        <v>198</v>
      </c>
      <c r="C222" s="395">
        <v>43342.494710648149</v>
      </c>
      <c r="H222" t="s">
        <v>206</v>
      </c>
      <c r="I222" s="423" t="s">
        <v>274</v>
      </c>
    </row>
    <row r="223" spans="1:9" x14ac:dyDescent="0.25">
      <c r="A223" s="423" t="s">
        <v>200</v>
      </c>
      <c r="B223" s="423" t="s">
        <v>191</v>
      </c>
      <c r="C223" s="395">
        <v>43342.494710648149</v>
      </c>
      <c r="H223" t="s">
        <v>205</v>
      </c>
      <c r="I223" s="423" t="s">
        <v>272</v>
      </c>
    </row>
    <row r="224" spans="1:9" x14ac:dyDescent="0.25">
      <c r="A224" s="423" t="s">
        <v>200</v>
      </c>
      <c r="B224" s="423" t="s">
        <v>191</v>
      </c>
      <c r="C224" s="395">
        <v>43342.494710648149</v>
      </c>
      <c r="H224" t="s">
        <v>205</v>
      </c>
      <c r="I224" s="423" t="s">
        <v>272</v>
      </c>
    </row>
    <row r="225" spans="1:9" x14ac:dyDescent="0.25">
      <c r="A225" s="423" t="s">
        <v>207</v>
      </c>
      <c r="B225" s="423" t="s">
        <v>198</v>
      </c>
      <c r="C225" s="395">
        <v>43341.596203703702</v>
      </c>
      <c r="H225" t="s">
        <v>208</v>
      </c>
      <c r="I225" s="423" t="s">
        <v>249</v>
      </c>
    </row>
    <row r="226" spans="1:9" x14ac:dyDescent="0.25">
      <c r="A226" s="423" t="s">
        <v>207</v>
      </c>
      <c r="B226" s="423" t="s">
        <v>198</v>
      </c>
      <c r="C226" s="395">
        <v>43341.596203703702</v>
      </c>
      <c r="H226" t="s">
        <v>208</v>
      </c>
      <c r="I226" s="423" t="s">
        <v>249</v>
      </c>
    </row>
    <row r="227" spans="1:9" x14ac:dyDescent="0.25">
      <c r="A227" s="423" t="s">
        <v>196</v>
      </c>
      <c r="B227" s="423" t="s">
        <v>191</v>
      </c>
      <c r="C227" s="395">
        <v>43314.571319444447</v>
      </c>
      <c r="H227" t="s">
        <v>197</v>
      </c>
      <c r="I227" s="423" t="s">
        <v>268</v>
      </c>
    </row>
    <row r="228" spans="1:9" x14ac:dyDescent="0.25">
      <c r="A228" s="423" t="s">
        <v>196</v>
      </c>
      <c r="B228" s="423" t="s">
        <v>198</v>
      </c>
      <c r="C228" s="395">
        <v>43314.562488425923</v>
      </c>
      <c r="H228" t="s">
        <v>199</v>
      </c>
      <c r="I228" s="423" t="s">
        <v>269</v>
      </c>
    </row>
    <row r="229" spans="1:9" x14ac:dyDescent="0.25">
      <c r="A229" s="423" t="s">
        <v>196</v>
      </c>
      <c r="B229" s="423" t="s">
        <v>198</v>
      </c>
      <c r="C229" s="395">
        <v>43314.5622337963</v>
      </c>
      <c r="H229" t="s">
        <v>199</v>
      </c>
      <c r="I229" s="423" t="s">
        <v>269</v>
      </c>
    </row>
    <row r="230" spans="1:9" x14ac:dyDescent="0.25">
      <c r="A230" s="423" t="s">
        <v>196</v>
      </c>
      <c r="B230" s="423" t="s">
        <v>191</v>
      </c>
      <c r="C230" s="395">
        <v>43314.560856481483</v>
      </c>
      <c r="H230" t="s">
        <v>197</v>
      </c>
      <c r="I230" s="423" t="s">
        <v>268</v>
      </c>
    </row>
    <row r="231" spans="1:9" x14ac:dyDescent="0.25">
      <c r="A231" s="423" t="s">
        <v>200</v>
      </c>
      <c r="B231" s="423" t="s">
        <v>198</v>
      </c>
      <c r="C231" s="395">
        <v>43277.475636574076</v>
      </c>
      <c r="H231" t="s">
        <v>206</v>
      </c>
      <c r="I231" s="423" t="s">
        <v>274</v>
      </c>
    </row>
    <row r="232" spans="1:9" x14ac:dyDescent="0.25">
      <c r="A232" s="423" t="s">
        <v>200</v>
      </c>
      <c r="B232" s="423" t="s">
        <v>198</v>
      </c>
      <c r="C232" s="395">
        <v>43277.475115740737</v>
      </c>
      <c r="H232" t="s">
        <v>206</v>
      </c>
      <c r="I232" s="423" t="s">
        <v>274</v>
      </c>
    </row>
    <row r="233" spans="1:9" x14ac:dyDescent="0.25">
      <c r="A233" s="423" t="s">
        <v>200</v>
      </c>
      <c r="B233" s="423" t="s">
        <v>191</v>
      </c>
      <c r="C233" s="395">
        <v>43276.56958333333</v>
      </c>
      <c r="H233" t="s">
        <v>205</v>
      </c>
      <c r="I233" s="423" t="s">
        <v>272</v>
      </c>
    </row>
    <row r="234" spans="1:9" x14ac:dyDescent="0.25">
      <c r="A234" s="423" t="s">
        <v>200</v>
      </c>
      <c r="B234" s="423" t="s">
        <v>191</v>
      </c>
      <c r="C234" s="395">
        <v>43276.569143518522</v>
      </c>
      <c r="H234" t="s">
        <v>205</v>
      </c>
      <c r="I234" s="423" t="s">
        <v>272</v>
      </c>
    </row>
    <row r="235" spans="1:9" x14ac:dyDescent="0.25">
      <c r="A235" s="423" t="s">
        <v>196</v>
      </c>
      <c r="B235" s="423" t="s">
        <v>198</v>
      </c>
      <c r="C235" s="395">
        <v>43263.667060185187</v>
      </c>
      <c r="H235" t="s">
        <v>199</v>
      </c>
      <c r="I235" s="423" t="s">
        <v>269</v>
      </c>
    </row>
    <row r="236" spans="1:9" x14ac:dyDescent="0.25">
      <c r="A236" s="423" t="s">
        <v>196</v>
      </c>
      <c r="B236" s="423" t="s">
        <v>191</v>
      </c>
      <c r="C236" s="395">
        <v>43241.528402777774</v>
      </c>
      <c r="H236" t="s">
        <v>197</v>
      </c>
      <c r="I236" s="423" t="s">
        <v>268</v>
      </c>
    </row>
    <row r="237" spans="1:9" x14ac:dyDescent="0.25">
      <c r="A237" s="423" t="s">
        <v>200</v>
      </c>
      <c r="B237" s="423" t="s">
        <v>191</v>
      </c>
      <c r="C237" s="395">
        <v>43237.455462962964</v>
      </c>
      <c r="H237" t="s">
        <v>205</v>
      </c>
      <c r="I237" s="423" t="s">
        <v>272</v>
      </c>
    </row>
    <row r="238" spans="1:9" x14ac:dyDescent="0.25">
      <c r="A238" s="423" t="s">
        <v>200</v>
      </c>
      <c r="B238" s="423" t="s">
        <v>191</v>
      </c>
      <c r="C238" s="395">
        <v>43237.454212962963</v>
      </c>
      <c r="H238" t="s">
        <v>205</v>
      </c>
      <c r="I238" s="423" t="s">
        <v>272</v>
      </c>
    </row>
    <row r="239" spans="1:9" x14ac:dyDescent="0.25">
      <c r="A239" s="423" t="s">
        <v>200</v>
      </c>
      <c r="B239" s="423" t="s">
        <v>198</v>
      </c>
      <c r="C239" s="395">
        <v>43236.645416666666</v>
      </c>
      <c r="H239" t="s">
        <v>206</v>
      </c>
      <c r="I239" s="423" t="s">
        <v>274</v>
      </c>
    </row>
    <row r="240" spans="1:9" x14ac:dyDescent="0.25">
      <c r="A240" s="423" t="s">
        <v>196</v>
      </c>
      <c r="B240" s="423" t="s">
        <v>198</v>
      </c>
      <c r="C240" s="395">
        <v>43236.644143518519</v>
      </c>
      <c r="H240" t="s">
        <v>199</v>
      </c>
      <c r="I240" s="423" t="s">
        <v>269</v>
      </c>
    </row>
    <row r="241" spans="1:9" x14ac:dyDescent="0.25">
      <c r="A241" s="423" t="s">
        <v>196</v>
      </c>
      <c r="B241" s="423" t="s">
        <v>198</v>
      </c>
      <c r="C241" s="395">
        <v>43236.643321759257</v>
      </c>
      <c r="H241" t="s">
        <v>199</v>
      </c>
      <c r="I241" s="423" t="s">
        <v>269</v>
      </c>
    </row>
    <row r="242" spans="1:9" x14ac:dyDescent="0.25">
      <c r="A242" s="423" t="s">
        <v>200</v>
      </c>
      <c r="B242" s="423" t="s">
        <v>198</v>
      </c>
      <c r="C242" s="395">
        <v>43228.480937499997</v>
      </c>
      <c r="H242" t="s">
        <v>206</v>
      </c>
      <c r="I242" s="423" t="s">
        <v>274</v>
      </c>
    </row>
    <row r="243" spans="1:9" x14ac:dyDescent="0.25">
      <c r="A243" s="423" t="s">
        <v>200</v>
      </c>
      <c r="B243" s="423" t="s">
        <v>198</v>
      </c>
      <c r="C243" s="395">
        <v>43228.479004629633</v>
      </c>
      <c r="H243" t="s">
        <v>206</v>
      </c>
      <c r="I243" s="423" t="s">
        <v>274</v>
      </c>
    </row>
    <row r="244" spans="1:9" x14ac:dyDescent="0.25">
      <c r="A244" s="423" t="s">
        <v>196</v>
      </c>
      <c r="B244" s="423" t="s">
        <v>191</v>
      </c>
      <c r="C244" s="395">
        <v>43228.420763888891</v>
      </c>
      <c r="H244" t="s">
        <v>197</v>
      </c>
      <c r="I244" s="423" t="s">
        <v>268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rgb="FFFF0000"/>
  </sheetPr>
  <dimension ref="A1:AI217"/>
  <sheetViews>
    <sheetView workbookViewId="0"/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MIN(AA_4[Date])</f>
        <v>0</v>
      </c>
      <c r="D1" s="310"/>
      <c r="E1" s="794" t="s">
        <v>40</v>
      </c>
      <c r="F1" s="2" t="str">
        <f>IFERROR(AVERAGEIFS(AA_4[[#All],[Dim 1_1]],AA_4[[#All],[Blade Part Number]],$B1,AA_4[[#All],[Date]],"&gt;"&amp;$A$1,AA_4[[#All],[Date]],"&lt;"&amp;$A$2),"")</f>
        <v/>
      </c>
      <c r="G1" s="2" t="str">
        <f>IFERROR(AVERAGEIFS(AA_4[[#All],[Dim 1_2]],AA_4[[#All],[Blade Part Number]],$B1,AA_4[[#All],[Date]],"&gt;"&amp;$A$1,AA_4[[#All],[Date]],"&lt;"&amp;$A$2),"")</f>
        <v/>
      </c>
      <c r="H1" s="2" t="str">
        <f>IFERROR(AVERAGEIFS(AA_4[[#All],[Dim 2_1]],AA_4[[#All],[Blade Part Number]],$B1,AA_4[[#All],[Date]],"&gt;"&amp;$A$1,AA_4[[#All],[Date]],"&lt;"&amp;$A$2),"")</f>
        <v/>
      </c>
      <c r="I1" s="2" t="str">
        <f>IFERROR(AVERAGEIFS(AA_4[[#All],[Dim 2_2]],AA_4[[#All],[Blade Part Number]],$B1,AA_4[[#All],[Date]],"&gt;"&amp;$A$1,AA_4[[#All],[Date]],"&lt;"&amp;$A$2),"")</f>
        <v/>
      </c>
      <c r="J1" s="2" t="str">
        <f>IFERROR(AVERAGEIFS(AA_4[[#All],[Dim 3_1]],AA_4[[#All],[Blade Part Number]],$B1,AA_4[[#All],[Date]],"&gt;"&amp;$A$1,AA_4[[#All],[Date]],"&lt;"&amp;$A$2),"")</f>
        <v/>
      </c>
      <c r="K1" s="2" t="str">
        <f>IFERROR(AVERAGEIFS(AA_4[[#All],[Dim 3_2]],AA_4[[#All],[Blade Part Number]],$B1,AA_4[[#All],[Date]],"&gt;"&amp;$A$1,AA_4[[#All],[Date]],"&lt;"&amp;$A$2),"")</f>
        <v/>
      </c>
      <c r="L1" s="2" t="str">
        <f>IFERROR(AVERAGEIFS(AA_4[[#All],[Dim 4_1]],AA_4[[#All],[Blade Part Number]],$B1,AA_4[[#All],[Date]],"&gt;"&amp;$A$1,AA_4[[#All],[Date]],"&lt;"&amp;$A$2),"")</f>
        <v/>
      </c>
      <c r="M1" s="2" t="str">
        <f>IFERROR(AVERAGEIFS(AA_4[[#All],[Dim 4_2]],AA_4[[#All],[Blade Part Number]],$B1,AA_4[[#All],[Date]],"&gt;"&amp;$A$1,AA_4[[#All],[Date]],"&lt;"&amp;$A$2),"")</f>
        <v/>
      </c>
      <c r="N1" s="2" t="str">
        <f>IFERROR(AVERAGEIFS(AA_4[[#All],[Dim 5_1]],AA_4[[#All],[Blade Part Number]],$B1,AA_4[[#All],[Date]],"&gt;"&amp;$A$1,AA_4[[#All],[Date]],"&lt;"&amp;$A$2),"")</f>
        <v/>
      </c>
      <c r="O1" s="2" t="str">
        <f>IFERROR(AVERAGEIFS(AA_4[[#All],[Dim 5_2]],AA_4[[#All],[Blade Part Number]],$B1,AA_4[[#All],[Date]],"&gt;"&amp;$A$1,AA_4[[#All],[Date]],"&lt;"&amp;$A$2),"")</f>
        <v/>
      </c>
      <c r="P1" s="2" t="str">
        <f>IFERROR(AVERAGEIFS(AA_4[[#All],[Dim 6]],AA_4[[#All],[Blade Part Number]],$B1,AA_4[[#All],[Date]],"&gt;"&amp;$A$1,AA_4[[#All],[Date]],"&lt;"&amp;$A$2),"")</f>
        <v/>
      </c>
      <c r="Q1" s="2" t="str">
        <f>IFERROR(AVERAGEIFS(AA_4[[#All],[Dim 7]],AA_4[[#All],[Blade Part Number]],$B1,AA_4[[#All],[Date]],"&gt;"&amp;$A$1,AA_4[[#All],[Date]],"&lt;"&amp;$A$2),"")</f>
        <v/>
      </c>
      <c r="R1" s="2" t="str">
        <f>IFERROR(AVERAGEIFS(AA_4[[#All],[Dim 9_1]],AA_4[[#All],[Blade Part Number]],$B1,AA_4[[#All],[Date]],"&gt;"&amp;$A$1,AA_4[[#All],[Date]],"&lt;"&amp;$A$2),"")</f>
        <v/>
      </c>
      <c r="S1" s="2" t="str">
        <f>IFERROR(AVERAGEIFS(AA_4[[#All],[Dim 9_2]],AA_4[[#All],[Blade Part Number]],$B1,AA_4[[#All],[Date]],"&gt;"&amp;$A$1,AA_4[[#All],[Date]],"&lt;"&amp;$A$2),"")</f>
        <v/>
      </c>
      <c r="T1" s="2" t="str">
        <f>IFERROR(AVERAGEIFS(AA_4[[#All],[Dim 10_1]],AA_4[[#All],[Blade Part Number]],$B1,AA_4[[#All],[Date]],"&gt;"&amp;$A$1,AA_4[[#All],[Date]],"&lt;"&amp;$A$2),"")</f>
        <v/>
      </c>
      <c r="U1" s="2" t="str">
        <f>IFERROR(AVERAGEIFS(AA_4[[#All],[Dim 10_2]],AA_4[[#All],[Blade Part Number]],$B1,AA_4[[#All],[Date]],"&gt;"&amp;$A$1,AA_4[[#All],[Date]],"&lt;"&amp;$A$2),"")</f>
        <v/>
      </c>
      <c r="V1" s="2" t="str">
        <f>IFERROR(AVERAGEIFS(AA_4[[#All],[Dim 11]],AA_4[[#All],[Blade Part Number]],$B1,AA_4[[#All],[Date]],"&gt;"&amp;$A$1,AA_4[[#All],[Date]],"&lt;"&amp;$A$2),"")</f>
        <v/>
      </c>
      <c r="W1" s="2" t="str">
        <f>IFERROR(AVERAGEIFS(AA_4[[#All],[Dim 11 Max]],AA_4[[#All],[Blade Part Number]],$B1,AA_4[[#All],[Date]],"&gt;"&amp;$A$1,AA_4[[#All],[Date]],"&lt;"&amp;$A$2),"")</f>
        <v/>
      </c>
      <c r="X1" s="2" t="str">
        <f>IFERROR(AVERAGEIFS(AA_4[[#All],[Dim 11 Min]],AA_4[[#All],[Blade Part Number]],$B1,AA_4[[#All],[Date]],"&gt;"&amp;$A$1,AA_4[[#All],[Date]],"&lt;"&amp;$A$2),"")</f>
        <v/>
      </c>
      <c r="Y1" s="2" t="str">
        <f>IFERROR(AVERAGEIFS(AA_4[[#All],[Dim 12]],AA_4[[#All],[Blade Part Number]],$B1,AA_4[[#All],[Date]],"&gt;"&amp;$A$1,AA_4[[#All],[Date]],"&lt;"&amp;$A$2),"")</f>
        <v/>
      </c>
      <c r="Z1" s="2" t="str">
        <f>IFERROR(AVERAGEIFS(AA_4[[#All],[Dim 12 Max]],AA_4[[#All],[Blade Part Number]],$B1,AA_4[[#All],[Date]],"&gt;"&amp;$A$1,AA_4[[#All],[Date]],"&lt;"&amp;$A$2),"")</f>
        <v/>
      </c>
      <c r="AA1" s="2" t="str">
        <f>IFERROR(AVERAGEIFS(AA_4[[#All],[Dim 12 Min]],AA_4[[#All],[Blade Part Number]],$B1,AA_4[[#All],[Date]],"&gt;"&amp;$A$1,AA_4[[#All],[Date]],"&lt;"&amp;$A$2),"")</f>
        <v/>
      </c>
      <c r="AB1" s="2" t="str">
        <f>IFERROR(AVERAGEIFS(AA_4[[#All],[T 1]],AA_4[[#All],[Blade Part Number]],$B1,AA_4[[#All],[Date]],"&gt;"&amp;$A$1,AA_4[[#All],[Date]],"&lt;"&amp;$A$2),"")</f>
        <v/>
      </c>
      <c r="AC1" s="2" t="str">
        <f>IFERROR(AVERAGEIFS(AA_4[[#All],[T 2]],AA_4[[#All],[Blade Part Number]],$B1,AA_4[[#All],[Date]],"&gt;"&amp;$A$1,AA_4[[#All],[Date]],"&lt;"&amp;$A$2),"")</f>
        <v/>
      </c>
      <c r="AD1" s="2" t="str">
        <f>IFERROR(AVERAGEIFS(AA_4[[#All],[T 3]],AA_4[[#All],[Blade Part Number]],$B1,AA_4[[#All],[Date]],"&gt;"&amp;$A$1,AA_4[[#All],[Date]],"&lt;"&amp;$A$2),"")</f>
        <v/>
      </c>
      <c r="AE1" s="2" t="str">
        <f>IFERROR(AVERAGEIFS(AA_4[[#All],[T 4]],AA_4[[#All],[Blade Part Number]],$B1,AA_4[[#All],[Date]],"&gt;"&amp;$A$1,AA_4[[#All],[Date]],"&lt;"&amp;$A$2),"")</f>
        <v/>
      </c>
      <c r="AF1" s="2" t="str">
        <f>IFERROR(AVERAGEIFS(AA_4[[#All],[T 5]],AA_4[[#All],[Blade Part Number]],$B1,AA_4[[#All],[Date]],"&gt;"&amp;$A$1,AA_4[[#All],[Date]],"&lt;"&amp;$A$2),"")</f>
        <v/>
      </c>
      <c r="AG1" s="2" t="str">
        <f>IFERROR(AVERAGEIFS(AA_4[[#All],[T 6]],AA_4[[#All],[Blade Part Number]],$B1,AA_4[[#All],[Date]],"&gt;"&amp;$A$1,AA_4[[#All],[Date]],"&lt;"&amp;$A$2),"")</f>
        <v/>
      </c>
      <c r="AH1" s="2" t="str">
        <f>IFERROR(AVERAGEIFS(AA_4[[#All],[T 7]],AA_4[[#All],[Blade Part Number]],$B1,AA_4[[#All],[Date]],"&gt;"&amp;$A$1,AA_4[[#All],[Date]],"&lt;"&amp;$A$2),"")</f>
        <v/>
      </c>
      <c r="AI1" s="2" t="str">
        <f>IFERROR(AVERAGEIFS(AA_4[[#All],[T 8]],AA_4[[#All],[Blade Part Number]],$B1,AA_4[[#All],[Date]],"&gt;"&amp;$A$1,AA_4[[#All],[Date]],"&lt;"&amp;$A$2),"")</f>
        <v/>
      </c>
    </row>
    <row r="2" spans="1:35" x14ac:dyDescent="0.25">
      <c r="A2" s="1">
        <f>'Offset Solver'!E31</f>
        <v>73050</v>
      </c>
      <c r="B2" s="12" t="s">
        <v>31</v>
      </c>
      <c r="C2" s="25">
        <f>MAX(AA_4[Date])</f>
        <v>0</v>
      </c>
      <c r="D2" s="310"/>
      <c r="E2" s="794"/>
      <c r="F2" s="2" t="str">
        <f>IFERROR(AVERAGEIFS(AA_4[[#All],[Dim 1_1]],AA_4[[#All],[Blade Part Number]],$B2,AA_4[[#All],[Date]],"&gt;"&amp;$A$1,AA_4[[#All],[Date]],"&lt;"&amp;$A$2),"")</f>
        <v/>
      </c>
      <c r="G2" s="2" t="str">
        <f>IFERROR(AVERAGEIFS(AA_4[[#All],[Dim 1_2]],AA_4[[#All],[Blade Part Number]],$B2,AA_4[[#All],[Date]],"&gt;"&amp;$A$1,AA_4[[#All],[Date]],"&lt;"&amp;$A$2),"")</f>
        <v/>
      </c>
      <c r="H2" s="2" t="str">
        <f>IFERROR(AVERAGEIFS(AA_4[[#All],[Dim 2_1]],AA_4[[#All],[Blade Part Number]],$B2,AA_4[[#All],[Date]],"&gt;"&amp;$A$1,AA_4[[#All],[Date]],"&lt;"&amp;$A$2),"")</f>
        <v/>
      </c>
      <c r="I2" s="2" t="str">
        <f>IFERROR(AVERAGEIFS(AA_4[[#All],[Dim 2_2]],AA_4[[#All],[Blade Part Number]],$B2,AA_4[[#All],[Date]],"&gt;"&amp;$A$1,AA_4[[#All],[Date]],"&lt;"&amp;$A$2),"")</f>
        <v/>
      </c>
      <c r="J2" s="2" t="str">
        <f>IFERROR(AVERAGEIFS(AA_4[[#All],[Dim 3_1]],AA_4[[#All],[Blade Part Number]],$B2,AA_4[[#All],[Date]],"&gt;"&amp;$A$1,AA_4[[#All],[Date]],"&lt;"&amp;$A$2),"")</f>
        <v/>
      </c>
      <c r="K2" s="2" t="str">
        <f>IFERROR(AVERAGEIFS(AA_4[[#All],[Dim 3_2]],AA_4[[#All],[Blade Part Number]],$B2,AA_4[[#All],[Date]],"&gt;"&amp;$A$1,AA_4[[#All],[Date]],"&lt;"&amp;$A$2),"")</f>
        <v/>
      </c>
      <c r="L2" s="2" t="str">
        <f>IFERROR(AVERAGEIFS(AA_4[[#All],[Dim 4_1]],AA_4[[#All],[Blade Part Number]],$B2,AA_4[[#All],[Date]],"&gt;"&amp;$A$1,AA_4[[#All],[Date]],"&lt;"&amp;$A$2),"")</f>
        <v/>
      </c>
      <c r="M2" s="2" t="str">
        <f>IFERROR(AVERAGEIFS(AA_4[[#All],[Dim 4_2]],AA_4[[#All],[Blade Part Number]],$B2,AA_4[[#All],[Date]],"&gt;"&amp;$A$1,AA_4[[#All],[Date]],"&lt;"&amp;$A$2),"")</f>
        <v/>
      </c>
      <c r="N2" s="2" t="str">
        <f>IFERROR(AVERAGEIFS(AA_4[[#All],[Dim 5_1]],AA_4[[#All],[Blade Part Number]],$B2,AA_4[[#All],[Date]],"&gt;"&amp;$A$1,AA_4[[#All],[Date]],"&lt;"&amp;$A$2),"")</f>
        <v/>
      </c>
      <c r="O2" s="2" t="str">
        <f>IFERROR(AVERAGEIFS(AA_4[[#All],[Dim 5_2]],AA_4[[#All],[Blade Part Number]],$B2,AA_4[[#All],[Date]],"&gt;"&amp;$A$1,AA_4[[#All],[Date]],"&lt;"&amp;$A$2),"")</f>
        <v/>
      </c>
      <c r="P2" s="2" t="str">
        <f>IFERROR(AVERAGEIFS(AA_4[[#All],[Dim 6]],AA_4[[#All],[Blade Part Number]],$B2,AA_4[[#All],[Date]],"&gt;"&amp;$A$1,AA_4[[#All],[Date]],"&lt;"&amp;$A$2),"")</f>
        <v/>
      </c>
      <c r="Q2" s="2" t="str">
        <f>IFERROR(AVERAGEIFS(AA_4[[#All],[Dim 7]],AA_4[[#All],[Blade Part Number]],$B2,AA_4[[#All],[Date]],"&gt;"&amp;$A$1,AA_4[[#All],[Date]],"&lt;"&amp;$A$2),"")</f>
        <v/>
      </c>
      <c r="R2" s="2" t="str">
        <f>IFERROR(AVERAGEIFS(AA_4[[#All],[Dim 9_1]],AA_4[[#All],[Blade Part Number]],$B2,AA_4[[#All],[Date]],"&gt;"&amp;$A$1,AA_4[[#All],[Date]],"&lt;"&amp;$A$2),"")</f>
        <v/>
      </c>
      <c r="S2" s="2" t="str">
        <f>IFERROR(AVERAGEIFS(AA_4[[#All],[Dim 9_2]],AA_4[[#All],[Blade Part Number]],$B2,AA_4[[#All],[Date]],"&gt;"&amp;$A$1,AA_4[[#All],[Date]],"&lt;"&amp;$A$2),"")</f>
        <v/>
      </c>
      <c r="T2" s="2" t="str">
        <f>IFERROR(AVERAGEIFS(AA_4[[#All],[Dim 10_1]],AA_4[[#All],[Blade Part Number]],$B2,AA_4[[#All],[Date]],"&gt;"&amp;$A$1,AA_4[[#All],[Date]],"&lt;"&amp;$A$2),"")</f>
        <v/>
      </c>
      <c r="U2" s="2" t="str">
        <f>IFERROR(AVERAGEIFS(AA_4[[#All],[Dim 10_2]],AA_4[[#All],[Blade Part Number]],$B2,AA_4[[#All],[Date]],"&gt;"&amp;$A$1,AA_4[[#All],[Date]],"&lt;"&amp;$A$2),"")</f>
        <v/>
      </c>
      <c r="V2" s="2" t="str">
        <f>IFERROR(AVERAGEIFS(AA_4[[#All],[Dim 11]],AA_4[[#All],[Blade Part Number]],$B2,AA_4[[#All],[Date]],"&gt;"&amp;$A$1,AA_4[[#All],[Date]],"&lt;"&amp;$A$2),"")</f>
        <v/>
      </c>
      <c r="W2" s="2" t="str">
        <f>IFERROR(AVERAGEIFS(AA_4[[#All],[Dim 11 Max]],AA_4[[#All],[Blade Part Number]],$B2,AA_4[[#All],[Date]],"&gt;"&amp;$A$1,AA_4[[#All],[Date]],"&lt;"&amp;$A$2),"")</f>
        <v/>
      </c>
      <c r="X2" s="2" t="str">
        <f>IFERROR(AVERAGEIFS(AA_4[[#All],[Dim 11 Min]],AA_4[[#All],[Blade Part Number]],$B2,AA_4[[#All],[Date]],"&gt;"&amp;$A$1,AA_4[[#All],[Date]],"&lt;"&amp;$A$2),"")</f>
        <v/>
      </c>
      <c r="Y2" s="2" t="str">
        <f>IFERROR(AVERAGEIFS(AA_4[[#All],[Dim 12]],AA_4[[#All],[Blade Part Number]],$B2,AA_4[[#All],[Date]],"&gt;"&amp;$A$1,AA_4[[#All],[Date]],"&lt;"&amp;$A$2),"")</f>
        <v/>
      </c>
      <c r="Z2" s="2" t="str">
        <f>IFERROR(AVERAGEIFS(AA_4[[#All],[Dim 12 Max]],AA_4[[#All],[Blade Part Number]],$B2,AA_4[[#All],[Date]],"&gt;"&amp;$A$1,AA_4[[#All],[Date]],"&lt;"&amp;$A$2),"")</f>
        <v/>
      </c>
      <c r="AA2" s="2" t="str">
        <f>IFERROR(AVERAGEIFS(AA_4[[#All],[Dim 12 Min]],AA_4[[#All],[Blade Part Number]],$B2,AA_4[[#All],[Date]],"&gt;"&amp;$A$1,AA_4[[#All],[Date]],"&lt;"&amp;$A$2),"")</f>
        <v/>
      </c>
      <c r="AB2" s="2" t="str">
        <f>IFERROR(AVERAGEIFS(AA_4[[#All],[T 1]],AA_4[[#All],[Blade Part Number]],$B2,AA_4[[#All],[Date]],"&gt;"&amp;$A$1,AA_4[[#All],[Date]],"&lt;"&amp;$A$2),"")</f>
        <v/>
      </c>
      <c r="AC2" s="2" t="str">
        <f>IFERROR(AVERAGEIFS(AA_4[[#All],[T 2]],AA_4[[#All],[Blade Part Number]],$B2,AA_4[[#All],[Date]],"&gt;"&amp;$A$1,AA_4[[#All],[Date]],"&lt;"&amp;$A$2),"")</f>
        <v/>
      </c>
      <c r="AD2" s="2" t="str">
        <f>IFERROR(AVERAGEIFS(AA_4[[#All],[T 3]],AA_4[[#All],[Blade Part Number]],$B2,AA_4[[#All],[Date]],"&gt;"&amp;$A$1,AA_4[[#All],[Date]],"&lt;"&amp;$A$2),"")</f>
        <v/>
      </c>
      <c r="AE2" s="2" t="str">
        <f>IFERROR(AVERAGEIFS(AA_4[[#All],[T 4]],AA_4[[#All],[Blade Part Number]],$B2,AA_4[[#All],[Date]],"&gt;"&amp;$A$1,AA_4[[#All],[Date]],"&lt;"&amp;$A$2),"")</f>
        <v/>
      </c>
      <c r="AF2" s="2" t="str">
        <f>IFERROR(AVERAGEIFS(AA_4[[#All],[T 5]],AA_4[[#All],[Blade Part Number]],$B2,AA_4[[#All],[Date]],"&gt;"&amp;$A$1,AA_4[[#All],[Date]],"&lt;"&amp;$A$2),"")</f>
        <v/>
      </c>
      <c r="AG2" s="2" t="str">
        <f>IFERROR(AVERAGEIFS(AA_4[[#All],[T 6]],AA_4[[#All],[Blade Part Number]],$B2,AA_4[[#All],[Date]],"&gt;"&amp;$A$1,AA_4[[#All],[Date]],"&lt;"&amp;$A$2),"")</f>
        <v/>
      </c>
      <c r="AH2" s="2" t="str">
        <f>IFERROR(AVERAGEIFS(AA_4[[#All],[T 7]],AA_4[[#All],[Blade Part Number]],$B2,AA_4[[#All],[Date]],"&gt;"&amp;$A$1,AA_4[[#All],[Date]],"&lt;"&amp;$A$2),"")</f>
        <v/>
      </c>
      <c r="AI2" s="2" t="str">
        <f>IFERROR(AVERAGEIFS(AA_4[[#All],[T 8]],AA_4[[#All],[Blade Part Number]],$B2,AA_4[[#All],[Date]],"&gt;"&amp;$A$1,AA_4[[#All],[Date]],"&lt;"&amp;$A$2),"")</f>
        <v/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 t="str">
        <f t="shared" ref="F6:AI6" si="0">IFERROR(F1-F3,"")</f>
        <v/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11" t="str">
        <f t="shared" si="0"/>
        <v/>
      </c>
      <c r="S6" s="11" t="str">
        <f t="shared" si="0"/>
        <v/>
      </c>
      <c r="T6" s="11" t="str">
        <f t="shared" si="0"/>
        <v/>
      </c>
      <c r="U6" s="11" t="str">
        <f t="shared" si="0"/>
        <v/>
      </c>
      <c r="V6" s="11" t="str">
        <f t="shared" si="0"/>
        <v/>
      </c>
      <c r="W6" s="11" t="str">
        <f t="shared" si="0"/>
        <v/>
      </c>
      <c r="X6" s="11" t="str">
        <f t="shared" si="0"/>
        <v/>
      </c>
      <c r="Y6" s="11" t="str">
        <f t="shared" si="0"/>
        <v/>
      </c>
      <c r="Z6" s="11" t="str">
        <f t="shared" si="0"/>
        <v/>
      </c>
      <c r="AA6" s="11" t="str">
        <f t="shared" si="0"/>
        <v/>
      </c>
      <c r="AB6" s="11" t="str">
        <f t="shared" si="0"/>
        <v/>
      </c>
      <c r="AC6" s="11" t="str">
        <f t="shared" si="0"/>
        <v/>
      </c>
      <c r="AD6" s="11" t="str">
        <f t="shared" si="0"/>
        <v/>
      </c>
      <c r="AE6" s="11" t="str">
        <f t="shared" si="0"/>
        <v/>
      </c>
      <c r="AF6" s="11" t="str">
        <f t="shared" si="0"/>
        <v/>
      </c>
      <c r="AG6" s="11" t="str">
        <f t="shared" si="0"/>
        <v/>
      </c>
      <c r="AH6" s="11" t="str">
        <f t="shared" si="0"/>
        <v/>
      </c>
      <c r="AI6" s="11" t="str">
        <f t="shared" si="0"/>
        <v/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 t="str">
        <f t="shared" si="1"/>
        <v/>
      </c>
      <c r="I7" s="11" t="str">
        <f t="shared" si="1"/>
        <v/>
      </c>
      <c r="J7" s="11" t="str">
        <f t="shared" si="1"/>
        <v/>
      </c>
      <c r="K7" s="11" t="str">
        <f t="shared" si="1"/>
        <v/>
      </c>
      <c r="L7" s="11" t="str">
        <f t="shared" si="1"/>
        <v/>
      </c>
      <c r="M7" s="11" t="str">
        <f t="shared" si="1"/>
        <v/>
      </c>
      <c r="N7" s="11" t="str">
        <f t="shared" si="1"/>
        <v/>
      </c>
      <c r="O7" s="11" t="str">
        <f t="shared" si="1"/>
        <v/>
      </c>
      <c r="P7" s="11" t="str">
        <f t="shared" si="1"/>
        <v/>
      </c>
      <c r="Q7" s="11" t="str">
        <f t="shared" si="1"/>
        <v/>
      </c>
      <c r="R7" s="11" t="str">
        <f t="shared" si="1"/>
        <v/>
      </c>
      <c r="S7" s="11" t="str">
        <f t="shared" si="1"/>
        <v/>
      </c>
      <c r="T7" s="11" t="str">
        <f t="shared" si="1"/>
        <v/>
      </c>
      <c r="U7" s="11" t="str">
        <f t="shared" si="1"/>
        <v/>
      </c>
      <c r="V7" s="11" t="str">
        <f t="shared" si="1"/>
        <v/>
      </c>
      <c r="W7" s="11" t="str">
        <f t="shared" si="1"/>
        <v/>
      </c>
      <c r="X7" s="11" t="str">
        <f t="shared" si="1"/>
        <v/>
      </c>
      <c r="Y7" s="11" t="str">
        <f t="shared" si="1"/>
        <v/>
      </c>
      <c r="Z7" s="11" t="str">
        <f t="shared" si="1"/>
        <v/>
      </c>
      <c r="AA7" s="11" t="str">
        <f t="shared" si="1"/>
        <v/>
      </c>
      <c r="AB7" s="11" t="str">
        <f t="shared" si="1"/>
        <v/>
      </c>
      <c r="AC7" s="11" t="str">
        <f t="shared" si="1"/>
        <v/>
      </c>
      <c r="AD7" s="11" t="str">
        <f t="shared" si="1"/>
        <v/>
      </c>
      <c r="AE7" s="11" t="str">
        <f t="shared" si="1"/>
        <v/>
      </c>
      <c r="AF7" s="11" t="str">
        <f t="shared" si="1"/>
        <v/>
      </c>
      <c r="AG7" s="11" t="str">
        <f t="shared" si="1"/>
        <v/>
      </c>
      <c r="AH7" s="11" t="str">
        <f t="shared" si="1"/>
        <v/>
      </c>
      <c r="AI7" s="11" t="str">
        <f t="shared" si="1"/>
        <v/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D9" s="741"/>
      <c r="E9" s="741"/>
    </row>
    <row r="100" spans="4:4" x14ac:dyDescent="0.25">
      <c r="D100" s="25"/>
    </row>
    <row r="101" spans="4:4" x14ac:dyDescent="0.25">
      <c r="D101" s="25"/>
    </row>
    <row r="102" spans="4:4" x14ac:dyDescent="0.25">
      <c r="D102" s="25"/>
    </row>
    <row r="103" spans="4:4" x14ac:dyDescent="0.25">
      <c r="D103" s="25"/>
    </row>
    <row r="104" spans="4:4" x14ac:dyDescent="0.25">
      <c r="D104" s="25"/>
    </row>
    <row r="105" spans="4:4" x14ac:dyDescent="0.25">
      <c r="D105" s="25"/>
    </row>
    <row r="106" spans="4:4" x14ac:dyDescent="0.25">
      <c r="D106" s="25"/>
    </row>
    <row r="107" spans="4:4" x14ac:dyDescent="0.25">
      <c r="D107" s="25"/>
    </row>
    <row r="108" spans="4:4" x14ac:dyDescent="0.25">
      <c r="D108" s="25"/>
    </row>
    <row r="109" spans="4:4" x14ac:dyDescent="0.25">
      <c r="D109" s="25"/>
    </row>
    <row r="110" spans="4:4" x14ac:dyDescent="0.25">
      <c r="D110" s="25"/>
    </row>
    <row r="111" spans="4:4" x14ac:dyDescent="0.25">
      <c r="D111" s="25"/>
    </row>
    <row r="112" spans="4:4" x14ac:dyDescent="0.25">
      <c r="D112" s="25"/>
    </row>
    <row r="113" spans="4:4" x14ac:dyDescent="0.25">
      <c r="D113" s="25"/>
    </row>
    <row r="114" spans="4:4" x14ac:dyDescent="0.25">
      <c r="D114" s="25"/>
    </row>
    <row r="115" spans="4:4" x14ac:dyDescent="0.25">
      <c r="D115" s="25"/>
    </row>
    <row r="116" spans="4:4" x14ac:dyDescent="0.25">
      <c r="D116" s="25"/>
    </row>
    <row r="117" spans="4:4" x14ac:dyDescent="0.25">
      <c r="D117" s="25"/>
    </row>
    <row r="118" spans="4:4" x14ac:dyDescent="0.25">
      <c r="D118" s="25"/>
    </row>
    <row r="119" spans="4:4" x14ac:dyDescent="0.25">
      <c r="D119" s="25"/>
    </row>
    <row r="120" spans="4:4" x14ac:dyDescent="0.25">
      <c r="D120" s="25"/>
    </row>
    <row r="121" spans="4:4" x14ac:dyDescent="0.25">
      <c r="D121" s="25"/>
    </row>
    <row r="122" spans="4:4" x14ac:dyDescent="0.25">
      <c r="D122" s="25"/>
    </row>
    <row r="123" spans="4:4" x14ac:dyDescent="0.25">
      <c r="D123" s="25"/>
    </row>
    <row r="124" spans="4:4" x14ac:dyDescent="0.25">
      <c r="D124" s="25"/>
    </row>
    <row r="125" spans="4:4" x14ac:dyDescent="0.25">
      <c r="D125" s="25"/>
    </row>
    <row r="126" spans="4:4" x14ac:dyDescent="0.25">
      <c r="D126" s="25"/>
    </row>
    <row r="127" spans="4:4" x14ac:dyDescent="0.25">
      <c r="D127" s="25"/>
    </row>
    <row r="128" spans="4:4" x14ac:dyDescent="0.25">
      <c r="D128" s="25"/>
    </row>
    <row r="129" spans="4:4" x14ac:dyDescent="0.25">
      <c r="D129" s="25"/>
    </row>
    <row r="130" spans="4:4" x14ac:dyDescent="0.25">
      <c r="D130" s="25"/>
    </row>
    <row r="131" spans="4:4" x14ac:dyDescent="0.25">
      <c r="D131" s="25"/>
    </row>
    <row r="132" spans="4:4" x14ac:dyDescent="0.25">
      <c r="D132" s="25"/>
    </row>
    <row r="133" spans="4:4" x14ac:dyDescent="0.25">
      <c r="D133" s="25"/>
    </row>
    <row r="134" spans="4:4" x14ac:dyDescent="0.25">
      <c r="D134" s="25"/>
    </row>
    <row r="135" spans="4:4" x14ac:dyDescent="0.25">
      <c r="D135" s="25"/>
    </row>
    <row r="136" spans="4:4" x14ac:dyDescent="0.25">
      <c r="D136" s="25"/>
    </row>
    <row r="137" spans="4:4" x14ac:dyDescent="0.25">
      <c r="D137" s="25"/>
    </row>
    <row r="138" spans="4:4" x14ac:dyDescent="0.25">
      <c r="D138" s="25"/>
    </row>
    <row r="139" spans="4:4" x14ac:dyDescent="0.25">
      <c r="D139" s="25"/>
    </row>
    <row r="140" spans="4:4" x14ac:dyDescent="0.25">
      <c r="D140" s="25"/>
    </row>
    <row r="141" spans="4:4" x14ac:dyDescent="0.25">
      <c r="D141" s="25"/>
    </row>
    <row r="142" spans="4:4" x14ac:dyDescent="0.25">
      <c r="D142" s="25"/>
    </row>
    <row r="143" spans="4:4" x14ac:dyDescent="0.25">
      <c r="D143" s="25"/>
    </row>
    <row r="144" spans="4:4" x14ac:dyDescent="0.25">
      <c r="D144" s="25"/>
    </row>
    <row r="145" spans="4:4" x14ac:dyDescent="0.25">
      <c r="D145" s="25"/>
    </row>
    <row r="146" spans="4:4" x14ac:dyDescent="0.25">
      <c r="D146" s="25"/>
    </row>
    <row r="147" spans="4:4" x14ac:dyDescent="0.25">
      <c r="D147" s="25"/>
    </row>
    <row r="148" spans="4:4" x14ac:dyDescent="0.25">
      <c r="D148" s="25"/>
    </row>
    <row r="149" spans="4:4" x14ac:dyDescent="0.25">
      <c r="D149" s="25"/>
    </row>
    <row r="150" spans="4:4" x14ac:dyDescent="0.25">
      <c r="D150" s="25"/>
    </row>
    <row r="151" spans="4:4" x14ac:dyDescent="0.25">
      <c r="D151" s="25"/>
    </row>
    <row r="152" spans="4:4" x14ac:dyDescent="0.25">
      <c r="D152" s="25"/>
    </row>
    <row r="153" spans="4:4" x14ac:dyDescent="0.25">
      <c r="D153" s="25"/>
    </row>
    <row r="154" spans="4:4" x14ac:dyDescent="0.25">
      <c r="D154" s="25"/>
    </row>
    <row r="155" spans="4:4" x14ac:dyDescent="0.25">
      <c r="D155" s="25"/>
    </row>
    <row r="156" spans="4:4" x14ac:dyDescent="0.25">
      <c r="D156" s="25"/>
    </row>
    <row r="157" spans="4:4" x14ac:dyDescent="0.25">
      <c r="D157" s="25"/>
    </row>
    <row r="158" spans="4:4" x14ac:dyDescent="0.25">
      <c r="D158" s="25"/>
    </row>
    <row r="159" spans="4:4" x14ac:dyDescent="0.25">
      <c r="D159" s="25"/>
    </row>
    <row r="160" spans="4:4" x14ac:dyDescent="0.25">
      <c r="D160" s="25"/>
    </row>
    <row r="161" spans="4:4" x14ac:dyDescent="0.25">
      <c r="D161" s="25"/>
    </row>
    <row r="162" spans="4:4" x14ac:dyDescent="0.25">
      <c r="D162" s="25"/>
    </row>
    <row r="163" spans="4:4" x14ac:dyDescent="0.25">
      <c r="D163" s="25"/>
    </row>
    <row r="164" spans="4:4" x14ac:dyDescent="0.25">
      <c r="D164" s="25"/>
    </row>
    <row r="165" spans="4:4" x14ac:dyDescent="0.25">
      <c r="D165" s="25"/>
    </row>
    <row r="166" spans="4:4" x14ac:dyDescent="0.25">
      <c r="D166" s="25"/>
    </row>
    <row r="167" spans="4:4" x14ac:dyDescent="0.25">
      <c r="D167" s="25"/>
    </row>
    <row r="168" spans="4:4" x14ac:dyDescent="0.25">
      <c r="D168" s="25"/>
    </row>
    <row r="169" spans="4:4" x14ac:dyDescent="0.25">
      <c r="D169" s="25"/>
    </row>
    <row r="170" spans="4:4" x14ac:dyDescent="0.25">
      <c r="D170" s="25"/>
    </row>
    <row r="171" spans="4:4" x14ac:dyDescent="0.25">
      <c r="D171" s="25"/>
    </row>
    <row r="172" spans="4:4" x14ac:dyDescent="0.25">
      <c r="D172" s="25"/>
    </row>
    <row r="173" spans="4:4" x14ac:dyDescent="0.25">
      <c r="D173" s="25"/>
    </row>
    <row r="174" spans="4:4" x14ac:dyDescent="0.25">
      <c r="D174" s="25"/>
    </row>
    <row r="175" spans="4:4" x14ac:dyDescent="0.25">
      <c r="D175" s="25"/>
    </row>
    <row r="176" spans="4:4" x14ac:dyDescent="0.25">
      <c r="D176" s="25"/>
    </row>
    <row r="177" spans="4:4" x14ac:dyDescent="0.25">
      <c r="D177" s="25"/>
    </row>
    <row r="178" spans="4:4" x14ac:dyDescent="0.25">
      <c r="D178" s="25"/>
    </row>
    <row r="179" spans="4:4" x14ac:dyDescent="0.25">
      <c r="D179" s="25"/>
    </row>
    <row r="180" spans="4:4" x14ac:dyDescent="0.25">
      <c r="D180" s="25"/>
    </row>
    <row r="181" spans="4:4" x14ac:dyDescent="0.25">
      <c r="D181" s="25"/>
    </row>
    <row r="182" spans="4:4" x14ac:dyDescent="0.25">
      <c r="D182" s="25"/>
    </row>
    <row r="183" spans="4:4" x14ac:dyDescent="0.25">
      <c r="D183" s="25"/>
    </row>
    <row r="184" spans="4:4" x14ac:dyDescent="0.25">
      <c r="D184" s="25"/>
    </row>
    <row r="185" spans="4:4" x14ac:dyDescent="0.25">
      <c r="D185" s="25"/>
    </row>
    <row r="186" spans="4:4" x14ac:dyDescent="0.25">
      <c r="D186" s="25"/>
    </row>
    <row r="187" spans="4:4" x14ac:dyDescent="0.25">
      <c r="D187" s="25"/>
    </row>
    <row r="188" spans="4:4" x14ac:dyDescent="0.25">
      <c r="D188" s="25"/>
    </row>
    <row r="189" spans="4:4" x14ac:dyDescent="0.25">
      <c r="D189" s="25"/>
    </row>
    <row r="190" spans="4:4" x14ac:dyDescent="0.25">
      <c r="D190" s="25"/>
    </row>
    <row r="191" spans="4:4" x14ac:dyDescent="0.25">
      <c r="D191" s="25"/>
    </row>
    <row r="192" spans="4:4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  <row r="205" spans="4:4" x14ac:dyDescent="0.25">
      <c r="D205" s="25"/>
    </row>
    <row r="206" spans="4:4" x14ac:dyDescent="0.25">
      <c r="D206" s="25"/>
    </row>
    <row r="207" spans="4:4" x14ac:dyDescent="0.25">
      <c r="D207" s="25"/>
    </row>
    <row r="208" spans="4:4" x14ac:dyDescent="0.25">
      <c r="D208" s="25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12" spans="4:4" x14ac:dyDescent="0.25">
      <c r="D212" s="25"/>
    </row>
    <row r="213" spans="4:4" x14ac:dyDescent="0.25">
      <c r="D213" s="25"/>
    </row>
    <row r="214" spans="4:4" x14ac:dyDescent="0.25">
      <c r="D214" s="25"/>
    </row>
    <row r="215" spans="4:4" x14ac:dyDescent="0.25">
      <c r="D215" s="25"/>
    </row>
    <row r="216" spans="4:4" x14ac:dyDescent="0.25">
      <c r="D216" s="25"/>
    </row>
    <row r="217" spans="4:4" x14ac:dyDescent="0.25">
      <c r="D217" s="25"/>
    </row>
  </sheetData>
  <mergeCells count="1">
    <mergeCell ref="E1:E2"/>
  </mergeCells>
  <conditionalFormatting sqref="AJ8:XFD8">
    <cfRule type="notContainsBlanks" priority="31" stopIfTrue="1">
      <formula>LEN(TRIM(AJ8))&gt;0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56" priority="10"/>
  </conditionalFormatting>
  <conditionalFormatting sqref="F6:S7 V6:AI7">
    <cfRule type="cellIs" dxfId="255" priority="5" stopIfTrue="1" operator="notBetween">
      <formula>0.35</formula>
      <formula>-0.35</formula>
    </cfRule>
    <cfRule type="cellIs" dxfId="254" priority="6" operator="notBetween">
      <formula>0.2</formula>
      <formula>-0.2</formula>
    </cfRule>
  </conditionalFormatting>
  <conditionalFormatting sqref="E1 E3:E1048576">
    <cfRule type="cellIs" dxfId="253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252" priority="4" operator="lessThanOrEqual">
      <formula>1</formula>
    </cfRule>
  </conditionalFormatting>
  <conditionalFormatting sqref="A6:AI8">
    <cfRule type="notContainsBlanks" priority="7" stopIfTrue="1">
      <formula>LEN(TRIM(A6))&gt;0</formula>
    </cfRule>
  </conditionalFormatting>
  <conditionalFormatting sqref="F1:AI1048576">
    <cfRule type="containsBlanks" priority="3" stopIfTrue="1">
      <formula>LEN(TRIM(F1))=0</formula>
    </cfRule>
    <cfRule type="cellIs" dxfId="251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rgb="FF00B050"/>
  </sheetPr>
  <dimension ref="A1:AI166"/>
  <sheetViews>
    <sheetView workbookViewId="0"/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MIN(AMP1_2[Date])</f>
        <v>43699.776944444442</v>
      </c>
      <c r="D1" s="424">
        <f>COUNTIFS(AMP1_2[Date],"&gt;="&amp;A1,AMP1_2[Date],"&lt;="&amp;A2)</f>
        <v>99</v>
      </c>
      <c r="E1" s="794" t="s">
        <v>40</v>
      </c>
      <c r="F1" s="2">
        <f>IFERROR(AVERAGEIFS(AMP1_2[[#All],[Dim 1_1]],AMP1_2[[#All],[Blade Part Number]],$B1,AMP1_2[[#All],[Date]],"&gt;"&amp;$A$1,AMP1_2[[#All],[Date]],"&lt;"&amp;$A$2),"")</f>
        <v>41.004099999999987</v>
      </c>
      <c r="G1" s="2">
        <f>IFERROR(AVERAGEIFS(AMP1_2[[#All],[Dim 1_2]],AMP1_2[[#All],[Blade Part Number]],$B1,AMP1_2[[#All],[Date]],"&gt;"&amp;$A$1,AMP1_2[[#All],[Date]],"&lt;"&amp;$A$2),"")</f>
        <v>40.998880000000007</v>
      </c>
      <c r="H1" s="2">
        <f>IFERROR(AVERAGEIFS(AMP1_2[[#All],[Dim 2_1]],AMP1_2[[#All],[Blade Part Number]],$B1,AMP1_2[[#All],[Date]],"&gt;"&amp;$A$1,AMP1_2[[#All],[Date]],"&lt;"&amp;$A$2),"")</f>
        <v>155.98131999999998</v>
      </c>
      <c r="I1" s="2">
        <f>IFERROR(AVERAGEIFS(AMP1_2[[#All],[Dim 2_2]],AMP1_2[[#All],[Blade Part Number]],$B1,AMP1_2[[#All],[Date]],"&gt;"&amp;$A$1,AMP1_2[[#All],[Date]],"&lt;"&amp;$A$2),"")</f>
        <v>156.01262</v>
      </c>
      <c r="J1" s="2" t="str">
        <f>IFERROR(AVERAGEIFS(AMP1_2[[#All],[Dim 3_1]],AMP1_2[[#All],[Blade Part Number]],$B1,AMP1_2[[#All],[Date]],"&gt;"&amp;$A$1,AMP1_2[[#All],[Date]],"&lt;"&amp;$A$2),"")</f>
        <v/>
      </c>
      <c r="K1" s="2" t="str">
        <f>IFERROR(AVERAGEIFS(AMP1_2[[#All],[Dim 3_2]],AMP1_2[[#All],[Blade Part Number]],$B1,AMP1_2[[#All],[Date]],"&gt;"&amp;$A$1,AMP1_2[[#All],[Date]],"&lt;"&amp;$A$2),"")</f>
        <v/>
      </c>
      <c r="L1" s="2">
        <f>IFERROR(AVERAGEIFS(AMP1_2[[#All],[Dim 4_1]],AMP1_2[[#All],[Blade Part Number]],$B1,AMP1_2[[#All],[Date]],"&gt;"&amp;$A$1,AMP1_2[[#All],[Date]],"&lt;"&amp;$A$2),"")</f>
        <v>155.96178000000006</v>
      </c>
      <c r="M1" s="2">
        <f>IFERROR(AVERAGEIFS(AMP1_2[[#All],[Dim 4_2]],AMP1_2[[#All],[Blade Part Number]],$B1,AMP1_2[[#All],[Date]],"&gt;"&amp;$A$1,AMP1_2[[#All],[Date]],"&lt;"&amp;$A$2),"")</f>
        <v>155.72731999999999</v>
      </c>
      <c r="N1" s="2">
        <f>IFERROR(AVERAGEIFS(AMP1_2[[#All],[Dim 5_1]],AMP1_2[[#All],[Blade Part Number]],$B1,AMP1_2[[#All],[Date]],"&gt;"&amp;$A$1,AMP1_2[[#All],[Date]],"&lt;"&amp;$A$2),"")</f>
        <v>27.325060000000004</v>
      </c>
      <c r="O1" s="2">
        <f>IFERROR(AVERAGEIFS(AMP1_2[[#All],[Dim 5_2]],AMP1_2[[#All],[Blade Part Number]],$B1,AMP1_2[[#All],[Date]],"&gt;"&amp;$A$1,AMP1_2[[#All],[Date]],"&lt;"&amp;$A$2),"")</f>
        <v>27.510559999999991</v>
      </c>
      <c r="P1" s="2" t="str">
        <f>IFERROR(AVERAGEIFS(AMP1_2[[#All],[Dim 6]],AMP1_2[[#All],[Blade Part Number]],$B1,AMP1_2[[#All],[Date]],"&gt;"&amp;$A$1,AMP1_2[[#All],[Date]],"&lt;"&amp;$A$2),"")</f>
        <v/>
      </c>
      <c r="Q1" s="2" t="str">
        <f>IFERROR(AVERAGEIFS(AMP1_2[[#All],[Dim 7]],AMP1_2[[#All],[Blade Part Number]],$B1,AMP1_2[[#All],[Date]],"&gt;"&amp;$A$1,AMP1_2[[#All],[Date]],"&lt;"&amp;$A$2),"")</f>
        <v/>
      </c>
      <c r="R1" s="2">
        <f>IFERROR(AVERAGEIFS(AMP1_2[[#All],[Dim 9_1]],AMP1_2[[#All],[Blade Part Number]],$B1,AMP1_2[[#All],[Date]],"&gt;"&amp;$A$1,AMP1_2[[#All],[Date]],"&lt;"&amp;$A$2),"")</f>
        <v>17.57826</v>
      </c>
      <c r="S1" s="2">
        <f>IFERROR(AVERAGEIFS(AMP1_2[[#All],[Dim 9_2]],AMP1_2[[#All],[Blade Part Number]],$B1,AMP1_2[[#All],[Date]],"&gt;"&amp;$A$1,AMP1_2[[#All],[Date]],"&lt;"&amp;$A$2),"")</f>
        <v>17.463099999999994</v>
      </c>
      <c r="T1" s="2">
        <f>IFERROR(AVERAGEIFS(AMP1_2[[#All],[Dim 10_1]],AMP1_2[[#All],[Blade Part Number]],$B1,AMP1_2[[#All],[Date]],"&gt;"&amp;$A$1,AMP1_2[[#All],[Date]],"&lt;"&amp;$A$2),"")</f>
        <v>34.051659999999998</v>
      </c>
      <c r="U1" s="2">
        <f>IFERROR(AVERAGEIFS(AMP1_2[[#All],[Dim 10_2]],AMP1_2[[#All],[Blade Part Number]],$B1,AMP1_2[[#All],[Date]],"&gt;"&amp;$A$1,AMP1_2[[#All],[Date]],"&lt;"&amp;$A$2),"")</f>
        <v>34.350819999999999</v>
      </c>
      <c r="V1" s="2" t="str">
        <f>IFERROR(AVERAGEIFS(AMP1_2[[#All],[Dim 11]],AMP1_2[[#All],[Blade Part Number]],$B1,AMP1_2[[#All],[Date]],"&gt;"&amp;$A$1,AMP1_2[[#All],[Date]],"&lt;"&amp;$A$2),"")</f>
        <v/>
      </c>
      <c r="W1" s="2">
        <f>IFERROR(AVERAGEIFS(AMP1_2[[#All],[Dim 11 Max]],AMP1_2[[#All],[Blade Part Number]],$B1,AMP1_2[[#All],[Date]],"&gt;"&amp;$A$1,AMP1_2[[#All],[Date]],"&lt;"&amp;$A$2),"")</f>
        <v>-2.7300000000000008E-2</v>
      </c>
      <c r="X1" s="2">
        <f>IFERROR(AVERAGEIFS(AMP1_2[[#All],[Dim 11 Min]],AMP1_2[[#All],[Blade Part Number]],$B1,AMP1_2[[#All],[Date]],"&gt;"&amp;$A$1,AMP1_2[[#All],[Date]],"&lt;"&amp;$A$2),"")</f>
        <v>-0.42550000000000021</v>
      </c>
      <c r="Y1" s="2" t="str">
        <f>IFERROR(AVERAGEIFS(AMP1_2[[#All],[Dim 12]],AMP1_2[[#All],[Blade Part Number]],$B1,AMP1_2[[#All],[Date]],"&gt;"&amp;$A$1,AMP1_2[[#All],[Date]],"&lt;"&amp;$A$2),"")</f>
        <v/>
      </c>
      <c r="Z1" s="2">
        <f>IFERROR(AVERAGEIFS(AMP1_2[[#All],[Dim 12 Max]],AMP1_2[[#All],[Blade Part Number]],$B1,AMP1_2[[#All],[Date]],"&gt;"&amp;$A$1,AMP1_2[[#All],[Date]],"&lt;"&amp;$A$2),"")</f>
        <v>0.13309999999999997</v>
      </c>
      <c r="AA1" s="2">
        <f>IFERROR(AVERAGEIFS(AMP1_2[[#All],[Dim 12 Min]],AMP1_2[[#All],[Blade Part Number]],$B1,AMP1_2[[#All],[Date]],"&gt;"&amp;$A$1,AMP1_2[[#All],[Date]],"&lt;"&amp;$A$2),"")</f>
        <v>-0.37955999999999995</v>
      </c>
      <c r="AB1" s="2">
        <f>IFERROR(AVERAGEIFS(AMP1_2[[#All],[T 1]],AMP1_2[[#All],[Blade Part Number]],$B1,AMP1_2[[#All],[Date]],"&gt;"&amp;$A$1,AMP1_2[[#All],[Date]],"&lt;"&amp;$A$2),"")</f>
        <v>-0.35667999999999994</v>
      </c>
      <c r="AC1" s="2">
        <f>IFERROR(AVERAGEIFS(AMP1_2[[#All],[T 2]],AMP1_2[[#All],[Blade Part Number]],$B1,AMP1_2[[#All],[Date]],"&gt;"&amp;$A$1,AMP1_2[[#All],[Date]],"&lt;"&amp;$A$2),"")</f>
        <v>-0.42550000000000021</v>
      </c>
      <c r="AD1" s="2">
        <f>IFERROR(AVERAGEIFS(AMP1_2[[#All],[T 3]],AMP1_2[[#All],[Blade Part Number]],$B1,AMP1_2[[#All],[Date]],"&gt;"&amp;$A$1,AMP1_2[[#All],[Date]],"&lt;"&amp;$A$2),"")</f>
        <v>-0.20666000000000001</v>
      </c>
      <c r="AE1" s="2">
        <f>IFERROR(AVERAGEIFS(AMP1_2[[#All],[T 4]],AMP1_2[[#All],[Blade Part Number]],$B1,AMP1_2[[#All],[Date]],"&gt;"&amp;$A$1,AMP1_2[[#All],[Date]],"&lt;"&amp;$A$2),"")</f>
        <v>-2.8180000000000004E-2</v>
      </c>
      <c r="AF1" s="2">
        <f>IFERROR(AVERAGEIFS(AMP1_2[[#All],[T 5]],AMP1_2[[#All],[Blade Part Number]],$B1,AMP1_2[[#All],[Date]],"&gt;"&amp;$A$1,AMP1_2[[#All],[Date]],"&lt;"&amp;$A$2),"")</f>
        <v>-0.24987999999999999</v>
      </c>
      <c r="AG1" s="2">
        <f>IFERROR(AVERAGEIFS(AMP1_2[[#All],[T 6]],AMP1_2[[#All],[Blade Part Number]],$B1,AMP1_2[[#All],[Date]],"&gt;"&amp;$A$1,AMP1_2[[#All],[Date]],"&lt;"&amp;$A$2),"")</f>
        <v>-0.37955999999999995</v>
      </c>
      <c r="AH1" s="2">
        <f>IFERROR(AVERAGEIFS(AMP1_2[[#All],[T 7]],AMP1_2[[#All],[Blade Part Number]],$B1,AMP1_2[[#All],[Date]],"&gt;"&amp;$A$1,AMP1_2[[#All],[Date]],"&lt;"&amp;$A$2),"")</f>
        <v>-3.6999999999999991E-2</v>
      </c>
      <c r="AI1" s="2">
        <f>IFERROR(AVERAGEIFS(AMP1_2[[#All],[T 8]],AMP1_2[[#All],[Blade Part Number]],$B1,AMP1_2[[#All],[Date]],"&gt;"&amp;$A$1,AMP1_2[[#All],[Date]],"&lt;"&amp;$A$2),"")</f>
        <v>0.13309999999999997</v>
      </c>
    </row>
    <row r="2" spans="1:35" x14ac:dyDescent="0.25">
      <c r="A2" s="1">
        <f>'Offset Solver'!E31</f>
        <v>73050</v>
      </c>
      <c r="B2" s="12" t="s">
        <v>31</v>
      </c>
      <c r="C2" s="25">
        <f>MAX(AMP1_2[Date])</f>
        <v>43712.345312500001</v>
      </c>
      <c r="D2" s="310"/>
      <c r="E2" s="795"/>
      <c r="F2" s="2" t="str">
        <f>IFERROR(AVERAGEIFS(AMP1_2[[#All],[Dim 1_1]],AMP1_2[[#All],[Blade Part Number]],$B2,AMP1_2[[#All],[Date]],"&gt;"&amp;$A$1,AMP1_2[[#All],[Date]],"&lt;"&amp;$A$2),"")</f>
        <v/>
      </c>
      <c r="G2" s="2" t="str">
        <f>IFERROR(AVERAGEIFS(AMP1_2[[#All],[Dim 1_2]],AMP1_2[[#All],[Blade Part Number]],$B2,AMP1_2[[#All],[Date]],"&gt;"&amp;$A$1,AMP1_2[[#All],[Date]],"&lt;"&amp;$A$2),"")</f>
        <v/>
      </c>
      <c r="H2" s="2">
        <f>IFERROR(AVERAGEIFS(AMP1_2[[#All],[Dim 2_1]],AMP1_2[[#All],[Blade Part Number]],$B2,AMP1_2[[#All],[Date]],"&gt;"&amp;$A$1,AMP1_2[[#All],[Date]],"&lt;"&amp;$A$2),"")</f>
        <v>155.9497551020408</v>
      </c>
      <c r="I2" s="2">
        <f>IFERROR(AVERAGEIFS(AMP1_2[[#All],[Dim 2_2]],AMP1_2[[#All],[Blade Part Number]],$B2,AMP1_2[[#All],[Date]],"&gt;"&amp;$A$1,AMP1_2[[#All],[Date]],"&lt;"&amp;$A$2),"")</f>
        <v>155.97222448979588</v>
      </c>
      <c r="J2" s="2">
        <f>IFERROR(AVERAGEIFS(AMP1_2[[#All],[Dim 3_1]],AMP1_2[[#All],[Blade Part Number]],$B2,AMP1_2[[#All],[Date]],"&gt;"&amp;$A$1,AMP1_2[[#All],[Date]],"&lt;"&amp;$A$2),"")</f>
        <v>168.69744897959183</v>
      </c>
      <c r="K2" s="2">
        <f>IFERROR(AVERAGEIFS(AMP1_2[[#All],[Dim 3_2]],AMP1_2[[#All],[Blade Part Number]],$B2,AMP1_2[[#All],[Date]],"&gt;"&amp;$A$1,AMP1_2[[#All],[Date]],"&lt;"&amp;$A$2),"")</f>
        <v>168.62610204081633</v>
      </c>
      <c r="L2" s="2">
        <f>IFERROR(AVERAGEIFS(AMP1_2[[#All],[Dim 4_1]],AMP1_2[[#All],[Blade Part Number]],$B2,AMP1_2[[#All],[Date]],"&gt;"&amp;$A$1,AMP1_2[[#All],[Date]],"&lt;"&amp;$A$2),"")</f>
        <v>156.03906122448979</v>
      </c>
      <c r="M2" s="2">
        <f>IFERROR(AVERAGEIFS(AMP1_2[[#All],[Dim 4_2]],AMP1_2[[#All],[Blade Part Number]],$B2,AMP1_2[[#All],[Date]],"&gt;"&amp;$A$1,AMP1_2[[#All],[Date]],"&lt;"&amp;$A$2),"")</f>
        <v>155.75353061224493</v>
      </c>
      <c r="N2" s="2">
        <f>IFERROR(AVERAGEIFS(AMP1_2[[#All],[Dim 5_1]],AMP1_2[[#All],[Blade Part Number]],$B2,AMP1_2[[#All],[Date]],"&gt;"&amp;$A$1,AMP1_2[[#All],[Date]],"&lt;"&amp;$A$2),"")</f>
        <v>27.237897959183677</v>
      </c>
      <c r="O2" s="2">
        <f>IFERROR(AVERAGEIFS(AMP1_2[[#All],[Dim 5_2]],AMP1_2[[#All],[Blade Part Number]],$B2,AMP1_2[[#All],[Date]],"&gt;"&amp;$A$1,AMP1_2[[#All],[Date]],"&lt;"&amp;$A$2),"")</f>
        <v>27.339938775510202</v>
      </c>
      <c r="P2" s="2" t="str">
        <f>IFERROR(AVERAGEIFS(AMP1_2[[#All],[Dim 6]],AMP1_2[[#All],[Blade Part Number]],$B2,AMP1_2[[#All],[Date]],"&gt;"&amp;$A$1,AMP1_2[[#All],[Date]],"&lt;"&amp;$A$2),"")</f>
        <v/>
      </c>
      <c r="Q2" s="2" t="str">
        <f>IFERROR(AVERAGEIFS(AMP1_2[[#All],[Dim 7]],AMP1_2[[#All],[Blade Part Number]],$B2,AMP1_2[[#All],[Date]],"&gt;"&amp;$A$1,AMP1_2[[#All],[Date]],"&lt;"&amp;$A$2),"")</f>
        <v/>
      </c>
      <c r="R2" s="2">
        <f>IFERROR(AVERAGEIFS(AMP1_2[[#All],[Dim 9_1]],AMP1_2[[#All],[Blade Part Number]],$B2,AMP1_2[[#All],[Date]],"&gt;"&amp;$A$1,AMP1_2[[#All],[Date]],"&lt;"&amp;$A$2),"")</f>
        <v>17.171142857142858</v>
      </c>
      <c r="S2" s="2">
        <f>IFERROR(AVERAGEIFS(AMP1_2[[#All],[Dim 9_2]],AMP1_2[[#All],[Blade Part Number]],$B2,AMP1_2[[#All],[Date]],"&gt;"&amp;$A$1,AMP1_2[[#All],[Date]],"&lt;"&amp;$A$2),"")</f>
        <v>17.311591836734696</v>
      </c>
      <c r="T2" s="2">
        <f>IFERROR(AVERAGEIFS(AMP1_2[[#All],[Dim 10_1]],AMP1_2[[#All],[Blade Part Number]],$B2,AMP1_2[[#All],[Date]],"&gt;"&amp;$A$1,AMP1_2[[#All],[Date]],"&lt;"&amp;$A$2),"")</f>
        <v>36.497673469387756</v>
      </c>
      <c r="U2" s="2">
        <f>IFERROR(AVERAGEIFS(AMP1_2[[#All],[Dim 10_2]],AMP1_2[[#All],[Blade Part Number]],$B2,AMP1_2[[#All],[Date]],"&gt;"&amp;$A$1,AMP1_2[[#All],[Date]],"&lt;"&amp;$A$2),"")</f>
        <v>37.800367346938785</v>
      </c>
      <c r="V2" s="2" t="str">
        <f>IFERROR(AVERAGEIFS(AMP1_2[[#All],[Dim 11]],AMP1_2[[#All],[Blade Part Number]],$B2,AMP1_2[[#All],[Date]],"&gt;"&amp;$A$1,AMP1_2[[#All],[Date]],"&lt;"&amp;$A$2),"")</f>
        <v/>
      </c>
      <c r="W2" s="2">
        <f>IFERROR(AVERAGEIFS(AMP1_2[[#All],[Dim 11 Max]],AMP1_2[[#All],[Blade Part Number]],$B2,AMP1_2[[#All],[Date]],"&gt;"&amp;$A$1,AMP1_2[[#All],[Date]],"&lt;"&amp;$A$2),"")</f>
        <v>0.14546938775510204</v>
      </c>
      <c r="X2" s="2">
        <f>IFERROR(AVERAGEIFS(AMP1_2[[#All],[Dim 11 Min]],AMP1_2[[#All],[Blade Part Number]],$B2,AMP1_2[[#All],[Date]],"&gt;"&amp;$A$1,AMP1_2[[#All],[Date]],"&lt;"&amp;$A$2),"")</f>
        <v>-0.18148979591836739</v>
      </c>
      <c r="Y2" s="2" t="str">
        <f>IFERROR(AVERAGEIFS(AMP1_2[[#All],[Dim 12]],AMP1_2[[#All],[Blade Part Number]],$B2,AMP1_2[[#All],[Date]],"&gt;"&amp;$A$1,AMP1_2[[#All],[Date]],"&lt;"&amp;$A$2),"")</f>
        <v/>
      </c>
      <c r="Z2" s="2">
        <f>IFERROR(AVERAGEIFS(AMP1_2[[#All],[Dim 12 Max]],AMP1_2[[#All],[Blade Part Number]],$B2,AMP1_2[[#All],[Date]],"&gt;"&amp;$A$1,AMP1_2[[#All],[Date]],"&lt;"&amp;$A$2),"")</f>
        <v>2.7938775510204076E-2</v>
      </c>
      <c r="AA2" s="2">
        <f>IFERROR(AVERAGEIFS(AMP1_2[[#All],[Dim 12 Min]],AMP1_2[[#All],[Blade Part Number]],$B2,AMP1_2[[#All],[Date]],"&gt;"&amp;$A$1,AMP1_2[[#All],[Date]],"&lt;"&amp;$A$2),"")</f>
        <v>-0.15951020408163266</v>
      </c>
      <c r="AB2" s="2">
        <f>IFERROR(AVERAGEIFS(AMP1_2[[#All],[T 1]],AMP1_2[[#All],[Blade Part Number]],$B2,AMP1_2[[#All],[Date]],"&gt;"&amp;$A$1,AMP1_2[[#All],[Date]],"&lt;"&amp;$A$2),"")</f>
        <v>0.14461224489795918</v>
      </c>
      <c r="AC2" s="2">
        <f>IFERROR(AVERAGEIFS(AMP1_2[[#All],[T 2]],AMP1_2[[#All],[Blade Part Number]],$B2,AMP1_2[[#All],[Date]],"&gt;"&amp;$A$1,AMP1_2[[#All],[Date]],"&lt;"&amp;$A$2),"")</f>
        <v>-6.0285714285714283E-2</v>
      </c>
      <c r="AD2" s="2">
        <f>IFERROR(AVERAGEIFS(AMP1_2[[#All],[T 3]],AMP1_2[[#All],[Blade Part Number]],$B2,AMP1_2[[#All],[Date]],"&gt;"&amp;$A$1,AMP1_2[[#All],[Date]],"&lt;"&amp;$A$2),"")</f>
        <v>-0.14718367346938779</v>
      </c>
      <c r="AE2" s="2">
        <f>IFERROR(AVERAGEIFS(AMP1_2[[#All],[T 4]],AMP1_2[[#All],[Blade Part Number]],$B2,AMP1_2[[#All],[Date]],"&gt;"&amp;$A$1,AMP1_2[[#All],[Date]],"&lt;"&amp;$A$2),"")</f>
        <v>-0.11036734693877553</v>
      </c>
      <c r="AF2" s="2">
        <f>IFERROR(AVERAGEIFS(AMP1_2[[#All],[T 5]],AMP1_2[[#All],[Blade Part Number]],$B2,AMP1_2[[#All],[Date]],"&gt;"&amp;$A$1,AMP1_2[[#All],[Date]],"&lt;"&amp;$A$2),"")</f>
        <v>2.2000000000000002E-2</v>
      </c>
      <c r="AG2" s="2">
        <f>IFERROR(AVERAGEIFS(AMP1_2[[#All],[T 6]],AMP1_2[[#All],[Blade Part Number]],$B2,AMP1_2[[#All],[Date]],"&gt;"&amp;$A$1,AMP1_2[[#All],[Date]],"&lt;"&amp;$A$2),"")</f>
        <v>-2.7183673469387756E-2</v>
      </c>
      <c r="AH2" s="2">
        <f>IFERROR(AVERAGEIFS(AMP1_2[[#All],[T 7]],AMP1_2[[#All],[Blade Part Number]],$B2,AMP1_2[[#All],[Date]],"&gt;"&amp;$A$1,AMP1_2[[#All],[Date]],"&lt;"&amp;$A$2),"")</f>
        <v>-0.11334693877551019</v>
      </c>
      <c r="AI2" s="2">
        <f>IFERROR(AVERAGEIFS(AMP1_2[[#All],[T 8]],AMP1_2[[#All],[Blade Part Number]],$B2,AMP1_2[[#All],[Date]],"&gt;"&amp;$A$1,AMP1_2[[#All],[Date]],"&lt;"&amp;$A$2),"")</f>
        <v>-0.15177551020408162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-0.29590000000001027</v>
      </c>
      <c r="G6" s="11">
        <f t="shared" si="0"/>
        <v>-0.30111999999999028</v>
      </c>
      <c r="H6" s="11">
        <f t="shared" si="0"/>
        <v>0.18131999999997106</v>
      </c>
      <c r="I6" s="11">
        <f t="shared" si="0"/>
        <v>0.21261999999998693</v>
      </c>
      <c r="J6" s="11" t="str">
        <f t="shared" si="0"/>
        <v/>
      </c>
      <c r="K6" s="11" t="str">
        <f t="shared" si="0"/>
        <v/>
      </c>
      <c r="L6" s="11">
        <f t="shared" si="0"/>
        <v>0.16178000000004999</v>
      </c>
      <c r="M6" s="11">
        <f t="shared" si="0"/>
        <v>-7.2680000000019618E-2</v>
      </c>
      <c r="N6" s="11">
        <f t="shared" si="0"/>
        <v>-7.4939999999994455E-2</v>
      </c>
      <c r="O6" s="11">
        <f t="shared" si="0"/>
        <v>0.11055999999999244</v>
      </c>
      <c r="P6" s="11" t="str">
        <f t="shared" si="0"/>
        <v/>
      </c>
      <c r="Q6" s="11" t="str">
        <f t="shared" si="0"/>
        <v/>
      </c>
      <c r="R6" s="11">
        <f t="shared" si="0"/>
        <v>0.32826000000000022</v>
      </c>
      <c r="S6" s="11">
        <f t="shared" si="0"/>
        <v>0.21309999999999363</v>
      </c>
      <c r="T6" s="11">
        <f t="shared" si="0"/>
        <v>2.0516599999999983</v>
      </c>
      <c r="U6" s="11">
        <f t="shared" si="0"/>
        <v>2.3508199999999988</v>
      </c>
      <c r="V6" s="11" t="str">
        <f t="shared" si="0"/>
        <v/>
      </c>
      <c r="W6" s="11">
        <f t="shared" si="0"/>
        <v>-2.7300000000000008E-2</v>
      </c>
      <c r="X6" s="11">
        <f t="shared" si="0"/>
        <v>-0.42550000000000021</v>
      </c>
      <c r="Y6" s="11" t="str">
        <f t="shared" si="0"/>
        <v/>
      </c>
      <c r="Z6" s="11">
        <f t="shared" si="0"/>
        <v>0.13309999999999997</v>
      </c>
      <c r="AA6" s="11">
        <f t="shared" si="0"/>
        <v>-0.37955999999999995</v>
      </c>
      <c r="AB6" s="11">
        <f t="shared" si="0"/>
        <v>-0.35667999999999994</v>
      </c>
      <c r="AC6" s="11">
        <f t="shared" si="0"/>
        <v>-0.42550000000000021</v>
      </c>
      <c r="AD6" s="11">
        <f t="shared" si="0"/>
        <v>-0.20666000000000001</v>
      </c>
      <c r="AE6" s="11">
        <f t="shared" si="0"/>
        <v>-2.8180000000000004E-2</v>
      </c>
      <c r="AF6" s="11">
        <f t="shared" si="0"/>
        <v>-0.24987999999999999</v>
      </c>
      <c r="AG6" s="11">
        <f t="shared" si="0"/>
        <v>-0.37955999999999995</v>
      </c>
      <c r="AH6" s="11">
        <f t="shared" si="0"/>
        <v>-3.6999999999999991E-2</v>
      </c>
      <c r="AI6" s="11">
        <f t="shared" si="0"/>
        <v>0.13309999999999997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0.14975510204078546</v>
      </c>
      <c r="I7" s="11">
        <f t="shared" si="1"/>
        <v>0.17222448979586602</v>
      </c>
      <c r="J7" s="11">
        <f t="shared" si="1"/>
        <v>-2.5510204081626853E-3</v>
      </c>
      <c r="K7" s="11">
        <f t="shared" si="1"/>
        <v>-7.3897959183653938E-2</v>
      </c>
      <c r="L7" s="11">
        <f t="shared" si="1"/>
        <v>0.23906122448977385</v>
      </c>
      <c r="M7" s="11">
        <f t="shared" si="1"/>
        <v>-4.646938775508147E-2</v>
      </c>
      <c r="N7" s="11">
        <f t="shared" si="1"/>
        <v>-0.16210204081632185</v>
      </c>
      <c r="O7" s="11">
        <f t="shared" si="1"/>
        <v>-6.0061224489796672E-2</v>
      </c>
      <c r="P7" s="11" t="str">
        <f t="shared" si="1"/>
        <v/>
      </c>
      <c r="Q7" s="11" t="str">
        <f t="shared" si="1"/>
        <v/>
      </c>
      <c r="R7" s="11">
        <f t="shared" si="1"/>
        <v>-7.8857142857142293E-2</v>
      </c>
      <c r="S7" s="11">
        <f t="shared" si="1"/>
        <v>6.1591836734695704E-2</v>
      </c>
      <c r="T7" s="11">
        <f t="shared" si="1"/>
        <v>4.497673469387756</v>
      </c>
      <c r="U7" s="11">
        <f t="shared" si="1"/>
        <v>5.8003673469387849</v>
      </c>
      <c r="V7" s="11" t="str">
        <f t="shared" si="1"/>
        <v/>
      </c>
      <c r="W7" s="11">
        <f t="shared" si="1"/>
        <v>0.14546938775510204</v>
      </c>
      <c r="X7" s="11">
        <f t="shared" si="1"/>
        <v>-0.18148979591836739</v>
      </c>
      <c r="Y7" s="11" t="str">
        <f t="shared" si="1"/>
        <v/>
      </c>
      <c r="Z7" s="11">
        <f t="shared" si="1"/>
        <v>2.7938775510204076E-2</v>
      </c>
      <c r="AA7" s="11">
        <f t="shared" si="1"/>
        <v>-0.15951020408163266</v>
      </c>
      <c r="AB7" s="11">
        <f t="shared" si="1"/>
        <v>0.14461224489795918</v>
      </c>
      <c r="AC7" s="11">
        <f t="shared" si="1"/>
        <v>-6.0285714285714283E-2</v>
      </c>
      <c r="AD7" s="11">
        <f t="shared" si="1"/>
        <v>-0.14718367346938779</v>
      </c>
      <c r="AE7" s="11">
        <f t="shared" si="1"/>
        <v>-0.11036734693877553</v>
      </c>
      <c r="AF7" s="11">
        <f t="shared" si="1"/>
        <v>2.2000000000000002E-2</v>
      </c>
      <c r="AG7" s="11">
        <f t="shared" si="1"/>
        <v>-2.7183673469387756E-2</v>
      </c>
      <c r="AH7" s="11">
        <f>IFERROR(AH2-AH3,"")</f>
        <v>-0.11334693877551019</v>
      </c>
      <c r="AI7" s="11">
        <f t="shared" si="1"/>
        <v>-0.15177551020408162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1147</v>
      </c>
      <c r="B9" t="s">
        <v>32</v>
      </c>
      <c r="C9" s="25">
        <v>43699.776944444442</v>
      </c>
      <c r="D9" s="741" t="s">
        <v>969</v>
      </c>
      <c r="E9" s="741">
        <f t="array" ref="E9">SUMPRODUCT(IF(AMP1_2[[#This Row],[Dim 1_1]:[T 8]]-$F$4:$AI$4&lt;0,1,0)+IF($F$5:$AI$5-AMP1_2[[#This Row],[Dim 1_1]:[T 8]]&lt;0,1,0),IF(ISNUMBER(AMP1_2[[#This Row],[Dim 1_1]:[T 8]])=TRUE,1,0))</f>
        <v>0</v>
      </c>
      <c r="F9">
        <v>41.146000000000001</v>
      </c>
      <c r="G9">
        <v>41.136000000000003</v>
      </c>
      <c r="H9">
        <v>155.87799999999999</v>
      </c>
      <c r="I9">
        <v>155.90600000000001</v>
      </c>
      <c r="L9">
        <v>155.79400000000001</v>
      </c>
      <c r="M9">
        <v>155.62100000000001</v>
      </c>
      <c r="N9">
        <v>27.462</v>
      </c>
      <c r="O9">
        <v>27.643000000000001</v>
      </c>
      <c r="R9">
        <v>17.524000000000001</v>
      </c>
      <c r="S9">
        <v>17.469000000000001</v>
      </c>
      <c r="T9">
        <v>34.216000000000001</v>
      </c>
      <c r="U9">
        <v>34.448</v>
      </c>
      <c r="W9">
        <v>-2.5999999999999999E-2</v>
      </c>
      <c r="X9">
        <v>-0.29399999999999998</v>
      </c>
      <c r="Z9">
        <v>0.14799999999999999</v>
      </c>
      <c r="AA9">
        <v>-0.22700000000000001</v>
      </c>
      <c r="AB9">
        <v>-0.22900000000000001</v>
      </c>
      <c r="AC9">
        <v>-0.29399999999999998</v>
      </c>
      <c r="AD9">
        <v>-0.22700000000000001</v>
      </c>
      <c r="AE9">
        <v>-2.5999999999999999E-2</v>
      </c>
      <c r="AF9">
        <v>-0.108</v>
      </c>
      <c r="AG9">
        <v>-0.22700000000000001</v>
      </c>
      <c r="AH9">
        <v>0</v>
      </c>
      <c r="AI9">
        <v>0.14799999999999999</v>
      </c>
    </row>
    <row r="10" spans="1:35" x14ac:dyDescent="0.25">
      <c r="A10" t="s">
        <v>1148</v>
      </c>
      <c r="B10" t="s">
        <v>31</v>
      </c>
      <c r="C10" s="25">
        <v>43699.779421296298</v>
      </c>
      <c r="D10" s="741" t="s">
        <v>969</v>
      </c>
      <c r="E10" s="741">
        <f t="array" ref="E10">SUMPRODUCT(IF(AMP1_2[[#This Row],[Dim 1_1]:[T 8]]-$F$4:$AI$4&lt;0,1,0)+IF($F$5:$AI$5-AMP1_2[[#This Row],[Dim 1_1]:[T 8]]&lt;0,1,0),IF(ISNUMBER(AMP1_2[[#This Row],[Dim 1_1]:[T 8]])=TRUE,1,0))</f>
        <v>0</v>
      </c>
      <c r="H10">
        <v>155.78700000000001</v>
      </c>
      <c r="I10">
        <v>155.88300000000001</v>
      </c>
      <c r="J10">
        <v>168.74299999999999</v>
      </c>
      <c r="K10">
        <v>168.72499999999999</v>
      </c>
      <c r="L10">
        <v>155.90799999999999</v>
      </c>
      <c r="M10">
        <v>155.69900000000001</v>
      </c>
      <c r="N10">
        <v>27.318000000000001</v>
      </c>
      <c r="O10">
        <v>27.321999999999999</v>
      </c>
      <c r="R10">
        <v>17.187999999999999</v>
      </c>
      <c r="S10">
        <v>17.358000000000001</v>
      </c>
      <c r="T10">
        <v>36.808</v>
      </c>
      <c r="U10">
        <v>38.572000000000003</v>
      </c>
      <c r="W10">
        <v>0.27400000000000002</v>
      </c>
      <c r="X10">
        <v>-8.5000000000000006E-2</v>
      </c>
      <c r="Z10">
        <v>0.14599999999999999</v>
      </c>
      <c r="AA10">
        <v>-9.6000000000000002E-2</v>
      </c>
      <c r="AB10">
        <v>0.27400000000000002</v>
      </c>
      <c r="AC10">
        <v>5.8000000000000003E-2</v>
      </c>
      <c r="AD10">
        <v>-8.5000000000000006E-2</v>
      </c>
      <c r="AE10">
        <v>0.125</v>
      </c>
      <c r="AF10">
        <v>0.14599999999999999</v>
      </c>
      <c r="AG10">
        <v>9.2999999999999999E-2</v>
      </c>
      <c r="AH10">
        <v>-5.8000000000000003E-2</v>
      </c>
      <c r="AI10">
        <v>-9.6000000000000002E-2</v>
      </c>
    </row>
    <row r="11" spans="1:35" x14ac:dyDescent="0.25">
      <c r="A11" t="s">
        <v>1149</v>
      </c>
      <c r="B11" t="s">
        <v>32</v>
      </c>
      <c r="C11" s="25">
        <v>43699.88958333333</v>
      </c>
      <c r="D11" s="741" t="s">
        <v>969</v>
      </c>
      <c r="E11" s="741">
        <f t="array" ref="E11">SUMPRODUCT(IF(AMP1_2[[#This Row],[Dim 1_1]:[T 8]]-$F$4:$AI$4&lt;0,1,0)+IF($F$5:$AI$5-AMP1_2[[#This Row],[Dim 1_1]:[T 8]]&lt;0,1,0),IF(ISNUMBER(AMP1_2[[#This Row],[Dim 1_1]:[T 8]])=TRUE,1,0))</f>
        <v>0</v>
      </c>
      <c r="F11">
        <v>40.898000000000003</v>
      </c>
      <c r="G11">
        <v>41.046999999999997</v>
      </c>
      <c r="H11">
        <v>155.965</v>
      </c>
      <c r="I11">
        <v>155.91800000000001</v>
      </c>
      <c r="L11">
        <v>155.94900000000001</v>
      </c>
      <c r="M11">
        <v>155.61699999999999</v>
      </c>
      <c r="N11">
        <v>27.315999999999999</v>
      </c>
      <c r="O11">
        <v>27.606000000000002</v>
      </c>
      <c r="R11">
        <v>17.608000000000001</v>
      </c>
      <c r="S11">
        <v>17.707999999999998</v>
      </c>
      <c r="T11">
        <v>33.896999999999998</v>
      </c>
      <c r="U11">
        <v>34.472000000000001</v>
      </c>
      <c r="W11">
        <v>-0.14000000000000001</v>
      </c>
      <c r="X11">
        <v>-0.43</v>
      </c>
      <c r="Z11">
        <v>0.20799999999999999</v>
      </c>
      <c r="AA11">
        <v>-0.38200000000000001</v>
      </c>
      <c r="AB11">
        <v>-0.38100000000000001</v>
      </c>
      <c r="AC11">
        <v>-0.43</v>
      </c>
      <c r="AD11">
        <v>-0.14099999999999999</v>
      </c>
      <c r="AE11">
        <v>-0.14000000000000001</v>
      </c>
      <c r="AF11">
        <v>-0.28699999999999998</v>
      </c>
      <c r="AG11">
        <v>-0.38200000000000001</v>
      </c>
      <c r="AH11">
        <v>-4.0000000000000001E-3</v>
      </c>
      <c r="AI11">
        <v>0.20799999999999999</v>
      </c>
    </row>
    <row r="12" spans="1:35" x14ac:dyDescent="0.25">
      <c r="A12" t="s">
        <v>1150</v>
      </c>
      <c r="B12" t="s">
        <v>31</v>
      </c>
      <c r="C12" s="25">
        <v>43699.891643518517</v>
      </c>
      <c r="D12" s="741" t="s">
        <v>969</v>
      </c>
      <c r="E12" s="741">
        <f t="array" ref="E12">SUMPRODUCT(IF(AMP1_2[[#This Row],[Dim 1_1]:[T 8]]-$F$4:$AI$4&lt;0,1,0)+IF($F$5:$AI$5-AMP1_2[[#This Row],[Dim 1_1]:[T 8]]&lt;0,1,0),IF(ISNUMBER(AMP1_2[[#This Row],[Dim 1_1]:[T 8]])=TRUE,1,0))</f>
        <v>0</v>
      </c>
      <c r="H12">
        <v>156.084</v>
      </c>
      <c r="I12">
        <v>156.11699999999999</v>
      </c>
      <c r="J12">
        <v>168.75299999999999</v>
      </c>
      <c r="K12">
        <v>168.71600000000001</v>
      </c>
      <c r="L12">
        <v>156.197</v>
      </c>
      <c r="M12">
        <v>155.93</v>
      </c>
      <c r="N12">
        <v>27.068999999999999</v>
      </c>
      <c r="O12">
        <v>27.123000000000001</v>
      </c>
      <c r="R12">
        <v>17.21</v>
      </c>
      <c r="S12">
        <v>17.251999999999999</v>
      </c>
      <c r="T12">
        <v>34.598999999999997</v>
      </c>
      <c r="U12">
        <v>35.762</v>
      </c>
      <c r="W12">
        <v>0.12</v>
      </c>
      <c r="X12">
        <v>-0.14299999999999999</v>
      </c>
      <c r="Z12">
        <v>0.10100000000000001</v>
      </c>
      <c r="AA12">
        <v>3.9E-2</v>
      </c>
      <c r="AB12">
        <v>0.12</v>
      </c>
      <c r="AC12">
        <v>-9.5000000000000001E-2</v>
      </c>
      <c r="AD12">
        <v>7.0000000000000001E-3</v>
      </c>
      <c r="AE12">
        <v>-0.14299999999999999</v>
      </c>
      <c r="AF12">
        <v>0.10100000000000001</v>
      </c>
      <c r="AG12">
        <v>3.9E-2</v>
      </c>
      <c r="AH12">
        <v>8.1000000000000003E-2</v>
      </c>
      <c r="AI12">
        <v>4.2000000000000003E-2</v>
      </c>
    </row>
    <row r="13" spans="1:35" x14ac:dyDescent="0.25">
      <c r="A13" t="s">
        <v>1151</v>
      </c>
      <c r="B13" t="s">
        <v>32</v>
      </c>
      <c r="C13" s="25">
        <v>43700.001296296294</v>
      </c>
      <c r="D13" s="741" t="s">
        <v>969</v>
      </c>
      <c r="E13" s="741">
        <f t="array" ref="E13">SUMPRODUCT(IF(AMP1_2[[#This Row],[Dim 1_1]:[T 8]]-$F$4:$AI$4&lt;0,1,0)+IF($F$5:$AI$5-AMP1_2[[#This Row],[Dim 1_1]:[T 8]]&lt;0,1,0),IF(ISNUMBER(AMP1_2[[#This Row],[Dim 1_1]:[T 8]])=TRUE,1,0))</f>
        <v>0</v>
      </c>
      <c r="F13">
        <v>40.997999999999998</v>
      </c>
      <c r="G13">
        <v>41.174999999999997</v>
      </c>
      <c r="H13">
        <v>155.94300000000001</v>
      </c>
      <c r="I13">
        <v>155.93100000000001</v>
      </c>
      <c r="L13">
        <v>155.929</v>
      </c>
      <c r="M13">
        <v>155.63200000000001</v>
      </c>
      <c r="N13">
        <v>27.398</v>
      </c>
      <c r="O13">
        <v>27.611999999999998</v>
      </c>
      <c r="R13">
        <v>17.597000000000001</v>
      </c>
      <c r="S13">
        <v>17.428999999999998</v>
      </c>
      <c r="T13">
        <v>34.22</v>
      </c>
      <c r="U13">
        <v>34.395000000000003</v>
      </c>
      <c r="W13">
        <v>3.0000000000000001E-3</v>
      </c>
      <c r="X13">
        <v>-0.443</v>
      </c>
      <c r="Z13">
        <v>0.21199999999999999</v>
      </c>
      <c r="AA13">
        <v>-0.38500000000000001</v>
      </c>
      <c r="AB13">
        <v>-0.34</v>
      </c>
      <c r="AC13">
        <v>-0.443</v>
      </c>
      <c r="AD13">
        <v>-0.124</v>
      </c>
      <c r="AE13">
        <v>3.0000000000000001E-3</v>
      </c>
      <c r="AF13">
        <v>-0.25600000000000001</v>
      </c>
      <c r="AG13">
        <v>-0.38500000000000001</v>
      </c>
      <c r="AH13">
        <v>3.5999999999999997E-2</v>
      </c>
      <c r="AI13">
        <v>0.21199999999999999</v>
      </c>
    </row>
    <row r="14" spans="1:35" x14ac:dyDescent="0.25">
      <c r="A14" t="s">
        <v>1152</v>
      </c>
      <c r="B14" t="s">
        <v>31</v>
      </c>
      <c r="C14" s="25">
        <v>43700.003333333334</v>
      </c>
      <c r="D14" s="741" t="s">
        <v>969</v>
      </c>
      <c r="E14" s="741">
        <f t="array" ref="E14">SUMPRODUCT(IF(AMP1_2[[#This Row],[Dim 1_1]:[T 8]]-$F$4:$AI$4&lt;0,1,0)+IF($F$5:$AI$5-AMP1_2[[#This Row],[Dim 1_1]:[T 8]]&lt;0,1,0),IF(ISNUMBER(AMP1_2[[#This Row],[Dim 1_1]:[T 8]])=TRUE,1,0))</f>
        <v>0</v>
      </c>
      <c r="H14">
        <v>155.929</v>
      </c>
      <c r="I14">
        <v>155.95699999999999</v>
      </c>
      <c r="J14">
        <v>168.614</v>
      </c>
      <c r="K14">
        <v>168.66200000000001</v>
      </c>
      <c r="L14">
        <v>156.02500000000001</v>
      </c>
      <c r="M14">
        <v>155.77099999999999</v>
      </c>
      <c r="N14">
        <v>27.228999999999999</v>
      </c>
      <c r="O14">
        <v>27.286000000000001</v>
      </c>
      <c r="R14">
        <v>17.204000000000001</v>
      </c>
      <c r="S14">
        <v>17.361999999999998</v>
      </c>
      <c r="T14">
        <v>35.17</v>
      </c>
      <c r="U14">
        <v>37.615000000000002</v>
      </c>
      <c r="W14">
        <v>0.186</v>
      </c>
      <c r="X14">
        <v>-0.108</v>
      </c>
      <c r="Z14">
        <v>8.5000000000000006E-2</v>
      </c>
      <c r="AA14">
        <v>-9.2999999999999999E-2</v>
      </c>
      <c r="AB14">
        <v>0.186</v>
      </c>
      <c r="AC14">
        <v>-2.8000000000000001E-2</v>
      </c>
      <c r="AD14">
        <v>-0.108</v>
      </c>
      <c r="AE14">
        <v>-9.8000000000000004E-2</v>
      </c>
      <c r="AF14">
        <v>8.5000000000000006E-2</v>
      </c>
      <c r="AG14">
        <v>4.5999999999999999E-2</v>
      </c>
      <c r="AH14">
        <v>-5.5E-2</v>
      </c>
      <c r="AI14">
        <v>-9.2999999999999999E-2</v>
      </c>
    </row>
    <row r="15" spans="1:35" x14ac:dyDescent="0.25">
      <c r="A15" t="s">
        <v>1153</v>
      </c>
      <c r="B15" t="s">
        <v>32</v>
      </c>
      <c r="C15" s="25">
        <v>43700.038923611108</v>
      </c>
      <c r="D15" s="741" t="s">
        <v>969</v>
      </c>
      <c r="E15" s="741">
        <f t="array" ref="E15">SUMPRODUCT(IF(AMP1_2[[#This Row],[Dim 1_1]:[T 8]]-$F$4:$AI$4&lt;0,1,0)+IF($F$5:$AI$5-AMP1_2[[#This Row],[Dim 1_1]:[T 8]]&lt;0,1,0),IF(ISNUMBER(AMP1_2[[#This Row],[Dim 1_1]:[T 8]])=TRUE,1,0))</f>
        <v>0</v>
      </c>
      <c r="F15">
        <v>41.006</v>
      </c>
      <c r="G15">
        <v>41.087000000000003</v>
      </c>
      <c r="H15">
        <v>155.93199999999999</v>
      </c>
      <c r="I15">
        <v>155.93799999999999</v>
      </c>
      <c r="L15">
        <v>155.93600000000001</v>
      </c>
      <c r="M15">
        <v>155.661</v>
      </c>
      <c r="N15">
        <v>27.379000000000001</v>
      </c>
      <c r="O15">
        <v>27.577999999999999</v>
      </c>
      <c r="R15">
        <v>17.556000000000001</v>
      </c>
      <c r="S15">
        <v>17.582999999999998</v>
      </c>
      <c r="T15">
        <v>34.177999999999997</v>
      </c>
      <c r="U15">
        <v>34.390999999999998</v>
      </c>
      <c r="W15">
        <v>-1.9E-2</v>
      </c>
      <c r="X15">
        <v>-0.36699999999999999</v>
      </c>
      <c r="Z15">
        <v>0.20100000000000001</v>
      </c>
      <c r="AA15">
        <v>-0.26700000000000002</v>
      </c>
      <c r="AB15">
        <v>-0.3</v>
      </c>
      <c r="AC15">
        <v>-0.36699999999999999</v>
      </c>
      <c r="AD15">
        <v>-0.192</v>
      </c>
      <c r="AE15">
        <v>-1.9E-2</v>
      </c>
      <c r="AF15">
        <v>-0.17</v>
      </c>
      <c r="AG15">
        <v>-0.26700000000000002</v>
      </c>
      <c r="AH15">
        <v>-0.03</v>
      </c>
      <c r="AI15">
        <v>0.20100000000000001</v>
      </c>
    </row>
    <row r="16" spans="1:35" x14ac:dyDescent="0.25">
      <c r="A16" t="s">
        <v>1154</v>
      </c>
      <c r="B16" t="s">
        <v>31</v>
      </c>
      <c r="C16" s="25">
        <v>43700.040983796294</v>
      </c>
      <c r="D16" s="741" t="s">
        <v>969</v>
      </c>
      <c r="E16" s="741">
        <f t="array" ref="E16">SUMPRODUCT(IF(AMP1_2[[#This Row],[Dim 1_1]:[T 8]]-$F$4:$AI$4&lt;0,1,0)+IF($F$5:$AI$5-AMP1_2[[#This Row],[Dim 1_1]:[T 8]]&lt;0,1,0),IF(ISNUMBER(AMP1_2[[#This Row],[Dim 1_1]:[T 8]])=TRUE,1,0))</f>
        <v>0</v>
      </c>
      <c r="H16">
        <v>155.85900000000001</v>
      </c>
      <c r="I16">
        <v>155.922</v>
      </c>
      <c r="J16">
        <v>168.65299999999999</v>
      </c>
      <c r="K16">
        <v>168.72300000000001</v>
      </c>
      <c r="L16">
        <v>155.95599999999999</v>
      </c>
      <c r="M16">
        <v>155.70500000000001</v>
      </c>
      <c r="N16">
        <v>27.335999999999999</v>
      </c>
      <c r="O16">
        <v>27.373999999999999</v>
      </c>
      <c r="R16">
        <v>17.209</v>
      </c>
      <c r="S16">
        <v>17.363</v>
      </c>
      <c r="T16">
        <v>37.289000000000001</v>
      </c>
      <c r="U16">
        <v>38.078000000000003</v>
      </c>
      <c r="W16">
        <v>0.25</v>
      </c>
      <c r="X16">
        <v>-1.4E-2</v>
      </c>
      <c r="Z16">
        <v>9.7000000000000003E-2</v>
      </c>
      <c r="AA16">
        <v>-9.8000000000000004E-2</v>
      </c>
      <c r="AB16">
        <v>0.25</v>
      </c>
      <c r="AC16">
        <v>6.2E-2</v>
      </c>
      <c r="AD16">
        <v>-1.4E-2</v>
      </c>
      <c r="AE16">
        <v>7.1999999999999995E-2</v>
      </c>
      <c r="AF16">
        <v>9.7000000000000003E-2</v>
      </c>
      <c r="AG16">
        <v>0.03</v>
      </c>
      <c r="AH16">
        <v>-4.9000000000000002E-2</v>
      </c>
      <c r="AI16">
        <v>-9.8000000000000004E-2</v>
      </c>
    </row>
    <row r="17" spans="1:35" x14ac:dyDescent="0.25">
      <c r="A17" t="s">
        <v>1155</v>
      </c>
      <c r="B17" t="s">
        <v>32</v>
      </c>
      <c r="C17" s="25">
        <v>43700.346747685187</v>
      </c>
      <c r="D17" s="741" t="s">
        <v>969</v>
      </c>
      <c r="E17" s="741">
        <f t="array" ref="E17">SUMPRODUCT(IF(AMP1_2[[#This Row],[Dim 1_1]:[T 8]]-$F$4:$AI$4&lt;0,1,0)+IF($F$5:$AI$5-AMP1_2[[#This Row],[Dim 1_1]:[T 8]]&lt;0,1,0),IF(ISNUMBER(AMP1_2[[#This Row],[Dim 1_1]:[T 8]])=TRUE,1,0))</f>
        <v>0</v>
      </c>
      <c r="F17">
        <v>40.997</v>
      </c>
      <c r="G17">
        <v>40.863</v>
      </c>
      <c r="H17">
        <v>155.995</v>
      </c>
      <c r="I17">
        <v>155.959</v>
      </c>
      <c r="L17">
        <v>155.92099999999999</v>
      </c>
      <c r="M17">
        <v>155.66499999999999</v>
      </c>
      <c r="N17">
        <v>27.376000000000001</v>
      </c>
      <c r="O17">
        <v>27.571999999999999</v>
      </c>
      <c r="R17">
        <v>17.588000000000001</v>
      </c>
      <c r="S17">
        <v>17.504999999999999</v>
      </c>
      <c r="T17">
        <v>33.985999999999997</v>
      </c>
      <c r="U17">
        <v>34.531999999999996</v>
      </c>
      <c r="W17">
        <v>8.9999999999999993E-3</v>
      </c>
      <c r="X17">
        <v>-0.38700000000000001</v>
      </c>
      <c r="Z17">
        <v>0.215</v>
      </c>
      <c r="AA17">
        <v>-0.29099999999999998</v>
      </c>
      <c r="AB17">
        <v>-0.314</v>
      </c>
      <c r="AC17">
        <v>-0.38700000000000001</v>
      </c>
      <c r="AD17">
        <v>-0.17199999999999999</v>
      </c>
      <c r="AE17">
        <v>8.9999999999999993E-3</v>
      </c>
      <c r="AF17">
        <v>-0.18099999999999999</v>
      </c>
      <c r="AG17">
        <v>-0.29099999999999998</v>
      </c>
      <c r="AH17">
        <v>-1.0999999999999999E-2</v>
      </c>
      <c r="AI17">
        <v>0.215</v>
      </c>
    </row>
    <row r="18" spans="1:35" x14ac:dyDescent="0.25">
      <c r="A18" t="s">
        <v>1156</v>
      </c>
      <c r="B18" t="s">
        <v>31</v>
      </c>
      <c r="C18" s="25">
        <v>43700.349085648151</v>
      </c>
      <c r="D18" s="741" t="s">
        <v>969</v>
      </c>
      <c r="E18" s="741">
        <f t="array" ref="E18">SUMPRODUCT(IF(AMP1_2[[#This Row],[Dim 1_1]:[T 8]]-$F$4:$AI$4&lt;0,1,0)+IF($F$5:$AI$5-AMP1_2[[#This Row],[Dim 1_1]:[T 8]]&lt;0,1,0),IF(ISNUMBER(AMP1_2[[#This Row],[Dim 1_1]:[T 8]])=TRUE,1,0))</f>
        <v>0</v>
      </c>
      <c r="H18">
        <v>155.91399999999999</v>
      </c>
      <c r="I18">
        <v>155.95500000000001</v>
      </c>
      <c r="J18">
        <v>168.63399999999999</v>
      </c>
      <c r="K18">
        <v>168.77500000000001</v>
      </c>
      <c r="L18">
        <v>155.994</v>
      </c>
      <c r="M18">
        <v>155.768</v>
      </c>
      <c r="N18">
        <v>27.28</v>
      </c>
      <c r="O18">
        <v>27.338999999999999</v>
      </c>
      <c r="R18">
        <v>17.181000000000001</v>
      </c>
      <c r="S18">
        <v>17.385000000000002</v>
      </c>
      <c r="T18">
        <v>37.228000000000002</v>
      </c>
      <c r="U18">
        <v>38.720999999999997</v>
      </c>
      <c r="W18">
        <v>0.20300000000000001</v>
      </c>
      <c r="X18">
        <v>-8.5999999999999993E-2</v>
      </c>
      <c r="Z18">
        <v>7.1999999999999995E-2</v>
      </c>
      <c r="AA18">
        <v>-0.13400000000000001</v>
      </c>
      <c r="AB18">
        <v>0.20300000000000001</v>
      </c>
      <c r="AC18">
        <v>-4.7E-2</v>
      </c>
      <c r="AD18">
        <v>-8.5999999999999993E-2</v>
      </c>
      <c r="AE18">
        <v>4.9000000000000002E-2</v>
      </c>
      <c r="AF18">
        <v>7.1999999999999995E-2</v>
      </c>
      <c r="AG18">
        <v>1.2999999999999999E-2</v>
      </c>
      <c r="AH18">
        <v>-0.11</v>
      </c>
      <c r="AI18">
        <v>-0.13400000000000001</v>
      </c>
    </row>
    <row r="19" spans="1:35" x14ac:dyDescent="0.25">
      <c r="A19" t="s">
        <v>1157</v>
      </c>
      <c r="B19" t="s">
        <v>32</v>
      </c>
      <c r="C19" s="25">
        <v>43700.506608796299</v>
      </c>
      <c r="D19" s="741" t="s">
        <v>969</v>
      </c>
      <c r="E19" s="741">
        <f t="array" ref="E19">SUMPRODUCT(IF(AMP1_2[[#This Row],[Dim 1_1]:[T 8]]-$F$4:$AI$4&lt;0,1,0)+IF($F$5:$AI$5-AMP1_2[[#This Row],[Dim 1_1]:[T 8]]&lt;0,1,0),IF(ISNUMBER(AMP1_2[[#This Row],[Dim 1_1]:[T 8]])=TRUE,1,0))</f>
        <v>0</v>
      </c>
      <c r="F19">
        <v>41.01</v>
      </c>
      <c r="G19">
        <v>41.267000000000003</v>
      </c>
      <c r="H19">
        <v>156.01300000000001</v>
      </c>
      <c r="I19">
        <v>156.00200000000001</v>
      </c>
      <c r="L19">
        <v>155.983</v>
      </c>
      <c r="M19">
        <v>155.727</v>
      </c>
      <c r="N19">
        <v>27.262</v>
      </c>
      <c r="O19">
        <v>27.527000000000001</v>
      </c>
      <c r="R19">
        <v>17.558</v>
      </c>
      <c r="S19">
        <v>17.321000000000002</v>
      </c>
      <c r="T19">
        <v>34.109000000000002</v>
      </c>
      <c r="U19">
        <v>34.482999999999997</v>
      </c>
      <c r="W19">
        <v>-4.2000000000000003E-2</v>
      </c>
      <c r="X19">
        <v>-0.44400000000000001</v>
      </c>
      <c r="Z19">
        <v>0.26500000000000001</v>
      </c>
      <c r="AA19">
        <v>-0.315</v>
      </c>
      <c r="AB19">
        <v>-0.41899999999999998</v>
      </c>
      <c r="AC19">
        <v>-0.44400000000000001</v>
      </c>
      <c r="AD19">
        <v>-0.17499999999999999</v>
      </c>
      <c r="AE19">
        <v>-4.2000000000000003E-2</v>
      </c>
      <c r="AF19">
        <v>-0.193</v>
      </c>
      <c r="AG19">
        <v>-0.315</v>
      </c>
      <c r="AH19">
        <v>0.05</v>
      </c>
      <c r="AI19">
        <v>0.26500000000000001</v>
      </c>
    </row>
    <row r="20" spans="1:35" x14ac:dyDescent="0.25">
      <c r="A20" t="s">
        <v>1158</v>
      </c>
      <c r="B20" t="s">
        <v>31</v>
      </c>
      <c r="C20" s="25">
        <v>43700.508831018517</v>
      </c>
      <c r="D20" s="741" t="s">
        <v>969</v>
      </c>
      <c r="E20" s="741">
        <f t="array" ref="E20">SUMPRODUCT(IF(AMP1_2[[#This Row],[Dim 1_1]:[T 8]]-$F$4:$AI$4&lt;0,1,0)+IF($F$5:$AI$5-AMP1_2[[#This Row],[Dim 1_1]:[T 8]]&lt;0,1,0),IF(ISNUMBER(AMP1_2[[#This Row],[Dim 1_1]:[T 8]])=TRUE,1,0))</f>
        <v>0</v>
      </c>
      <c r="H20">
        <v>155.917</v>
      </c>
      <c r="I20">
        <v>155.941</v>
      </c>
      <c r="J20">
        <v>168.72800000000001</v>
      </c>
      <c r="K20">
        <v>168.68</v>
      </c>
      <c r="L20">
        <v>156.01400000000001</v>
      </c>
      <c r="M20">
        <v>155.78200000000001</v>
      </c>
      <c r="N20">
        <v>27.273</v>
      </c>
      <c r="O20">
        <v>27.355</v>
      </c>
      <c r="R20">
        <v>17.198</v>
      </c>
      <c r="S20">
        <v>17.315999999999999</v>
      </c>
      <c r="T20">
        <v>37.594000000000001</v>
      </c>
      <c r="U20">
        <v>39.029000000000003</v>
      </c>
      <c r="W20">
        <v>0.246</v>
      </c>
      <c r="X20">
        <v>-0.03</v>
      </c>
      <c r="Z20">
        <v>0.11700000000000001</v>
      </c>
      <c r="AA20">
        <v>-5.0000000000000001E-3</v>
      </c>
      <c r="AB20">
        <v>0.246</v>
      </c>
      <c r="AC20">
        <v>3.3000000000000002E-2</v>
      </c>
      <c r="AD20">
        <v>2.3E-2</v>
      </c>
      <c r="AE20">
        <v>-0.03</v>
      </c>
      <c r="AF20">
        <v>0.11700000000000001</v>
      </c>
      <c r="AG20">
        <v>6.4000000000000001E-2</v>
      </c>
      <c r="AH20">
        <v>1.7999999999999999E-2</v>
      </c>
      <c r="AI20">
        <v>-5.0000000000000001E-3</v>
      </c>
    </row>
    <row r="21" spans="1:35" x14ac:dyDescent="0.25">
      <c r="A21" t="s">
        <v>1257</v>
      </c>
      <c r="B21" t="s">
        <v>32</v>
      </c>
      <c r="C21" s="25">
        <v>43700.59783564815</v>
      </c>
      <c r="D21" s="741" t="s">
        <v>969</v>
      </c>
      <c r="E21" s="741">
        <f t="array" ref="E21">SUMPRODUCT(IF(AMP1_2[[#This Row],[Dim 1_1]:[T 8]]-$F$4:$AI$4&lt;0,1,0)+IF($F$5:$AI$5-AMP1_2[[#This Row],[Dim 1_1]:[T 8]]&lt;0,1,0),IF(ISNUMBER(AMP1_2[[#This Row],[Dim 1_1]:[T 8]])=TRUE,1,0))</f>
        <v>0</v>
      </c>
      <c r="F21">
        <v>41.012999999999998</v>
      </c>
      <c r="G21">
        <v>41.103000000000002</v>
      </c>
      <c r="H21">
        <v>156.00399999999999</v>
      </c>
      <c r="I21">
        <v>156.00399999999999</v>
      </c>
      <c r="L21">
        <v>155.95699999999999</v>
      </c>
      <c r="M21">
        <v>155.684</v>
      </c>
      <c r="N21">
        <v>27.34</v>
      </c>
      <c r="O21">
        <v>27.55</v>
      </c>
      <c r="R21">
        <v>17.544</v>
      </c>
      <c r="S21">
        <v>17.442</v>
      </c>
      <c r="T21">
        <v>34.079000000000001</v>
      </c>
      <c r="U21">
        <v>34.415999999999997</v>
      </c>
      <c r="W21">
        <v>0.106</v>
      </c>
      <c r="X21">
        <v>-0.33900000000000002</v>
      </c>
      <c r="Z21">
        <v>0.18099999999999999</v>
      </c>
      <c r="AA21">
        <v>-0.34</v>
      </c>
      <c r="AB21">
        <v>-0.27400000000000002</v>
      </c>
      <c r="AC21">
        <v>-0.33900000000000002</v>
      </c>
      <c r="AD21">
        <v>-0.13400000000000001</v>
      </c>
      <c r="AE21">
        <v>0.106</v>
      </c>
      <c r="AF21">
        <v>-0.193</v>
      </c>
      <c r="AG21">
        <v>-0.34</v>
      </c>
      <c r="AH21">
        <v>8.9999999999999993E-3</v>
      </c>
      <c r="AI21">
        <v>0.18099999999999999</v>
      </c>
    </row>
    <row r="22" spans="1:35" x14ac:dyDescent="0.25">
      <c r="A22" t="s">
        <v>1258</v>
      </c>
      <c r="B22" t="s">
        <v>31</v>
      </c>
      <c r="C22" s="25">
        <v>43700.599456018521</v>
      </c>
      <c r="D22" s="741" t="s">
        <v>969</v>
      </c>
      <c r="E22" s="741">
        <f t="array" ref="E22">SUMPRODUCT(IF(AMP1_2[[#This Row],[Dim 1_1]:[T 8]]-$F$4:$AI$4&lt;0,1,0)+IF($F$5:$AI$5-AMP1_2[[#This Row],[Dim 1_1]:[T 8]]&lt;0,1,0),IF(ISNUMBER(AMP1_2[[#This Row],[Dim 1_1]:[T 8]])=TRUE,1,0))</f>
        <v>0</v>
      </c>
      <c r="H22">
        <v>155.941</v>
      </c>
      <c r="I22">
        <v>155.95599999999999</v>
      </c>
      <c r="J22">
        <v>168.72499999999999</v>
      </c>
      <c r="K22">
        <v>168.75700000000001</v>
      </c>
      <c r="L22">
        <v>156.006</v>
      </c>
      <c r="M22">
        <v>155.751</v>
      </c>
      <c r="N22">
        <v>27.259</v>
      </c>
      <c r="O22">
        <v>27.332000000000001</v>
      </c>
      <c r="R22">
        <v>17.173999999999999</v>
      </c>
      <c r="S22">
        <v>17.312999999999999</v>
      </c>
      <c r="T22">
        <v>37.805</v>
      </c>
      <c r="U22">
        <v>38.685000000000002</v>
      </c>
      <c r="W22">
        <v>0.218</v>
      </c>
      <c r="X22">
        <v>-0.02</v>
      </c>
      <c r="Z22">
        <v>7.3999999999999996E-2</v>
      </c>
      <c r="AA22">
        <v>-0.108</v>
      </c>
      <c r="AB22">
        <v>0.218</v>
      </c>
      <c r="AC22">
        <v>3.3000000000000002E-2</v>
      </c>
      <c r="AD22">
        <v>-1.6E-2</v>
      </c>
      <c r="AE22">
        <v>-0.02</v>
      </c>
      <c r="AF22">
        <v>7.3999999999999996E-2</v>
      </c>
      <c r="AG22">
        <v>2.3E-2</v>
      </c>
      <c r="AH22">
        <v>-6.3E-2</v>
      </c>
      <c r="AI22">
        <v>-0.108</v>
      </c>
    </row>
    <row r="23" spans="1:35" x14ac:dyDescent="0.25">
      <c r="A23" t="s">
        <v>1259</v>
      </c>
      <c r="B23" t="s">
        <v>32</v>
      </c>
      <c r="C23" s="25">
        <v>43701.346967592595</v>
      </c>
      <c r="D23" s="741" t="s">
        <v>969</v>
      </c>
      <c r="E23" s="741">
        <f t="array" ref="E23">SUMPRODUCT(IF(AMP1_2[[#This Row],[Dim 1_1]:[T 8]]-$F$4:$AI$4&lt;0,1,0)+IF($F$5:$AI$5-AMP1_2[[#This Row],[Dim 1_1]:[T 8]]&lt;0,1,0),IF(ISNUMBER(AMP1_2[[#This Row],[Dim 1_1]:[T 8]])=TRUE,1,0))</f>
        <v>0</v>
      </c>
      <c r="F23">
        <v>40.96</v>
      </c>
      <c r="G23">
        <v>41.134</v>
      </c>
      <c r="H23">
        <v>156.018</v>
      </c>
      <c r="I23">
        <v>156.02500000000001</v>
      </c>
      <c r="L23">
        <v>155.98099999999999</v>
      </c>
      <c r="M23">
        <v>155.69499999999999</v>
      </c>
      <c r="N23">
        <v>27.273</v>
      </c>
      <c r="O23">
        <v>27.49</v>
      </c>
      <c r="R23">
        <v>17.541</v>
      </c>
      <c r="S23">
        <v>17.399000000000001</v>
      </c>
      <c r="T23">
        <v>33.936999999999998</v>
      </c>
      <c r="U23">
        <v>34.450000000000003</v>
      </c>
      <c r="W23">
        <v>3.5000000000000003E-2</v>
      </c>
      <c r="X23">
        <v>-0.39900000000000002</v>
      </c>
      <c r="Z23">
        <v>0.28299999999999997</v>
      </c>
      <c r="AA23">
        <v>-0.27</v>
      </c>
      <c r="AB23">
        <v>-0.34100000000000003</v>
      </c>
      <c r="AC23">
        <v>-0.39900000000000002</v>
      </c>
      <c r="AD23">
        <v>-0.13700000000000001</v>
      </c>
      <c r="AE23">
        <v>3.5000000000000003E-2</v>
      </c>
      <c r="AF23">
        <v>-0.14099999999999999</v>
      </c>
      <c r="AG23">
        <v>-0.27</v>
      </c>
      <c r="AH23">
        <v>8.3000000000000004E-2</v>
      </c>
      <c r="AI23">
        <v>0.28299999999999997</v>
      </c>
    </row>
    <row r="24" spans="1:35" x14ac:dyDescent="0.25">
      <c r="A24" t="s">
        <v>1260</v>
      </c>
      <c r="B24" t="s">
        <v>31</v>
      </c>
      <c r="C24" s="25">
        <v>43701.348807870374</v>
      </c>
      <c r="D24" s="741" t="s">
        <v>969</v>
      </c>
      <c r="E24" s="741">
        <f t="array" ref="E24">SUMPRODUCT(IF(AMP1_2[[#This Row],[Dim 1_1]:[T 8]]-$F$4:$AI$4&lt;0,1,0)+IF($F$5:$AI$5-AMP1_2[[#This Row],[Dim 1_1]:[T 8]]&lt;0,1,0),IF(ISNUMBER(AMP1_2[[#This Row],[Dim 1_1]:[T 8]])=TRUE,1,0))</f>
        <v>0</v>
      </c>
      <c r="H24">
        <v>155.93799999999999</v>
      </c>
      <c r="I24">
        <v>155.96799999999999</v>
      </c>
      <c r="J24">
        <v>168.68600000000001</v>
      </c>
      <c r="K24">
        <v>168.59399999999999</v>
      </c>
      <c r="L24">
        <v>156.04900000000001</v>
      </c>
      <c r="M24">
        <v>155.79</v>
      </c>
      <c r="N24">
        <v>27.233000000000001</v>
      </c>
      <c r="O24">
        <v>27.289000000000001</v>
      </c>
      <c r="R24">
        <v>17.170000000000002</v>
      </c>
      <c r="S24">
        <v>17.257000000000001</v>
      </c>
      <c r="T24">
        <v>35.689</v>
      </c>
      <c r="U24">
        <v>36.326000000000001</v>
      </c>
      <c r="W24">
        <v>0.193</v>
      </c>
      <c r="X24">
        <v>-1.7999999999999999E-2</v>
      </c>
      <c r="Z24">
        <v>4.5999999999999999E-2</v>
      </c>
      <c r="AA24">
        <v>-3.5000000000000003E-2</v>
      </c>
      <c r="AB24">
        <v>0.193</v>
      </c>
      <c r="AC24">
        <v>5.0000000000000001E-3</v>
      </c>
      <c r="AD24">
        <v>-1.7999999999999999E-2</v>
      </c>
      <c r="AE24">
        <v>0.11700000000000001</v>
      </c>
      <c r="AF24">
        <v>4.5999999999999999E-2</v>
      </c>
      <c r="AG24">
        <v>3.6999999999999998E-2</v>
      </c>
      <c r="AH24">
        <v>-1.4E-2</v>
      </c>
      <c r="AI24">
        <v>-3.5000000000000003E-2</v>
      </c>
    </row>
    <row r="25" spans="1:35" x14ac:dyDescent="0.25">
      <c r="A25" t="s">
        <v>1261</v>
      </c>
      <c r="B25" t="s">
        <v>32</v>
      </c>
      <c r="C25" s="25">
        <v>43701.470995370371</v>
      </c>
      <c r="D25" s="741" t="s">
        <v>969</v>
      </c>
      <c r="E25" s="741">
        <f t="array" ref="E25">SUMPRODUCT(IF(AMP1_2[[#This Row],[Dim 1_1]:[T 8]]-$F$4:$AI$4&lt;0,1,0)+IF($F$5:$AI$5-AMP1_2[[#This Row],[Dim 1_1]:[T 8]]&lt;0,1,0),IF(ISNUMBER(AMP1_2[[#This Row],[Dim 1_1]:[T 8]])=TRUE,1,0))</f>
        <v>0</v>
      </c>
      <c r="F25">
        <v>40.951000000000001</v>
      </c>
      <c r="G25">
        <v>41.064999999999998</v>
      </c>
      <c r="H25">
        <v>156.06</v>
      </c>
      <c r="I25">
        <v>156.04</v>
      </c>
      <c r="L25">
        <v>156.00899999999999</v>
      </c>
      <c r="M25">
        <v>155.73400000000001</v>
      </c>
      <c r="N25">
        <v>27.283999999999999</v>
      </c>
      <c r="O25">
        <v>27.5</v>
      </c>
      <c r="R25">
        <v>17.609000000000002</v>
      </c>
      <c r="S25">
        <v>17.452000000000002</v>
      </c>
      <c r="T25">
        <v>34.03</v>
      </c>
      <c r="U25">
        <v>34.365000000000002</v>
      </c>
      <c r="W25">
        <v>3.5000000000000003E-2</v>
      </c>
      <c r="X25">
        <v>-0.41</v>
      </c>
      <c r="Z25">
        <v>0.14000000000000001</v>
      </c>
      <c r="AA25">
        <v>-0.38700000000000001</v>
      </c>
      <c r="AB25">
        <v>-0.35599999999999998</v>
      </c>
      <c r="AC25">
        <v>-0.41</v>
      </c>
      <c r="AD25">
        <v>-0.15</v>
      </c>
      <c r="AE25">
        <v>3.5000000000000003E-2</v>
      </c>
      <c r="AF25">
        <v>-0.26</v>
      </c>
      <c r="AG25">
        <v>-0.38700000000000001</v>
      </c>
      <c r="AH25">
        <v>-0.02</v>
      </c>
      <c r="AI25">
        <v>0.14000000000000001</v>
      </c>
    </row>
    <row r="26" spans="1:35" x14ac:dyDescent="0.25">
      <c r="A26" t="s">
        <v>1262</v>
      </c>
      <c r="B26" t="s">
        <v>31</v>
      </c>
      <c r="C26" s="25">
        <v>43701.473356481481</v>
      </c>
      <c r="D26" s="741" t="s">
        <v>969</v>
      </c>
      <c r="E26" s="741">
        <f t="array" ref="E26">SUMPRODUCT(IF(AMP1_2[[#This Row],[Dim 1_1]:[T 8]]-$F$4:$AI$4&lt;0,1,0)+IF($F$5:$AI$5-AMP1_2[[#This Row],[Dim 1_1]:[T 8]]&lt;0,1,0),IF(ISNUMBER(AMP1_2[[#This Row],[Dim 1_1]:[T 8]])=TRUE,1,0))</f>
        <v>0</v>
      </c>
      <c r="H26">
        <v>155.922</v>
      </c>
      <c r="I26">
        <v>155.976</v>
      </c>
      <c r="J26">
        <v>168.69200000000001</v>
      </c>
      <c r="K26">
        <v>168.78200000000001</v>
      </c>
      <c r="L26">
        <v>156.03399999999999</v>
      </c>
      <c r="M26">
        <v>155.803</v>
      </c>
      <c r="N26">
        <v>27.222000000000001</v>
      </c>
      <c r="O26">
        <v>27.263000000000002</v>
      </c>
      <c r="R26">
        <v>17.183</v>
      </c>
      <c r="S26">
        <v>17.268000000000001</v>
      </c>
      <c r="T26">
        <v>37.960999999999999</v>
      </c>
      <c r="U26">
        <v>39.887999999999998</v>
      </c>
      <c r="W26">
        <v>0.156</v>
      </c>
      <c r="X26">
        <v>-0.25900000000000001</v>
      </c>
      <c r="Z26">
        <v>7.5999999999999998E-2</v>
      </c>
      <c r="AA26">
        <v>-3.6999999999999998E-2</v>
      </c>
      <c r="AB26">
        <v>0.156</v>
      </c>
      <c r="AC26">
        <v>-3.5000000000000003E-2</v>
      </c>
      <c r="AD26">
        <v>-5.1999999999999998E-2</v>
      </c>
      <c r="AE26">
        <v>-0.25900000000000001</v>
      </c>
      <c r="AF26">
        <v>7.5999999999999998E-2</v>
      </c>
      <c r="AG26">
        <v>4.5999999999999999E-2</v>
      </c>
      <c r="AH26">
        <v>-1.0999999999999999E-2</v>
      </c>
      <c r="AI26">
        <v>-3.6999999999999998E-2</v>
      </c>
    </row>
    <row r="27" spans="1:35" x14ac:dyDescent="0.25">
      <c r="A27" t="s">
        <v>1263</v>
      </c>
      <c r="B27" t="s">
        <v>32</v>
      </c>
      <c r="C27" s="25">
        <v>43701.604594907411</v>
      </c>
      <c r="D27" s="741" t="s">
        <v>969</v>
      </c>
      <c r="E27" s="741">
        <f t="array" ref="E27">SUMPRODUCT(IF(AMP1_2[[#This Row],[Dim 1_1]:[T 8]]-$F$4:$AI$4&lt;0,1,0)+IF($F$5:$AI$5-AMP1_2[[#This Row],[Dim 1_1]:[T 8]]&lt;0,1,0),IF(ISNUMBER(AMP1_2[[#This Row],[Dim 1_1]:[T 8]])=TRUE,1,0))</f>
        <v>0</v>
      </c>
      <c r="F27">
        <v>40.884999999999998</v>
      </c>
      <c r="G27">
        <v>40.920999999999999</v>
      </c>
      <c r="H27">
        <v>156.03399999999999</v>
      </c>
      <c r="I27">
        <v>156.071</v>
      </c>
      <c r="L27">
        <v>156.06899999999999</v>
      </c>
      <c r="M27">
        <v>155.81800000000001</v>
      </c>
      <c r="N27">
        <v>27.216000000000001</v>
      </c>
      <c r="O27">
        <v>27.440999999999999</v>
      </c>
      <c r="R27">
        <v>17.550999999999998</v>
      </c>
      <c r="S27">
        <v>17.395</v>
      </c>
      <c r="T27">
        <v>33.987000000000002</v>
      </c>
      <c r="U27">
        <v>34.494</v>
      </c>
      <c r="W27">
        <v>-8.8999999999999996E-2</v>
      </c>
      <c r="X27">
        <v>-0.53800000000000003</v>
      </c>
      <c r="Z27">
        <v>0.14799999999999999</v>
      </c>
      <c r="AA27">
        <v>-0.437</v>
      </c>
      <c r="AB27">
        <v>-0.48099999999999998</v>
      </c>
      <c r="AC27">
        <v>-0.53800000000000003</v>
      </c>
      <c r="AD27">
        <v>-0.23200000000000001</v>
      </c>
      <c r="AE27">
        <v>-8.8999999999999996E-2</v>
      </c>
      <c r="AF27">
        <v>-0.31</v>
      </c>
      <c r="AG27">
        <v>-0.437</v>
      </c>
      <c r="AH27">
        <v>-3.2000000000000001E-2</v>
      </c>
      <c r="AI27">
        <v>0.14799999999999999</v>
      </c>
    </row>
    <row r="28" spans="1:35" x14ac:dyDescent="0.25">
      <c r="A28" t="s">
        <v>1264</v>
      </c>
      <c r="B28" t="s">
        <v>31</v>
      </c>
      <c r="C28" s="25">
        <v>43701.607951388891</v>
      </c>
      <c r="D28" s="741" t="s">
        <v>969</v>
      </c>
      <c r="E28" s="741">
        <f t="array" ref="E28">SUMPRODUCT(IF(AMP1_2[[#This Row],[Dim 1_1]:[T 8]]-$F$4:$AI$4&lt;0,1,0)+IF($F$5:$AI$5-AMP1_2[[#This Row],[Dim 1_1]:[T 8]]&lt;0,1,0),IF(ISNUMBER(AMP1_2[[#This Row],[Dim 1_1]:[T 8]])=TRUE,1,0))</f>
        <v>0</v>
      </c>
      <c r="H28">
        <v>156.036</v>
      </c>
      <c r="I28">
        <v>156.054</v>
      </c>
      <c r="J28">
        <v>168.66399999999999</v>
      </c>
      <c r="K28">
        <v>168.70599999999999</v>
      </c>
      <c r="L28">
        <v>156.13399999999999</v>
      </c>
      <c r="M28">
        <v>155.87100000000001</v>
      </c>
      <c r="N28">
        <v>27.207000000000001</v>
      </c>
      <c r="O28">
        <v>27.260999999999999</v>
      </c>
      <c r="R28">
        <v>17.170000000000002</v>
      </c>
      <c r="S28">
        <v>17.262</v>
      </c>
      <c r="T28">
        <v>33.363999999999997</v>
      </c>
      <c r="U28">
        <v>35.729999999999997</v>
      </c>
      <c r="W28">
        <v>0.14399999999999999</v>
      </c>
      <c r="X28">
        <v>-5.5E-2</v>
      </c>
      <c r="Z28">
        <v>-5.8000000000000003E-2</v>
      </c>
      <c r="AA28">
        <v>-0.13800000000000001</v>
      </c>
      <c r="AB28">
        <v>0.14399999999999999</v>
      </c>
      <c r="AC28">
        <v>-5.3999999999999999E-2</v>
      </c>
      <c r="AD28">
        <v>-5.5E-2</v>
      </c>
      <c r="AE28">
        <v>-4.1000000000000002E-2</v>
      </c>
      <c r="AF28">
        <v>-5.8000000000000003E-2</v>
      </c>
      <c r="AG28">
        <v>-9.4E-2</v>
      </c>
      <c r="AH28">
        <v>-0.10299999999999999</v>
      </c>
      <c r="AI28">
        <v>-0.13800000000000001</v>
      </c>
    </row>
    <row r="29" spans="1:35" x14ac:dyDescent="0.25">
      <c r="A29" t="s">
        <v>1265</v>
      </c>
      <c r="B29" t="s">
        <v>32</v>
      </c>
      <c r="C29" s="25">
        <v>43701.685717592591</v>
      </c>
      <c r="D29" s="741" t="s">
        <v>969</v>
      </c>
      <c r="E29" s="741">
        <f t="array" ref="E29">SUMPRODUCT(IF(AMP1_2[[#This Row],[Dim 1_1]:[T 8]]-$F$4:$AI$4&lt;0,1,0)+IF($F$5:$AI$5-AMP1_2[[#This Row],[Dim 1_1]:[T 8]]&lt;0,1,0),IF(ISNUMBER(AMP1_2[[#This Row],[Dim 1_1]:[T 8]])=TRUE,1,0))</f>
        <v>0</v>
      </c>
      <c r="F29">
        <v>40.938000000000002</v>
      </c>
      <c r="G29">
        <v>41.066000000000003</v>
      </c>
      <c r="H29">
        <v>155.977</v>
      </c>
      <c r="I29">
        <v>155.97300000000001</v>
      </c>
      <c r="L29">
        <v>155.93</v>
      </c>
      <c r="M29">
        <v>155.69499999999999</v>
      </c>
      <c r="N29">
        <v>27.367000000000001</v>
      </c>
      <c r="O29">
        <v>27.564</v>
      </c>
      <c r="R29">
        <v>17.603000000000002</v>
      </c>
      <c r="S29">
        <v>17.523</v>
      </c>
      <c r="T29">
        <v>34.067999999999998</v>
      </c>
      <c r="U29">
        <v>34.384</v>
      </c>
      <c r="W29">
        <v>3.4000000000000002E-2</v>
      </c>
      <c r="X29">
        <v>-0.40400000000000003</v>
      </c>
      <c r="Z29">
        <v>7.0000000000000007E-2</v>
      </c>
      <c r="AA29">
        <v>-0.39400000000000002</v>
      </c>
      <c r="AB29">
        <v>-0.35699999999999998</v>
      </c>
      <c r="AC29">
        <v>-0.40400000000000003</v>
      </c>
      <c r="AD29">
        <v>-0.218</v>
      </c>
      <c r="AE29">
        <v>3.4000000000000002E-2</v>
      </c>
      <c r="AF29">
        <v>-0.26600000000000001</v>
      </c>
      <c r="AG29">
        <v>-0.39400000000000002</v>
      </c>
      <c r="AH29">
        <v>-9.2999999999999999E-2</v>
      </c>
      <c r="AI29">
        <v>7.0000000000000007E-2</v>
      </c>
    </row>
    <row r="30" spans="1:35" x14ac:dyDescent="0.25">
      <c r="A30" t="s">
        <v>1266</v>
      </c>
      <c r="B30" t="s">
        <v>31</v>
      </c>
      <c r="C30" s="25">
        <v>43701.687291666669</v>
      </c>
      <c r="D30" s="741" t="s">
        <v>969</v>
      </c>
      <c r="E30" s="741">
        <f t="array" ref="E30">SUMPRODUCT(IF(AMP1_2[[#This Row],[Dim 1_1]:[T 8]]-$F$4:$AI$4&lt;0,1,0)+IF($F$5:$AI$5-AMP1_2[[#This Row],[Dim 1_1]:[T 8]]&lt;0,1,0),IF(ISNUMBER(AMP1_2[[#This Row],[Dim 1_1]:[T 8]])=TRUE,1,0))</f>
        <v>0</v>
      </c>
      <c r="H30">
        <v>155.923</v>
      </c>
      <c r="I30">
        <v>155.965</v>
      </c>
      <c r="J30">
        <v>168.65600000000001</v>
      </c>
      <c r="K30">
        <v>168.72800000000001</v>
      </c>
      <c r="L30">
        <v>156.047</v>
      </c>
      <c r="M30">
        <v>155.77099999999999</v>
      </c>
      <c r="N30">
        <v>27.227</v>
      </c>
      <c r="O30">
        <v>27.297999999999998</v>
      </c>
      <c r="R30">
        <v>17.170000000000002</v>
      </c>
      <c r="S30">
        <v>17.300999999999998</v>
      </c>
      <c r="T30">
        <v>38.325000000000003</v>
      </c>
      <c r="U30">
        <v>38.987000000000002</v>
      </c>
      <c r="W30">
        <v>0.151</v>
      </c>
      <c r="X30">
        <v>-0.13600000000000001</v>
      </c>
      <c r="Z30">
        <v>5.2999999999999999E-2</v>
      </c>
      <c r="AA30">
        <v>-0.108</v>
      </c>
      <c r="AB30">
        <v>0.151</v>
      </c>
      <c r="AC30">
        <v>-3.9E-2</v>
      </c>
      <c r="AD30">
        <v>-0.13600000000000001</v>
      </c>
      <c r="AE30">
        <v>2.1999999999999999E-2</v>
      </c>
      <c r="AF30">
        <v>5.2999999999999999E-2</v>
      </c>
      <c r="AG30">
        <v>0.02</v>
      </c>
      <c r="AH30">
        <v>-8.2000000000000003E-2</v>
      </c>
      <c r="AI30">
        <v>-0.108</v>
      </c>
    </row>
    <row r="31" spans="1:35" x14ac:dyDescent="0.25">
      <c r="A31" t="s">
        <v>1267</v>
      </c>
      <c r="B31" t="s">
        <v>32</v>
      </c>
      <c r="C31" s="25">
        <v>43702.366006944445</v>
      </c>
      <c r="D31" s="741" t="s">
        <v>969</v>
      </c>
      <c r="E31" s="741">
        <f t="array" ref="E31">SUMPRODUCT(IF(AMP1_2[[#This Row],[Dim 1_1]:[T 8]]-$F$4:$AI$4&lt;0,1,0)+IF($F$5:$AI$5-AMP1_2[[#This Row],[Dim 1_1]:[T 8]]&lt;0,1,0),IF(ISNUMBER(AMP1_2[[#This Row],[Dim 1_1]:[T 8]])=TRUE,1,0))</f>
        <v>0</v>
      </c>
      <c r="F31">
        <v>40.962000000000003</v>
      </c>
      <c r="G31">
        <v>41.134</v>
      </c>
      <c r="H31">
        <v>156.03800000000001</v>
      </c>
      <c r="I31">
        <v>156.04499999999999</v>
      </c>
      <c r="L31">
        <v>155.958</v>
      </c>
      <c r="M31">
        <v>155.72200000000001</v>
      </c>
      <c r="N31">
        <v>27.315000000000001</v>
      </c>
      <c r="O31">
        <v>27.495999999999999</v>
      </c>
      <c r="R31">
        <v>17.588000000000001</v>
      </c>
      <c r="S31">
        <v>17.510999999999999</v>
      </c>
      <c r="T31">
        <v>33.878999999999998</v>
      </c>
      <c r="U31">
        <v>34.348999999999997</v>
      </c>
      <c r="W31">
        <v>-3.2000000000000001E-2</v>
      </c>
      <c r="X31">
        <v>-0.42399999999999999</v>
      </c>
      <c r="Z31">
        <v>0.10299999999999999</v>
      </c>
      <c r="AA31">
        <v>-0.39900000000000002</v>
      </c>
      <c r="AB31">
        <v>-0.33700000000000002</v>
      </c>
      <c r="AC31">
        <v>-0.42399999999999999</v>
      </c>
      <c r="AD31">
        <v>-0.23100000000000001</v>
      </c>
      <c r="AE31">
        <v>-3.2000000000000001E-2</v>
      </c>
      <c r="AF31">
        <v>-0.27400000000000002</v>
      </c>
      <c r="AG31">
        <v>-0.39900000000000002</v>
      </c>
      <c r="AH31">
        <v>-0.08</v>
      </c>
      <c r="AI31">
        <v>0.10299999999999999</v>
      </c>
    </row>
    <row r="32" spans="1:35" x14ac:dyDescent="0.25">
      <c r="A32" t="s">
        <v>1268</v>
      </c>
      <c r="B32" t="s">
        <v>31</v>
      </c>
      <c r="C32" s="25">
        <v>43702.367627314816</v>
      </c>
      <c r="D32" s="741" t="s">
        <v>969</v>
      </c>
      <c r="E32" s="741">
        <f t="array" ref="E32">SUMPRODUCT(IF(AMP1_2[[#This Row],[Dim 1_1]:[T 8]]-$F$4:$AI$4&lt;0,1,0)+IF($F$5:$AI$5-AMP1_2[[#This Row],[Dim 1_1]:[T 8]]&lt;0,1,0),IF(ISNUMBER(AMP1_2[[#This Row],[Dim 1_1]:[T 8]])=TRUE,1,0))</f>
        <v>0</v>
      </c>
      <c r="H32">
        <v>156.00299999999999</v>
      </c>
      <c r="I32">
        <v>156.01599999999999</v>
      </c>
      <c r="J32">
        <v>168.69399999999999</v>
      </c>
      <c r="K32">
        <v>168.88300000000001</v>
      </c>
      <c r="L32">
        <v>156.096</v>
      </c>
      <c r="M32">
        <v>155.834</v>
      </c>
      <c r="N32">
        <v>27.132999999999999</v>
      </c>
      <c r="O32">
        <v>27.234000000000002</v>
      </c>
      <c r="R32">
        <v>17.169</v>
      </c>
      <c r="S32">
        <v>17.236999999999998</v>
      </c>
      <c r="T32">
        <v>37.061999999999998</v>
      </c>
      <c r="U32">
        <v>37.151000000000003</v>
      </c>
      <c r="W32">
        <v>0.106</v>
      </c>
      <c r="X32">
        <v>-0.126</v>
      </c>
      <c r="Z32">
        <v>1.4999999999999999E-2</v>
      </c>
      <c r="AA32">
        <v>-7.1999999999999995E-2</v>
      </c>
      <c r="AB32">
        <v>0.106</v>
      </c>
      <c r="AC32">
        <v>-0.126</v>
      </c>
      <c r="AD32">
        <v>-7.6999999999999999E-2</v>
      </c>
      <c r="AE32">
        <v>-0.10100000000000001</v>
      </c>
      <c r="AF32">
        <v>1.4999999999999999E-2</v>
      </c>
      <c r="AG32">
        <v>-4.1000000000000002E-2</v>
      </c>
      <c r="AH32">
        <v>-3.5000000000000003E-2</v>
      </c>
      <c r="AI32">
        <v>-7.1999999999999995E-2</v>
      </c>
    </row>
    <row r="33" spans="1:35" x14ac:dyDescent="0.25">
      <c r="A33" t="s">
        <v>1269</v>
      </c>
      <c r="B33" t="s">
        <v>32</v>
      </c>
      <c r="C33" s="25">
        <v>43702.497337962966</v>
      </c>
      <c r="D33" s="741" t="s">
        <v>969</v>
      </c>
      <c r="E33" s="741">
        <f t="array" ref="E33">SUMPRODUCT(IF(AMP1_2[[#This Row],[Dim 1_1]:[T 8]]-$F$4:$AI$4&lt;0,1,0)+IF($F$5:$AI$5-AMP1_2[[#This Row],[Dim 1_1]:[T 8]]&lt;0,1,0),IF(ISNUMBER(AMP1_2[[#This Row],[Dim 1_1]:[T 8]])=TRUE,1,0))</f>
        <v>0</v>
      </c>
      <c r="F33">
        <v>40.999000000000002</v>
      </c>
      <c r="G33">
        <v>40.987000000000002</v>
      </c>
      <c r="H33">
        <v>155.96700000000001</v>
      </c>
      <c r="I33">
        <v>156.02000000000001</v>
      </c>
      <c r="L33">
        <v>155.95099999999999</v>
      </c>
      <c r="M33">
        <v>155.71100000000001</v>
      </c>
      <c r="N33">
        <v>27.355</v>
      </c>
      <c r="O33">
        <v>27.491</v>
      </c>
      <c r="R33">
        <v>17.542999999999999</v>
      </c>
      <c r="S33">
        <v>17.395</v>
      </c>
      <c r="T33">
        <v>34.081000000000003</v>
      </c>
      <c r="U33">
        <v>34.433</v>
      </c>
      <c r="W33">
        <v>5.0000000000000001E-3</v>
      </c>
      <c r="X33">
        <v>-0.39700000000000002</v>
      </c>
      <c r="Z33">
        <v>0.2</v>
      </c>
      <c r="AA33">
        <v>-0.32700000000000001</v>
      </c>
      <c r="AB33">
        <v>-0.34899999999999998</v>
      </c>
      <c r="AC33">
        <v>-0.39700000000000002</v>
      </c>
      <c r="AD33">
        <v>-0.2</v>
      </c>
      <c r="AE33">
        <v>5.0000000000000001E-3</v>
      </c>
      <c r="AF33">
        <v>-0.21199999999999999</v>
      </c>
      <c r="AG33">
        <v>-0.32700000000000001</v>
      </c>
      <c r="AH33">
        <v>5.0000000000000001E-3</v>
      </c>
      <c r="AI33">
        <v>0.2</v>
      </c>
    </row>
    <row r="34" spans="1:35" x14ac:dyDescent="0.25">
      <c r="A34" t="s">
        <v>1270</v>
      </c>
      <c r="B34" t="s">
        <v>31</v>
      </c>
      <c r="C34" s="25">
        <v>43702.49894675926</v>
      </c>
      <c r="D34" s="741" t="s">
        <v>969</v>
      </c>
      <c r="E34" s="741">
        <f t="array" ref="E34">SUMPRODUCT(IF(AMP1_2[[#This Row],[Dim 1_1]:[T 8]]-$F$4:$AI$4&lt;0,1,0)+IF($F$5:$AI$5-AMP1_2[[#This Row],[Dim 1_1]:[T 8]]&lt;0,1,0),IF(ISNUMBER(AMP1_2[[#This Row],[Dim 1_1]:[T 8]])=TRUE,1,0))</f>
        <v>0</v>
      </c>
      <c r="H34">
        <v>155.941</v>
      </c>
      <c r="I34">
        <v>155.97900000000001</v>
      </c>
      <c r="J34">
        <v>168.702</v>
      </c>
      <c r="K34">
        <v>168.73500000000001</v>
      </c>
      <c r="L34">
        <v>156.03100000000001</v>
      </c>
      <c r="M34">
        <v>155.768</v>
      </c>
      <c r="N34">
        <v>27.24</v>
      </c>
      <c r="O34">
        <v>27.318000000000001</v>
      </c>
      <c r="R34">
        <v>17.170999999999999</v>
      </c>
      <c r="S34">
        <v>17.331</v>
      </c>
      <c r="T34">
        <v>36.975000000000001</v>
      </c>
      <c r="U34">
        <v>36.588999999999999</v>
      </c>
      <c r="W34">
        <v>0.19500000000000001</v>
      </c>
      <c r="X34">
        <v>-6.6000000000000003E-2</v>
      </c>
      <c r="Z34">
        <v>8.3000000000000004E-2</v>
      </c>
      <c r="AA34">
        <v>-0.08</v>
      </c>
      <c r="AB34">
        <v>0.19500000000000001</v>
      </c>
      <c r="AC34">
        <v>0.01</v>
      </c>
      <c r="AD34">
        <v>-0.06</v>
      </c>
      <c r="AE34">
        <v>-6.6000000000000003E-2</v>
      </c>
      <c r="AF34">
        <v>8.3000000000000004E-2</v>
      </c>
      <c r="AG34">
        <v>4.4999999999999998E-2</v>
      </c>
      <c r="AH34">
        <v>-0.08</v>
      </c>
      <c r="AI34">
        <v>-6.4000000000000001E-2</v>
      </c>
    </row>
    <row r="35" spans="1:35" x14ac:dyDescent="0.25">
      <c r="A35" t="s">
        <v>1271</v>
      </c>
      <c r="B35" t="s">
        <v>32</v>
      </c>
      <c r="C35" s="25">
        <v>43702.617465277777</v>
      </c>
      <c r="D35" s="741" t="s">
        <v>969</v>
      </c>
      <c r="E35" s="741">
        <f t="array" ref="E35">SUMPRODUCT(IF(AMP1_2[[#This Row],[Dim 1_1]:[T 8]]-$F$4:$AI$4&lt;0,1,0)+IF($F$5:$AI$5-AMP1_2[[#This Row],[Dim 1_1]:[T 8]]&lt;0,1,0),IF(ISNUMBER(AMP1_2[[#This Row],[Dim 1_1]:[T 8]])=TRUE,1,0))</f>
        <v>0</v>
      </c>
      <c r="F35">
        <v>40.932000000000002</v>
      </c>
      <c r="G35">
        <v>41.011000000000003</v>
      </c>
      <c r="H35">
        <v>156.017</v>
      </c>
      <c r="I35">
        <v>156.06899999999999</v>
      </c>
      <c r="L35">
        <v>156.02699999999999</v>
      </c>
      <c r="M35">
        <v>155.76599999999999</v>
      </c>
      <c r="N35">
        <v>27.276</v>
      </c>
      <c r="O35">
        <v>27.448</v>
      </c>
      <c r="R35">
        <v>17.582000000000001</v>
      </c>
      <c r="S35">
        <v>17.451000000000001</v>
      </c>
      <c r="T35">
        <v>34.012999999999998</v>
      </c>
      <c r="U35">
        <v>34.402999999999999</v>
      </c>
      <c r="W35">
        <v>-4.8000000000000001E-2</v>
      </c>
      <c r="X35">
        <v>-0.46100000000000002</v>
      </c>
      <c r="Z35">
        <v>0.11799999999999999</v>
      </c>
      <c r="AA35">
        <v>-0.40600000000000003</v>
      </c>
      <c r="AB35">
        <v>-0.39700000000000002</v>
      </c>
      <c r="AC35">
        <v>-0.46100000000000002</v>
      </c>
      <c r="AD35">
        <v>-0.28399999999999997</v>
      </c>
      <c r="AE35">
        <v>-4.8000000000000001E-2</v>
      </c>
      <c r="AF35">
        <v>-0.27600000000000002</v>
      </c>
      <c r="AG35">
        <v>-0.40600000000000003</v>
      </c>
      <c r="AH35">
        <v>-6.7000000000000004E-2</v>
      </c>
      <c r="AI35">
        <v>0.11799999999999999</v>
      </c>
    </row>
    <row r="36" spans="1:35" x14ac:dyDescent="0.25">
      <c r="A36" t="s">
        <v>1272</v>
      </c>
      <c r="B36" t="s">
        <v>31</v>
      </c>
      <c r="C36" s="25">
        <v>43702.620185185187</v>
      </c>
      <c r="D36" s="741" t="s">
        <v>969</v>
      </c>
      <c r="E36" s="741">
        <f t="array" ref="E36">SUMPRODUCT(IF(AMP1_2[[#This Row],[Dim 1_1]:[T 8]]-$F$4:$AI$4&lt;0,1,0)+IF($F$5:$AI$5-AMP1_2[[#This Row],[Dim 1_1]:[T 8]]&lt;0,1,0),IF(ISNUMBER(AMP1_2[[#This Row],[Dim 1_1]:[T 8]])=TRUE,1,0))</f>
        <v>0</v>
      </c>
      <c r="H36">
        <v>155.97</v>
      </c>
      <c r="I36">
        <v>156.00700000000001</v>
      </c>
      <c r="J36">
        <v>168.69399999999999</v>
      </c>
      <c r="K36">
        <v>168.59800000000001</v>
      </c>
      <c r="L36">
        <v>156.096</v>
      </c>
      <c r="M36">
        <v>155.779</v>
      </c>
      <c r="N36">
        <v>27.202000000000002</v>
      </c>
      <c r="O36">
        <v>27.285</v>
      </c>
      <c r="R36">
        <v>17.195</v>
      </c>
      <c r="S36">
        <v>17.382999999999999</v>
      </c>
      <c r="T36">
        <v>37.154000000000003</v>
      </c>
      <c r="U36">
        <v>38.435000000000002</v>
      </c>
      <c r="W36">
        <v>0.17199999999999999</v>
      </c>
      <c r="X36">
        <v>-0.17</v>
      </c>
      <c r="Z36">
        <v>2.4E-2</v>
      </c>
      <c r="AA36">
        <v>-0.19800000000000001</v>
      </c>
      <c r="AB36">
        <v>0.17199999999999999</v>
      </c>
      <c r="AC36">
        <v>-3.4000000000000002E-2</v>
      </c>
      <c r="AD36">
        <v>-0.17</v>
      </c>
      <c r="AE36">
        <v>-8.3000000000000004E-2</v>
      </c>
      <c r="AF36">
        <v>2.4E-2</v>
      </c>
      <c r="AG36">
        <v>-1.2E-2</v>
      </c>
      <c r="AH36">
        <v>-0.152</v>
      </c>
      <c r="AI36">
        <v>-0.19800000000000001</v>
      </c>
    </row>
    <row r="37" spans="1:35" x14ac:dyDescent="0.25">
      <c r="A37" t="s">
        <v>1447</v>
      </c>
      <c r="B37" t="s">
        <v>32</v>
      </c>
      <c r="C37" s="25">
        <v>43703.358946759261</v>
      </c>
      <c r="D37" s="741" t="s">
        <v>969</v>
      </c>
      <c r="E37" s="741">
        <f t="array" ref="E37">SUMPRODUCT(IF(AMP1_2[[#This Row],[Dim 1_1]:[T 8]]-$F$4:$AI$4&lt;0,1,0)+IF($F$5:$AI$5-AMP1_2[[#This Row],[Dim 1_1]:[T 8]]&lt;0,1,0),IF(ISNUMBER(AMP1_2[[#This Row],[Dim 1_1]:[T 8]])=TRUE,1,0))</f>
        <v>0</v>
      </c>
      <c r="F37">
        <v>41.011000000000003</v>
      </c>
      <c r="G37">
        <v>40.994999999999997</v>
      </c>
      <c r="H37">
        <v>156.02099999999999</v>
      </c>
      <c r="I37">
        <v>156.047</v>
      </c>
      <c r="L37">
        <v>155.94900000000001</v>
      </c>
      <c r="M37">
        <v>155.73599999999999</v>
      </c>
      <c r="N37">
        <v>27.376999999999999</v>
      </c>
      <c r="O37">
        <v>27.544</v>
      </c>
      <c r="R37">
        <v>17.564</v>
      </c>
      <c r="S37">
        <v>17.469000000000001</v>
      </c>
      <c r="T37">
        <v>34.031999999999996</v>
      </c>
      <c r="U37">
        <v>34.387999999999998</v>
      </c>
      <c r="W37">
        <v>0.09</v>
      </c>
      <c r="X37">
        <v>-0.34699999999999998</v>
      </c>
      <c r="Z37">
        <v>0.186</v>
      </c>
      <c r="AA37">
        <v>-0.32800000000000001</v>
      </c>
      <c r="AB37">
        <v>-0.28199999999999997</v>
      </c>
      <c r="AC37">
        <v>-0.34699999999999998</v>
      </c>
      <c r="AD37">
        <v>-0.18</v>
      </c>
      <c r="AE37">
        <v>0.09</v>
      </c>
      <c r="AF37">
        <v>-0.193</v>
      </c>
      <c r="AG37">
        <v>-0.32800000000000001</v>
      </c>
      <c r="AH37">
        <v>-1E-3</v>
      </c>
      <c r="AI37">
        <v>0.186</v>
      </c>
    </row>
    <row r="38" spans="1:35" x14ac:dyDescent="0.25">
      <c r="A38" t="s">
        <v>1448</v>
      </c>
      <c r="B38" t="s">
        <v>31</v>
      </c>
      <c r="C38" s="25">
        <v>43703.360613425924</v>
      </c>
      <c r="D38" s="741" t="s">
        <v>969</v>
      </c>
      <c r="E38" s="741">
        <f t="array" ref="E38">SUMPRODUCT(IF(AMP1_2[[#This Row],[Dim 1_1]:[T 8]]-$F$4:$AI$4&lt;0,1,0)+IF($F$5:$AI$5-AMP1_2[[#This Row],[Dim 1_1]:[T 8]]&lt;0,1,0),IF(ISNUMBER(AMP1_2[[#This Row],[Dim 1_1]:[T 8]])=TRUE,1,0))</f>
        <v>0</v>
      </c>
      <c r="H38">
        <v>155.91300000000001</v>
      </c>
      <c r="I38">
        <v>155.98400000000001</v>
      </c>
      <c r="J38">
        <v>168.666</v>
      </c>
      <c r="K38">
        <v>168.67699999999999</v>
      </c>
      <c r="L38">
        <v>156.07499999999999</v>
      </c>
      <c r="M38">
        <v>155.74299999999999</v>
      </c>
      <c r="N38">
        <v>27.199000000000002</v>
      </c>
      <c r="O38">
        <v>27.3</v>
      </c>
      <c r="R38">
        <v>17.173999999999999</v>
      </c>
      <c r="S38">
        <v>17.324000000000002</v>
      </c>
      <c r="T38">
        <v>36.628</v>
      </c>
      <c r="U38">
        <v>36.389000000000003</v>
      </c>
      <c r="W38">
        <v>0.13700000000000001</v>
      </c>
      <c r="X38">
        <v>-0.15</v>
      </c>
      <c r="Z38">
        <v>4.5999999999999999E-2</v>
      </c>
      <c r="AA38">
        <v>-0.17399999999999999</v>
      </c>
      <c r="AB38">
        <v>0.13700000000000001</v>
      </c>
      <c r="AC38">
        <v>-4.5999999999999999E-2</v>
      </c>
      <c r="AD38">
        <v>-0.15</v>
      </c>
      <c r="AE38">
        <v>-8.3000000000000004E-2</v>
      </c>
      <c r="AF38">
        <v>4.5999999999999999E-2</v>
      </c>
      <c r="AG38">
        <v>1.0999999999999999E-2</v>
      </c>
      <c r="AH38">
        <v>-0.128</v>
      </c>
      <c r="AI38">
        <v>-0.17399999999999999</v>
      </c>
    </row>
    <row r="39" spans="1:35" x14ac:dyDescent="0.25">
      <c r="A39" t="s">
        <v>1449</v>
      </c>
      <c r="B39" t="s">
        <v>32</v>
      </c>
      <c r="C39" s="25">
        <v>43703.500300925924</v>
      </c>
      <c r="D39" s="741" t="s">
        <v>969</v>
      </c>
      <c r="E39" s="741">
        <f t="array" ref="E39">SUMPRODUCT(IF(AMP1_2[[#This Row],[Dim 1_1]:[T 8]]-$F$4:$AI$4&lt;0,1,0)+IF($F$5:$AI$5-AMP1_2[[#This Row],[Dim 1_1]:[T 8]]&lt;0,1,0),IF(ISNUMBER(AMP1_2[[#This Row],[Dim 1_1]:[T 8]])=TRUE,1,0))</f>
        <v>0</v>
      </c>
      <c r="F39">
        <v>40.902000000000001</v>
      </c>
      <c r="G39">
        <v>40.843000000000004</v>
      </c>
      <c r="H39">
        <v>155.98599999999999</v>
      </c>
      <c r="I39">
        <v>156.089</v>
      </c>
      <c r="L39">
        <v>156.00399999999999</v>
      </c>
      <c r="M39">
        <v>155.77699999999999</v>
      </c>
      <c r="N39">
        <v>27.245999999999999</v>
      </c>
      <c r="O39">
        <v>27.39</v>
      </c>
      <c r="R39">
        <v>17.573</v>
      </c>
      <c r="S39">
        <v>17.352</v>
      </c>
      <c r="T39">
        <v>34.15</v>
      </c>
      <c r="U39">
        <v>34.424999999999997</v>
      </c>
      <c r="W39">
        <v>3.5000000000000003E-2</v>
      </c>
      <c r="X39">
        <v>-0.437</v>
      </c>
      <c r="Z39">
        <v>0.19</v>
      </c>
      <c r="AA39">
        <v>-0.33300000000000002</v>
      </c>
      <c r="AB39">
        <v>-0.375</v>
      </c>
      <c r="AC39">
        <v>-0.437</v>
      </c>
      <c r="AD39">
        <v>-0.17399999999999999</v>
      </c>
      <c r="AE39">
        <v>3.5000000000000003E-2</v>
      </c>
      <c r="AF39">
        <v>-0.21099999999999999</v>
      </c>
      <c r="AG39">
        <v>-0.33300000000000002</v>
      </c>
      <c r="AH39">
        <v>3.0000000000000001E-3</v>
      </c>
      <c r="AI39">
        <v>0.19</v>
      </c>
    </row>
    <row r="40" spans="1:35" x14ac:dyDescent="0.25">
      <c r="A40" t="s">
        <v>1450</v>
      </c>
      <c r="B40" t="s">
        <v>31</v>
      </c>
      <c r="C40" s="25">
        <v>43703.502083333333</v>
      </c>
      <c r="D40" s="741" t="s">
        <v>969</v>
      </c>
      <c r="E40" s="741">
        <f t="array" ref="E40">SUMPRODUCT(IF(AMP1_2[[#This Row],[Dim 1_1]:[T 8]]-$F$4:$AI$4&lt;0,1,0)+IF($F$5:$AI$5-AMP1_2[[#This Row],[Dim 1_1]:[T 8]]&lt;0,1,0),IF(ISNUMBER(AMP1_2[[#This Row],[Dim 1_1]:[T 8]])=TRUE,1,0))</f>
        <v>0</v>
      </c>
      <c r="H40">
        <v>156.01</v>
      </c>
      <c r="I40">
        <v>156</v>
      </c>
      <c r="J40">
        <v>168.625</v>
      </c>
      <c r="K40">
        <v>168.554</v>
      </c>
      <c r="L40">
        <v>156.04599999999999</v>
      </c>
      <c r="M40">
        <v>155.72800000000001</v>
      </c>
      <c r="N40">
        <v>27.207000000000001</v>
      </c>
      <c r="O40">
        <v>27.321000000000002</v>
      </c>
      <c r="R40">
        <v>17.143000000000001</v>
      </c>
      <c r="S40">
        <v>17.32</v>
      </c>
      <c r="T40">
        <v>34.192</v>
      </c>
      <c r="U40">
        <v>35.264000000000003</v>
      </c>
      <c r="W40">
        <v>0.17899999999999999</v>
      </c>
      <c r="X40">
        <v>-0.13500000000000001</v>
      </c>
      <c r="Z40">
        <v>-0.01</v>
      </c>
      <c r="AA40">
        <v>-0.19900000000000001</v>
      </c>
      <c r="AB40">
        <v>0.17899999999999999</v>
      </c>
      <c r="AC40">
        <v>-4.1000000000000002E-2</v>
      </c>
      <c r="AD40">
        <v>-0.13500000000000001</v>
      </c>
      <c r="AE40">
        <v>3.0000000000000001E-3</v>
      </c>
      <c r="AF40">
        <v>-0.01</v>
      </c>
      <c r="AG40">
        <v>-6.3E-2</v>
      </c>
      <c r="AH40">
        <v>-0.17399999999999999</v>
      </c>
      <c r="AI40">
        <v>-0.19900000000000001</v>
      </c>
    </row>
    <row r="41" spans="1:35" x14ac:dyDescent="0.25">
      <c r="A41" t="s">
        <v>1451</v>
      </c>
      <c r="B41" t="s">
        <v>32</v>
      </c>
      <c r="C41" s="25">
        <v>43703.597812499997</v>
      </c>
      <c r="D41" s="741" t="s">
        <v>969</v>
      </c>
      <c r="E41" s="741">
        <f t="array" ref="E41">SUMPRODUCT(IF(AMP1_2[[#This Row],[Dim 1_1]:[T 8]]-$F$4:$AI$4&lt;0,1,0)+IF($F$5:$AI$5-AMP1_2[[#This Row],[Dim 1_1]:[T 8]]&lt;0,1,0),IF(ISNUMBER(AMP1_2[[#This Row],[Dim 1_1]:[T 8]])=TRUE,1,0))</f>
        <v>1</v>
      </c>
      <c r="F41">
        <v>40.823</v>
      </c>
      <c r="G41">
        <v>40.738999999999997</v>
      </c>
      <c r="H41">
        <v>156.02799999999999</v>
      </c>
      <c r="I41">
        <v>156.143</v>
      </c>
      <c r="L41">
        <v>156.023</v>
      </c>
      <c r="M41">
        <v>155.82900000000001</v>
      </c>
      <c r="N41">
        <v>27.234999999999999</v>
      </c>
      <c r="O41">
        <v>27.385999999999999</v>
      </c>
      <c r="R41">
        <v>17.588999999999999</v>
      </c>
      <c r="S41">
        <v>17.428000000000001</v>
      </c>
      <c r="T41">
        <v>33.576000000000001</v>
      </c>
      <c r="U41">
        <v>33.948999999999998</v>
      </c>
      <c r="W41">
        <v>-0.17199999999999999</v>
      </c>
      <c r="X41">
        <v>-0.46400000000000002</v>
      </c>
      <c r="Z41">
        <v>0.10299999999999999</v>
      </c>
      <c r="AA41">
        <v>-0.45600000000000002</v>
      </c>
      <c r="AB41">
        <v>-0.432</v>
      </c>
      <c r="AC41">
        <v>-0.46400000000000002</v>
      </c>
      <c r="AD41">
        <v>-0.21299999999999999</v>
      </c>
      <c r="AE41">
        <v>-0.17199999999999999</v>
      </c>
      <c r="AF41">
        <v>-0.32</v>
      </c>
      <c r="AG41">
        <v>-0.45600000000000002</v>
      </c>
      <c r="AH41">
        <v>-0.11899999999999999</v>
      </c>
      <c r="AI41">
        <v>0.10299999999999999</v>
      </c>
    </row>
    <row r="42" spans="1:35" x14ac:dyDescent="0.25">
      <c r="A42" t="s">
        <v>1452</v>
      </c>
      <c r="B42" t="s">
        <v>31</v>
      </c>
      <c r="C42" s="25">
        <v>43703.600162037037</v>
      </c>
      <c r="D42" s="741" t="s">
        <v>969</v>
      </c>
      <c r="E42" s="741">
        <f t="array" ref="E42">SUMPRODUCT(IF(AMP1_2[[#This Row],[Dim 1_1]:[T 8]]-$F$4:$AI$4&lt;0,1,0)+IF($F$5:$AI$5-AMP1_2[[#This Row],[Dim 1_1]:[T 8]]&lt;0,1,0),IF(ISNUMBER(AMP1_2[[#This Row],[Dim 1_1]:[T 8]])=TRUE,1,0))</f>
        <v>0</v>
      </c>
      <c r="H42">
        <v>156.01499999999999</v>
      </c>
      <c r="I42">
        <v>156.00800000000001</v>
      </c>
      <c r="J42">
        <v>168.667</v>
      </c>
      <c r="K42">
        <v>168.459</v>
      </c>
      <c r="L42">
        <v>156.042</v>
      </c>
      <c r="M42">
        <v>155.69399999999999</v>
      </c>
      <c r="N42">
        <v>27.228999999999999</v>
      </c>
      <c r="O42">
        <v>27.327999999999999</v>
      </c>
      <c r="R42">
        <v>17.148</v>
      </c>
      <c r="S42">
        <v>17.193000000000001</v>
      </c>
      <c r="T42">
        <v>34.764000000000003</v>
      </c>
      <c r="U42">
        <v>35.814999999999998</v>
      </c>
      <c r="W42">
        <v>0.22800000000000001</v>
      </c>
      <c r="X42">
        <v>3.1E-2</v>
      </c>
      <c r="Z42">
        <v>1.7000000000000001E-2</v>
      </c>
      <c r="AA42">
        <v>-7.8E-2</v>
      </c>
      <c r="AB42">
        <v>0.22800000000000001</v>
      </c>
      <c r="AC42">
        <v>3.1E-2</v>
      </c>
      <c r="AD42">
        <v>4.7E-2</v>
      </c>
      <c r="AE42">
        <v>0.14899999999999999</v>
      </c>
      <c r="AF42">
        <v>1.7000000000000001E-2</v>
      </c>
      <c r="AG42">
        <v>-4.8000000000000001E-2</v>
      </c>
      <c r="AH42">
        <v>-4.3999999999999997E-2</v>
      </c>
      <c r="AI42">
        <v>-7.8E-2</v>
      </c>
    </row>
    <row r="43" spans="1:35" x14ac:dyDescent="0.25">
      <c r="A43" t="s">
        <v>1453</v>
      </c>
      <c r="B43" t="s">
        <v>32</v>
      </c>
      <c r="C43" s="25">
        <v>43703.713425925926</v>
      </c>
      <c r="D43" s="741" t="s">
        <v>969</v>
      </c>
      <c r="E43" s="741">
        <f t="array" ref="E43">SUMPRODUCT(IF(AMP1_2[[#This Row],[Dim 1_1]:[T 8]]-$F$4:$AI$4&lt;0,1,0)+IF($F$5:$AI$5-AMP1_2[[#This Row],[Dim 1_1]:[T 8]]&lt;0,1,0),IF(ISNUMBER(AMP1_2[[#This Row],[Dim 1_1]:[T 8]])=TRUE,1,0))</f>
        <v>0</v>
      </c>
      <c r="F43">
        <v>40.902000000000001</v>
      </c>
      <c r="G43">
        <v>40.923000000000002</v>
      </c>
      <c r="H43">
        <v>156.09800000000001</v>
      </c>
      <c r="I43">
        <v>156.107</v>
      </c>
      <c r="L43">
        <v>156.06899999999999</v>
      </c>
      <c r="M43">
        <v>155.87</v>
      </c>
      <c r="N43">
        <v>27.244</v>
      </c>
      <c r="O43">
        <v>27.36</v>
      </c>
      <c r="R43">
        <v>17.579000000000001</v>
      </c>
      <c r="S43">
        <v>17.443000000000001</v>
      </c>
      <c r="T43">
        <v>33.984999999999999</v>
      </c>
      <c r="U43">
        <v>34.265999999999998</v>
      </c>
      <c r="W43">
        <v>-0.104</v>
      </c>
      <c r="X43">
        <v>-0.58899999999999997</v>
      </c>
      <c r="Z43">
        <v>1.7000000000000001E-2</v>
      </c>
      <c r="AA43">
        <v>-0.56999999999999995</v>
      </c>
      <c r="AB43">
        <v>-0.51500000000000001</v>
      </c>
      <c r="AC43">
        <v>-0.58899999999999997</v>
      </c>
      <c r="AD43">
        <v>-0.307</v>
      </c>
      <c r="AE43">
        <v>-0.104</v>
      </c>
      <c r="AF43">
        <v>-0.45100000000000001</v>
      </c>
      <c r="AG43">
        <v>-0.56999999999999995</v>
      </c>
      <c r="AH43">
        <v>-0.16800000000000001</v>
      </c>
      <c r="AI43">
        <v>1.7000000000000001E-2</v>
      </c>
    </row>
    <row r="44" spans="1:35" x14ac:dyDescent="0.25">
      <c r="A44" t="s">
        <v>1454</v>
      </c>
      <c r="B44" t="s">
        <v>31</v>
      </c>
      <c r="C44" s="25">
        <v>43703.714942129627</v>
      </c>
      <c r="D44" s="741" t="s">
        <v>969</v>
      </c>
      <c r="E44" s="741">
        <f t="array" ref="E44">SUMPRODUCT(IF(AMP1_2[[#This Row],[Dim 1_1]:[T 8]]-$F$4:$AI$4&lt;0,1,0)+IF($F$5:$AI$5-AMP1_2[[#This Row],[Dim 1_1]:[T 8]]&lt;0,1,0),IF(ISNUMBER(AMP1_2[[#This Row],[Dim 1_1]:[T 8]])=TRUE,1,0))</f>
        <v>0</v>
      </c>
      <c r="H44">
        <v>156.024</v>
      </c>
      <c r="I44">
        <v>156.05199999999999</v>
      </c>
      <c r="J44">
        <v>168.6</v>
      </c>
      <c r="K44">
        <v>168.53800000000001</v>
      </c>
      <c r="L44">
        <v>156.09100000000001</v>
      </c>
      <c r="M44">
        <v>155.762</v>
      </c>
      <c r="N44">
        <v>27.155999999999999</v>
      </c>
      <c r="O44">
        <v>27.298999999999999</v>
      </c>
      <c r="R44">
        <v>17.151</v>
      </c>
      <c r="S44">
        <v>17.263000000000002</v>
      </c>
      <c r="T44">
        <v>37.020000000000003</v>
      </c>
      <c r="U44">
        <v>38.515000000000001</v>
      </c>
      <c r="W44">
        <v>0.105</v>
      </c>
      <c r="X44">
        <v>-0.26400000000000001</v>
      </c>
      <c r="Z44">
        <v>4.2000000000000003E-2</v>
      </c>
      <c r="AA44">
        <v>-6.2E-2</v>
      </c>
      <c r="AB44">
        <v>0.105</v>
      </c>
      <c r="AC44">
        <v>-9.0999999999999998E-2</v>
      </c>
      <c r="AD44">
        <v>-0.128</v>
      </c>
      <c r="AE44">
        <v>-0.26400000000000001</v>
      </c>
      <c r="AF44">
        <v>4.2000000000000003E-2</v>
      </c>
      <c r="AG44">
        <v>-8.0000000000000002E-3</v>
      </c>
      <c r="AH44">
        <v>-4.2999999999999997E-2</v>
      </c>
      <c r="AI44">
        <v>-6.2E-2</v>
      </c>
    </row>
    <row r="45" spans="1:35" x14ac:dyDescent="0.25">
      <c r="A45" t="s">
        <v>1455</v>
      </c>
      <c r="B45" t="s">
        <v>32</v>
      </c>
      <c r="C45" s="25">
        <v>43703.829976851855</v>
      </c>
      <c r="D45" s="741" t="s">
        <v>969</v>
      </c>
      <c r="E45" s="741">
        <f t="array" ref="E45">SUMPRODUCT(IF(AMP1_2[[#This Row],[Dim 1_1]:[T 8]]-$F$4:$AI$4&lt;0,1,0)+IF($F$5:$AI$5-AMP1_2[[#This Row],[Dim 1_1]:[T 8]]&lt;0,1,0),IF(ISNUMBER(AMP1_2[[#This Row],[Dim 1_1]:[T 8]])=TRUE,1,0))</f>
        <v>0</v>
      </c>
      <c r="F45">
        <v>41.009</v>
      </c>
      <c r="G45">
        <v>40.942999999999998</v>
      </c>
      <c r="H45">
        <v>156.113</v>
      </c>
      <c r="I45">
        <v>156.13300000000001</v>
      </c>
      <c r="L45">
        <v>156.119</v>
      </c>
      <c r="M45">
        <v>155.881</v>
      </c>
      <c r="N45">
        <v>27.204999999999998</v>
      </c>
      <c r="O45">
        <v>27.396000000000001</v>
      </c>
      <c r="R45">
        <v>17.588999999999999</v>
      </c>
      <c r="S45">
        <v>17.443000000000001</v>
      </c>
      <c r="T45">
        <v>33.853000000000002</v>
      </c>
      <c r="U45">
        <v>34.085999999999999</v>
      </c>
      <c r="W45">
        <v>-0.112</v>
      </c>
      <c r="X45">
        <v>-0.58199999999999996</v>
      </c>
      <c r="Z45">
        <v>4.3999999999999997E-2</v>
      </c>
      <c r="AA45">
        <v>-0.58399999999999996</v>
      </c>
      <c r="AB45">
        <v>-0.52100000000000002</v>
      </c>
      <c r="AC45">
        <v>-0.58199999999999996</v>
      </c>
      <c r="AD45">
        <v>-0.31</v>
      </c>
      <c r="AE45">
        <v>-0.112</v>
      </c>
      <c r="AF45">
        <v>-0.47499999999999998</v>
      </c>
      <c r="AG45">
        <v>-0.58399999999999996</v>
      </c>
      <c r="AH45">
        <v>-0.157</v>
      </c>
      <c r="AI45">
        <v>4.3999999999999997E-2</v>
      </c>
    </row>
    <row r="46" spans="1:35" x14ac:dyDescent="0.25">
      <c r="A46" t="s">
        <v>1456</v>
      </c>
      <c r="B46" t="s">
        <v>31</v>
      </c>
      <c r="C46" s="25">
        <v>43703.83148148148</v>
      </c>
      <c r="D46" s="741" t="s">
        <v>969</v>
      </c>
      <c r="E46" s="741">
        <f t="array" ref="E46">SUMPRODUCT(IF(AMP1_2[[#This Row],[Dim 1_1]:[T 8]]-$F$4:$AI$4&lt;0,1,0)+IF($F$5:$AI$5-AMP1_2[[#This Row],[Dim 1_1]:[T 8]]&lt;0,1,0),IF(ISNUMBER(AMP1_2[[#This Row],[Dim 1_1]:[T 8]])=TRUE,1,0))</f>
        <v>0</v>
      </c>
      <c r="H46">
        <v>156.077</v>
      </c>
      <c r="I46">
        <v>156.10900000000001</v>
      </c>
      <c r="J46">
        <v>168.86199999999999</v>
      </c>
      <c r="K46">
        <v>168.67400000000001</v>
      </c>
      <c r="L46">
        <v>156.18</v>
      </c>
      <c r="M46">
        <v>155.93100000000001</v>
      </c>
      <c r="N46">
        <v>27.087</v>
      </c>
      <c r="O46">
        <v>27.228000000000002</v>
      </c>
      <c r="R46">
        <v>17.181999999999999</v>
      </c>
      <c r="S46">
        <v>17.151</v>
      </c>
      <c r="T46">
        <v>36.685000000000002</v>
      </c>
      <c r="U46">
        <v>38.901000000000003</v>
      </c>
      <c r="W46">
        <v>1.7999999999999999E-2</v>
      </c>
      <c r="X46">
        <v>-0.252</v>
      </c>
      <c r="Z46">
        <v>3.3000000000000002E-2</v>
      </c>
      <c r="AA46">
        <v>-7.8E-2</v>
      </c>
      <c r="AB46">
        <v>1.7999999999999999E-2</v>
      </c>
      <c r="AC46">
        <v>-0.16700000000000001</v>
      </c>
      <c r="AD46">
        <v>-5.8999999999999997E-2</v>
      </c>
      <c r="AE46">
        <v>-0.252</v>
      </c>
      <c r="AF46">
        <v>-2.1000000000000001E-2</v>
      </c>
      <c r="AG46">
        <v>-7.8E-2</v>
      </c>
      <c r="AH46">
        <v>3.3000000000000002E-2</v>
      </c>
      <c r="AI46">
        <v>-4.0000000000000001E-3</v>
      </c>
    </row>
    <row r="47" spans="1:35" x14ac:dyDescent="0.25">
      <c r="A47" t="s">
        <v>1457</v>
      </c>
      <c r="B47" t="s">
        <v>32</v>
      </c>
      <c r="C47" s="25">
        <v>43703.971585648149</v>
      </c>
      <c r="D47" s="741" t="s">
        <v>969</v>
      </c>
      <c r="E47" s="741">
        <f t="array" ref="E47">SUMPRODUCT(IF(AMP1_2[[#This Row],[Dim 1_1]:[T 8]]-$F$4:$AI$4&lt;0,1,0)+IF($F$5:$AI$5-AMP1_2[[#This Row],[Dim 1_1]:[T 8]]&lt;0,1,0),IF(ISNUMBER(AMP1_2[[#This Row],[Dim 1_1]:[T 8]])=TRUE,1,0))</f>
        <v>0</v>
      </c>
      <c r="F47">
        <v>41</v>
      </c>
      <c r="G47">
        <v>40.926000000000002</v>
      </c>
      <c r="H47">
        <v>155.952</v>
      </c>
      <c r="I47">
        <v>156.08000000000001</v>
      </c>
      <c r="L47">
        <v>155.97900000000001</v>
      </c>
      <c r="M47">
        <v>155.81899999999999</v>
      </c>
      <c r="N47">
        <v>27.286000000000001</v>
      </c>
      <c r="O47">
        <v>27.439</v>
      </c>
      <c r="R47">
        <v>17.559000000000001</v>
      </c>
      <c r="S47">
        <v>17.452000000000002</v>
      </c>
      <c r="T47">
        <v>33.588000000000001</v>
      </c>
      <c r="U47">
        <v>34.494</v>
      </c>
      <c r="W47">
        <v>-7.0999999999999994E-2</v>
      </c>
      <c r="X47">
        <v>-0.46</v>
      </c>
      <c r="Z47">
        <v>5.0999999999999997E-2</v>
      </c>
      <c r="AA47">
        <v>-0.41099999999999998</v>
      </c>
      <c r="AB47">
        <v>-0.376</v>
      </c>
      <c r="AC47">
        <v>-0.46</v>
      </c>
      <c r="AD47">
        <v>-0.31</v>
      </c>
      <c r="AE47">
        <v>-7.0999999999999994E-2</v>
      </c>
      <c r="AF47">
        <v>-0.26600000000000001</v>
      </c>
      <c r="AG47">
        <v>-0.41099999999999998</v>
      </c>
      <c r="AH47">
        <v>-0.13100000000000001</v>
      </c>
      <c r="AI47">
        <v>5.0999999999999997E-2</v>
      </c>
    </row>
    <row r="48" spans="1:35" x14ac:dyDescent="0.25">
      <c r="A48" t="s">
        <v>1458</v>
      </c>
      <c r="B48" t="s">
        <v>31</v>
      </c>
      <c r="C48" s="25">
        <v>43703.973124999997</v>
      </c>
      <c r="D48" s="741" t="s">
        <v>969</v>
      </c>
      <c r="E48" s="741">
        <f t="array" ref="E48">SUMPRODUCT(IF(AMP1_2[[#This Row],[Dim 1_1]:[T 8]]-$F$4:$AI$4&lt;0,1,0)+IF($F$5:$AI$5-AMP1_2[[#This Row],[Dim 1_1]:[T 8]]&lt;0,1,0),IF(ISNUMBER(AMP1_2[[#This Row],[Dim 1_1]:[T 8]])=TRUE,1,0))</f>
        <v>0</v>
      </c>
      <c r="H48">
        <v>155.96</v>
      </c>
      <c r="I48">
        <v>155.97399999999999</v>
      </c>
      <c r="J48">
        <v>168.643</v>
      </c>
      <c r="K48">
        <v>168.58099999999999</v>
      </c>
      <c r="L48">
        <v>156.012</v>
      </c>
      <c r="M48">
        <v>155.63300000000001</v>
      </c>
      <c r="N48">
        <v>27.28</v>
      </c>
      <c r="O48">
        <v>27.437000000000001</v>
      </c>
      <c r="R48">
        <v>17.138000000000002</v>
      </c>
      <c r="S48">
        <v>17.334</v>
      </c>
      <c r="T48">
        <v>38.356999999999999</v>
      </c>
      <c r="U48">
        <v>40.707999999999998</v>
      </c>
      <c r="W48">
        <v>0.152</v>
      </c>
      <c r="X48">
        <v>-0.20599999999999999</v>
      </c>
      <c r="Z48">
        <v>1.2999999999999999E-2</v>
      </c>
      <c r="AA48">
        <v>-0.21</v>
      </c>
      <c r="AB48">
        <v>0.152</v>
      </c>
      <c r="AC48">
        <v>-4.2000000000000003E-2</v>
      </c>
      <c r="AD48">
        <v>-0.20599999999999999</v>
      </c>
      <c r="AE48">
        <v>6.7000000000000004E-2</v>
      </c>
      <c r="AF48">
        <v>1.2999999999999999E-2</v>
      </c>
      <c r="AG48">
        <v>-3.1E-2</v>
      </c>
      <c r="AH48">
        <v>-0.20399999999999999</v>
      </c>
      <c r="AI48">
        <v>-0.21</v>
      </c>
    </row>
    <row r="49" spans="1:35" x14ac:dyDescent="0.25">
      <c r="A49" t="s">
        <v>1459</v>
      </c>
      <c r="B49" t="s">
        <v>32</v>
      </c>
      <c r="C49" s="25">
        <v>43704.050682870373</v>
      </c>
      <c r="D49" s="741" t="s">
        <v>969</v>
      </c>
      <c r="E49" s="741">
        <f t="array" ref="E49">SUMPRODUCT(IF(AMP1_2[[#This Row],[Dim 1_1]:[T 8]]-$F$4:$AI$4&lt;0,1,0)+IF($F$5:$AI$5-AMP1_2[[#This Row],[Dim 1_1]:[T 8]]&lt;0,1,0),IF(ISNUMBER(AMP1_2[[#This Row],[Dim 1_1]:[T 8]])=TRUE,1,0))</f>
        <v>0</v>
      </c>
      <c r="F49">
        <v>40.917999999999999</v>
      </c>
      <c r="G49">
        <v>40.859000000000002</v>
      </c>
      <c r="H49">
        <v>156.15700000000001</v>
      </c>
      <c r="I49">
        <v>156.18899999999999</v>
      </c>
      <c r="L49">
        <v>156.101</v>
      </c>
      <c r="M49">
        <v>155.85499999999999</v>
      </c>
      <c r="N49">
        <v>27.183</v>
      </c>
      <c r="O49">
        <v>27.35</v>
      </c>
      <c r="R49">
        <v>17.625</v>
      </c>
      <c r="S49">
        <v>17.356999999999999</v>
      </c>
      <c r="T49">
        <v>33.808999999999997</v>
      </c>
      <c r="U49">
        <v>34.445</v>
      </c>
      <c r="W49">
        <v>1.7999999999999999E-2</v>
      </c>
      <c r="X49">
        <v>-0.56999999999999995</v>
      </c>
      <c r="Z49">
        <v>0.185</v>
      </c>
      <c r="AA49">
        <v>-0.53700000000000003</v>
      </c>
      <c r="AB49">
        <v>-0.47299999999999998</v>
      </c>
      <c r="AC49">
        <v>-0.56999999999999995</v>
      </c>
      <c r="AD49">
        <v>-0.13600000000000001</v>
      </c>
      <c r="AE49">
        <v>1.7999999999999999E-2</v>
      </c>
      <c r="AF49">
        <v>-0.39200000000000002</v>
      </c>
      <c r="AG49">
        <v>-0.53700000000000003</v>
      </c>
      <c r="AH49">
        <v>1.9E-2</v>
      </c>
      <c r="AI49">
        <v>0.185</v>
      </c>
    </row>
    <row r="50" spans="1:35" x14ac:dyDescent="0.25">
      <c r="A50" t="s">
        <v>1460</v>
      </c>
      <c r="B50" t="s">
        <v>31</v>
      </c>
      <c r="C50" s="25">
        <v>43704.052199074074</v>
      </c>
      <c r="D50" s="741" t="s">
        <v>969</v>
      </c>
      <c r="E50" s="741">
        <f t="array" ref="E50">SUMPRODUCT(IF(AMP1_2[[#This Row],[Dim 1_1]:[T 8]]-$F$4:$AI$4&lt;0,1,0)+IF($F$5:$AI$5-AMP1_2[[#This Row],[Dim 1_1]:[T 8]]&lt;0,1,0),IF(ISNUMBER(AMP1_2[[#This Row],[Dim 1_1]:[T 8]])=TRUE,1,0))</f>
        <v>0</v>
      </c>
      <c r="H50">
        <v>156.08199999999999</v>
      </c>
      <c r="I50">
        <v>156.11000000000001</v>
      </c>
      <c r="J50">
        <v>168.71899999999999</v>
      </c>
      <c r="K50">
        <v>168.63900000000001</v>
      </c>
      <c r="L50">
        <v>156.19200000000001</v>
      </c>
      <c r="M50">
        <v>155.83099999999999</v>
      </c>
      <c r="N50">
        <v>27.073</v>
      </c>
      <c r="O50">
        <v>27.23</v>
      </c>
      <c r="R50">
        <v>17.167999999999999</v>
      </c>
      <c r="S50">
        <v>17.239000000000001</v>
      </c>
      <c r="T50">
        <v>35.186</v>
      </c>
      <c r="U50">
        <v>35.441000000000003</v>
      </c>
      <c r="W50">
        <v>1.0999999999999999E-2</v>
      </c>
      <c r="X50">
        <v>-0.16600000000000001</v>
      </c>
      <c r="Z50">
        <v>-6.6000000000000003E-2</v>
      </c>
      <c r="AA50">
        <v>-0.14299999999999999</v>
      </c>
      <c r="AB50">
        <v>1.0999999999999999E-2</v>
      </c>
      <c r="AC50">
        <v>-0.16600000000000001</v>
      </c>
      <c r="AD50">
        <v>-0.16</v>
      </c>
      <c r="AE50">
        <v>-0.14000000000000001</v>
      </c>
      <c r="AF50">
        <v>-6.6000000000000003E-2</v>
      </c>
      <c r="AG50">
        <v>-0.108</v>
      </c>
      <c r="AH50">
        <v>-9.6000000000000002E-2</v>
      </c>
      <c r="AI50">
        <v>-0.14299999999999999</v>
      </c>
    </row>
    <row r="51" spans="1:35" x14ac:dyDescent="0.25">
      <c r="A51" t="s">
        <v>1461</v>
      </c>
      <c r="B51" t="s">
        <v>32</v>
      </c>
      <c r="C51" s="25">
        <v>43704.352500000001</v>
      </c>
      <c r="D51" s="741" t="s">
        <v>969</v>
      </c>
      <c r="E51" s="741">
        <f t="array" ref="E51">SUMPRODUCT(IF(AMP1_2[[#This Row],[Dim 1_1]:[T 8]]-$F$4:$AI$4&lt;0,1,0)+IF($F$5:$AI$5-AMP1_2[[#This Row],[Dim 1_1]:[T 8]]&lt;0,1,0),IF(ISNUMBER(AMP1_2[[#This Row],[Dim 1_1]:[T 8]])=TRUE,1,0))</f>
        <v>1</v>
      </c>
      <c r="F51">
        <v>40.804000000000002</v>
      </c>
      <c r="G51">
        <v>40.707999999999998</v>
      </c>
      <c r="H51">
        <v>156.13999999999999</v>
      </c>
      <c r="I51">
        <v>156.24600000000001</v>
      </c>
      <c r="L51">
        <v>156.119</v>
      </c>
      <c r="M51">
        <v>155.935</v>
      </c>
      <c r="N51">
        <v>27.16</v>
      </c>
      <c r="O51">
        <v>27.295000000000002</v>
      </c>
      <c r="R51">
        <v>17.611999999999998</v>
      </c>
      <c r="S51">
        <v>17.498000000000001</v>
      </c>
      <c r="T51">
        <v>33.981999999999999</v>
      </c>
      <c r="U51">
        <v>34.271999999999998</v>
      </c>
      <c r="W51">
        <v>-0.34100000000000003</v>
      </c>
      <c r="X51">
        <v>-0.58199999999999996</v>
      </c>
      <c r="Z51">
        <v>6.0999999999999999E-2</v>
      </c>
      <c r="AA51">
        <v>-0.48</v>
      </c>
      <c r="AB51">
        <v>-0.51300000000000001</v>
      </c>
      <c r="AC51">
        <v>-0.58199999999999996</v>
      </c>
      <c r="AD51">
        <v>-0.34599999999999997</v>
      </c>
      <c r="AE51">
        <v>-0.34100000000000003</v>
      </c>
      <c r="AF51">
        <v>-0.34899999999999998</v>
      </c>
      <c r="AG51">
        <v>-0.48</v>
      </c>
      <c r="AH51">
        <v>-0.122</v>
      </c>
      <c r="AI51">
        <v>6.0999999999999999E-2</v>
      </c>
    </row>
    <row r="52" spans="1:35" x14ac:dyDescent="0.25">
      <c r="A52" t="s">
        <v>1462</v>
      </c>
      <c r="B52" t="s">
        <v>31</v>
      </c>
      <c r="C52" s="25">
        <v>43704.355300925927</v>
      </c>
      <c r="D52" s="741" t="s">
        <v>969</v>
      </c>
      <c r="E52" s="741">
        <f t="array" ref="E52">SUMPRODUCT(IF(AMP1_2[[#This Row],[Dim 1_1]:[T 8]]-$F$4:$AI$4&lt;0,1,0)+IF($F$5:$AI$5-AMP1_2[[#This Row],[Dim 1_1]:[T 8]]&lt;0,1,0),IF(ISNUMBER(AMP1_2[[#This Row],[Dim 1_1]:[T 8]])=TRUE,1,0))</f>
        <v>0</v>
      </c>
      <c r="H52">
        <v>156.04900000000001</v>
      </c>
      <c r="I52">
        <v>156.071</v>
      </c>
      <c r="J52">
        <v>168.637</v>
      </c>
      <c r="K52">
        <v>168.48099999999999</v>
      </c>
      <c r="L52">
        <v>156.15</v>
      </c>
      <c r="M52">
        <v>155.76599999999999</v>
      </c>
      <c r="N52">
        <v>27.135999999999999</v>
      </c>
      <c r="O52">
        <v>27.28</v>
      </c>
      <c r="R52">
        <v>17.178999999999998</v>
      </c>
      <c r="S52">
        <v>17.283999999999999</v>
      </c>
      <c r="T52">
        <v>36.317</v>
      </c>
      <c r="U52">
        <v>37.81</v>
      </c>
      <c r="W52">
        <v>4.7E-2</v>
      </c>
      <c r="X52">
        <v>-0.17899999999999999</v>
      </c>
      <c r="Z52">
        <v>-7.3999999999999996E-2</v>
      </c>
      <c r="AA52">
        <v>-0.21199999999999999</v>
      </c>
      <c r="AB52">
        <v>4.7E-2</v>
      </c>
      <c r="AC52">
        <v>-0.13500000000000001</v>
      </c>
      <c r="AD52">
        <v>-0.17899999999999999</v>
      </c>
      <c r="AE52">
        <v>-0.109</v>
      </c>
      <c r="AF52">
        <v>-7.3999999999999996E-2</v>
      </c>
      <c r="AG52">
        <v>-0.13900000000000001</v>
      </c>
      <c r="AH52">
        <v>-0.16800000000000001</v>
      </c>
      <c r="AI52">
        <v>-0.21199999999999999</v>
      </c>
    </row>
    <row r="53" spans="1:35" x14ac:dyDescent="0.25">
      <c r="A53" t="s">
        <v>1463</v>
      </c>
      <c r="B53" t="s">
        <v>32</v>
      </c>
      <c r="C53" s="25">
        <v>43704.455995370372</v>
      </c>
      <c r="D53" s="741" t="s">
        <v>969</v>
      </c>
      <c r="E53" s="741">
        <f t="array" ref="E53">SUMPRODUCT(IF(AMP1_2[[#This Row],[Dim 1_1]:[T 8]]-$F$4:$AI$4&lt;0,1,0)+IF($F$5:$AI$5-AMP1_2[[#This Row],[Dim 1_1]:[T 8]]&lt;0,1,0),IF(ISNUMBER(AMP1_2[[#This Row],[Dim 1_1]:[T 8]])=TRUE,1,0))</f>
        <v>1</v>
      </c>
      <c r="F53">
        <v>40.954000000000001</v>
      </c>
      <c r="G53">
        <v>40.783000000000001</v>
      </c>
      <c r="H53">
        <v>156.184</v>
      </c>
      <c r="I53">
        <v>156.21799999999999</v>
      </c>
      <c r="L53">
        <v>156.172</v>
      </c>
      <c r="M53">
        <v>155.929</v>
      </c>
      <c r="N53">
        <v>27.138000000000002</v>
      </c>
      <c r="O53">
        <v>27.326000000000001</v>
      </c>
      <c r="R53">
        <v>17.631</v>
      </c>
      <c r="S53">
        <v>17.311</v>
      </c>
      <c r="T53">
        <v>33.921999999999997</v>
      </c>
      <c r="U53">
        <v>34.488999999999997</v>
      </c>
      <c r="W53">
        <v>7.0999999999999994E-2</v>
      </c>
      <c r="X53">
        <v>-0.56200000000000006</v>
      </c>
      <c r="Z53">
        <v>0.14199999999999999</v>
      </c>
      <c r="AA53">
        <v>-0.60499999999999998</v>
      </c>
      <c r="AB53">
        <v>-0.48899999999999999</v>
      </c>
      <c r="AC53">
        <v>-0.56200000000000006</v>
      </c>
      <c r="AD53">
        <v>-0.13200000000000001</v>
      </c>
      <c r="AE53">
        <v>7.0999999999999994E-2</v>
      </c>
      <c r="AF53">
        <v>-0.47099999999999997</v>
      </c>
      <c r="AG53">
        <v>-0.60499999999999998</v>
      </c>
      <c r="AH53">
        <v>-4.7E-2</v>
      </c>
      <c r="AI53">
        <v>0.14199999999999999</v>
      </c>
    </row>
    <row r="54" spans="1:35" x14ac:dyDescent="0.25">
      <c r="A54" t="s">
        <v>1464</v>
      </c>
      <c r="B54" t="s">
        <v>31</v>
      </c>
      <c r="C54" s="25">
        <v>43704.459201388891</v>
      </c>
      <c r="D54" s="741" t="s">
        <v>969</v>
      </c>
      <c r="E54" s="741">
        <f t="array" ref="E54">SUMPRODUCT(IF(AMP1_2[[#This Row],[Dim 1_1]:[T 8]]-$F$4:$AI$4&lt;0,1,0)+IF($F$5:$AI$5-AMP1_2[[#This Row],[Dim 1_1]:[T 8]]&lt;0,1,0),IF(ISNUMBER(AMP1_2[[#This Row],[Dim 1_1]:[T 8]])=TRUE,1,0))</f>
        <v>0</v>
      </c>
      <c r="H54">
        <v>156.09200000000001</v>
      </c>
      <c r="I54">
        <v>156.13300000000001</v>
      </c>
      <c r="J54">
        <v>168.809</v>
      </c>
      <c r="K54">
        <v>168.566</v>
      </c>
      <c r="L54">
        <v>156.214</v>
      </c>
      <c r="M54">
        <v>155.87200000000001</v>
      </c>
      <c r="N54">
        <v>27.062999999999999</v>
      </c>
      <c r="O54">
        <v>27.170999999999999</v>
      </c>
      <c r="R54">
        <v>17.219000000000001</v>
      </c>
      <c r="S54">
        <v>17.283000000000001</v>
      </c>
      <c r="T54">
        <v>36.26</v>
      </c>
      <c r="U54">
        <v>38.215000000000003</v>
      </c>
      <c r="W54">
        <v>2.4E-2</v>
      </c>
      <c r="X54">
        <v>-0.32300000000000001</v>
      </c>
      <c r="Z54">
        <v>-5.7000000000000002E-2</v>
      </c>
      <c r="AA54">
        <v>-0.13500000000000001</v>
      </c>
      <c r="AB54">
        <v>2.4E-2</v>
      </c>
      <c r="AC54">
        <v>-0.16200000000000001</v>
      </c>
      <c r="AD54">
        <v>-0.14899999999999999</v>
      </c>
      <c r="AE54">
        <v>-0.32300000000000001</v>
      </c>
      <c r="AF54">
        <v>-5.7000000000000002E-2</v>
      </c>
      <c r="AG54">
        <v>-0.112</v>
      </c>
      <c r="AH54">
        <v>-0.12</v>
      </c>
      <c r="AI54">
        <v>-0.13500000000000001</v>
      </c>
    </row>
    <row r="55" spans="1:35" x14ac:dyDescent="0.25">
      <c r="A55" t="s">
        <v>1465</v>
      </c>
      <c r="B55" t="s">
        <v>32</v>
      </c>
      <c r="C55" s="25">
        <v>43704.61613425926</v>
      </c>
      <c r="D55" s="741" t="s">
        <v>969</v>
      </c>
      <c r="E55" s="741">
        <f t="array" ref="E55">SUMPRODUCT(IF(AMP1_2[[#This Row],[Dim 1_1]:[T 8]]-$F$4:$AI$4&lt;0,1,0)+IF($F$5:$AI$5-AMP1_2[[#This Row],[Dim 1_1]:[T 8]]&lt;0,1,0),IF(ISNUMBER(AMP1_2[[#This Row],[Dim 1_1]:[T 8]])=TRUE,1,0))</f>
        <v>0</v>
      </c>
      <c r="F55">
        <v>40.905999999999999</v>
      </c>
      <c r="G55">
        <v>40.854999999999997</v>
      </c>
      <c r="H55">
        <v>156.11099999999999</v>
      </c>
      <c r="I55">
        <v>156.13800000000001</v>
      </c>
      <c r="L55">
        <v>156.09</v>
      </c>
      <c r="M55">
        <v>155.821</v>
      </c>
      <c r="N55">
        <v>27.18</v>
      </c>
      <c r="O55">
        <v>27.378</v>
      </c>
      <c r="R55">
        <v>17.594999999999999</v>
      </c>
      <c r="S55">
        <v>17.417999999999999</v>
      </c>
      <c r="T55">
        <v>33.850999999999999</v>
      </c>
      <c r="U55">
        <v>33.99</v>
      </c>
      <c r="W55">
        <v>-0.113</v>
      </c>
      <c r="X55">
        <v>-0.57599999999999996</v>
      </c>
      <c r="Z55">
        <v>3.1E-2</v>
      </c>
      <c r="AA55">
        <v>-0.60099999999999998</v>
      </c>
      <c r="AB55">
        <v>-0.51400000000000001</v>
      </c>
      <c r="AC55">
        <v>-0.57599999999999996</v>
      </c>
      <c r="AD55">
        <v>-0.28199999999999997</v>
      </c>
      <c r="AE55">
        <v>-0.113</v>
      </c>
      <c r="AF55">
        <v>-0.46500000000000002</v>
      </c>
      <c r="AG55">
        <v>-0.60099999999999998</v>
      </c>
      <c r="AH55">
        <v>-0.152</v>
      </c>
      <c r="AI55">
        <v>3.1E-2</v>
      </c>
    </row>
    <row r="56" spans="1:35" x14ac:dyDescent="0.25">
      <c r="A56" t="s">
        <v>1466</v>
      </c>
      <c r="B56" t="s">
        <v>31</v>
      </c>
      <c r="C56" s="25">
        <v>43704.618194444447</v>
      </c>
      <c r="D56" s="741" t="s">
        <v>969</v>
      </c>
      <c r="E56" s="741">
        <f t="array" ref="E56">SUMPRODUCT(IF(AMP1_2[[#This Row],[Dim 1_1]:[T 8]]-$F$4:$AI$4&lt;0,1,0)+IF($F$5:$AI$5-AMP1_2[[#This Row],[Dim 1_1]:[T 8]]&lt;0,1,0),IF(ISNUMBER(AMP1_2[[#This Row],[Dim 1_1]:[T 8]])=TRUE,1,0))</f>
        <v>0</v>
      </c>
      <c r="H56">
        <v>156.072</v>
      </c>
      <c r="I56">
        <v>156.191</v>
      </c>
      <c r="J56">
        <v>168.81</v>
      </c>
      <c r="K56">
        <v>168.642</v>
      </c>
      <c r="L56">
        <v>156.202</v>
      </c>
      <c r="M56">
        <v>155.88900000000001</v>
      </c>
      <c r="N56">
        <v>27.081</v>
      </c>
      <c r="O56">
        <v>27.157</v>
      </c>
      <c r="R56">
        <v>17.181000000000001</v>
      </c>
      <c r="S56">
        <v>17.187000000000001</v>
      </c>
      <c r="T56">
        <v>37.494</v>
      </c>
      <c r="U56">
        <v>38.777999999999999</v>
      </c>
      <c r="W56">
        <v>-1.7000000000000001E-2</v>
      </c>
      <c r="X56">
        <v>-0.189</v>
      </c>
      <c r="Z56">
        <v>-8.4000000000000005E-2</v>
      </c>
      <c r="AA56">
        <v>-0.13400000000000001</v>
      </c>
      <c r="AB56">
        <v>-1.7000000000000001E-2</v>
      </c>
      <c r="AC56">
        <v>-0.189</v>
      </c>
      <c r="AD56">
        <v>-0.186</v>
      </c>
      <c r="AE56">
        <v>-0.13</v>
      </c>
      <c r="AF56">
        <v>-8.4000000000000005E-2</v>
      </c>
      <c r="AG56">
        <v>-0.13400000000000001</v>
      </c>
      <c r="AH56">
        <v>-9.6000000000000002E-2</v>
      </c>
      <c r="AI56">
        <v>-0.127</v>
      </c>
    </row>
    <row r="57" spans="1:35" x14ac:dyDescent="0.25">
      <c r="A57" t="s">
        <v>1467</v>
      </c>
      <c r="B57" t="s">
        <v>32</v>
      </c>
      <c r="C57" s="25">
        <v>43704.715150462966</v>
      </c>
      <c r="D57" s="741" t="s">
        <v>969</v>
      </c>
      <c r="E57" s="741">
        <f t="array" ref="E57">SUMPRODUCT(IF(AMP1_2[[#This Row],[Dim 1_1]:[T 8]]-$F$4:$AI$4&lt;0,1,0)+IF($F$5:$AI$5-AMP1_2[[#This Row],[Dim 1_1]:[T 8]]&lt;0,1,0),IF(ISNUMBER(AMP1_2[[#This Row],[Dim 1_1]:[T 8]])=TRUE,1,0))</f>
        <v>1</v>
      </c>
      <c r="F57">
        <v>40.831000000000003</v>
      </c>
      <c r="G57">
        <v>40.720999999999997</v>
      </c>
      <c r="H57">
        <v>156.036</v>
      </c>
      <c r="I57">
        <v>156.143</v>
      </c>
      <c r="L57">
        <v>156.084</v>
      </c>
      <c r="M57">
        <v>155.90600000000001</v>
      </c>
      <c r="N57">
        <v>27.204000000000001</v>
      </c>
      <c r="O57">
        <v>27.33</v>
      </c>
      <c r="R57">
        <v>17.587</v>
      </c>
      <c r="S57">
        <v>17.497</v>
      </c>
      <c r="T57">
        <v>33.966999999999999</v>
      </c>
      <c r="U57">
        <v>34.130000000000003</v>
      </c>
      <c r="W57">
        <v>-0.14000000000000001</v>
      </c>
      <c r="X57">
        <v>-0.63300000000000001</v>
      </c>
      <c r="Z57">
        <v>4.3999999999999997E-2</v>
      </c>
      <c r="AA57">
        <v>-0.50600000000000001</v>
      </c>
      <c r="AB57">
        <v>-0.56399999999999995</v>
      </c>
      <c r="AC57">
        <v>-0.63300000000000001</v>
      </c>
      <c r="AD57">
        <v>-0.32900000000000001</v>
      </c>
      <c r="AE57">
        <v>-0.14000000000000001</v>
      </c>
      <c r="AF57">
        <v>-0.38400000000000001</v>
      </c>
      <c r="AG57">
        <v>-0.50600000000000001</v>
      </c>
      <c r="AH57">
        <v>-0.113</v>
      </c>
      <c r="AI57">
        <v>4.3999999999999997E-2</v>
      </c>
    </row>
    <row r="58" spans="1:35" x14ac:dyDescent="0.25">
      <c r="A58" t="s">
        <v>1468</v>
      </c>
      <c r="B58" t="s">
        <v>31</v>
      </c>
      <c r="C58" s="25">
        <v>43704.716770833336</v>
      </c>
      <c r="D58" s="741" t="s">
        <v>969</v>
      </c>
      <c r="E58" s="741">
        <f t="array" ref="E58">SUMPRODUCT(IF(AMP1_2[[#This Row],[Dim 1_1]:[T 8]]-$F$4:$AI$4&lt;0,1,0)+IF($F$5:$AI$5-AMP1_2[[#This Row],[Dim 1_1]:[T 8]]&lt;0,1,0),IF(ISNUMBER(AMP1_2[[#This Row],[Dim 1_1]:[T 8]])=TRUE,1,0))</f>
        <v>0</v>
      </c>
      <c r="H58">
        <v>156.05699999999999</v>
      </c>
      <c r="I58">
        <v>156.06899999999999</v>
      </c>
      <c r="J58">
        <v>168.67400000000001</v>
      </c>
      <c r="K58">
        <v>169.07599999999999</v>
      </c>
      <c r="L58">
        <v>156.172</v>
      </c>
      <c r="M58">
        <v>155.749</v>
      </c>
      <c r="N58">
        <v>27.14</v>
      </c>
      <c r="O58">
        <v>27.311</v>
      </c>
      <c r="R58">
        <v>17.178000000000001</v>
      </c>
      <c r="S58">
        <v>17.254999999999999</v>
      </c>
      <c r="T58">
        <v>35.795999999999999</v>
      </c>
      <c r="U58">
        <v>37.154000000000003</v>
      </c>
      <c r="W58">
        <v>0.123</v>
      </c>
      <c r="X58">
        <v>-0.13400000000000001</v>
      </c>
      <c r="Z58">
        <v>-0.10199999999999999</v>
      </c>
      <c r="AA58">
        <v>-0.19900000000000001</v>
      </c>
      <c r="AB58">
        <v>0.123</v>
      </c>
      <c r="AC58">
        <v>-8.3000000000000004E-2</v>
      </c>
      <c r="AD58">
        <v>-0.13400000000000001</v>
      </c>
      <c r="AE58">
        <v>6.6000000000000003E-2</v>
      </c>
      <c r="AF58">
        <v>-0.10199999999999999</v>
      </c>
      <c r="AG58">
        <v>-0.125</v>
      </c>
      <c r="AH58">
        <v>-0.153</v>
      </c>
      <c r="AI58">
        <v>-0.19900000000000001</v>
      </c>
    </row>
    <row r="59" spans="1:35" x14ac:dyDescent="0.25">
      <c r="A59" t="s">
        <v>1469</v>
      </c>
      <c r="B59" t="s">
        <v>32</v>
      </c>
      <c r="C59" s="25">
        <v>43704.833518518521</v>
      </c>
      <c r="D59" s="741" t="s">
        <v>969</v>
      </c>
      <c r="E59" s="741">
        <f t="array" ref="E59">SUMPRODUCT(IF(AMP1_2[[#This Row],[Dim 1_1]:[T 8]]-$F$4:$AI$4&lt;0,1,0)+IF($F$5:$AI$5-AMP1_2[[#This Row],[Dim 1_1]:[T 8]]&lt;0,1,0),IF(ISNUMBER(AMP1_2[[#This Row],[Dim 1_1]:[T 8]])=TRUE,1,0))</f>
        <v>5</v>
      </c>
      <c r="F59">
        <v>40.823999999999998</v>
      </c>
      <c r="G59">
        <v>40.896000000000001</v>
      </c>
      <c r="H59">
        <v>156.20400000000001</v>
      </c>
      <c r="I59">
        <v>156.239</v>
      </c>
      <c r="L59">
        <v>156.208</v>
      </c>
      <c r="M59">
        <v>155.99700000000001</v>
      </c>
      <c r="N59">
        <v>27.035</v>
      </c>
      <c r="O59">
        <v>27.219000000000001</v>
      </c>
      <c r="R59">
        <v>17.573</v>
      </c>
      <c r="S59">
        <v>17.350000000000001</v>
      </c>
      <c r="T59">
        <v>33.880000000000003</v>
      </c>
      <c r="U59">
        <v>34.191000000000003</v>
      </c>
      <c r="W59">
        <v>-0.30399999999999999</v>
      </c>
      <c r="X59">
        <v>-0.81</v>
      </c>
      <c r="Z59">
        <v>0.03</v>
      </c>
      <c r="AA59">
        <v>-0.70899999999999996</v>
      </c>
      <c r="AB59">
        <v>-0.74199999999999999</v>
      </c>
      <c r="AC59">
        <v>-0.81</v>
      </c>
      <c r="AD59">
        <v>-0.36899999999999999</v>
      </c>
      <c r="AE59">
        <v>-0.30399999999999999</v>
      </c>
      <c r="AF59">
        <v>-0.58099999999999996</v>
      </c>
      <c r="AG59">
        <v>-0.70899999999999996</v>
      </c>
      <c r="AH59">
        <v>-0.15</v>
      </c>
      <c r="AI59">
        <v>0.03</v>
      </c>
    </row>
    <row r="60" spans="1:35" x14ac:dyDescent="0.25">
      <c r="A60" t="s">
        <v>1470</v>
      </c>
      <c r="B60" t="s">
        <v>31</v>
      </c>
      <c r="C60" s="25">
        <v>43704.835347222222</v>
      </c>
      <c r="D60" s="741" t="s">
        <v>969</v>
      </c>
      <c r="E60" s="741">
        <f t="array" ref="E60">SUMPRODUCT(IF(AMP1_2[[#This Row],[Dim 1_1]:[T 8]]-$F$4:$AI$4&lt;0,1,0)+IF($F$5:$AI$5-AMP1_2[[#This Row],[Dim 1_1]:[T 8]]&lt;0,1,0),IF(ISNUMBER(AMP1_2[[#This Row],[Dim 1_1]:[T 8]])=TRUE,1,0))</f>
        <v>0</v>
      </c>
      <c r="H60">
        <v>156.197</v>
      </c>
      <c r="I60">
        <v>156.17699999999999</v>
      </c>
      <c r="J60">
        <v>168.709</v>
      </c>
      <c r="K60">
        <v>168.57</v>
      </c>
      <c r="L60">
        <v>156.22800000000001</v>
      </c>
      <c r="M60">
        <v>155.87899999999999</v>
      </c>
      <c r="N60">
        <v>27.030999999999999</v>
      </c>
      <c r="O60">
        <v>27.241</v>
      </c>
      <c r="R60">
        <v>17.177</v>
      </c>
      <c r="S60">
        <v>17.122</v>
      </c>
      <c r="T60">
        <v>35.384999999999998</v>
      </c>
      <c r="U60">
        <v>36.387</v>
      </c>
      <c r="W60">
        <v>-6.2E-2</v>
      </c>
      <c r="X60">
        <v>-0.26500000000000001</v>
      </c>
      <c r="Z60">
        <v>-2.8000000000000001E-2</v>
      </c>
      <c r="AA60">
        <v>-0.23699999999999999</v>
      </c>
      <c r="AB60">
        <v>-7.0000000000000007E-2</v>
      </c>
      <c r="AC60">
        <v>-0.26500000000000001</v>
      </c>
      <c r="AD60">
        <v>-6.2E-2</v>
      </c>
      <c r="AE60">
        <v>-0.25800000000000001</v>
      </c>
      <c r="AF60">
        <v>-0.17299999999999999</v>
      </c>
      <c r="AG60">
        <v>-0.23699999999999999</v>
      </c>
      <c r="AH60">
        <v>-2.8000000000000001E-2</v>
      </c>
      <c r="AI60">
        <v>-7.6999999999999999E-2</v>
      </c>
    </row>
    <row r="61" spans="1:35" x14ac:dyDescent="0.25">
      <c r="A61" t="s">
        <v>1471</v>
      </c>
      <c r="B61" t="s">
        <v>32</v>
      </c>
      <c r="C61" s="25">
        <v>43704.951655092591</v>
      </c>
      <c r="D61" s="741" t="s">
        <v>969</v>
      </c>
      <c r="E61" s="741">
        <f t="array" ref="E61">SUMPRODUCT(IF(AMP1_2[[#This Row],[Dim 1_1]:[T 8]]-$F$4:$AI$4&lt;0,1,0)+IF($F$5:$AI$5-AMP1_2[[#This Row],[Dim 1_1]:[T 8]]&lt;0,1,0),IF(ISNUMBER(AMP1_2[[#This Row],[Dim 1_1]:[T 8]])=TRUE,1,0))</f>
        <v>6</v>
      </c>
      <c r="F61">
        <v>40.723999999999997</v>
      </c>
      <c r="G61">
        <v>40.448</v>
      </c>
      <c r="H61">
        <v>156.239</v>
      </c>
      <c r="I61">
        <v>156.26499999999999</v>
      </c>
      <c r="L61">
        <v>156.28100000000001</v>
      </c>
      <c r="M61">
        <v>156.02099999999999</v>
      </c>
      <c r="N61">
        <v>26.965</v>
      </c>
      <c r="O61">
        <v>27.236999999999998</v>
      </c>
      <c r="R61">
        <v>17.594000000000001</v>
      </c>
      <c r="S61">
        <v>17.376999999999999</v>
      </c>
      <c r="T61">
        <v>33.954999999999998</v>
      </c>
      <c r="U61">
        <v>34.332000000000001</v>
      </c>
      <c r="W61">
        <v>-0.27200000000000002</v>
      </c>
      <c r="X61">
        <v>-0.71099999999999997</v>
      </c>
      <c r="Z61">
        <v>-5.0000000000000001E-3</v>
      </c>
      <c r="AA61">
        <v>-0.71399999999999997</v>
      </c>
      <c r="AB61">
        <v>-0.67900000000000005</v>
      </c>
      <c r="AC61">
        <v>-0.71099999999999997</v>
      </c>
      <c r="AD61">
        <v>-0.28399999999999997</v>
      </c>
      <c r="AE61">
        <v>-0.27200000000000002</v>
      </c>
      <c r="AF61">
        <v>-0.60299999999999998</v>
      </c>
      <c r="AG61">
        <v>-0.71399999999999997</v>
      </c>
      <c r="AH61">
        <v>-0.19800000000000001</v>
      </c>
      <c r="AI61">
        <v>-5.0000000000000001E-3</v>
      </c>
    </row>
    <row r="62" spans="1:35" x14ac:dyDescent="0.25">
      <c r="A62" t="s">
        <v>1472</v>
      </c>
      <c r="B62" t="s">
        <v>31</v>
      </c>
      <c r="C62" s="25">
        <v>43704.95349537037</v>
      </c>
      <c r="D62" s="741" t="s">
        <v>969</v>
      </c>
      <c r="E62" s="741">
        <f t="array" ref="E62">SUMPRODUCT(IF(AMP1_2[[#This Row],[Dim 1_1]:[T 8]]-$F$4:$AI$4&lt;0,1,0)+IF($F$5:$AI$5-AMP1_2[[#This Row],[Dim 1_1]:[T 8]]&lt;0,1,0),IF(ISNUMBER(AMP1_2[[#This Row],[Dim 1_1]:[T 8]])=TRUE,1,0))</f>
        <v>0</v>
      </c>
      <c r="H62">
        <v>156.22300000000001</v>
      </c>
      <c r="I62">
        <v>156.238</v>
      </c>
      <c r="J62">
        <v>168.744</v>
      </c>
      <c r="K62">
        <v>168.62</v>
      </c>
      <c r="L62">
        <v>156.44399999999999</v>
      </c>
      <c r="M62">
        <v>156.053</v>
      </c>
      <c r="N62">
        <v>26.940999999999999</v>
      </c>
      <c r="O62">
        <v>27.082000000000001</v>
      </c>
      <c r="R62">
        <v>17.148</v>
      </c>
      <c r="S62">
        <v>17.123999999999999</v>
      </c>
      <c r="T62">
        <v>37.539000000000001</v>
      </c>
      <c r="U62">
        <v>39.064</v>
      </c>
      <c r="W62">
        <v>-0.112</v>
      </c>
      <c r="X62">
        <v>-0.33300000000000002</v>
      </c>
      <c r="Z62">
        <v>-0.188</v>
      </c>
      <c r="AA62">
        <v>-0.372</v>
      </c>
      <c r="AB62">
        <v>-0.112</v>
      </c>
      <c r="AC62">
        <v>-0.33300000000000002</v>
      </c>
      <c r="AD62">
        <v>-0.24299999999999999</v>
      </c>
      <c r="AE62">
        <v>-0.29099999999999998</v>
      </c>
      <c r="AF62">
        <v>-0.27100000000000002</v>
      </c>
      <c r="AG62">
        <v>-0.372</v>
      </c>
      <c r="AH62">
        <v>-0.188</v>
      </c>
      <c r="AI62">
        <v>-0.253</v>
      </c>
    </row>
    <row r="63" spans="1:35" x14ac:dyDescent="0.25">
      <c r="A63" t="s">
        <v>1473</v>
      </c>
      <c r="B63" t="s">
        <v>32</v>
      </c>
      <c r="C63" s="25">
        <v>43705.055671296293</v>
      </c>
      <c r="D63" s="741" t="s">
        <v>969</v>
      </c>
      <c r="E63" s="741">
        <f t="array" ref="E63">SUMPRODUCT(IF(AMP1_2[[#This Row],[Dim 1_1]:[T 8]]-$F$4:$AI$4&lt;0,1,0)+IF($F$5:$AI$5-AMP1_2[[#This Row],[Dim 1_1]:[T 8]]&lt;0,1,0),IF(ISNUMBER(AMP1_2[[#This Row],[Dim 1_1]:[T 8]])=TRUE,1,0))</f>
        <v>0</v>
      </c>
      <c r="F63">
        <v>41.054000000000002</v>
      </c>
      <c r="G63">
        <v>41.075000000000003</v>
      </c>
      <c r="H63">
        <v>155.84700000000001</v>
      </c>
      <c r="I63">
        <v>155.83000000000001</v>
      </c>
      <c r="L63">
        <v>155.82599999999999</v>
      </c>
      <c r="M63">
        <v>155.58500000000001</v>
      </c>
      <c r="N63">
        <v>27.49</v>
      </c>
      <c r="O63">
        <v>27.63</v>
      </c>
      <c r="R63">
        <v>17.600000000000001</v>
      </c>
      <c r="S63">
        <v>17.384</v>
      </c>
      <c r="T63">
        <v>34.139000000000003</v>
      </c>
      <c r="U63">
        <v>34.606999999999999</v>
      </c>
      <c r="W63">
        <v>0.23499999999999999</v>
      </c>
      <c r="X63">
        <v>-0.32800000000000001</v>
      </c>
      <c r="Z63">
        <v>0.34399999999999997</v>
      </c>
      <c r="AA63">
        <v>-0.24399999999999999</v>
      </c>
      <c r="AB63">
        <v>-0.23699999999999999</v>
      </c>
      <c r="AC63">
        <v>-0.32800000000000001</v>
      </c>
      <c r="AD63">
        <v>-2.7E-2</v>
      </c>
      <c r="AE63">
        <v>0.23499999999999999</v>
      </c>
      <c r="AF63">
        <v>-9.7000000000000003E-2</v>
      </c>
      <c r="AG63">
        <v>-0.24399999999999999</v>
      </c>
      <c r="AH63">
        <v>0.188</v>
      </c>
      <c r="AI63">
        <v>0.34399999999999997</v>
      </c>
    </row>
    <row r="64" spans="1:35" x14ac:dyDescent="0.25">
      <c r="A64" t="s">
        <v>1474</v>
      </c>
      <c r="B64" t="s">
        <v>32</v>
      </c>
      <c r="C64" s="25">
        <v>43705.358773148146</v>
      </c>
      <c r="D64" s="741" t="s">
        <v>969</v>
      </c>
      <c r="E64" s="741">
        <f t="array" ref="E64">SUMPRODUCT(IF(AMP1_2[[#This Row],[Dim 1_1]:[T 8]]-$F$4:$AI$4&lt;0,1,0)+IF($F$5:$AI$5-AMP1_2[[#This Row],[Dim 1_1]:[T 8]]&lt;0,1,0),IF(ISNUMBER(AMP1_2[[#This Row],[Dim 1_1]:[T 8]])=TRUE,1,0))</f>
        <v>0</v>
      </c>
      <c r="F64">
        <v>41.197000000000003</v>
      </c>
      <c r="G64">
        <v>41.143000000000001</v>
      </c>
      <c r="H64">
        <v>155.76900000000001</v>
      </c>
      <c r="I64">
        <v>155.82400000000001</v>
      </c>
      <c r="L64">
        <v>155.714</v>
      </c>
      <c r="M64">
        <v>155.505</v>
      </c>
      <c r="N64">
        <v>27.547000000000001</v>
      </c>
      <c r="O64">
        <v>27.686</v>
      </c>
      <c r="R64">
        <v>17.555</v>
      </c>
      <c r="S64">
        <v>17.655999999999999</v>
      </c>
      <c r="T64">
        <v>34.247</v>
      </c>
      <c r="U64">
        <v>34.387</v>
      </c>
      <c r="W64">
        <v>0.27200000000000002</v>
      </c>
      <c r="X64">
        <v>-0.152</v>
      </c>
      <c r="Z64">
        <v>0.20100000000000001</v>
      </c>
      <c r="AA64">
        <v>-9.2999999999999999E-2</v>
      </c>
      <c r="AB64">
        <v>-7.4999999999999997E-2</v>
      </c>
      <c r="AC64">
        <v>-0.152</v>
      </c>
      <c r="AD64">
        <v>-0.113</v>
      </c>
      <c r="AE64">
        <v>0.27200000000000002</v>
      </c>
      <c r="AF64">
        <v>3.7999999999999999E-2</v>
      </c>
      <c r="AG64">
        <v>-9.2999999999999999E-2</v>
      </c>
      <c r="AH64">
        <v>8.6999999999999994E-2</v>
      </c>
      <c r="AI64">
        <v>0.20100000000000001</v>
      </c>
    </row>
    <row r="65" spans="1:35" x14ac:dyDescent="0.25">
      <c r="A65" t="s">
        <v>1475</v>
      </c>
      <c r="B65" t="s">
        <v>31</v>
      </c>
      <c r="C65" s="25">
        <v>43705.361238425925</v>
      </c>
      <c r="D65" s="25" t="s">
        <v>969</v>
      </c>
      <c r="E65" s="424">
        <f t="array" ref="E65">SUMPRODUCT(IF(AMP1_2[[#This Row],[Dim 1_1]:[T 8]]-$F$4:$AI$4&lt;0,1,0)+IF($F$5:$AI$5-AMP1_2[[#This Row],[Dim 1_1]:[T 8]]&lt;0,1,0),IF(ISNUMBER(AMP1_2[[#This Row],[Dim 1_1]:[T 8]])=TRUE,1,0))</f>
        <v>0</v>
      </c>
      <c r="H65">
        <v>155.66800000000001</v>
      </c>
      <c r="I65">
        <v>155.672</v>
      </c>
      <c r="J65">
        <v>168.709</v>
      </c>
      <c r="K65">
        <v>168.512</v>
      </c>
      <c r="L65">
        <v>155.77500000000001</v>
      </c>
      <c r="M65">
        <v>155.51</v>
      </c>
      <c r="N65">
        <v>27.466999999999999</v>
      </c>
      <c r="O65">
        <v>27.581</v>
      </c>
      <c r="R65">
        <v>17.163</v>
      </c>
      <c r="S65">
        <v>17.341999999999999</v>
      </c>
      <c r="T65">
        <v>38.573</v>
      </c>
      <c r="U65">
        <v>39.981000000000002</v>
      </c>
      <c r="W65">
        <v>0.29099999999999998</v>
      </c>
      <c r="X65">
        <v>-0.16800000000000001</v>
      </c>
      <c r="Z65">
        <v>0.183</v>
      </c>
      <c r="AA65">
        <v>-6.2E-2</v>
      </c>
      <c r="AB65">
        <v>0.29099999999999998</v>
      </c>
      <c r="AC65">
        <v>0.127</v>
      </c>
      <c r="AD65">
        <v>-0.16800000000000001</v>
      </c>
      <c r="AE65">
        <v>0.14799999999999999</v>
      </c>
      <c r="AF65">
        <v>0.183</v>
      </c>
      <c r="AG65">
        <v>0.13800000000000001</v>
      </c>
      <c r="AH65">
        <v>-0.03</v>
      </c>
      <c r="AI65">
        <v>-6.2E-2</v>
      </c>
    </row>
    <row r="66" spans="1:35" x14ac:dyDescent="0.25">
      <c r="A66" t="s">
        <v>1827</v>
      </c>
      <c r="B66" t="s">
        <v>32</v>
      </c>
      <c r="C66" s="25">
        <v>43705.498773148145</v>
      </c>
      <c r="D66" s="25" t="s">
        <v>969</v>
      </c>
      <c r="E66" s="424">
        <f t="array" ref="E66">SUMPRODUCT(IF(AMP1_2[[#This Row],[Dim 1_1]:[T 8]]-$F$4:$AI$4&lt;0,1,0)+IF($F$5:$AI$5-AMP1_2[[#This Row],[Dim 1_1]:[T 8]]&lt;0,1,0),IF(ISNUMBER(AMP1_2[[#This Row],[Dim 1_1]:[T 8]])=TRUE,1,0))</f>
        <v>0</v>
      </c>
      <c r="F66">
        <v>41.075000000000003</v>
      </c>
      <c r="G66">
        <v>40.978000000000002</v>
      </c>
      <c r="H66">
        <v>155.9</v>
      </c>
      <c r="I66">
        <v>155.93899999999999</v>
      </c>
      <c r="L66">
        <v>155.86799999999999</v>
      </c>
      <c r="M66">
        <v>155.62200000000001</v>
      </c>
      <c r="N66">
        <v>27.454999999999998</v>
      </c>
      <c r="O66">
        <v>27.606000000000002</v>
      </c>
      <c r="R66">
        <v>17.596</v>
      </c>
      <c r="S66">
        <v>17.542999999999999</v>
      </c>
      <c r="T66">
        <v>34.174999999999997</v>
      </c>
      <c r="U66">
        <v>34.418999999999997</v>
      </c>
      <c r="W66">
        <v>9.6000000000000002E-2</v>
      </c>
      <c r="X66">
        <v>-0.26500000000000001</v>
      </c>
      <c r="Z66">
        <v>0.27</v>
      </c>
      <c r="AA66">
        <v>-0.17599999999999999</v>
      </c>
      <c r="AB66">
        <v>-0.19800000000000001</v>
      </c>
      <c r="AC66">
        <v>-0.26500000000000001</v>
      </c>
      <c r="AD66">
        <v>-0.10100000000000001</v>
      </c>
      <c r="AE66">
        <v>9.6000000000000002E-2</v>
      </c>
      <c r="AF66">
        <v>-6.2E-2</v>
      </c>
      <c r="AG66">
        <v>-0.17599999999999999</v>
      </c>
      <c r="AH66">
        <v>0.111</v>
      </c>
      <c r="AI66">
        <v>0.27</v>
      </c>
    </row>
    <row r="67" spans="1:35" x14ac:dyDescent="0.25">
      <c r="A67" t="s">
        <v>1828</v>
      </c>
      <c r="B67" t="s">
        <v>31</v>
      </c>
      <c r="C67" s="25">
        <v>43705.501018518517</v>
      </c>
      <c r="D67" s="25" t="s">
        <v>969</v>
      </c>
      <c r="E67" s="424">
        <f t="array" ref="E67">SUMPRODUCT(IF(AMP1_2[[#This Row],[Dim 1_1]:[T 8]]-$F$4:$AI$4&lt;0,1,0)+IF($F$5:$AI$5-AMP1_2[[#This Row],[Dim 1_1]:[T 8]]&lt;0,1,0),IF(ISNUMBER(AMP1_2[[#This Row],[Dim 1_1]:[T 8]])=TRUE,1,0))</f>
        <v>0</v>
      </c>
      <c r="H67">
        <v>155.852</v>
      </c>
      <c r="I67">
        <v>155.797</v>
      </c>
      <c r="J67">
        <v>168.673</v>
      </c>
      <c r="K67">
        <v>168.624</v>
      </c>
      <c r="L67">
        <v>155.922</v>
      </c>
      <c r="M67">
        <v>155.63300000000001</v>
      </c>
      <c r="N67">
        <v>27.327999999999999</v>
      </c>
      <c r="O67">
        <v>27.491</v>
      </c>
      <c r="R67">
        <v>17.178999999999998</v>
      </c>
      <c r="S67">
        <v>17.39</v>
      </c>
      <c r="T67">
        <v>34.594999999999999</v>
      </c>
      <c r="U67">
        <v>37.113999999999997</v>
      </c>
      <c r="W67">
        <v>0.26100000000000001</v>
      </c>
      <c r="X67">
        <v>-0.14899999999999999</v>
      </c>
      <c r="Z67">
        <v>0.152</v>
      </c>
      <c r="AA67">
        <v>-8.4000000000000005E-2</v>
      </c>
      <c r="AB67">
        <v>0.26100000000000001</v>
      </c>
      <c r="AC67">
        <v>4.5999999999999999E-2</v>
      </c>
      <c r="AD67">
        <v>-0.14899999999999999</v>
      </c>
      <c r="AE67">
        <v>-7.9000000000000001E-2</v>
      </c>
      <c r="AF67">
        <v>0.152</v>
      </c>
      <c r="AG67">
        <v>9.8000000000000004E-2</v>
      </c>
      <c r="AH67">
        <v>-6.2E-2</v>
      </c>
      <c r="AI67">
        <v>-8.4000000000000005E-2</v>
      </c>
    </row>
    <row r="68" spans="1:35" x14ac:dyDescent="0.25">
      <c r="A68" t="s">
        <v>1829</v>
      </c>
      <c r="B68" t="s">
        <v>32</v>
      </c>
      <c r="C68" s="25">
        <v>43705.681539351855</v>
      </c>
      <c r="D68" s="25" t="s">
        <v>969</v>
      </c>
      <c r="E68" s="424">
        <f t="array" ref="E68">SUMPRODUCT(IF(AMP1_2[[#This Row],[Dim 1_1]:[T 8]]-$F$4:$AI$4&lt;0,1,0)+IF($F$5:$AI$5-AMP1_2[[#This Row],[Dim 1_1]:[T 8]]&lt;0,1,0),IF(ISNUMBER(AMP1_2[[#This Row],[Dim 1_1]:[T 8]])=TRUE,1,0))</f>
        <v>0</v>
      </c>
      <c r="F68">
        <v>41.151000000000003</v>
      </c>
      <c r="G68">
        <v>41.170999999999999</v>
      </c>
      <c r="H68">
        <v>155.869</v>
      </c>
      <c r="I68">
        <v>155.88900000000001</v>
      </c>
      <c r="L68">
        <v>155.833</v>
      </c>
      <c r="M68">
        <v>155.63</v>
      </c>
      <c r="N68">
        <v>27.425000000000001</v>
      </c>
      <c r="O68">
        <v>27.62</v>
      </c>
      <c r="R68">
        <v>17.579000000000001</v>
      </c>
      <c r="S68">
        <v>17.492000000000001</v>
      </c>
      <c r="T68">
        <v>34.222999999999999</v>
      </c>
      <c r="U68">
        <v>34.255000000000003</v>
      </c>
      <c r="W68">
        <v>6.2E-2</v>
      </c>
      <c r="X68">
        <v>-0.33400000000000002</v>
      </c>
      <c r="Z68">
        <v>0.16400000000000001</v>
      </c>
      <c r="AA68">
        <v>-0.253</v>
      </c>
      <c r="AB68">
        <v>-0.249</v>
      </c>
      <c r="AC68">
        <v>-0.33400000000000002</v>
      </c>
      <c r="AD68">
        <v>-0.159</v>
      </c>
      <c r="AE68">
        <v>6.2E-2</v>
      </c>
      <c r="AF68">
        <v>-0.129</v>
      </c>
      <c r="AG68">
        <v>-0.253</v>
      </c>
      <c r="AH68">
        <v>-8.9999999999999993E-3</v>
      </c>
      <c r="AI68">
        <v>0.16400000000000001</v>
      </c>
    </row>
    <row r="69" spans="1:35" x14ac:dyDescent="0.25">
      <c r="A69" t="s">
        <v>1830</v>
      </c>
      <c r="B69" t="s">
        <v>31</v>
      </c>
      <c r="C69" s="25">
        <v>43705.691886574074</v>
      </c>
      <c r="D69" s="25" t="s">
        <v>969</v>
      </c>
      <c r="E69" s="424">
        <f t="array" ref="E69">SUMPRODUCT(IF(AMP1_2[[#This Row],[Dim 1_1]:[T 8]]-$F$4:$AI$4&lt;0,1,0)+IF($F$5:$AI$5-AMP1_2[[#This Row],[Dim 1_1]:[T 8]]&lt;0,1,0),IF(ISNUMBER(AMP1_2[[#This Row],[Dim 1_1]:[T 8]])=TRUE,1,0))</f>
        <v>0</v>
      </c>
      <c r="H69">
        <v>155.83799999999999</v>
      </c>
      <c r="I69">
        <v>155.898</v>
      </c>
      <c r="J69">
        <v>168.81299999999999</v>
      </c>
      <c r="K69">
        <v>168.887</v>
      </c>
      <c r="L69">
        <v>155.94</v>
      </c>
      <c r="M69">
        <v>155.70099999999999</v>
      </c>
      <c r="N69">
        <v>27.359000000000002</v>
      </c>
      <c r="O69">
        <v>27.440999999999999</v>
      </c>
      <c r="R69">
        <v>17.152000000000001</v>
      </c>
      <c r="S69">
        <v>17.419</v>
      </c>
      <c r="T69">
        <v>36.348999999999997</v>
      </c>
      <c r="U69">
        <v>36.323</v>
      </c>
      <c r="W69">
        <v>0.247</v>
      </c>
      <c r="X69">
        <v>-0.22900000000000001</v>
      </c>
      <c r="Z69">
        <v>0.17499999999999999</v>
      </c>
      <c r="AA69">
        <v>-0.14399999999999999</v>
      </c>
      <c r="AB69">
        <v>0.247</v>
      </c>
      <c r="AC69">
        <v>3.7999999999999999E-2</v>
      </c>
      <c r="AD69">
        <v>-0.22900000000000001</v>
      </c>
      <c r="AE69">
        <v>-0.2</v>
      </c>
      <c r="AF69">
        <v>0.17499999999999999</v>
      </c>
      <c r="AG69">
        <v>0.1</v>
      </c>
      <c r="AH69">
        <v>-9.5000000000000001E-2</v>
      </c>
      <c r="AI69">
        <v>-0.14399999999999999</v>
      </c>
    </row>
    <row r="70" spans="1:35" x14ac:dyDescent="0.25">
      <c r="A70" t="s">
        <v>1831</v>
      </c>
      <c r="B70" t="s">
        <v>32</v>
      </c>
      <c r="C70" s="25">
        <v>43705.78701388889</v>
      </c>
      <c r="D70" s="25" t="s">
        <v>969</v>
      </c>
      <c r="E70" s="424">
        <f t="array" ref="E70">SUMPRODUCT(IF(AMP1_2[[#This Row],[Dim 1_1]:[T 8]]-$F$4:$AI$4&lt;0,1,0)+IF($F$5:$AI$5-AMP1_2[[#This Row],[Dim 1_1]:[T 8]]&lt;0,1,0),IF(ISNUMBER(AMP1_2[[#This Row],[Dim 1_1]:[T 8]])=TRUE,1,0))</f>
        <v>0</v>
      </c>
      <c r="F70">
        <v>41.206000000000003</v>
      </c>
      <c r="G70">
        <v>41.122</v>
      </c>
      <c r="H70">
        <v>155.87200000000001</v>
      </c>
      <c r="I70">
        <v>155.89599999999999</v>
      </c>
      <c r="L70">
        <v>155.84800000000001</v>
      </c>
      <c r="M70">
        <v>155.61799999999999</v>
      </c>
      <c r="N70">
        <v>27.425000000000001</v>
      </c>
      <c r="O70">
        <v>27.597999999999999</v>
      </c>
      <c r="R70">
        <v>17.579999999999998</v>
      </c>
      <c r="S70">
        <v>17.593</v>
      </c>
      <c r="T70">
        <v>34.185000000000002</v>
      </c>
      <c r="U70">
        <v>34.253</v>
      </c>
      <c r="W70">
        <v>-1.4999999999999999E-2</v>
      </c>
      <c r="X70">
        <v>-0.26800000000000002</v>
      </c>
      <c r="Z70">
        <v>5.1999999999999998E-2</v>
      </c>
      <c r="AA70">
        <v>-0.28399999999999997</v>
      </c>
      <c r="AB70">
        <v>-0.20899999999999999</v>
      </c>
      <c r="AC70">
        <v>-0.26800000000000002</v>
      </c>
      <c r="AD70">
        <v>-0.192</v>
      </c>
      <c r="AE70">
        <v>-1.4999999999999999E-2</v>
      </c>
      <c r="AF70">
        <v>-0.11600000000000001</v>
      </c>
      <c r="AG70">
        <v>-0.28399999999999997</v>
      </c>
      <c r="AH70">
        <v>-6.9000000000000006E-2</v>
      </c>
      <c r="AI70">
        <v>5.1999999999999998E-2</v>
      </c>
    </row>
    <row r="71" spans="1:35" x14ac:dyDescent="0.25">
      <c r="A71" t="s">
        <v>1832</v>
      </c>
      <c r="B71" t="s">
        <v>31</v>
      </c>
      <c r="C71" s="25">
        <v>43705.788530092592</v>
      </c>
      <c r="D71" s="25" t="s">
        <v>969</v>
      </c>
      <c r="E71" s="424">
        <f t="array" ref="E71">SUMPRODUCT(IF(AMP1_2[[#This Row],[Dim 1_1]:[T 8]]-$F$4:$AI$4&lt;0,1,0)+IF($F$5:$AI$5-AMP1_2[[#This Row],[Dim 1_1]:[T 8]]&lt;0,1,0),IF(ISNUMBER(AMP1_2[[#This Row],[Dim 1_1]:[T 8]])=TRUE,1,0))</f>
        <v>0</v>
      </c>
      <c r="H71">
        <v>155.779</v>
      </c>
      <c r="I71">
        <v>155.79400000000001</v>
      </c>
      <c r="J71">
        <v>168.78100000000001</v>
      </c>
      <c r="K71">
        <v>168.572</v>
      </c>
      <c r="L71">
        <v>155.86799999999999</v>
      </c>
      <c r="M71">
        <v>155.62899999999999</v>
      </c>
      <c r="N71">
        <v>27.382999999999999</v>
      </c>
      <c r="O71">
        <v>27.466999999999999</v>
      </c>
      <c r="R71">
        <v>17.138999999999999</v>
      </c>
      <c r="S71">
        <v>17.297000000000001</v>
      </c>
      <c r="T71">
        <v>36.844999999999999</v>
      </c>
      <c r="U71">
        <v>38.274000000000001</v>
      </c>
      <c r="W71">
        <v>0.17100000000000001</v>
      </c>
      <c r="X71">
        <v>-0.182</v>
      </c>
      <c r="Z71">
        <v>2.7E-2</v>
      </c>
      <c r="AA71">
        <v>-0.21</v>
      </c>
      <c r="AB71">
        <v>0.17100000000000001</v>
      </c>
      <c r="AC71">
        <v>-4.5999999999999999E-2</v>
      </c>
      <c r="AD71">
        <v>-0.182</v>
      </c>
      <c r="AE71">
        <v>-0.158</v>
      </c>
      <c r="AF71">
        <v>2.7E-2</v>
      </c>
      <c r="AG71">
        <v>-8.0000000000000002E-3</v>
      </c>
      <c r="AH71">
        <v>-0.11799999999999999</v>
      </c>
      <c r="AI71">
        <v>-0.21</v>
      </c>
    </row>
    <row r="72" spans="1:35" x14ac:dyDescent="0.25">
      <c r="A72" t="s">
        <v>1833</v>
      </c>
      <c r="B72" t="s">
        <v>32</v>
      </c>
      <c r="C72" s="25">
        <v>43705.979247685187</v>
      </c>
      <c r="D72" s="25" t="s">
        <v>969</v>
      </c>
      <c r="E72" s="424">
        <f t="array" ref="E72">SUMPRODUCT(IF(AMP1_2[[#This Row],[Dim 1_1]:[T 8]]-$F$4:$AI$4&lt;0,1,0)+IF($F$5:$AI$5-AMP1_2[[#This Row],[Dim 1_1]:[T 8]]&lt;0,1,0),IF(ISNUMBER(AMP1_2[[#This Row],[Dim 1_1]:[T 8]])=TRUE,1,0))</f>
        <v>0</v>
      </c>
      <c r="F72">
        <v>41.176000000000002</v>
      </c>
      <c r="G72">
        <v>41.064999999999998</v>
      </c>
      <c r="H72">
        <v>155.81100000000001</v>
      </c>
      <c r="I72">
        <v>155.78700000000001</v>
      </c>
      <c r="L72">
        <v>155.83600000000001</v>
      </c>
      <c r="M72">
        <v>155.53299999999999</v>
      </c>
      <c r="N72">
        <v>27.454000000000001</v>
      </c>
      <c r="O72">
        <v>27.699000000000002</v>
      </c>
      <c r="R72">
        <v>17.587</v>
      </c>
      <c r="S72">
        <v>17.536999999999999</v>
      </c>
      <c r="T72">
        <v>34.417000000000002</v>
      </c>
      <c r="U72">
        <v>34.064999999999998</v>
      </c>
      <c r="W72">
        <v>8.5999999999999993E-2</v>
      </c>
      <c r="X72">
        <v>-0.30099999999999999</v>
      </c>
      <c r="Z72">
        <v>8.1000000000000003E-2</v>
      </c>
      <c r="AA72">
        <v>-0.38700000000000001</v>
      </c>
      <c r="AB72">
        <v>-0.218</v>
      </c>
      <c r="AC72">
        <v>-0.30099999999999999</v>
      </c>
      <c r="AD72">
        <v>-0.14799999999999999</v>
      </c>
      <c r="AE72">
        <v>8.5999999999999993E-2</v>
      </c>
      <c r="AF72">
        <v>-0.20799999999999999</v>
      </c>
      <c r="AG72">
        <v>-0.38700000000000001</v>
      </c>
      <c r="AH72">
        <v>-6.2E-2</v>
      </c>
      <c r="AI72">
        <v>8.1000000000000003E-2</v>
      </c>
    </row>
    <row r="73" spans="1:35" x14ac:dyDescent="0.25">
      <c r="A73" t="s">
        <v>1834</v>
      </c>
      <c r="B73" t="s">
        <v>31</v>
      </c>
      <c r="C73" s="25">
        <v>43705.981238425928</v>
      </c>
      <c r="D73" s="25" t="s">
        <v>969</v>
      </c>
      <c r="E73" s="424">
        <f t="array" ref="E73">SUMPRODUCT(IF(AMP1_2[[#This Row],[Dim 1_1]:[T 8]]-$F$4:$AI$4&lt;0,1,0)+IF($F$5:$AI$5-AMP1_2[[#This Row],[Dim 1_1]:[T 8]]&lt;0,1,0),IF(ISNUMBER(AMP1_2[[#This Row],[Dim 1_1]:[T 8]])=TRUE,1,0))</f>
        <v>0</v>
      </c>
      <c r="H73">
        <v>155.797</v>
      </c>
      <c r="I73">
        <v>155.946</v>
      </c>
      <c r="J73">
        <v>168.7</v>
      </c>
      <c r="K73">
        <v>168.441</v>
      </c>
      <c r="L73">
        <v>155.886</v>
      </c>
      <c r="M73">
        <v>155.72800000000001</v>
      </c>
      <c r="N73">
        <v>27.376999999999999</v>
      </c>
      <c r="O73">
        <v>27.375</v>
      </c>
      <c r="R73">
        <v>17.146000000000001</v>
      </c>
      <c r="S73">
        <v>17.334</v>
      </c>
      <c r="T73">
        <v>36.728999999999999</v>
      </c>
      <c r="U73">
        <v>37.255000000000003</v>
      </c>
      <c r="W73">
        <v>0.124</v>
      </c>
      <c r="X73">
        <v>-0.30499999999999999</v>
      </c>
      <c r="Z73">
        <v>5.1999999999999998E-2</v>
      </c>
      <c r="AA73">
        <v>-0.23799999999999999</v>
      </c>
      <c r="AB73">
        <v>0.124</v>
      </c>
      <c r="AC73">
        <v>-0.109</v>
      </c>
      <c r="AD73">
        <v>-0.30399999999999999</v>
      </c>
      <c r="AE73">
        <v>-0.30499999999999999</v>
      </c>
      <c r="AF73">
        <v>5.1999999999999998E-2</v>
      </c>
      <c r="AG73">
        <v>-4.0000000000000001E-3</v>
      </c>
      <c r="AH73">
        <v>-0.221</v>
      </c>
      <c r="AI73">
        <v>-0.23799999999999999</v>
      </c>
    </row>
    <row r="74" spans="1:35" x14ac:dyDescent="0.25">
      <c r="A74" t="s">
        <v>1835</v>
      </c>
      <c r="B74" t="s">
        <v>32</v>
      </c>
      <c r="C74" s="25">
        <v>43706.061388888891</v>
      </c>
      <c r="D74" s="25" t="s">
        <v>969</v>
      </c>
      <c r="E74" s="424">
        <f t="array" ref="E74">SUMPRODUCT(IF(AMP1_2[[#This Row],[Dim 1_1]:[T 8]]-$F$4:$AI$4&lt;0,1,0)+IF($F$5:$AI$5-AMP1_2[[#This Row],[Dim 1_1]:[T 8]]&lt;0,1,0),IF(ISNUMBER(AMP1_2[[#This Row],[Dim 1_1]:[T 8]])=TRUE,1,0))</f>
        <v>0</v>
      </c>
      <c r="F74">
        <v>41.051000000000002</v>
      </c>
      <c r="G74">
        <v>41.084000000000003</v>
      </c>
      <c r="H74">
        <v>155.928</v>
      </c>
      <c r="I74">
        <v>156.01300000000001</v>
      </c>
      <c r="L74">
        <v>155.92099999999999</v>
      </c>
      <c r="M74">
        <v>155.77500000000001</v>
      </c>
      <c r="N74">
        <v>27.364999999999998</v>
      </c>
      <c r="O74">
        <v>27.475999999999999</v>
      </c>
      <c r="R74">
        <v>17.591000000000001</v>
      </c>
      <c r="S74">
        <v>17.484999999999999</v>
      </c>
      <c r="T74">
        <v>34.28</v>
      </c>
      <c r="U74">
        <v>34.22</v>
      </c>
      <c r="W74">
        <v>-0.122</v>
      </c>
      <c r="X74">
        <v>-0.439</v>
      </c>
      <c r="Z74">
        <v>7.9000000000000001E-2</v>
      </c>
      <c r="AA74">
        <v>-0.36299999999999999</v>
      </c>
      <c r="AB74">
        <v>-0.35899999999999999</v>
      </c>
      <c r="AC74">
        <v>-0.439</v>
      </c>
      <c r="AD74">
        <v>-0.26500000000000001</v>
      </c>
      <c r="AE74">
        <v>-0.122</v>
      </c>
      <c r="AF74">
        <v>-0.221</v>
      </c>
      <c r="AG74">
        <v>-0.36299999999999999</v>
      </c>
      <c r="AH74">
        <v>-3.2000000000000001E-2</v>
      </c>
      <c r="AI74">
        <v>7.9000000000000001E-2</v>
      </c>
    </row>
    <row r="75" spans="1:35" x14ac:dyDescent="0.25">
      <c r="A75" t="s">
        <v>1836</v>
      </c>
      <c r="B75" t="s">
        <v>31</v>
      </c>
      <c r="C75" s="25">
        <v>43706.062893518516</v>
      </c>
      <c r="D75" s="25" t="s">
        <v>969</v>
      </c>
      <c r="E75" s="424">
        <f t="array" ref="E75">SUMPRODUCT(IF(AMP1_2[[#This Row],[Dim 1_1]:[T 8]]-$F$4:$AI$4&lt;0,1,0)+IF($F$5:$AI$5-AMP1_2[[#This Row],[Dim 1_1]:[T 8]]&lt;0,1,0),IF(ISNUMBER(AMP1_2[[#This Row],[Dim 1_1]:[T 8]])=TRUE,1,0))</f>
        <v>0</v>
      </c>
      <c r="H75">
        <v>155.88300000000001</v>
      </c>
      <c r="I75">
        <v>155.89500000000001</v>
      </c>
      <c r="J75">
        <v>168.65600000000001</v>
      </c>
      <c r="K75">
        <v>168.499</v>
      </c>
      <c r="L75">
        <v>156.029</v>
      </c>
      <c r="M75">
        <v>155.72</v>
      </c>
      <c r="N75">
        <v>27.306999999999999</v>
      </c>
      <c r="O75">
        <v>27.449000000000002</v>
      </c>
      <c r="R75">
        <v>17.111000000000001</v>
      </c>
      <c r="S75">
        <v>17.332999999999998</v>
      </c>
      <c r="T75">
        <v>35.183</v>
      </c>
      <c r="U75">
        <v>38.164999999999999</v>
      </c>
      <c r="W75">
        <v>0.158</v>
      </c>
      <c r="X75">
        <v>-0.26700000000000002</v>
      </c>
      <c r="Z75">
        <v>-6.0000000000000001E-3</v>
      </c>
      <c r="AA75">
        <v>-0.252</v>
      </c>
      <c r="AB75">
        <v>0.158</v>
      </c>
      <c r="AC75">
        <v>-5.1999999999999998E-2</v>
      </c>
      <c r="AD75">
        <v>-0.24099999999999999</v>
      </c>
      <c r="AE75">
        <v>-0.26700000000000002</v>
      </c>
      <c r="AF75">
        <v>-6.0000000000000001E-3</v>
      </c>
      <c r="AG75">
        <v>-8.2000000000000003E-2</v>
      </c>
      <c r="AH75">
        <v>-0.21</v>
      </c>
      <c r="AI75">
        <v>-0.252</v>
      </c>
    </row>
    <row r="76" spans="1:35" x14ac:dyDescent="0.25">
      <c r="A76" t="s">
        <v>2190</v>
      </c>
      <c r="B76" t="s">
        <v>32</v>
      </c>
      <c r="C76" s="25">
        <v>43706.375856481478</v>
      </c>
      <c r="D76" s="25" t="s">
        <v>969</v>
      </c>
      <c r="E76" s="424">
        <f t="array" ref="E76">SUMPRODUCT(IF(AMP1_2[[#This Row],[Dim 1_1]:[T 8]]-$F$4:$AI$4&lt;0,1,0)+IF($F$5:$AI$5-AMP1_2[[#This Row],[Dim 1_1]:[T 8]]&lt;0,1,0),IF(ISNUMBER(AMP1_2[[#This Row],[Dim 1_1]:[T 8]])=TRUE,1,0))</f>
        <v>0</v>
      </c>
      <c r="F76">
        <v>40.911000000000001</v>
      </c>
      <c r="G76">
        <v>40.9</v>
      </c>
      <c r="H76">
        <v>155.92599999999999</v>
      </c>
      <c r="I76">
        <v>156.04900000000001</v>
      </c>
      <c r="L76">
        <v>155.90199999999999</v>
      </c>
      <c r="M76">
        <v>155.74600000000001</v>
      </c>
      <c r="N76">
        <v>27.359000000000002</v>
      </c>
      <c r="O76">
        <v>27.466000000000001</v>
      </c>
      <c r="R76">
        <v>17.594999999999999</v>
      </c>
      <c r="S76">
        <v>17.54</v>
      </c>
      <c r="T76">
        <v>34.003999999999998</v>
      </c>
      <c r="U76">
        <v>34.369999999999997</v>
      </c>
      <c r="W76">
        <v>-0.217</v>
      </c>
      <c r="X76">
        <v>-0.40500000000000003</v>
      </c>
      <c r="Z76">
        <v>9.5000000000000001E-2</v>
      </c>
      <c r="AA76">
        <v>-0.30499999999999999</v>
      </c>
      <c r="AB76">
        <v>-0.308</v>
      </c>
      <c r="AC76">
        <v>-0.40500000000000003</v>
      </c>
      <c r="AD76">
        <v>-0.26800000000000002</v>
      </c>
      <c r="AE76">
        <v>-0.217</v>
      </c>
      <c r="AF76">
        <v>-0.16700000000000001</v>
      </c>
      <c r="AG76">
        <v>-0.30499999999999999</v>
      </c>
      <c r="AH76">
        <v>-6.3E-2</v>
      </c>
      <c r="AI76">
        <v>9.5000000000000001E-2</v>
      </c>
    </row>
    <row r="77" spans="1:35" x14ac:dyDescent="0.25">
      <c r="A77" t="s">
        <v>2191</v>
      </c>
      <c r="B77" t="s">
        <v>31</v>
      </c>
      <c r="C77" s="25">
        <v>43706.377893518518</v>
      </c>
      <c r="D77" s="25" t="s">
        <v>969</v>
      </c>
      <c r="E77" s="424">
        <f t="array" ref="E77">SUMPRODUCT(IF(AMP1_2[[#This Row],[Dim 1_1]:[T 8]]-$F$4:$AI$4&lt;0,1,0)+IF($F$5:$AI$5-AMP1_2[[#This Row],[Dim 1_1]:[T 8]]&lt;0,1,0),IF(ISNUMBER(AMP1_2[[#This Row],[Dim 1_1]:[T 8]])=TRUE,1,0))</f>
        <v>0</v>
      </c>
      <c r="H77">
        <v>155.87100000000001</v>
      </c>
      <c r="I77">
        <v>155.85599999999999</v>
      </c>
      <c r="J77">
        <v>168.56899999999999</v>
      </c>
      <c r="K77">
        <v>168.48099999999999</v>
      </c>
      <c r="L77">
        <v>155.952</v>
      </c>
      <c r="M77">
        <v>155.648</v>
      </c>
      <c r="N77">
        <v>27.364000000000001</v>
      </c>
      <c r="O77">
        <v>27.498000000000001</v>
      </c>
      <c r="R77">
        <v>17.192</v>
      </c>
      <c r="S77">
        <v>17.451000000000001</v>
      </c>
      <c r="T77">
        <v>38.049999999999997</v>
      </c>
      <c r="U77">
        <v>38.847000000000001</v>
      </c>
      <c r="W77">
        <v>0.154</v>
      </c>
      <c r="X77">
        <v>-0.315</v>
      </c>
      <c r="Z77">
        <v>-0.1</v>
      </c>
      <c r="AA77">
        <v>-0.372</v>
      </c>
      <c r="AB77">
        <v>0.154</v>
      </c>
      <c r="AC77">
        <v>-6.9000000000000006E-2</v>
      </c>
      <c r="AD77">
        <v>-0.315</v>
      </c>
      <c r="AE77">
        <v>-0.27700000000000002</v>
      </c>
      <c r="AF77">
        <v>-0.109</v>
      </c>
      <c r="AG77">
        <v>-0.1</v>
      </c>
      <c r="AH77">
        <v>-0.36299999999999999</v>
      </c>
      <c r="AI77">
        <v>-0.372</v>
      </c>
    </row>
    <row r="78" spans="1:35" x14ac:dyDescent="0.25">
      <c r="A78" t="s">
        <v>2192</v>
      </c>
      <c r="B78" t="s">
        <v>32</v>
      </c>
      <c r="C78" s="25">
        <v>43706.530231481483</v>
      </c>
      <c r="D78" s="25" t="s">
        <v>969</v>
      </c>
      <c r="E78" s="424">
        <f t="array" ref="E78">SUMPRODUCT(IF(AMP1_2[[#This Row],[Dim 1_1]:[T 8]]-$F$4:$AI$4&lt;0,1,0)+IF($F$5:$AI$5-AMP1_2[[#This Row],[Dim 1_1]:[T 8]]&lt;0,1,0),IF(ISNUMBER(AMP1_2[[#This Row],[Dim 1_1]:[T 8]])=TRUE,1,0))</f>
        <v>0</v>
      </c>
      <c r="F78">
        <v>41.11</v>
      </c>
      <c r="G78">
        <v>41.006</v>
      </c>
      <c r="H78">
        <v>155.96299999999999</v>
      </c>
      <c r="I78">
        <v>156.029</v>
      </c>
      <c r="L78">
        <v>155.93199999999999</v>
      </c>
      <c r="M78">
        <v>155.727</v>
      </c>
      <c r="N78">
        <v>27.385999999999999</v>
      </c>
      <c r="O78">
        <v>27.504000000000001</v>
      </c>
      <c r="R78">
        <v>17.623999999999999</v>
      </c>
      <c r="S78">
        <v>17.533999999999999</v>
      </c>
      <c r="T78">
        <v>34.134</v>
      </c>
      <c r="U78">
        <v>34.372</v>
      </c>
      <c r="W78">
        <v>-1.4E-2</v>
      </c>
      <c r="X78">
        <v>-0.39300000000000002</v>
      </c>
      <c r="Z78">
        <v>0.152</v>
      </c>
      <c r="AA78">
        <v>-0.38700000000000001</v>
      </c>
      <c r="AB78">
        <v>-0.32500000000000001</v>
      </c>
      <c r="AC78">
        <v>-0.39300000000000002</v>
      </c>
      <c r="AD78">
        <v>-0.19</v>
      </c>
      <c r="AE78">
        <v>-1.4E-2</v>
      </c>
      <c r="AF78">
        <v>-0.222</v>
      </c>
      <c r="AG78">
        <v>-0.38700000000000001</v>
      </c>
      <c r="AH78">
        <v>2.5000000000000001E-2</v>
      </c>
      <c r="AI78">
        <v>0.152</v>
      </c>
    </row>
    <row r="79" spans="1:35" x14ac:dyDescent="0.25">
      <c r="A79" t="s">
        <v>2193</v>
      </c>
      <c r="B79" t="s">
        <v>31</v>
      </c>
      <c r="C79" s="25">
        <v>43706.533067129632</v>
      </c>
      <c r="D79" s="25" t="s">
        <v>969</v>
      </c>
      <c r="E79" s="424">
        <f t="array" ref="E79">SUMPRODUCT(IF(AMP1_2[[#This Row],[Dim 1_1]:[T 8]]-$F$4:$AI$4&lt;0,1,0)+IF($F$5:$AI$5-AMP1_2[[#This Row],[Dim 1_1]:[T 8]]&lt;0,1,0),IF(ISNUMBER(AMP1_2[[#This Row],[Dim 1_1]:[T 8]])=TRUE,1,0))</f>
        <v>0</v>
      </c>
      <c r="H79">
        <v>155.94300000000001</v>
      </c>
      <c r="I79">
        <v>155.93600000000001</v>
      </c>
      <c r="J79">
        <v>168.71299999999999</v>
      </c>
      <c r="K79">
        <v>168.48099999999999</v>
      </c>
      <c r="L79">
        <v>155.994</v>
      </c>
      <c r="M79">
        <v>155.773</v>
      </c>
      <c r="N79">
        <v>27.268000000000001</v>
      </c>
      <c r="O79">
        <v>27.39</v>
      </c>
      <c r="R79">
        <v>17.177</v>
      </c>
      <c r="S79">
        <v>17.279</v>
      </c>
      <c r="T79">
        <v>35.645000000000003</v>
      </c>
      <c r="U79">
        <v>37.057000000000002</v>
      </c>
      <c r="W79">
        <v>0.124</v>
      </c>
      <c r="X79">
        <v>-0.248</v>
      </c>
      <c r="Z79">
        <v>-1.4999999999999999E-2</v>
      </c>
      <c r="AA79">
        <v>-0.18099999999999999</v>
      </c>
      <c r="AB79">
        <v>0.124</v>
      </c>
      <c r="AC79">
        <v>-0.106</v>
      </c>
      <c r="AD79">
        <v>-0.18099999999999999</v>
      </c>
      <c r="AE79">
        <v>-0.248</v>
      </c>
      <c r="AF79">
        <v>-1.4999999999999999E-2</v>
      </c>
      <c r="AG79">
        <v>-0.05</v>
      </c>
      <c r="AH79">
        <v>-0.17100000000000001</v>
      </c>
      <c r="AI79">
        <v>-0.18099999999999999</v>
      </c>
    </row>
    <row r="80" spans="1:35" x14ac:dyDescent="0.25">
      <c r="A80" t="s">
        <v>2244</v>
      </c>
      <c r="B80" t="s">
        <v>32</v>
      </c>
      <c r="C80" s="25">
        <v>43706.692858796298</v>
      </c>
      <c r="D80" s="25" t="s">
        <v>2238</v>
      </c>
      <c r="E80" s="424">
        <f t="array" ref="E80">SUMPRODUCT(IF(AMP1_2[[#This Row],[Dim 1_1]:[T 8]]-$F$4:$AI$4&lt;0,1,0)+IF($F$5:$AI$5-AMP1_2[[#This Row],[Dim 1_1]:[T 8]]&lt;0,1,0),IF(ISNUMBER(AMP1_2[[#This Row],[Dim 1_1]:[T 8]])=TRUE,1,0))</f>
        <v>0</v>
      </c>
      <c r="F80">
        <v>40.963000000000001</v>
      </c>
      <c r="G80">
        <v>40.831000000000003</v>
      </c>
      <c r="H80">
        <v>155.90600000000001</v>
      </c>
      <c r="I80">
        <v>156.024</v>
      </c>
      <c r="L80">
        <v>155.90299999999999</v>
      </c>
      <c r="M80">
        <v>155.71799999999999</v>
      </c>
      <c r="N80">
        <v>27.37</v>
      </c>
      <c r="O80">
        <v>27.509</v>
      </c>
      <c r="R80">
        <v>17.591999999999999</v>
      </c>
      <c r="S80">
        <v>17.460999999999999</v>
      </c>
      <c r="T80">
        <v>33.987000000000002</v>
      </c>
      <c r="U80">
        <v>34.322000000000003</v>
      </c>
      <c r="W80">
        <v>-4.7E-2</v>
      </c>
      <c r="X80">
        <v>-0.46100000000000002</v>
      </c>
      <c r="Z80">
        <v>0.113</v>
      </c>
      <c r="AA80">
        <v>-0.41099999999999998</v>
      </c>
      <c r="AB80">
        <v>-0.38500000000000001</v>
      </c>
      <c r="AC80">
        <v>-0.46100000000000002</v>
      </c>
      <c r="AD80">
        <v>-0.24299999999999999</v>
      </c>
      <c r="AE80">
        <v>-4.7E-2</v>
      </c>
      <c r="AF80">
        <v>-0.254</v>
      </c>
      <c r="AG80">
        <v>-0.41099999999999998</v>
      </c>
      <c r="AH80">
        <v>-1.7000000000000001E-2</v>
      </c>
      <c r="AI80">
        <v>0.113</v>
      </c>
    </row>
    <row r="81" spans="1:35" x14ac:dyDescent="0.25">
      <c r="A81" t="s">
        <v>2245</v>
      </c>
      <c r="B81" t="s">
        <v>31</v>
      </c>
      <c r="C81" s="25">
        <v>43706.694907407407</v>
      </c>
      <c r="D81" s="25" t="s">
        <v>2238</v>
      </c>
      <c r="E81" s="424">
        <f t="array" ref="E81">SUMPRODUCT(IF(AMP1_2[[#This Row],[Dim 1_1]:[T 8]]-$F$4:$AI$4&lt;0,1,0)+IF($F$5:$AI$5-AMP1_2[[#This Row],[Dim 1_1]:[T 8]]&lt;0,1,0),IF(ISNUMBER(AMP1_2[[#This Row],[Dim 1_1]:[T 8]])=TRUE,1,0))</f>
        <v>0</v>
      </c>
      <c r="H81">
        <v>156.08000000000001</v>
      </c>
      <c r="I81">
        <v>155.99799999999999</v>
      </c>
      <c r="J81">
        <v>168.62200000000001</v>
      </c>
      <c r="K81">
        <v>168.6</v>
      </c>
      <c r="L81">
        <v>156.06399999999999</v>
      </c>
      <c r="M81">
        <v>155.76</v>
      </c>
      <c r="N81">
        <v>27.212</v>
      </c>
      <c r="O81">
        <v>27.37</v>
      </c>
      <c r="R81">
        <v>17.193000000000001</v>
      </c>
      <c r="S81">
        <v>17.375</v>
      </c>
      <c r="T81">
        <v>32.499000000000002</v>
      </c>
      <c r="U81">
        <v>35.148000000000003</v>
      </c>
      <c r="W81">
        <v>9.8000000000000004E-2</v>
      </c>
      <c r="X81">
        <v>-0.41299999999999998</v>
      </c>
      <c r="Z81">
        <v>-4.1000000000000002E-2</v>
      </c>
      <c r="AA81">
        <v>-0.26600000000000001</v>
      </c>
      <c r="AB81">
        <v>9.8000000000000004E-2</v>
      </c>
      <c r="AC81">
        <v>-8.8999999999999996E-2</v>
      </c>
      <c r="AD81">
        <v>-0.27400000000000002</v>
      </c>
      <c r="AE81">
        <v>-0.41299999999999998</v>
      </c>
      <c r="AF81">
        <v>-4.1000000000000002E-2</v>
      </c>
      <c r="AG81">
        <v>-7.0000000000000007E-2</v>
      </c>
      <c r="AH81">
        <v>-0.218</v>
      </c>
      <c r="AI81">
        <v>-0.26600000000000001</v>
      </c>
    </row>
    <row r="82" spans="1:35" x14ac:dyDescent="0.25">
      <c r="A82" t="s">
        <v>2246</v>
      </c>
      <c r="B82" t="s">
        <v>32</v>
      </c>
      <c r="C82" s="25">
        <v>43706.799432870372</v>
      </c>
      <c r="D82" s="25" t="s">
        <v>2238</v>
      </c>
      <c r="E82" s="424">
        <f t="array" ref="E82">SUMPRODUCT(IF(AMP1_2[[#This Row],[Dim 1_1]:[T 8]]-$F$4:$AI$4&lt;0,1,0)+IF($F$5:$AI$5-AMP1_2[[#This Row],[Dim 1_1]:[T 8]]&lt;0,1,0),IF(ISNUMBER(AMP1_2[[#This Row],[Dim 1_1]:[T 8]])=TRUE,1,0))</f>
        <v>0</v>
      </c>
      <c r="F82">
        <v>40.927</v>
      </c>
      <c r="G82">
        <v>40.811999999999998</v>
      </c>
      <c r="H82">
        <v>156.03399999999999</v>
      </c>
      <c r="I82">
        <v>156.06200000000001</v>
      </c>
      <c r="L82">
        <v>156.011</v>
      </c>
      <c r="M82">
        <v>155.81200000000001</v>
      </c>
      <c r="N82">
        <v>27.260999999999999</v>
      </c>
      <c r="O82">
        <v>27.423999999999999</v>
      </c>
      <c r="R82">
        <v>17.558</v>
      </c>
      <c r="S82">
        <v>17.452000000000002</v>
      </c>
      <c r="T82">
        <v>34.075000000000003</v>
      </c>
      <c r="U82">
        <v>34.296999999999997</v>
      </c>
      <c r="W82">
        <v>-6.8000000000000005E-2</v>
      </c>
      <c r="X82">
        <v>-0.42099999999999999</v>
      </c>
      <c r="Z82">
        <v>0.14399999999999999</v>
      </c>
      <c r="AA82">
        <v>-0.35099999999999998</v>
      </c>
      <c r="AB82">
        <v>-0.36</v>
      </c>
      <c r="AC82">
        <v>-0.42099999999999999</v>
      </c>
      <c r="AD82">
        <v>-0.23899999999999999</v>
      </c>
      <c r="AE82">
        <v>-6.8000000000000005E-2</v>
      </c>
      <c r="AF82">
        <v>-0.25600000000000001</v>
      </c>
      <c r="AG82">
        <v>-0.35099999999999998</v>
      </c>
      <c r="AH82">
        <v>-6.9000000000000006E-2</v>
      </c>
      <c r="AI82">
        <v>0.14399999999999999</v>
      </c>
    </row>
    <row r="83" spans="1:35" x14ac:dyDescent="0.25">
      <c r="A83" t="s">
        <v>2247</v>
      </c>
      <c r="B83" t="s">
        <v>31</v>
      </c>
      <c r="C83" s="25">
        <v>43706.801481481481</v>
      </c>
      <c r="D83" s="25" t="s">
        <v>2238</v>
      </c>
      <c r="E83" s="424">
        <f t="array" ref="E83">SUMPRODUCT(IF(AMP1_2[[#This Row],[Dim 1_1]:[T 8]]-$F$4:$AI$4&lt;0,1,0)+IF($F$5:$AI$5-AMP1_2[[#This Row],[Dim 1_1]:[T 8]]&lt;0,1,0),IF(ISNUMBER(AMP1_2[[#This Row],[Dim 1_1]:[T 8]])=TRUE,1,0))</f>
        <v>0</v>
      </c>
      <c r="H83">
        <v>155.99600000000001</v>
      </c>
      <c r="I83">
        <v>155.94</v>
      </c>
      <c r="J83">
        <v>168.60900000000001</v>
      </c>
      <c r="K83">
        <v>168.59299999999999</v>
      </c>
      <c r="L83">
        <v>156.05600000000001</v>
      </c>
      <c r="M83">
        <v>155.70699999999999</v>
      </c>
      <c r="N83">
        <v>27.241</v>
      </c>
      <c r="O83">
        <v>27.463000000000001</v>
      </c>
      <c r="R83">
        <v>17.186</v>
      </c>
      <c r="S83">
        <v>17.38</v>
      </c>
      <c r="T83">
        <v>38.018999999999998</v>
      </c>
      <c r="U83">
        <v>40.238999999999997</v>
      </c>
      <c r="W83">
        <v>0.128</v>
      </c>
      <c r="X83">
        <v>-0.26800000000000002</v>
      </c>
      <c r="Z83">
        <v>-4.3999999999999997E-2</v>
      </c>
      <c r="AA83">
        <v>-0.28399999999999997</v>
      </c>
      <c r="AB83">
        <v>0.128</v>
      </c>
      <c r="AC83">
        <v>-0.123</v>
      </c>
      <c r="AD83">
        <v>-0.26700000000000002</v>
      </c>
      <c r="AE83">
        <v>-0.26800000000000002</v>
      </c>
      <c r="AF83">
        <v>-4.3999999999999997E-2</v>
      </c>
      <c r="AG83">
        <v>-0.115</v>
      </c>
      <c r="AH83">
        <v>-0.24</v>
      </c>
      <c r="AI83">
        <v>-0.28399999999999997</v>
      </c>
    </row>
    <row r="84" spans="1:35" x14ac:dyDescent="0.25">
      <c r="A84" t="s">
        <v>2248</v>
      </c>
      <c r="B84" t="s">
        <v>32</v>
      </c>
      <c r="C84" s="25">
        <v>43706.97252314815</v>
      </c>
      <c r="D84" s="25" t="s">
        <v>2238</v>
      </c>
      <c r="E84" s="424">
        <f t="array" ref="E84">SUMPRODUCT(IF(AMP1_2[[#This Row],[Dim 1_1]:[T 8]]-$F$4:$AI$4&lt;0,1,0)+IF($F$5:$AI$5-AMP1_2[[#This Row],[Dim 1_1]:[T 8]]&lt;0,1,0),IF(ISNUMBER(AMP1_2[[#This Row],[Dim 1_1]:[T 8]])=TRUE,1,0))</f>
        <v>0</v>
      </c>
      <c r="F84">
        <v>41.067999999999998</v>
      </c>
      <c r="G84">
        <v>40.97</v>
      </c>
      <c r="H84">
        <v>155.99299999999999</v>
      </c>
      <c r="I84">
        <v>156.09399999999999</v>
      </c>
      <c r="L84">
        <v>155.97399999999999</v>
      </c>
      <c r="M84">
        <v>155.83199999999999</v>
      </c>
      <c r="N84">
        <v>27.364000000000001</v>
      </c>
      <c r="O84">
        <v>27.456</v>
      </c>
      <c r="R84">
        <v>17.588999999999999</v>
      </c>
      <c r="S84">
        <v>17.414999999999999</v>
      </c>
      <c r="T84">
        <v>34.043999999999997</v>
      </c>
      <c r="U84">
        <v>34.872</v>
      </c>
      <c r="W84">
        <v>-1.7999999999999999E-2</v>
      </c>
      <c r="X84">
        <v>-0.47799999999999998</v>
      </c>
      <c r="Z84">
        <v>0.13200000000000001</v>
      </c>
      <c r="AA84">
        <v>-0.44700000000000001</v>
      </c>
      <c r="AB84">
        <v>-0.40500000000000003</v>
      </c>
      <c r="AC84">
        <v>-0.47799999999999998</v>
      </c>
      <c r="AD84">
        <v>-0.24099999999999999</v>
      </c>
      <c r="AE84">
        <v>-1.7999999999999999E-2</v>
      </c>
      <c r="AF84">
        <v>-0.28100000000000003</v>
      </c>
      <c r="AG84">
        <v>-0.44700000000000001</v>
      </c>
      <c r="AH84">
        <v>-3.0000000000000001E-3</v>
      </c>
      <c r="AI84">
        <v>0.13200000000000001</v>
      </c>
    </row>
    <row r="85" spans="1:35" x14ac:dyDescent="0.25">
      <c r="A85" t="s">
        <v>2249</v>
      </c>
      <c r="B85" t="s">
        <v>31</v>
      </c>
      <c r="C85" s="25">
        <v>43706.975868055553</v>
      </c>
      <c r="D85" s="25" t="s">
        <v>2238</v>
      </c>
      <c r="E85" s="424">
        <f t="array" ref="E85">SUMPRODUCT(IF(AMP1_2[[#This Row],[Dim 1_1]:[T 8]]-$F$4:$AI$4&lt;0,1,0)+IF($F$5:$AI$5-AMP1_2[[#This Row],[Dim 1_1]:[T 8]]&lt;0,1,0),IF(ISNUMBER(AMP1_2[[#This Row],[Dim 1_1]:[T 8]])=TRUE,1,0))</f>
        <v>0</v>
      </c>
      <c r="H85">
        <v>155.97</v>
      </c>
      <c r="I85">
        <v>155.93700000000001</v>
      </c>
      <c r="J85">
        <v>168.74100000000001</v>
      </c>
      <c r="K85">
        <v>168.411</v>
      </c>
      <c r="L85">
        <v>156.02199999999999</v>
      </c>
      <c r="M85">
        <v>155.68299999999999</v>
      </c>
      <c r="N85">
        <v>27.245999999999999</v>
      </c>
      <c r="O85">
        <v>27.45</v>
      </c>
      <c r="R85">
        <v>17.173999999999999</v>
      </c>
      <c r="S85">
        <v>17.303000000000001</v>
      </c>
      <c r="T85">
        <v>37.749000000000002</v>
      </c>
      <c r="U85">
        <v>38.475999999999999</v>
      </c>
      <c r="W85">
        <v>0.13600000000000001</v>
      </c>
      <c r="X85">
        <v>-0.35299999999999998</v>
      </c>
      <c r="Z85">
        <v>0.05</v>
      </c>
      <c r="AA85">
        <v>-0.14399999999999999</v>
      </c>
      <c r="AB85">
        <v>0.13600000000000001</v>
      </c>
      <c r="AC85">
        <v>-4.2000000000000003E-2</v>
      </c>
      <c r="AD85">
        <v>-0.19900000000000001</v>
      </c>
      <c r="AE85">
        <v>-0.35299999999999998</v>
      </c>
      <c r="AF85">
        <v>0.05</v>
      </c>
      <c r="AG85">
        <v>1.0999999999999999E-2</v>
      </c>
      <c r="AH85">
        <v>-0.14299999999999999</v>
      </c>
      <c r="AI85">
        <v>-0.14399999999999999</v>
      </c>
    </row>
    <row r="86" spans="1:35" x14ac:dyDescent="0.25">
      <c r="A86" t="s">
        <v>2250</v>
      </c>
      <c r="B86" t="s">
        <v>32</v>
      </c>
      <c r="C86" s="25">
        <v>43707.037731481483</v>
      </c>
      <c r="D86" s="25" t="s">
        <v>2238</v>
      </c>
      <c r="E86" s="424">
        <f t="array" ref="E86">SUMPRODUCT(IF(AMP1_2[[#This Row],[Dim 1_1]:[T 8]]-$F$4:$AI$4&lt;0,1,0)+IF($F$5:$AI$5-AMP1_2[[#This Row],[Dim 1_1]:[T 8]]&lt;0,1,0),IF(ISNUMBER(AMP1_2[[#This Row],[Dim 1_1]:[T 8]])=TRUE,1,0))</f>
        <v>0</v>
      </c>
      <c r="F86">
        <v>40.914000000000001</v>
      </c>
      <c r="G86">
        <v>40.822000000000003</v>
      </c>
      <c r="H86">
        <v>156.066</v>
      </c>
      <c r="I86">
        <v>156.184</v>
      </c>
      <c r="L86">
        <v>156.078</v>
      </c>
      <c r="M86">
        <v>155.92699999999999</v>
      </c>
      <c r="N86">
        <v>27.268000000000001</v>
      </c>
      <c r="O86">
        <v>27.36</v>
      </c>
      <c r="R86">
        <v>17.553000000000001</v>
      </c>
      <c r="S86">
        <v>17.411000000000001</v>
      </c>
      <c r="T86">
        <v>33.966999999999999</v>
      </c>
      <c r="U86">
        <v>34.493000000000002</v>
      </c>
      <c r="W86">
        <v>-0.33400000000000002</v>
      </c>
      <c r="X86">
        <v>-0.57699999999999996</v>
      </c>
      <c r="Z86">
        <v>3.6999999999999998E-2</v>
      </c>
      <c r="AA86">
        <v>-0.51500000000000001</v>
      </c>
      <c r="AB86">
        <v>-0.54200000000000004</v>
      </c>
      <c r="AC86">
        <v>-0.57699999999999996</v>
      </c>
      <c r="AD86">
        <v>-0.33400000000000002</v>
      </c>
      <c r="AE86">
        <v>-0.378</v>
      </c>
      <c r="AF86">
        <v>-0.375</v>
      </c>
      <c r="AG86">
        <v>-0.51500000000000001</v>
      </c>
      <c r="AH86">
        <v>-0.114</v>
      </c>
      <c r="AI86">
        <v>3.6999999999999998E-2</v>
      </c>
    </row>
    <row r="87" spans="1:35" x14ac:dyDescent="0.25">
      <c r="A87" t="s">
        <v>2251</v>
      </c>
      <c r="B87" t="s">
        <v>31</v>
      </c>
      <c r="C87" s="25">
        <v>43707.03979166667</v>
      </c>
      <c r="D87" s="25" t="s">
        <v>2238</v>
      </c>
      <c r="E87" s="424">
        <f t="array" ref="E87">SUMPRODUCT(IF(AMP1_2[[#This Row],[Dim 1_1]:[T 8]]-$F$4:$AI$4&lt;0,1,0)+IF($F$5:$AI$5-AMP1_2[[#This Row],[Dim 1_1]:[T 8]]&lt;0,1,0),IF(ISNUMBER(AMP1_2[[#This Row],[Dim 1_1]:[T 8]])=TRUE,1,0))</f>
        <v>0</v>
      </c>
      <c r="H87">
        <v>156.02099999999999</v>
      </c>
      <c r="I87">
        <v>156.006</v>
      </c>
      <c r="J87">
        <v>168.69900000000001</v>
      </c>
      <c r="K87">
        <v>168.447</v>
      </c>
      <c r="L87">
        <v>156.15600000000001</v>
      </c>
      <c r="M87">
        <v>155.80600000000001</v>
      </c>
      <c r="N87">
        <v>27.163</v>
      </c>
      <c r="O87">
        <v>27.349</v>
      </c>
      <c r="R87">
        <v>17.167000000000002</v>
      </c>
      <c r="S87">
        <v>17.329999999999998</v>
      </c>
      <c r="T87">
        <v>37.722000000000001</v>
      </c>
      <c r="U87">
        <v>39.155999999999999</v>
      </c>
      <c r="W87">
        <v>2.1999999999999999E-2</v>
      </c>
      <c r="X87">
        <v>-0.307</v>
      </c>
      <c r="Z87">
        <v>-9.7000000000000003E-2</v>
      </c>
      <c r="AA87">
        <v>-0.29299999999999998</v>
      </c>
      <c r="AB87">
        <v>2.1999999999999999E-2</v>
      </c>
      <c r="AC87">
        <v>-0.11799999999999999</v>
      </c>
      <c r="AD87">
        <v>-0.30399999999999999</v>
      </c>
      <c r="AE87">
        <v>-0.307</v>
      </c>
      <c r="AF87">
        <v>-9.7000000000000003E-2</v>
      </c>
      <c r="AG87">
        <v>-0.14099999999999999</v>
      </c>
      <c r="AH87">
        <v>-0.24299999999999999</v>
      </c>
      <c r="AI87">
        <v>-0.29299999999999998</v>
      </c>
    </row>
    <row r="88" spans="1:35" x14ac:dyDescent="0.25">
      <c r="A88" t="s">
        <v>2252</v>
      </c>
      <c r="B88" t="s">
        <v>32</v>
      </c>
      <c r="C88" s="25">
        <v>43707.372442129628</v>
      </c>
      <c r="D88" s="25" t="s">
        <v>2238</v>
      </c>
      <c r="E88" s="424">
        <f t="array" ref="E88">SUMPRODUCT(IF(AMP1_2[[#This Row],[Dim 1_1]:[T 8]]-$F$4:$AI$4&lt;0,1,0)+IF($F$5:$AI$5-AMP1_2[[#This Row],[Dim 1_1]:[T 8]]&lt;0,1,0),IF(ISNUMBER(AMP1_2[[#This Row],[Dim 1_1]:[T 8]])=TRUE,1,0))</f>
        <v>1</v>
      </c>
      <c r="F88">
        <v>40.972000000000001</v>
      </c>
      <c r="G88">
        <v>40.731000000000002</v>
      </c>
      <c r="H88">
        <v>156.05099999999999</v>
      </c>
      <c r="I88">
        <v>156.13800000000001</v>
      </c>
      <c r="L88">
        <v>156.00800000000001</v>
      </c>
      <c r="M88">
        <v>155.81899999999999</v>
      </c>
      <c r="N88">
        <v>27.303999999999998</v>
      </c>
      <c r="O88">
        <v>27.431999999999999</v>
      </c>
      <c r="R88">
        <v>17.597000000000001</v>
      </c>
      <c r="S88">
        <v>17.524000000000001</v>
      </c>
      <c r="T88">
        <v>34.037999999999997</v>
      </c>
      <c r="U88">
        <v>34.299999999999997</v>
      </c>
      <c r="W88">
        <v>7.4999999999999997E-2</v>
      </c>
      <c r="X88">
        <v>-0.40799999999999997</v>
      </c>
      <c r="Z88">
        <v>0.154</v>
      </c>
      <c r="AA88">
        <v>-0.39500000000000002</v>
      </c>
      <c r="AB88">
        <v>-0.32600000000000001</v>
      </c>
      <c r="AC88">
        <v>-0.40799999999999997</v>
      </c>
      <c r="AD88">
        <v>-0.21199999999999999</v>
      </c>
      <c r="AE88">
        <v>7.4999999999999997E-2</v>
      </c>
      <c r="AF88">
        <v>-0.25900000000000001</v>
      </c>
      <c r="AG88">
        <v>-0.39500000000000002</v>
      </c>
      <c r="AH88">
        <v>-8.1000000000000003E-2</v>
      </c>
      <c r="AI88">
        <v>0.154</v>
      </c>
    </row>
    <row r="89" spans="1:35" x14ac:dyDescent="0.25">
      <c r="A89" t="s">
        <v>2253</v>
      </c>
      <c r="B89" t="s">
        <v>31</v>
      </c>
      <c r="C89" s="25">
        <v>43707.377766203703</v>
      </c>
      <c r="D89" s="25" t="s">
        <v>2238</v>
      </c>
      <c r="E89" s="424">
        <f t="array" ref="E89">SUMPRODUCT(IF(AMP1_2[[#This Row],[Dim 1_1]:[T 8]]-$F$4:$AI$4&lt;0,1,0)+IF($F$5:$AI$5-AMP1_2[[#This Row],[Dim 1_1]:[T 8]]&lt;0,1,0),IF(ISNUMBER(AMP1_2[[#This Row],[Dim 1_1]:[T 8]])=TRUE,1,0))</f>
        <v>0</v>
      </c>
      <c r="H89">
        <v>156.01400000000001</v>
      </c>
      <c r="I89">
        <v>155.97499999999999</v>
      </c>
      <c r="J89">
        <v>168.685</v>
      </c>
      <c r="K89">
        <v>168.61099999999999</v>
      </c>
      <c r="L89">
        <v>156.09399999999999</v>
      </c>
      <c r="M89">
        <v>155.715</v>
      </c>
      <c r="N89">
        <v>27.145</v>
      </c>
      <c r="O89">
        <v>27.300999999999998</v>
      </c>
      <c r="R89">
        <v>17.164000000000001</v>
      </c>
      <c r="S89">
        <v>17.183</v>
      </c>
      <c r="T89">
        <v>38.450000000000003</v>
      </c>
      <c r="U89">
        <v>38.796999999999997</v>
      </c>
      <c r="W89">
        <v>1.9E-2</v>
      </c>
      <c r="X89">
        <v>-0.22600000000000001</v>
      </c>
      <c r="Z89">
        <v>-4.3999999999999997E-2</v>
      </c>
      <c r="AA89">
        <v>-0.122</v>
      </c>
      <c r="AB89">
        <v>1.9E-2</v>
      </c>
      <c r="AC89">
        <v>-0.192</v>
      </c>
      <c r="AD89">
        <v>-0.22600000000000001</v>
      </c>
      <c r="AE89">
        <v>-0.20200000000000001</v>
      </c>
      <c r="AF89">
        <v>-4.3999999999999997E-2</v>
      </c>
      <c r="AG89">
        <v>-7.4999999999999997E-2</v>
      </c>
      <c r="AH89">
        <v>-0.08</v>
      </c>
      <c r="AI89">
        <v>-0.122</v>
      </c>
    </row>
    <row r="90" spans="1:35" x14ac:dyDescent="0.25">
      <c r="A90" t="s">
        <v>2432</v>
      </c>
      <c r="B90" t="s">
        <v>32</v>
      </c>
      <c r="C90" s="25">
        <v>43707.464050925926</v>
      </c>
      <c r="D90" s="25" t="s">
        <v>2238</v>
      </c>
      <c r="E90" s="424">
        <f t="array" ref="E90">SUMPRODUCT(IF(AMP1_2[[#This Row],[Dim 1_1]:[T 8]]-$F$4:$AI$4&lt;0,1,0)+IF($F$5:$AI$5-AMP1_2[[#This Row],[Dim 1_1]:[T 8]]&lt;0,1,0),IF(ISNUMBER(AMP1_2[[#This Row],[Dim 1_1]:[T 8]])=TRUE,1,0))</f>
        <v>0</v>
      </c>
      <c r="F90">
        <v>40.984999999999999</v>
      </c>
      <c r="G90">
        <v>40.862000000000002</v>
      </c>
      <c r="H90">
        <v>156.03399999999999</v>
      </c>
      <c r="I90">
        <v>156.15</v>
      </c>
      <c r="L90">
        <v>156.00200000000001</v>
      </c>
      <c r="M90">
        <v>155.87799999999999</v>
      </c>
      <c r="N90">
        <v>27.309000000000001</v>
      </c>
      <c r="O90">
        <v>27.385999999999999</v>
      </c>
      <c r="R90">
        <v>17.568000000000001</v>
      </c>
      <c r="S90">
        <v>17.463999999999999</v>
      </c>
      <c r="T90">
        <v>33.862000000000002</v>
      </c>
      <c r="U90">
        <v>34.369999999999997</v>
      </c>
      <c r="W90">
        <v>-0.20699999999999999</v>
      </c>
      <c r="X90">
        <v>-0.48299999999999998</v>
      </c>
      <c r="Z90">
        <v>9.7000000000000003E-2</v>
      </c>
      <c r="AA90">
        <v>-0.40799999999999997</v>
      </c>
      <c r="AB90">
        <v>-0.41499999999999998</v>
      </c>
      <c r="AC90">
        <v>-0.48299999999999998</v>
      </c>
      <c r="AD90">
        <v>-0.29099999999999998</v>
      </c>
      <c r="AE90">
        <v>-0.20699999999999999</v>
      </c>
      <c r="AF90">
        <v>-0.27800000000000002</v>
      </c>
      <c r="AG90">
        <v>-0.40799999999999997</v>
      </c>
      <c r="AH90">
        <v>-1.2999999999999999E-2</v>
      </c>
      <c r="AI90">
        <v>9.7000000000000003E-2</v>
      </c>
    </row>
    <row r="91" spans="1:35" x14ac:dyDescent="0.25">
      <c r="A91" t="s">
        <v>2433</v>
      </c>
      <c r="B91" t="s">
        <v>31</v>
      </c>
      <c r="C91" s="25">
        <v>43707.466296296298</v>
      </c>
      <c r="D91" s="25" t="s">
        <v>2238</v>
      </c>
      <c r="E91" s="424">
        <f t="array" ref="E91">SUMPRODUCT(IF(AMP1_2[[#This Row],[Dim 1_1]:[T 8]]-$F$4:$AI$4&lt;0,1,0)+IF($F$5:$AI$5-AMP1_2[[#This Row],[Dim 1_1]:[T 8]]&lt;0,1,0),IF(ISNUMBER(AMP1_2[[#This Row],[Dim 1_1]:[T 8]])=TRUE,1,0))</f>
        <v>0</v>
      </c>
      <c r="H91">
        <v>156.017</v>
      </c>
      <c r="I91">
        <v>155.965</v>
      </c>
      <c r="J91">
        <v>168.67500000000001</v>
      </c>
      <c r="K91">
        <v>168.29</v>
      </c>
      <c r="L91">
        <v>156.029</v>
      </c>
      <c r="M91">
        <v>155.608</v>
      </c>
      <c r="N91">
        <v>27.248000000000001</v>
      </c>
      <c r="O91">
        <v>27.513999999999999</v>
      </c>
      <c r="R91">
        <v>17.097000000000001</v>
      </c>
      <c r="S91">
        <v>17.198</v>
      </c>
      <c r="T91">
        <v>36.866999999999997</v>
      </c>
      <c r="U91">
        <v>38.83</v>
      </c>
      <c r="W91">
        <v>0.124</v>
      </c>
      <c r="X91">
        <v>-0.20200000000000001</v>
      </c>
      <c r="Z91">
        <v>-2.8000000000000001E-2</v>
      </c>
      <c r="AA91">
        <v>-0.161</v>
      </c>
      <c r="AB91">
        <v>0.124</v>
      </c>
      <c r="AC91">
        <v>-0.10299999999999999</v>
      </c>
      <c r="AD91">
        <v>-0.20200000000000001</v>
      </c>
      <c r="AE91">
        <v>-9.7000000000000003E-2</v>
      </c>
      <c r="AF91">
        <v>-2.8000000000000001E-2</v>
      </c>
      <c r="AG91">
        <v>-9.6000000000000002E-2</v>
      </c>
      <c r="AH91">
        <v>-0.123</v>
      </c>
      <c r="AI91">
        <v>-0.161</v>
      </c>
    </row>
    <row r="92" spans="1:35" x14ac:dyDescent="0.25">
      <c r="A92" t="s">
        <v>2434</v>
      </c>
      <c r="B92" t="s">
        <v>32</v>
      </c>
      <c r="C92" s="25">
        <v>43707.628275462965</v>
      </c>
      <c r="D92" s="25" t="s">
        <v>2238</v>
      </c>
      <c r="E92" s="424">
        <f t="array" ref="E92">SUMPRODUCT(IF(AMP1_2[[#This Row],[Dim 1_1]:[T 8]]-$F$4:$AI$4&lt;0,1,0)+IF($F$5:$AI$5-AMP1_2[[#This Row],[Dim 1_1]:[T 8]]&lt;0,1,0),IF(ISNUMBER(AMP1_2[[#This Row],[Dim 1_1]:[T 8]])=TRUE,1,0))</f>
        <v>0</v>
      </c>
      <c r="F92">
        <v>41.119</v>
      </c>
      <c r="G92">
        <v>41.045999999999999</v>
      </c>
      <c r="H92">
        <v>155.97499999999999</v>
      </c>
      <c r="I92">
        <v>155.90600000000001</v>
      </c>
      <c r="L92">
        <v>155.965</v>
      </c>
      <c r="M92">
        <v>155.57</v>
      </c>
      <c r="N92">
        <v>27.327999999999999</v>
      </c>
      <c r="O92">
        <v>27.692</v>
      </c>
      <c r="R92">
        <v>17.555</v>
      </c>
      <c r="S92">
        <v>17.509</v>
      </c>
      <c r="T92">
        <v>34.628</v>
      </c>
      <c r="U92">
        <v>34.003</v>
      </c>
      <c r="W92">
        <v>0.107</v>
      </c>
      <c r="X92">
        <v>-0.42</v>
      </c>
      <c r="Z92">
        <v>3.5999999999999997E-2</v>
      </c>
      <c r="AA92">
        <v>-0.498</v>
      </c>
      <c r="AB92">
        <v>-0.33200000000000002</v>
      </c>
      <c r="AC92">
        <v>-0.42</v>
      </c>
      <c r="AD92">
        <v>-0.217</v>
      </c>
      <c r="AE92">
        <v>0.107</v>
      </c>
      <c r="AF92">
        <v>-0.33900000000000002</v>
      </c>
      <c r="AG92">
        <v>-0.498</v>
      </c>
      <c r="AH92">
        <v>-9.9000000000000005E-2</v>
      </c>
      <c r="AI92">
        <v>3.5999999999999997E-2</v>
      </c>
    </row>
    <row r="93" spans="1:35" x14ac:dyDescent="0.25">
      <c r="A93" t="s">
        <v>2435</v>
      </c>
      <c r="B93" t="s">
        <v>31</v>
      </c>
      <c r="C93" s="25">
        <v>43707.63177083333</v>
      </c>
      <c r="D93" s="25" t="s">
        <v>2238</v>
      </c>
      <c r="E93" s="424">
        <f t="array" ref="E93">SUMPRODUCT(IF(AMP1_2[[#This Row],[Dim 1_1]:[T 8]]-$F$4:$AI$4&lt;0,1,0)+IF($F$5:$AI$5-AMP1_2[[#This Row],[Dim 1_1]:[T 8]]&lt;0,1,0),IF(ISNUMBER(AMP1_2[[#This Row],[Dim 1_1]:[T 8]])=TRUE,1,0))</f>
        <v>0</v>
      </c>
      <c r="H93">
        <v>155.994</v>
      </c>
      <c r="I93">
        <v>156.09800000000001</v>
      </c>
      <c r="J93">
        <v>168.74799999999999</v>
      </c>
      <c r="K93">
        <v>168.39500000000001</v>
      </c>
      <c r="L93">
        <v>156.03700000000001</v>
      </c>
      <c r="M93">
        <v>155.84399999999999</v>
      </c>
      <c r="N93">
        <v>27.22</v>
      </c>
      <c r="O93">
        <v>27.256</v>
      </c>
      <c r="R93">
        <v>17.163</v>
      </c>
      <c r="S93">
        <v>17.219000000000001</v>
      </c>
      <c r="T93">
        <v>35.930999999999997</v>
      </c>
      <c r="U93">
        <v>39.195999999999998</v>
      </c>
      <c r="W93">
        <v>-1.7000000000000001E-2</v>
      </c>
      <c r="X93">
        <v>-0.28299999999999997</v>
      </c>
      <c r="Z93">
        <v>-6.2E-2</v>
      </c>
      <c r="AA93">
        <v>-0.20799999999999999</v>
      </c>
      <c r="AB93">
        <v>-1.7000000000000001E-2</v>
      </c>
      <c r="AC93">
        <v>-0.21299999999999999</v>
      </c>
      <c r="AD93">
        <v>-0.28299999999999997</v>
      </c>
      <c r="AE93">
        <v>-0.215</v>
      </c>
      <c r="AF93">
        <v>-6.2E-2</v>
      </c>
      <c r="AG93">
        <v>-0.123</v>
      </c>
      <c r="AH93">
        <v>-0.18099999999999999</v>
      </c>
      <c r="AI93">
        <v>-0.20799999999999999</v>
      </c>
    </row>
    <row r="94" spans="1:35" x14ac:dyDescent="0.25">
      <c r="A94" t="s">
        <v>2640</v>
      </c>
      <c r="B94" t="s">
        <v>32</v>
      </c>
      <c r="C94" s="25">
        <v>43711.543263888889</v>
      </c>
      <c r="D94" s="25" t="s">
        <v>2238</v>
      </c>
      <c r="E94" s="424">
        <f t="array" ref="E94">SUMPRODUCT(IF(AMP1_2[[#This Row],[Dim 1_1]:[T 8]]-$F$4:$AI$4&lt;0,1,0)+IF($F$5:$AI$5-AMP1_2[[#This Row],[Dim 1_1]:[T 8]]&lt;0,1,0),IF(ISNUMBER(AMP1_2[[#This Row],[Dim 1_1]:[T 8]])=TRUE,1,0))</f>
        <v>0</v>
      </c>
      <c r="F94">
        <v>41.192999999999998</v>
      </c>
      <c r="G94">
        <v>41.164999999999999</v>
      </c>
      <c r="H94">
        <v>155.86699999999999</v>
      </c>
      <c r="I94">
        <v>155.869</v>
      </c>
      <c r="L94">
        <v>155.84399999999999</v>
      </c>
      <c r="M94">
        <v>155.56399999999999</v>
      </c>
      <c r="N94">
        <v>27.420999999999999</v>
      </c>
      <c r="O94">
        <v>27.658999999999999</v>
      </c>
      <c r="R94">
        <v>17.542000000000002</v>
      </c>
      <c r="S94">
        <v>17.405000000000001</v>
      </c>
      <c r="T94">
        <v>33.935000000000002</v>
      </c>
      <c r="U94">
        <v>34.421999999999997</v>
      </c>
      <c r="W94">
        <v>0.03</v>
      </c>
      <c r="X94">
        <v>-0.28999999999999998</v>
      </c>
      <c r="Z94">
        <v>0.185</v>
      </c>
      <c r="AA94">
        <v>-0.14799999999999999</v>
      </c>
      <c r="AB94">
        <v>-0.20899999999999999</v>
      </c>
      <c r="AC94">
        <v>-0.28999999999999998</v>
      </c>
      <c r="AD94">
        <v>-0.17499999999999999</v>
      </c>
      <c r="AE94">
        <v>0.03</v>
      </c>
      <c r="AF94">
        <v>-4.4999999999999998E-2</v>
      </c>
      <c r="AG94">
        <v>-0.14799999999999999</v>
      </c>
      <c r="AH94">
        <v>3.3000000000000002E-2</v>
      </c>
      <c r="AI94">
        <v>0.185</v>
      </c>
    </row>
    <row r="95" spans="1:35" x14ac:dyDescent="0.25">
      <c r="A95" t="s">
        <v>2641</v>
      </c>
      <c r="B95" t="s">
        <v>31</v>
      </c>
      <c r="C95" s="25">
        <v>43711.545393518521</v>
      </c>
      <c r="D95" s="25" t="s">
        <v>2238</v>
      </c>
      <c r="E95" s="424">
        <f t="array" ref="E95">SUMPRODUCT(IF(AMP1_2[[#This Row],[Dim 1_1]:[T 8]]-$F$4:$AI$4&lt;0,1,0)+IF($F$5:$AI$5-AMP1_2[[#This Row],[Dim 1_1]:[T 8]]&lt;0,1,0),IF(ISNUMBER(AMP1_2[[#This Row],[Dim 1_1]:[T 8]])=TRUE,1,0))</f>
        <v>0</v>
      </c>
      <c r="H95">
        <v>155.84200000000001</v>
      </c>
      <c r="I95">
        <v>155.82400000000001</v>
      </c>
      <c r="J95">
        <v>168.755</v>
      </c>
      <c r="K95">
        <v>168.81</v>
      </c>
      <c r="L95">
        <v>155.911</v>
      </c>
      <c r="M95">
        <v>155.68899999999999</v>
      </c>
      <c r="N95">
        <v>27.344000000000001</v>
      </c>
      <c r="O95">
        <v>27.388999999999999</v>
      </c>
      <c r="R95">
        <v>17.183</v>
      </c>
      <c r="S95">
        <v>17.417000000000002</v>
      </c>
      <c r="T95">
        <v>35.488</v>
      </c>
      <c r="U95">
        <v>37.024000000000001</v>
      </c>
      <c r="W95">
        <v>0.25700000000000001</v>
      </c>
      <c r="X95">
        <v>-0.08</v>
      </c>
      <c r="Z95">
        <v>0.14699999999999999</v>
      </c>
      <c r="AA95">
        <v>-0.13100000000000001</v>
      </c>
      <c r="AB95">
        <v>0.25700000000000001</v>
      </c>
      <c r="AC95">
        <v>3.5999999999999997E-2</v>
      </c>
      <c r="AD95">
        <v>-0.08</v>
      </c>
      <c r="AE95">
        <v>-2.9000000000000001E-2</v>
      </c>
      <c r="AF95">
        <v>0.14699999999999999</v>
      </c>
      <c r="AG95">
        <v>8.2000000000000003E-2</v>
      </c>
      <c r="AH95">
        <v>-2.9000000000000001E-2</v>
      </c>
      <c r="AI95">
        <v>-0.13100000000000001</v>
      </c>
    </row>
    <row r="96" spans="1:35" x14ac:dyDescent="0.25">
      <c r="A96" t="s">
        <v>2642</v>
      </c>
      <c r="B96" t="s">
        <v>32</v>
      </c>
      <c r="C96" s="25">
        <v>43711.72042824074</v>
      </c>
      <c r="D96" s="25" t="s">
        <v>2238</v>
      </c>
      <c r="E96" s="424">
        <f t="array" ref="E96">SUMPRODUCT(IF(AMP1_2[[#This Row],[Dim 1_1]:[T 8]]-$F$4:$AI$4&lt;0,1,0)+IF($F$5:$AI$5-AMP1_2[[#This Row],[Dim 1_1]:[T 8]]&lt;0,1,0),IF(ISNUMBER(AMP1_2[[#This Row],[Dim 1_1]:[T 8]])=TRUE,1,0))</f>
        <v>0</v>
      </c>
      <c r="F96">
        <v>41.234000000000002</v>
      </c>
      <c r="G96">
        <v>41.146999999999998</v>
      </c>
      <c r="H96">
        <v>155.84700000000001</v>
      </c>
      <c r="I96">
        <v>155.80099999999999</v>
      </c>
      <c r="L96">
        <v>155.803</v>
      </c>
      <c r="M96">
        <v>155.54599999999999</v>
      </c>
      <c r="N96">
        <v>27.488</v>
      </c>
      <c r="O96">
        <v>27.718</v>
      </c>
      <c r="R96">
        <v>17.579000000000001</v>
      </c>
      <c r="S96">
        <v>17.466999999999999</v>
      </c>
      <c r="T96">
        <v>34.229999999999997</v>
      </c>
      <c r="U96">
        <v>34.320999999999998</v>
      </c>
      <c r="W96">
        <v>8.9999999999999993E-3</v>
      </c>
      <c r="X96">
        <v>-0.32500000000000001</v>
      </c>
      <c r="Z96">
        <v>7.0000000000000007E-2</v>
      </c>
      <c r="AA96">
        <v>-0.316</v>
      </c>
      <c r="AB96">
        <v>-0.224</v>
      </c>
      <c r="AC96">
        <v>-0.32500000000000001</v>
      </c>
      <c r="AD96">
        <v>-0.19900000000000001</v>
      </c>
      <c r="AE96">
        <v>8.9999999999999993E-3</v>
      </c>
      <c r="AF96">
        <v>-0.19400000000000001</v>
      </c>
      <c r="AG96">
        <v>-0.316</v>
      </c>
      <c r="AH96">
        <v>-7.6999999999999999E-2</v>
      </c>
      <c r="AI96">
        <v>7.0000000000000007E-2</v>
      </c>
    </row>
    <row r="97" spans="1:35" x14ac:dyDescent="0.25">
      <c r="A97" t="s">
        <v>2643</v>
      </c>
      <c r="B97" t="s">
        <v>31</v>
      </c>
      <c r="C97" s="25">
        <v>43711.722731481481</v>
      </c>
      <c r="D97" s="25" t="s">
        <v>2238</v>
      </c>
      <c r="E97" s="424">
        <f t="array" ref="E97">SUMPRODUCT(IF(AMP1_2[[#This Row],[Dim 1_1]:[T 8]]-$F$4:$AI$4&lt;0,1,0)+IF($F$5:$AI$5-AMP1_2[[#This Row],[Dim 1_1]:[T 8]]&lt;0,1,0),IF(ISNUMBER(AMP1_2[[#This Row],[Dim 1_1]:[T 8]])=TRUE,1,0))</f>
        <v>0</v>
      </c>
      <c r="H97">
        <v>155.839</v>
      </c>
      <c r="I97">
        <v>155.857</v>
      </c>
      <c r="J97">
        <v>168.74100000000001</v>
      </c>
      <c r="K97">
        <v>168.744</v>
      </c>
      <c r="L97">
        <v>155.91999999999999</v>
      </c>
      <c r="M97">
        <v>155.66</v>
      </c>
      <c r="N97">
        <v>27.347999999999999</v>
      </c>
      <c r="O97">
        <v>27.402000000000001</v>
      </c>
      <c r="R97">
        <v>17.158000000000001</v>
      </c>
      <c r="S97">
        <v>17.41</v>
      </c>
      <c r="T97">
        <v>36.098999999999997</v>
      </c>
      <c r="U97">
        <v>37.344999999999999</v>
      </c>
      <c r="W97">
        <v>0.24</v>
      </c>
      <c r="X97">
        <v>-0.155</v>
      </c>
      <c r="Z97">
        <v>0.106</v>
      </c>
      <c r="AA97">
        <v>-0.20200000000000001</v>
      </c>
      <c r="AB97">
        <v>0.24</v>
      </c>
      <c r="AC97">
        <v>-1E-3</v>
      </c>
      <c r="AD97">
        <v>-0.155</v>
      </c>
      <c r="AE97">
        <v>-2.7E-2</v>
      </c>
      <c r="AF97">
        <v>0.106</v>
      </c>
      <c r="AG97">
        <v>7.4999999999999997E-2</v>
      </c>
      <c r="AH97">
        <v>-0.14599999999999999</v>
      </c>
      <c r="AI97">
        <v>-0.20200000000000001</v>
      </c>
    </row>
    <row r="98" spans="1:35" x14ac:dyDescent="0.25">
      <c r="A98" t="s">
        <v>2644</v>
      </c>
      <c r="B98" t="s">
        <v>32</v>
      </c>
      <c r="C98" s="25">
        <v>43711.740543981483</v>
      </c>
      <c r="D98" s="25" t="s">
        <v>2238</v>
      </c>
      <c r="E98" s="424">
        <f t="array" ref="E98">SUMPRODUCT(IF(AMP1_2[[#This Row],[Dim 1_1]:[T 8]]-$F$4:$AI$4&lt;0,1,0)+IF($F$5:$AI$5-AMP1_2[[#This Row],[Dim 1_1]:[T 8]]&lt;0,1,0),IF(ISNUMBER(AMP1_2[[#This Row],[Dim 1_1]:[T 8]])=TRUE,1,0))</f>
        <v>0</v>
      </c>
      <c r="F98">
        <v>41.165999999999997</v>
      </c>
      <c r="G98">
        <v>41.78</v>
      </c>
      <c r="H98">
        <v>155.881</v>
      </c>
      <c r="I98">
        <v>155.84200000000001</v>
      </c>
      <c r="L98">
        <v>155.82400000000001</v>
      </c>
      <c r="M98">
        <v>155.53299999999999</v>
      </c>
      <c r="N98">
        <v>27.459</v>
      </c>
      <c r="O98">
        <v>27.704999999999998</v>
      </c>
      <c r="R98">
        <v>17.527000000000001</v>
      </c>
      <c r="S98">
        <v>17.478000000000002</v>
      </c>
      <c r="T98">
        <v>33.912999999999997</v>
      </c>
      <c r="U98">
        <v>34.225999999999999</v>
      </c>
      <c r="W98">
        <v>-6.7000000000000004E-2</v>
      </c>
      <c r="X98">
        <v>-0.28799999999999998</v>
      </c>
      <c r="Z98">
        <v>0.11700000000000001</v>
      </c>
      <c r="AA98">
        <v>-0.246</v>
      </c>
      <c r="AB98">
        <v>-0.23300000000000001</v>
      </c>
      <c r="AC98">
        <v>-0.28799999999999998</v>
      </c>
      <c r="AD98">
        <v>-0.20699999999999999</v>
      </c>
      <c r="AE98">
        <v>-6.7000000000000004E-2</v>
      </c>
      <c r="AF98">
        <v>-0.111</v>
      </c>
      <c r="AG98">
        <v>-0.246</v>
      </c>
      <c r="AH98">
        <v>-0.04</v>
      </c>
      <c r="AI98">
        <v>0.11700000000000001</v>
      </c>
    </row>
    <row r="99" spans="1:35" x14ac:dyDescent="0.25">
      <c r="A99" t="s">
        <v>2645</v>
      </c>
      <c r="B99" t="s">
        <v>31</v>
      </c>
      <c r="C99" s="25">
        <v>43711.744293981479</v>
      </c>
      <c r="D99" s="25" t="s">
        <v>2238</v>
      </c>
      <c r="E99" s="424">
        <f t="array" ref="E99">SUMPRODUCT(IF(AMP1_2[[#This Row],[Dim 1_1]:[T 8]]-$F$4:$AI$4&lt;0,1,0)+IF($F$5:$AI$5-AMP1_2[[#This Row],[Dim 1_1]:[T 8]]&lt;0,1,0),IF(ISNUMBER(AMP1_2[[#This Row],[Dim 1_1]:[T 8]])=TRUE,1,0))</f>
        <v>0</v>
      </c>
      <c r="H99">
        <v>155.85</v>
      </c>
      <c r="I99">
        <v>155.85300000000001</v>
      </c>
      <c r="J99">
        <v>168.73099999999999</v>
      </c>
      <c r="K99">
        <v>168.77</v>
      </c>
      <c r="L99">
        <v>155.88800000000001</v>
      </c>
      <c r="M99">
        <v>155.649</v>
      </c>
      <c r="N99">
        <v>27.364999999999998</v>
      </c>
      <c r="O99">
        <v>27.416</v>
      </c>
      <c r="R99">
        <v>17.196000000000002</v>
      </c>
      <c r="S99">
        <v>17.454999999999998</v>
      </c>
      <c r="T99">
        <v>38.335000000000001</v>
      </c>
      <c r="U99">
        <v>38.798000000000002</v>
      </c>
      <c r="W99">
        <v>0.25800000000000001</v>
      </c>
      <c r="X99">
        <v>-0.13800000000000001</v>
      </c>
      <c r="Z99">
        <v>0.122</v>
      </c>
      <c r="AA99">
        <v>-0.18099999999999999</v>
      </c>
      <c r="AB99">
        <v>0.25800000000000001</v>
      </c>
      <c r="AC99">
        <v>3.5000000000000003E-2</v>
      </c>
      <c r="AD99">
        <v>-0.13800000000000001</v>
      </c>
      <c r="AE99">
        <v>-0.128</v>
      </c>
      <c r="AF99">
        <v>0.122</v>
      </c>
      <c r="AG99">
        <v>7.4999999999999997E-2</v>
      </c>
      <c r="AH99">
        <v>-0.11600000000000001</v>
      </c>
      <c r="AI99">
        <v>-0.18099999999999999</v>
      </c>
    </row>
    <row r="100" spans="1:35" x14ac:dyDescent="0.25">
      <c r="A100" t="s">
        <v>2646</v>
      </c>
      <c r="B100" t="s">
        <v>32</v>
      </c>
      <c r="C100" s="25">
        <v>43711.84002314815</v>
      </c>
      <c r="D100" s="25" t="s">
        <v>2238</v>
      </c>
      <c r="E100" s="424">
        <f t="array" ref="E100">SUMPRODUCT(IF(AMP1_2[[#This Row],[Dim 1_1]:[T 8]]-$F$4:$AI$4&lt;0,1,0)+IF($F$5:$AI$5-AMP1_2[[#This Row],[Dim 1_1]:[T 8]]&lt;0,1,0),IF(ISNUMBER(AMP1_2[[#This Row],[Dim 1_1]:[T 8]])=TRUE,1,0))</f>
        <v>0</v>
      </c>
      <c r="F100">
        <v>40.996000000000002</v>
      </c>
      <c r="G100">
        <v>41.064999999999998</v>
      </c>
      <c r="H100">
        <v>155.898</v>
      </c>
      <c r="I100">
        <v>155.88900000000001</v>
      </c>
      <c r="L100">
        <v>155.89699999999999</v>
      </c>
      <c r="M100">
        <v>155.642</v>
      </c>
      <c r="N100">
        <v>27.404</v>
      </c>
      <c r="O100">
        <v>27.648</v>
      </c>
      <c r="R100">
        <v>17.565999999999999</v>
      </c>
      <c r="S100">
        <v>17.504999999999999</v>
      </c>
      <c r="T100">
        <v>33.963999999999999</v>
      </c>
      <c r="U100">
        <v>34.295000000000002</v>
      </c>
      <c r="W100">
        <v>-2E-3</v>
      </c>
      <c r="X100">
        <v>-0.33800000000000002</v>
      </c>
      <c r="Z100">
        <v>0.13</v>
      </c>
      <c r="AA100">
        <v>-0.27800000000000002</v>
      </c>
      <c r="AB100">
        <v>-0.255</v>
      </c>
      <c r="AC100">
        <v>-0.33800000000000002</v>
      </c>
      <c r="AD100">
        <v>-0.192</v>
      </c>
      <c r="AE100">
        <v>-2E-3</v>
      </c>
      <c r="AF100">
        <v>-0.17299999999999999</v>
      </c>
      <c r="AG100">
        <v>-0.27800000000000002</v>
      </c>
      <c r="AH100">
        <v>-3.3000000000000002E-2</v>
      </c>
      <c r="AI100">
        <v>0.13</v>
      </c>
    </row>
    <row r="101" spans="1:35" x14ac:dyDescent="0.25">
      <c r="A101" t="s">
        <v>2647</v>
      </c>
      <c r="B101" t="s">
        <v>31</v>
      </c>
      <c r="C101" s="25">
        <v>43711.842083333337</v>
      </c>
      <c r="D101" s="25" t="s">
        <v>2238</v>
      </c>
      <c r="E101" s="424">
        <f t="array" ref="E101">SUMPRODUCT(IF(AMP1_2[[#This Row],[Dim 1_1]:[T 8]]-$F$4:$AI$4&lt;0,1,0)+IF($F$5:$AI$5-AMP1_2[[#This Row],[Dim 1_1]:[T 8]]&lt;0,1,0),IF(ISNUMBER(AMP1_2[[#This Row],[Dim 1_1]:[T 8]])=TRUE,1,0))</f>
        <v>0</v>
      </c>
      <c r="H101">
        <v>155.791</v>
      </c>
      <c r="I101">
        <v>155.744</v>
      </c>
      <c r="J101">
        <v>168.62899999999999</v>
      </c>
      <c r="K101">
        <v>168.518</v>
      </c>
      <c r="L101">
        <v>155.958</v>
      </c>
      <c r="M101">
        <v>155.655</v>
      </c>
      <c r="N101">
        <v>27.356999999999999</v>
      </c>
      <c r="O101">
        <v>27.477</v>
      </c>
      <c r="R101">
        <v>17.143999999999998</v>
      </c>
      <c r="S101">
        <v>17.369</v>
      </c>
      <c r="T101">
        <v>36.759</v>
      </c>
      <c r="U101">
        <v>37.765999999999998</v>
      </c>
      <c r="W101">
        <v>0.30399999999999999</v>
      </c>
      <c r="X101">
        <v>-5.3999999999999999E-2</v>
      </c>
      <c r="Z101">
        <v>0.105</v>
      </c>
      <c r="AA101">
        <v>-8.5000000000000006E-2</v>
      </c>
      <c r="AB101">
        <v>0.27</v>
      </c>
      <c r="AC101">
        <v>4.3999999999999997E-2</v>
      </c>
      <c r="AD101">
        <v>-5.3999999999999999E-2</v>
      </c>
      <c r="AE101">
        <v>0.30399999999999999</v>
      </c>
      <c r="AF101">
        <v>0.105</v>
      </c>
      <c r="AG101">
        <v>4.8000000000000001E-2</v>
      </c>
      <c r="AH101">
        <v>-3.5000000000000003E-2</v>
      </c>
      <c r="AI101">
        <v>-8.5000000000000006E-2</v>
      </c>
    </row>
    <row r="102" spans="1:35" x14ac:dyDescent="0.25">
      <c r="A102" t="s">
        <v>2648</v>
      </c>
      <c r="B102" t="s">
        <v>32</v>
      </c>
      <c r="C102" s="25">
        <v>43711.963750000003</v>
      </c>
      <c r="D102" s="25" t="s">
        <v>2238</v>
      </c>
      <c r="E102" s="424">
        <f t="array" ref="E102">SUMPRODUCT(IF(AMP1_2[[#This Row],[Dim 1_1]:[T 8]]-$F$4:$AI$4&lt;0,1,0)+IF($F$5:$AI$5-AMP1_2[[#This Row],[Dim 1_1]:[T 8]]&lt;0,1,0),IF(ISNUMBER(AMP1_2[[#This Row],[Dim 1_1]:[T 8]])=TRUE,1,0))</f>
        <v>0</v>
      </c>
      <c r="F102">
        <v>41.128999999999998</v>
      </c>
      <c r="G102">
        <v>41.137</v>
      </c>
      <c r="H102">
        <v>155.75</v>
      </c>
      <c r="I102">
        <v>155.82400000000001</v>
      </c>
      <c r="L102">
        <v>155.804</v>
      </c>
      <c r="M102">
        <v>155.61199999999999</v>
      </c>
      <c r="N102">
        <v>27.486999999999998</v>
      </c>
      <c r="O102">
        <v>27.664999999999999</v>
      </c>
      <c r="R102">
        <v>17.587</v>
      </c>
      <c r="S102">
        <v>17.457000000000001</v>
      </c>
      <c r="T102">
        <v>34.119</v>
      </c>
      <c r="U102">
        <v>34.576999999999998</v>
      </c>
      <c r="W102">
        <v>0.123</v>
      </c>
      <c r="X102">
        <v>-0.314</v>
      </c>
      <c r="Z102">
        <v>0.11</v>
      </c>
      <c r="AA102">
        <v>-0.28799999999999998</v>
      </c>
      <c r="AB102">
        <v>-0.23499999999999999</v>
      </c>
      <c r="AC102">
        <v>-0.314</v>
      </c>
      <c r="AD102">
        <v>-0.155</v>
      </c>
      <c r="AE102">
        <v>0.123</v>
      </c>
      <c r="AF102">
        <v>-0.16300000000000001</v>
      </c>
      <c r="AG102">
        <v>-0.28799999999999998</v>
      </c>
      <c r="AH102">
        <v>-0.04</v>
      </c>
      <c r="AI102">
        <v>0.11</v>
      </c>
    </row>
    <row r="103" spans="1:35" x14ac:dyDescent="0.25">
      <c r="A103" t="s">
        <v>2649</v>
      </c>
      <c r="B103" t="s">
        <v>31</v>
      </c>
      <c r="C103" s="25">
        <v>43711.965821759259</v>
      </c>
      <c r="D103" s="25" t="s">
        <v>2238</v>
      </c>
      <c r="E103" s="424">
        <f t="array" ref="E103">SUMPRODUCT(IF(AMP1_2[[#This Row],[Dim 1_1]:[T 8]]-$F$4:$AI$4&lt;0,1,0)+IF($F$5:$AI$5-AMP1_2[[#This Row],[Dim 1_1]:[T 8]]&lt;0,1,0),IF(ISNUMBER(AMP1_2[[#This Row],[Dim 1_1]:[T 8]])=TRUE,1,0))</f>
        <v>0</v>
      </c>
      <c r="H103">
        <v>155.83099999999999</v>
      </c>
      <c r="I103">
        <v>155.833</v>
      </c>
      <c r="J103">
        <v>168.70400000000001</v>
      </c>
      <c r="K103">
        <v>168.636</v>
      </c>
      <c r="L103">
        <v>155.91300000000001</v>
      </c>
      <c r="M103">
        <v>155.63999999999999</v>
      </c>
      <c r="N103">
        <v>27.390999999999998</v>
      </c>
      <c r="O103">
        <v>27.484999999999999</v>
      </c>
      <c r="R103">
        <v>17.16</v>
      </c>
      <c r="S103">
        <v>17.439</v>
      </c>
      <c r="T103">
        <v>35.530999999999999</v>
      </c>
      <c r="U103">
        <v>35.729999999999997</v>
      </c>
      <c r="W103">
        <v>0.27300000000000002</v>
      </c>
      <c r="X103">
        <v>-0.14099999999999999</v>
      </c>
      <c r="Z103">
        <v>0.16500000000000001</v>
      </c>
      <c r="AA103">
        <v>-0.19400000000000001</v>
      </c>
      <c r="AB103">
        <v>0.27300000000000002</v>
      </c>
      <c r="AC103">
        <v>5.3999999999999999E-2</v>
      </c>
      <c r="AD103">
        <v>-0.14099999999999999</v>
      </c>
      <c r="AE103">
        <v>-6.6000000000000003E-2</v>
      </c>
      <c r="AF103">
        <v>0.16500000000000001</v>
      </c>
      <c r="AG103">
        <v>0.11799999999999999</v>
      </c>
      <c r="AH103">
        <v>-0.112</v>
      </c>
      <c r="AI103">
        <v>-0.19400000000000001</v>
      </c>
    </row>
    <row r="104" spans="1:35" x14ac:dyDescent="0.25">
      <c r="A104" t="s">
        <v>2650</v>
      </c>
      <c r="B104" t="s">
        <v>32</v>
      </c>
      <c r="C104" s="25">
        <v>43712.02547453704</v>
      </c>
      <c r="D104" s="25" t="s">
        <v>2238</v>
      </c>
      <c r="E104" s="424">
        <f t="array" ref="E104">SUMPRODUCT(IF(AMP1_2[[#This Row],[Dim 1_1]:[T 8]]-$F$4:$AI$4&lt;0,1,0)+IF($F$5:$AI$5-AMP1_2[[#This Row],[Dim 1_1]:[T 8]]&lt;0,1,0),IF(ISNUMBER(AMP1_2[[#This Row],[Dim 1_1]:[T 8]])=TRUE,1,0))</f>
        <v>0</v>
      </c>
      <c r="F104">
        <v>41.219000000000001</v>
      </c>
      <c r="G104">
        <v>41.179000000000002</v>
      </c>
      <c r="H104">
        <v>155.82400000000001</v>
      </c>
      <c r="I104">
        <v>155.85</v>
      </c>
      <c r="L104">
        <v>155.81899999999999</v>
      </c>
      <c r="M104">
        <v>155.58600000000001</v>
      </c>
      <c r="N104">
        <v>27.428000000000001</v>
      </c>
      <c r="O104">
        <v>27.667000000000002</v>
      </c>
      <c r="R104">
        <v>17.594999999999999</v>
      </c>
      <c r="S104">
        <v>17.486000000000001</v>
      </c>
      <c r="T104">
        <v>34.252000000000002</v>
      </c>
      <c r="U104">
        <v>34.454000000000001</v>
      </c>
      <c r="W104">
        <v>0.11899999999999999</v>
      </c>
      <c r="X104">
        <v>-0.309</v>
      </c>
      <c r="Z104">
        <v>0.13300000000000001</v>
      </c>
      <c r="AA104">
        <v>-0.26400000000000001</v>
      </c>
      <c r="AB104">
        <v>-0.22800000000000001</v>
      </c>
      <c r="AC104">
        <v>-0.309</v>
      </c>
      <c r="AD104">
        <v>-0.13400000000000001</v>
      </c>
      <c r="AE104">
        <v>0.11899999999999999</v>
      </c>
      <c r="AF104">
        <v>-0.17100000000000001</v>
      </c>
      <c r="AG104">
        <v>-0.26400000000000001</v>
      </c>
      <c r="AH104">
        <v>-4.9000000000000002E-2</v>
      </c>
      <c r="AI104">
        <v>0.13300000000000001</v>
      </c>
    </row>
    <row r="105" spans="1:35" x14ac:dyDescent="0.25">
      <c r="A105" t="s">
        <v>2651</v>
      </c>
      <c r="B105" t="s">
        <v>31</v>
      </c>
      <c r="C105" s="25">
        <v>43712.028379629628</v>
      </c>
      <c r="D105" s="25" t="s">
        <v>2238</v>
      </c>
      <c r="E105" s="424">
        <f t="array" ref="E105">SUMPRODUCT(IF(AMP1_2[[#This Row],[Dim 1_1]:[T 8]]-$F$4:$AI$4&lt;0,1,0)+IF($F$5:$AI$5-AMP1_2[[#This Row],[Dim 1_1]:[T 8]]&lt;0,1,0),IF(ISNUMBER(AMP1_2[[#This Row],[Dim 1_1]:[T 8]])=TRUE,1,0))</f>
        <v>0</v>
      </c>
      <c r="H105">
        <v>155.84299999999999</v>
      </c>
      <c r="I105">
        <v>155.92400000000001</v>
      </c>
      <c r="J105">
        <v>168.70699999999999</v>
      </c>
      <c r="K105">
        <v>168.696</v>
      </c>
      <c r="L105">
        <v>155.893</v>
      </c>
      <c r="M105">
        <v>155.70400000000001</v>
      </c>
      <c r="N105">
        <v>27.384</v>
      </c>
      <c r="O105">
        <v>27.428000000000001</v>
      </c>
      <c r="R105">
        <v>17.172000000000001</v>
      </c>
      <c r="S105">
        <v>17.504999999999999</v>
      </c>
      <c r="T105">
        <v>35.375</v>
      </c>
      <c r="U105">
        <v>36.631</v>
      </c>
      <c r="W105">
        <v>0.19500000000000001</v>
      </c>
      <c r="X105">
        <v>-0.29699999999999999</v>
      </c>
      <c r="Z105">
        <v>3.3000000000000002E-2</v>
      </c>
      <c r="AA105">
        <v>-0.374</v>
      </c>
      <c r="AB105">
        <v>0.19500000000000001</v>
      </c>
      <c r="AC105">
        <v>-3.1E-2</v>
      </c>
      <c r="AD105">
        <v>-0.29699999999999999</v>
      </c>
      <c r="AE105">
        <v>-0.107</v>
      </c>
      <c r="AF105">
        <v>3.3000000000000002E-2</v>
      </c>
      <c r="AG105">
        <v>-3.4000000000000002E-2</v>
      </c>
      <c r="AH105">
        <v>-0.30499999999999999</v>
      </c>
      <c r="AI105">
        <v>-0.374</v>
      </c>
    </row>
    <row r="106" spans="1:35" x14ac:dyDescent="0.25">
      <c r="A106" t="s">
        <v>2652</v>
      </c>
      <c r="B106" t="s">
        <v>32</v>
      </c>
      <c r="C106" s="25">
        <v>43712.343148148146</v>
      </c>
      <c r="D106" s="25" t="s">
        <v>2238</v>
      </c>
      <c r="E106" s="424">
        <f t="array" ref="E106">SUMPRODUCT(IF(AMP1_2[[#This Row],[Dim 1_1]:[T 8]]-$F$4:$AI$4&lt;0,1,0)+IF($F$5:$AI$5-AMP1_2[[#This Row],[Dim 1_1]:[T 8]]&lt;0,1,0),IF(ISNUMBER(AMP1_2[[#This Row],[Dim 1_1]:[T 8]])=TRUE,1,0))</f>
        <v>0</v>
      </c>
      <c r="F106">
        <v>41.085999999999999</v>
      </c>
      <c r="G106">
        <v>41.218000000000004</v>
      </c>
      <c r="H106">
        <v>155.94499999999999</v>
      </c>
      <c r="I106">
        <v>155.804</v>
      </c>
      <c r="L106">
        <v>155.88499999999999</v>
      </c>
      <c r="M106">
        <v>155.46199999999999</v>
      </c>
      <c r="N106">
        <v>27.379000000000001</v>
      </c>
      <c r="O106">
        <v>27.754000000000001</v>
      </c>
      <c r="R106">
        <v>17.536000000000001</v>
      </c>
      <c r="S106">
        <v>17.379000000000001</v>
      </c>
      <c r="T106">
        <v>34.534999999999997</v>
      </c>
      <c r="U106">
        <v>34.168999999999997</v>
      </c>
      <c r="W106">
        <v>0.11600000000000001</v>
      </c>
      <c r="X106">
        <v>-0.218</v>
      </c>
      <c r="Z106">
        <v>0.188</v>
      </c>
      <c r="AA106">
        <v>-0.26</v>
      </c>
      <c r="AB106">
        <v>-0.157</v>
      </c>
      <c r="AC106">
        <v>-0.218</v>
      </c>
      <c r="AD106">
        <v>-4.2000000000000003E-2</v>
      </c>
      <c r="AE106">
        <v>0.11600000000000001</v>
      </c>
      <c r="AF106">
        <v>-0.123</v>
      </c>
      <c r="AG106">
        <v>-0.26</v>
      </c>
      <c r="AH106">
        <v>6.6000000000000003E-2</v>
      </c>
      <c r="AI106">
        <v>0.188</v>
      </c>
    </row>
    <row r="107" spans="1:35" x14ac:dyDescent="0.25">
      <c r="A107" t="s">
        <v>2653</v>
      </c>
      <c r="B107" t="s">
        <v>31</v>
      </c>
      <c r="C107" s="25">
        <v>43712.345312500001</v>
      </c>
      <c r="D107" s="25" t="s">
        <v>2238</v>
      </c>
      <c r="E107" s="424">
        <f t="array" ref="E107">SUMPRODUCT(IF(AMP1_2[[#This Row],[Dim 1_1]:[T 8]]-$F$4:$AI$4&lt;0,1,0)+IF($F$5:$AI$5-AMP1_2[[#This Row],[Dim 1_1]:[T 8]]&lt;0,1,0),IF(ISNUMBER(AMP1_2[[#This Row],[Dim 1_1]:[T 8]])=TRUE,1,0))</f>
        <v>0</v>
      </c>
      <c r="H107">
        <v>155.88399999999999</v>
      </c>
      <c r="I107">
        <v>156.07900000000001</v>
      </c>
      <c r="J107">
        <v>168.71199999999999</v>
      </c>
      <c r="K107">
        <v>168.52</v>
      </c>
      <c r="L107">
        <v>155.97200000000001</v>
      </c>
      <c r="M107">
        <v>155.90899999999999</v>
      </c>
      <c r="N107">
        <v>27.289000000000001</v>
      </c>
      <c r="O107">
        <v>27.201000000000001</v>
      </c>
      <c r="R107">
        <v>17.192</v>
      </c>
      <c r="S107">
        <v>17.373000000000001</v>
      </c>
      <c r="T107">
        <v>36.947000000000003</v>
      </c>
      <c r="U107">
        <v>38.057000000000002</v>
      </c>
      <c r="W107">
        <v>0.114</v>
      </c>
      <c r="X107">
        <v>-0.23200000000000001</v>
      </c>
      <c r="Z107">
        <v>1.6E-2</v>
      </c>
      <c r="AA107">
        <v>-0.23200000000000001</v>
      </c>
      <c r="AB107">
        <v>0.114</v>
      </c>
      <c r="AC107">
        <v>-9.4E-2</v>
      </c>
      <c r="AD107">
        <v>-0.23200000000000001</v>
      </c>
      <c r="AE107">
        <v>-9.2999999999999999E-2</v>
      </c>
      <c r="AF107">
        <v>1.6E-2</v>
      </c>
      <c r="AG107">
        <v>-4.3999999999999997E-2</v>
      </c>
      <c r="AH107">
        <v>-0.191</v>
      </c>
      <c r="AI107">
        <v>-0.23200000000000001</v>
      </c>
    </row>
    <row r="108" spans="1:35" x14ac:dyDescent="0.25">
      <c r="D108" s="25"/>
      <c r="E108" s="736"/>
    </row>
    <row r="109" spans="1:35" x14ac:dyDescent="0.25">
      <c r="D109" s="25"/>
    </row>
    <row r="110" spans="1:35" x14ac:dyDescent="0.25">
      <c r="D110" s="25"/>
    </row>
    <row r="111" spans="1:35" x14ac:dyDescent="0.25">
      <c r="D111" s="25"/>
    </row>
    <row r="112" spans="1:35" x14ac:dyDescent="0.25">
      <c r="D112" s="25"/>
    </row>
    <row r="113" spans="4:4" x14ac:dyDescent="0.25">
      <c r="D113" s="25"/>
    </row>
    <row r="114" spans="4:4" x14ac:dyDescent="0.25">
      <c r="D114" s="25"/>
    </row>
    <row r="115" spans="4:4" x14ac:dyDescent="0.25">
      <c r="D115" s="25"/>
    </row>
    <row r="116" spans="4:4" x14ac:dyDescent="0.25">
      <c r="D116" s="25"/>
    </row>
    <row r="117" spans="4:4" x14ac:dyDescent="0.25">
      <c r="D117" s="25"/>
    </row>
    <row r="118" spans="4:4" x14ac:dyDescent="0.25">
      <c r="D118" s="25"/>
    </row>
    <row r="119" spans="4:4" x14ac:dyDescent="0.25">
      <c r="D119" s="25"/>
    </row>
    <row r="120" spans="4:4" x14ac:dyDescent="0.25">
      <c r="D120" s="25"/>
    </row>
    <row r="121" spans="4:4" x14ac:dyDescent="0.25">
      <c r="D121" s="25"/>
    </row>
    <row r="122" spans="4:4" x14ac:dyDescent="0.25">
      <c r="D122" s="25"/>
    </row>
    <row r="123" spans="4:4" x14ac:dyDescent="0.25">
      <c r="D123" s="25"/>
    </row>
    <row r="124" spans="4:4" x14ac:dyDescent="0.25">
      <c r="D124" s="25"/>
    </row>
    <row r="125" spans="4:4" x14ac:dyDescent="0.25">
      <c r="D125" s="25"/>
    </row>
    <row r="126" spans="4:4" x14ac:dyDescent="0.25">
      <c r="D126" s="25"/>
    </row>
    <row r="127" spans="4:4" x14ac:dyDescent="0.25">
      <c r="D127" s="25"/>
    </row>
    <row r="128" spans="4:4" x14ac:dyDescent="0.25">
      <c r="D128" s="25"/>
    </row>
    <row r="129" spans="4:4" x14ac:dyDescent="0.25">
      <c r="D129" s="25"/>
    </row>
    <row r="130" spans="4:4" x14ac:dyDescent="0.25">
      <c r="D130" s="25"/>
    </row>
    <row r="131" spans="4:4" x14ac:dyDescent="0.25">
      <c r="D131" s="25"/>
    </row>
    <row r="132" spans="4:4" x14ac:dyDescent="0.25">
      <c r="D132" s="25"/>
    </row>
    <row r="133" spans="4:4" x14ac:dyDescent="0.25">
      <c r="D133" s="25"/>
    </row>
    <row r="134" spans="4:4" x14ac:dyDescent="0.25">
      <c r="D134" s="25"/>
    </row>
    <row r="135" spans="4:4" x14ac:dyDescent="0.25">
      <c r="D135" s="25"/>
    </row>
    <row r="136" spans="4:4" x14ac:dyDescent="0.25">
      <c r="D136" s="25"/>
    </row>
    <row r="137" spans="4:4" x14ac:dyDescent="0.25">
      <c r="D137" s="25"/>
    </row>
    <row r="138" spans="4:4" x14ac:dyDescent="0.25">
      <c r="D138" s="25"/>
    </row>
    <row r="139" spans="4:4" x14ac:dyDescent="0.25">
      <c r="D139" s="25"/>
    </row>
    <row r="140" spans="4:4" x14ac:dyDescent="0.25">
      <c r="D140" s="25"/>
    </row>
    <row r="141" spans="4:4" x14ac:dyDescent="0.25">
      <c r="D141" s="25"/>
    </row>
    <row r="142" spans="4:4" x14ac:dyDescent="0.25">
      <c r="D142" s="25"/>
    </row>
    <row r="143" spans="4:4" x14ac:dyDescent="0.25">
      <c r="D143" s="25"/>
    </row>
    <row r="144" spans="4:4" x14ac:dyDescent="0.25">
      <c r="D144" s="25"/>
    </row>
    <row r="145" spans="4:4" x14ac:dyDescent="0.25">
      <c r="D145" s="25"/>
    </row>
    <row r="146" spans="4:4" x14ac:dyDescent="0.25">
      <c r="D146" s="25"/>
    </row>
    <row r="147" spans="4:4" x14ac:dyDescent="0.25">
      <c r="D147" s="25"/>
    </row>
    <row r="148" spans="4:4" x14ac:dyDescent="0.25">
      <c r="D148" s="25"/>
    </row>
    <row r="149" spans="4:4" x14ac:dyDescent="0.25">
      <c r="D149" s="25"/>
    </row>
    <row r="150" spans="4:4" x14ac:dyDescent="0.25">
      <c r="D150" s="25"/>
    </row>
    <row r="151" spans="4:4" x14ac:dyDescent="0.25">
      <c r="D151" s="25"/>
    </row>
    <row r="152" spans="4:4" x14ac:dyDescent="0.25">
      <c r="D152" s="25"/>
    </row>
    <row r="153" spans="4:4" x14ac:dyDescent="0.25">
      <c r="D153" s="25"/>
    </row>
    <row r="154" spans="4:4" x14ac:dyDescent="0.25">
      <c r="D154" s="25"/>
    </row>
    <row r="155" spans="4:4" x14ac:dyDescent="0.25">
      <c r="D155" s="25"/>
    </row>
    <row r="156" spans="4:4" x14ac:dyDescent="0.25">
      <c r="D156" s="25"/>
    </row>
    <row r="157" spans="4:4" x14ac:dyDescent="0.25">
      <c r="D157" s="25"/>
    </row>
    <row r="158" spans="4:4" x14ac:dyDescent="0.25">
      <c r="D158" s="25"/>
    </row>
    <row r="159" spans="4:4" x14ac:dyDescent="0.25">
      <c r="D159" s="25"/>
    </row>
    <row r="160" spans="4:4" x14ac:dyDescent="0.25">
      <c r="D160" s="25"/>
    </row>
    <row r="161" spans="4:4" x14ac:dyDescent="0.25">
      <c r="D161" s="25"/>
    </row>
    <row r="162" spans="4:4" x14ac:dyDescent="0.25">
      <c r="D162" s="25"/>
    </row>
    <row r="163" spans="4:4" x14ac:dyDescent="0.25">
      <c r="D163" s="25"/>
    </row>
    <row r="164" spans="4:4" x14ac:dyDescent="0.25">
      <c r="D164" s="25"/>
    </row>
    <row r="165" spans="4:4" x14ac:dyDescent="0.25">
      <c r="D165" s="25"/>
    </row>
    <row r="166" spans="4:4" x14ac:dyDescent="0.25">
      <c r="D166" s="25"/>
    </row>
  </sheetData>
  <mergeCells count="1">
    <mergeCell ref="E1:E2"/>
  </mergeCells>
  <conditionalFormatting sqref="AJ8:XFD8">
    <cfRule type="notContainsBlanks" priority="16" stopIfTrue="1">
      <formula>LEN(TRIM(AJ8))&gt;0</formula>
    </cfRule>
  </conditionalFormatting>
  <conditionalFormatting sqref="E1:E1048576">
    <cfRule type="cellIs" dxfId="250" priority="2" operator="greaterThan">
      <formula>0</formula>
    </cfRule>
  </conditionalFormatting>
  <conditionalFormatting sqref="E1:E8">
    <cfRule type="notContainsBlanks" priority="1" stopIfTrue="1">
      <formula>LEN(TRIM(E1))&gt;0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49" priority="10"/>
  </conditionalFormatting>
  <conditionalFormatting sqref="F6:S7 V6:AI7">
    <cfRule type="cellIs" dxfId="248" priority="5" stopIfTrue="1" operator="notBetween">
      <formula>0.35</formula>
      <formula>-0.35</formula>
    </cfRule>
    <cfRule type="cellIs" dxfId="247" priority="6" operator="notBetween">
      <formula>0.2</formula>
      <formula>-0.2</formula>
    </cfRule>
  </conditionalFormatting>
  <conditionalFormatting sqref="T6:U7">
    <cfRule type="cellIs" dxfId="246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45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AI214"/>
  <sheetViews>
    <sheetView workbookViewId="0"/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MIN(AE1_4[Date])</f>
        <v>0</v>
      </c>
      <c r="D1" s="310"/>
      <c r="E1" s="794" t="s">
        <v>40</v>
      </c>
      <c r="F1" s="2" t="str">
        <f>IFERROR(AVERAGEIFS(AE1_4[[#All],[Dim 1_1]],AE1_4[[#All],[Blade Part Number]],$B1,AE1_4[[#All],[Date]],"&gt;"&amp;$A$1,AE1_4[[#All],[Date]],"&lt;"&amp;$A$2),"")</f>
        <v/>
      </c>
      <c r="G1" s="2" t="str">
        <f>IFERROR(AVERAGEIFS(AE1_4[[#All],[Dim 1_2]],AE1_4[[#All],[Blade Part Number]],$B1,AE1_4[[#All],[Date]],"&gt;"&amp;$A$1,AE1_4[[#All],[Date]],"&lt;"&amp;$A$2),"")</f>
        <v/>
      </c>
      <c r="H1" s="2" t="str">
        <f>IFERROR(AVERAGEIFS(AE1_4[[#All],[Dim 2_1]],AE1_4[[#All],[Blade Part Number]],$B1,AE1_4[[#All],[Date]],"&gt;"&amp;$A$1,AE1_4[[#All],[Date]],"&lt;"&amp;$A$2),"")</f>
        <v/>
      </c>
      <c r="I1" s="2" t="str">
        <f>IFERROR(AVERAGEIFS(AE1_4[[#All],[Dim 2_2]],AE1_4[[#All],[Blade Part Number]],$B1,AE1_4[[#All],[Date]],"&gt;"&amp;$A$1,AE1_4[[#All],[Date]],"&lt;"&amp;$A$2),"")</f>
        <v/>
      </c>
      <c r="J1" s="2" t="str">
        <f>IFERROR(AVERAGEIFS(AE1_4[[#All],[Dim 3_1]],AE1_4[[#All],[Blade Part Number]],$B1,AE1_4[[#All],[Date]],"&gt;"&amp;$A$1,AE1_4[[#All],[Date]],"&lt;"&amp;$A$2),"")</f>
        <v/>
      </c>
      <c r="K1" s="2" t="str">
        <f>IFERROR(AVERAGEIFS(AE1_4[[#All],[Dim 3_2]],AE1_4[[#All],[Blade Part Number]],$B1,AE1_4[[#All],[Date]],"&gt;"&amp;$A$1,AE1_4[[#All],[Date]],"&lt;"&amp;$A$2),"")</f>
        <v/>
      </c>
      <c r="L1" s="2" t="str">
        <f>IFERROR(AVERAGEIFS(AE1_4[[#All],[Dim 4_1]],AE1_4[[#All],[Blade Part Number]],$B1,AE1_4[[#All],[Date]],"&gt;"&amp;$A$1,AE1_4[[#All],[Date]],"&lt;"&amp;$A$2),"")</f>
        <v/>
      </c>
      <c r="M1" s="2" t="str">
        <f>IFERROR(AVERAGEIFS(AE1_4[[#All],[Dim 4_2]],AE1_4[[#All],[Blade Part Number]],$B1,AE1_4[[#All],[Date]],"&gt;"&amp;$A$1,AE1_4[[#All],[Date]],"&lt;"&amp;$A$2),"")</f>
        <v/>
      </c>
      <c r="N1" s="2" t="str">
        <f>IFERROR(AVERAGEIFS(AE1_4[[#All],[Dim 5_1]],AE1_4[[#All],[Blade Part Number]],$B1,AE1_4[[#All],[Date]],"&gt;"&amp;$A$1,AE1_4[[#All],[Date]],"&lt;"&amp;$A$2),"")</f>
        <v/>
      </c>
      <c r="O1" s="2" t="str">
        <f>IFERROR(AVERAGEIFS(AE1_4[[#All],[Dim 5_2]],AE1_4[[#All],[Blade Part Number]],$B1,AE1_4[[#All],[Date]],"&gt;"&amp;$A$1,AE1_4[[#All],[Date]],"&lt;"&amp;$A$2),"")</f>
        <v/>
      </c>
      <c r="P1" s="2" t="str">
        <f>IFERROR(AVERAGEIFS(AE1_4[[#All],[Dim 6]],AE1_4[[#All],[Blade Part Number]],$B1,AE1_4[[#All],[Date]],"&gt;"&amp;$A$1,AE1_4[[#All],[Date]],"&lt;"&amp;$A$2),"")</f>
        <v/>
      </c>
      <c r="Q1" s="2" t="str">
        <f>IFERROR(AVERAGEIFS(AE1_4[[#All],[Dim 7]],AE1_4[[#All],[Blade Part Number]],$B1,AE1_4[[#All],[Date]],"&gt;"&amp;$A$1,AE1_4[[#All],[Date]],"&lt;"&amp;$A$2),"")</f>
        <v/>
      </c>
      <c r="R1" s="2" t="str">
        <f>IFERROR(AVERAGEIFS(AE1_4[[#All],[Dim 9_1]],AE1_4[[#All],[Blade Part Number]],$B1,AE1_4[[#All],[Date]],"&gt;"&amp;$A$1,AE1_4[[#All],[Date]],"&lt;"&amp;$A$2),"")</f>
        <v/>
      </c>
      <c r="S1" s="2" t="str">
        <f>IFERROR(AVERAGEIFS(AE1_4[[#All],[Dim 9_2]],AE1_4[[#All],[Blade Part Number]],$B1,AE1_4[[#All],[Date]],"&gt;"&amp;$A$1,AE1_4[[#All],[Date]],"&lt;"&amp;$A$2),"")</f>
        <v/>
      </c>
      <c r="T1" s="2" t="str">
        <f>IFERROR(AVERAGEIFS(AE1_4[[#All],[Dim 10_1]],AE1_4[[#All],[Blade Part Number]],$B1,AE1_4[[#All],[Date]],"&gt;"&amp;$A$1,AE1_4[[#All],[Date]],"&lt;"&amp;$A$2),"")</f>
        <v/>
      </c>
      <c r="U1" s="2" t="str">
        <f>IFERROR(AVERAGEIFS(AE1_4[[#All],[Dim 10_2]],AE1_4[[#All],[Blade Part Number]],$B1,AE1_4[[#All],[Date]],"&gt;"&amp;$A$1,AE1_4[[#All],[Date]],"&lt;"&amp;$A$2),"")</f>
        <v/>
      </c>
      <c r="V1" s="2" t="str">
        <f>IFERROR(AVERAGEIFS(AE1_4[[#All],[Dim 11]],AE1_4[[#All],[Blade Part Number]],$B1,AE1_4[[#All],[Date]],"&gt;"&amp;$A$1,AE1_4[[#All],[Date]],"&lt;"&amp;$A$2),"")</f>
        <v/>
      </c>
      <c r="W1" s="2" t="str">
        <f>IFERROR(AVERAGEIFS(AE1_4[[#All],[Dim 11 Max]],AE1_4[[#All],[Blade Part Number]],$B1,AE1_4[[#All],[Date]],"&gt;"&amp;$A$1,AE1_4[[#All],[Date]],"&lt;"&amp;$A$2),"")</f>
        <v/>
      </c>
      <c r="X1" s="2" t="str">
        <f>IFERROR(AVERAGEIFS(AE1_4[[#All],[Dim 11 Min]],AE1_4[[#All],[Blade Part Number]],$B1,AE1_4[[#All],[Date]],"&gt;"&amp;$A$1,AE1_4[[#All],[Date]],"&lt;"&amp;$A$2),"")</f>
        <v/>
      </c>
      <c r="Y1" s="2" t="str">
        <f>IFERROR(AVERAGEIFS(AE1_4[[#All],[Dim 12]],AE1_4[[#All],[Blade Part Number]],$B1,AE1_4[[#All],[Date]],"&gt;"&amp;$A$1,AE1_4[[#All],[Date]],"&lt;"&amp;$A$2),"")</f>
        <v/>
      </c>
      <c r="Z1" s="2" t="str">
        <f>IFERROR(AVERAGEIFS(AE1_4[[#All],[Dim 12 Max]],AE1_4[[#All],[Blade Part Number]],$B1,AE1_4[[#All],[Date]],"&gt;"&amp;$A$1,AE1_4[[#All],[Date]],"&lt;"&amp;$A$2),"")</f>
        <v/>
      </c>
      <c r="AA1" s="2" t="str">
        <f>IFERROR(AVERAGEIFS(AE1_4[[#All],[Dim 12 Min]],AE1_4[[#All],[Blade Part Number]],$B1,AE1_4[[#All],[Date]],"&gt;"&amp;$A$1,AE1_4[[#All],[Date]],"&lt;"&amp;$A$2),"")</f>
        <v/>
      </c>
      <c r="AB1" s="2" t="str">
        <f>IFERROR(AVERAGEIFS(AE1_4[[#All],[T 1]],AE1_4[[#All],[Blade Part Number]],$B1,AE1_4[[#All],[Date]],"&gt;"&amp;$A$1,AE1_4[[#All],[Date]],"&lt;"&amp;$A$2),"")</f>
        <v/>
      </c>
      <c r="AC1" s="2" t="str">
        <f>IFERROR(AVERAGEIFS(AE1_4[[#All],[T 2]],AE1_4[[#All],[Blade Part Number]],$B1,AE1_4[[#All],[Date]],"&gt;"&amp;$A$1,AE1_4[[#All],[Date]],"&lt;"&amp;$A$2),"")</f>
        <v/>
      </c>
      <c r="AD1" s="2" t="str">
        <f>IFERROR(AVERAGEIFS(AE1_4[[#All],[T 3]],AE1_4[[#All],[Blade Part Number]],$B1,AE1_4[[#All],[Date]],"&gt;"&amp;$A$1,AE1_4[[#All],[Date]],"&lt;"&amp;$A$2),"")</f>
        <v/>
      </c>
      <c r="AE1" s="2" t="str">
        <f>IFERROR(AVERAGEIFS(AE1_4[[#All],[T 4]],AE1_4[[#All],[Blade Part Number]],$B1,AE1_4[[#All],[Date]],"&gt;"&amp;$A$1,AE1_4[[#All],[Date]],"&lt;"&amp;$A$2),"")</f>
        <v/>
      </c>
      <c r="AF1" s="2" t="str">
        <f>IFERROR(AVERAGEIFS(AE1_4[[#All],[T 5]],AE1_4[[#All],[Blade Part Number]],$B1,AE1_4[[#All],[Date]],"&gt;"&amp;$A$1,AE1_4[[#All],[Date]],"&lt;"&amp;$A$2),"")</f>
        <v/>
      </c>
      <c r="AG1" s="2" t="str">
        <f>IFERROR(AVERAGEIFS(AE1_4[[#All],[T 6]],AE1_4[[#All],[Blade Part Number]],$B1,AE1_4[[#All],[Date]],"&gt;"&amp;$A$1,AE1_4[[#All],[Date]],"&lt;"&amp;$A$2),"")</f>
        <v/>
      </c>
      <c r="AH1" s="2" t="str">
        <f>IFERROR(AVERAGEIFS(AE1_4[[#All],[T 7]],AE1_4[[#All],[Blade Part Number]],$B1,AE1_4[[#All],[Date]],"&gt;"&amp;$A$1,AE1_4[[#All],[Date]],"&lt;"&amp;$A$2),"")</f>
        <v/>
      </c>
      <c r="AI1" s="2" t="str">
        <f>IFERROR(AVERAGEIFS(AE1_4[[#All],[T 8]],AE1_4[[#All],[Blade Part Number]],$B1,AE1_4[[#All],[Date]],"&gt;"&amp;$A$1,AE1_4[[#All],[Date]],"&lt;"&amp;$A$2),"")</f>
        <v/>
      </c>
    </row>
    <row r="2" spans="1:35" x14ac:dyDescent="0.25">
      <c r="A2" s="1">
        <f>'Offset Solver'!E31</f>
        <v>73050</v>
      </c>
      <c r="B2" s="12" t="s">
        <v>31</v>
      </c>
      <c r="C2" s="25">
        <f>MAX(AE1_4[Date])</f>
        <v>0</v>
      </c>
      <c r="D2" s="310"/>
      <c r="E2" s="795"/>
      <c r="F2" s="2" t="str">
        <f>IFERROR(AVERAGEIFS(AE1_4[[#All],[Dim 1_1]],AE1_4[[#All],[Blade Part Number]],$B2,AE1_4[[#All],[Date]],"&gt;"&amp;$A$1,AE1_4[[#All],[Date]],"&lt;"&amp;$A$2),"")</f>
        <v/>
      </c>
      <c r="G2" s="2" t="str">
        <f>IFERROR(AVERAGEIFS(AE1_4[[#All],[Dim 1_2]],AE1_4[[#All],[Blade Part Number]],$B2,AE1_4[[#All],[Date]],"&gt;"&amp;$A$1,AE1_4[[#All],[Date]],"&lt;"&amp;$A$2),"")</f>
        <v/>
      </c>
      <c r="H2" s="2" t="str">
        <f>IFERROR(AVERAGEIFS(AE1_4[[#All],[Dim 2_1]],AE1_4[[#All],[Blade Part Number]],$B2,AE1_4[[#All],[Date]],"&gt;"&amp;$A$1,AE1_4[[#All],[Date]],"&lt;"&amp;$A$2),"")</f>
        <v/>
      </c>
      <c r="I2" s="2" t="str">
        <f>IFERROR(AVERAGEIFS(AE1_4[[#All],[Dim 2_2]],AE1_4[[#All],[Blade Part Number]],$B2,AE1_4[[#All],[Date]],"&gt;"&amp;$A$1,AE1_4[[#All],[Date]],"&lt;"&amp;$A$2),"")</f>
        <v/>
      </c>
      <c r="J2" s="2" t="str">
        <f>IFERROR(AVERAGEIFS(AE1_4[[#All],[Dim 3_1]],AE1_4[[#All],[Blade Part Number]],$B2,AE1_4[[#All],[Date]],"&gt;"&amp;$A$1,AE1_4[[#All],[Date]],"&lt;"&amp;$A$2),"")</f>
        <v/>
      </c>
      <c r="K2" s="2" t="str">
        <f>IFERROR(AVERAGEIFS(AE1_4[[#All],[Dim 3_2]],AE1_4[[#All],[Blade Part Number]],$B2,AE1_4[[#All],[Date]],"&gt;"&amp;$A$1,AE1_4[[#All],[Date]],"&lt;"&amp;$A$2),"")</f>
        <v/>
      </c>
      <c r="L2" s="2" t="str">
        <f>IFERROR(AVERAGEIFS(AE1_4[[#All],[Dim 4_1]],AE1_4[[#All],[Blade Part Number]],$B2,AE1_4[[#All],[Date]],"&gt;"&amp;$A$1,AE1_4[[#All],[Date]],"&lt;"&amp;$A$2),"")</f>
        <v/>
      </c>
      <c r="M2" s="2" t="str">
        <f>IFERROR(AVERAGEIFS(AE1_4[[#All],[Dim 4_2]],AE1_4[[#All],[Blade Part Number]],$B2,AE1_4[[#All],[Date]],"&gt;"&amp;$A$1,AE1_4[[#All],[Date]],"&lt;"&amp;$A$2),"")</f>
        <v/>
      </c>
      <c r="N2" s="2" t="str">
        <f>IFERROR(AVERAGEIFS(AE1_4[[#All],[Dim 5_1]],AE1_4[[#All],[Blade Part Number]],$B2,AE1_4[[#All],[Date]],"&gt;"&amp;$A$1,AE1_4[[#All],[Date]],"&lt;"&amp;$A$2),"")</f>
        <v/>
      </c>
      <c r="O2" s="2" t="str">
        <f>IFERROR(AVERAGEIFS(AE1_4[[#All],[Dim 5_2]],AE1_4[[#All],[Blade Part Number]],$B2,AE1_4[[#All],[Date]],"&gt;"&amp;$A$1,AE1_4[[#All],[Date]],"&lt;"&amp;$A$2),"")</f>
        <v/>
      </c>
      <c r="P2" s="2" t="str">
        <f>IFERROR(AVERAGEIFS(AE1_4[[#All],[Dim 6]],AE1_4[[#All],[Blade Part Number]],$B2,AE1_4[[#All],[Date]],"&gt;"&amp;$A$1,AE1_4[[#All],[Date]],"&lt;"&amp;$A$2),"")</f>
        <v/>
      </c>
      <c r="Q2" s="2" t="str">
        <f>IFERROR(AVERAGEIFS(AE1_4[[#All],[Dim 7]],AE1_4[[#All],[Blade Part Number]],$B2,AE1_4[[#All],[Date]],"&gt;"&amp;$A$1,AE1_4[[#All],[Date]],"&lt;"&amp;$A$2),"")</f>
        <v/>
      </c>
      <c r="R2" s="2" t="str">
        <f>IFERROR(AVERAGEIFS(AE1_4[[#All],[Dim 9_1]],AE1_4[[#All],[Blade Part Number]],$B2,AE1_4[[#All],[Date]],"&gt;"&amp;$A$1,AE1_4[[#All],[Date]],"&lt;"&amp;$A$2),"")</f>
        <v/>
      </c>
      <c r="S2" s="2" t="str">
        <f>IFERROR(AVERAGEIFS(AE1_4[[#All],[Dim 9_2]],AE1_4[[#All],[Blade Part Number]],$B2,AE1_4[[#All],[Date]],"&gt;"&amp;$A$1,AE1_4[[#All],[Date]],"&lt;"&amp;$A$2),"")</f>
        <v/>
      </c>
      <c r="T2" s="2" t="str">
        <f>IFERROR(AVERAGEIFS(AE1_4[[#All],[Dim 10_1]],AE1_4[[#All],[Blade Part Number]],$B2,AE1_4[[#All],[Date]],"&gt;"&amp;$A$1,AE1_4[[#All],[Date]],"&lt;"&amp;$A$2),"")</f>
        <v/>
      </c>
      <c r="U2" s="2" t="str">
        <f>IFERROR(AVERAGEIFS(AE1_4[[#All],[Dim 10_2]],AE1_4[[#All],[Blade Part Number]],$B2,AE1_4[[#All],[Date]],"&gt;"&amp;$A$1,AE1_4[[#All],[Date]],"&lt;"&amp;$A$2),"")</f>
        <v/>
      </c>
      <c r="V2" s="2" t="str">
        <f>IFERROR(AVERAGEIFS(AE1_4[[#All],[Dim 11]],AE1_4[[#All],[Blade Part Number]],$B2,AE1_4[[#All],[Date]],"&gt;"&amp;$A$1,AE1_4[[#All],[Date]],"&lt;"&amp;$A$2),"")</f>
        <v/>
      </c>
      <c r="W2" s="2" t="str">
        <f>IFERROR(AVERAGEIFS(AE1_4[[#All],[Dim 11 Max]],AE1_4[[#All],[Blade Part Number]],$B2,AE1_4[[#All],[Date]],"&gt;"&amp;$A$1,AE1_4[[#All],[Date]],"&lt;"&amp;$A$2),"")</f>
        <v/>
      </c>
      <c r="X2" s="2" t="str">
        <f>IFERROR(AVERAGEIFS(AE1_4[[#All],[Dim 11 Min]],AE1_4[[#All],[Blade Part Number]],$B2,AE1_4[[#All],[Date]],"&gt;"&amp;$A$1,AE1_4[[#All],[Date]],"&lt;"&amp;$A$2),"")</f>
        <v/>
      </c>
      <c r="Y2" s="2" t="str">
        <f>IFERROR(AVERAGEIFS(AE1_4[[#All],[Dim 12]],AE1_4[[#All],[Blade Part Number]],$B2,AE1_4[[#All],[Date]],"&gt;"&amp;$A$1,AE1_4[[#All],[Date]],"&lt;"&amp;$A$2),"")</f>
        <v/>
      </c>
      <c r="Z2" s="2" t="str">
        <f>IFERROR(AVERAGEIFS(AE1_4[[#All],[Dim 12 Max]],AE1_4[[#All],[Blade Part Number]],$B2,AE1_4[[#All],[Date]],"&gt;"&amp;$A$1,AE1_4[[#All],[Date]],"&lt;"&amp;$A$2),"")</f>
        <v/>
      </c>
      <c r="AA2" s="2" t="str">
        <f>IFERROR(AVERAGEIFS(AE1_4[[#All],[Dim 12 Min]],AE1_4[[#All],[Blade Part Number]],$B2,AE1_4[[#All],[Date]],"&gt;"&amp;$A$1,AE1_4[[#All],[Date]],"&lt;"&amp;$A$2),"")</f>
        <v/>
      </c>
      <c r="AB2" s="2" t="str">
        <f>IFERROR(AVERAGEIFS(AE1_4[[#All],[T 1]],AE1_4[[#All],[Blade Part Number]],$B2,AE1_4[[#All],[Date]],"&gt;"&amp;$A$1,AE1_4[[#All],[Date]],"&lt;"&amp;$A$2),"")</f>
        <v/>
      </c>
      <c r="AC2" s="2" t="str">
        <f>IFERROR(AVERAGEIFS(AE1_4[[#All],[T 2]],AE1_4[[#All],[Blade Part Number]],$B2,AE1_4[[#All],[Date]],"&gt;"&amp;$A$1,AE1_4[[#All],[Date]],"&lt;"&amp;$A$2),"")</f>
        <v/>
      </c>
      <c r="AD2" s="2" t="str">
        <f>IFERROR(AVERAGEIFS(AE1_4[[#All],[T 3]],AE1_4[[#All],[Blade Part Number]],$B2,AE1_4[[#All],[Date]],"&gt;"&amp;$A$1,AE1_4[[#All],[Date]],"&lt;"&amp;$A$2),"")</f>
        <v/>
      </c>
      <c r="AE2" s="2" t="str">
        <f>IFERROR(AVERAGEIFS(AE1_4[[#All],[T 4]],AE1_4[[#All],[Blade Part Number]],$B2,AE1_4[[#All],[Date]],"&gt;"&amp;$A$1,AE1_4[[#All],[Date]],"&lt;"&amp;$A$2),"")</f>
        <v/>
      </c>
      <c r="AF2" s="2" t="str">
        <f>IFERROR(AVERAGEIFS(AE1_4[[#All],[T 5]],AE1_4[[#All],[Blade Part Number]],$B2,AE1_4[[#All],[Date]],"&gt;"&amp;$A$1,AE1_4[[#All],[Date]],"&lt;"&amp;$A$2),"")</f>
        <v/>
      </c>
      <c r="AG2" s="2" t="str">
        <f>IFERROR(AVERAGEIFS(AE1_4[[#All],[T 6]],AE1_4[[#All],[Blade Part Number]],$B2,AE1_4[[#All],[Date]],"&gt;"&amp;$A$1,AE1_4[[#All],[Date]],"&lt;"&amp;$A$2),"")</f>
        <v/>
      </c>
      <c r="AH2" s="2" t="str">
        <f>IFERROR(AVERAGEIFS(AE1_4[[#All],[T 7]],AE1_4[[#All],[Blade Part Number]],$B2,AE1_4[[#All],[Date]],"&gt;"&amp;$A$1,AE1_4[[#All],[Date]],"&lt;"&amp;$A$2),"")</f>
        <v/>
      </c>
      <c r="AI2" s="2" t="str">
        <f>IFERROR(AVERAGEIFS(AE1_4[[#All],[T 8]],AE1_4[[#All],[Blade Part Number]],$B2,AE1_4[[#All],[Date]],"&gt;"&amp;$A$1,AE1_4[[#All],[Date]],"&lt;"&amp;$A$2),"")</f>
        <v/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 t="str">
        <f t="shared" ref="F6:AI6" si="0">IFERROR(F1-F3,"")</f>
        <v/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11" t="str">
        <f t="shared" si="0"/>
        <v/>
      </c>
      <c r="S6" s="11" t="str">
        <f t="shared" si="0"/>
        <v/>
      </c>
      <c r="T6" s="11" t="str">
        <f t="shared" si="0"/>
        <v/>
      </c>
      <c r="U6" s="11" t="str">
        <f t="shared" si="0"/>
        <v/>
      </c>
      <c r="V6" s="11" t="str">
        <f t="shared" si="0"/>
        <v/>
      </c>
      <c r="W6" s="11" t="str">
        <f t="shared" si="0"/>
        <v/>
      </c>
      <c r="X6" s="11" t="str">
        <f t="shared" si="0"/>
        <v/>
      </c>
      <c r="Y6" s="11" t="str">
        <f t="shared" si="0"/>
        <v/>
      </c>
      <c r="Z6" s="11" t="str">
        <f t="shared" si="0"/>
        <v/>
      </c>
      <c r="AA6" s="11" t="str">
        <f t="shared" si="0"/>
        <v/>
      </c>
      <c r="AB6" s="11" t="str">
        <f t="shared" si="0"/>
        <v/>
      </c>
      <c r="AC6" s="11" t="str">
        <f t="shared" si="0"/>
        <v/>
      </c>
      <c r="AD6" s="11" t="str">
        <f t="shared" si="0"/>
        <v/>
      </c>
      <c r="AE6" s="11" t="str">
        <f t="shared" si="0"/>
        <v/>
      </c>
      <c r="AF6" s="11" t="str">
        <f t="shared" si="0"/>
        <v/>
      </c>
      <c r="AG6" s="11" t="str">
        <f t="shared" si="0"/>
        <v/>
      </c>
      <c r="AH6" s="11" t="str">
        <f t="shared" si="0"/>
        <v/>
      </c>
      <c r="AI6" s="11" t="str">
        <f t="shared" si="0"/>
        <v/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 t="str">
        <f t="shared" si="1"/>
        <v/>
      </c>
      <c r="I7" s="11" t="str">
        <f t="shared" si="1"/>
        <v/>
      </c>
      <c r="J7" s="11" t="str">
        <f t="shared" si="1"/>
        <v/>
      </c>
      <c r="K7" s="11" t="str">
        <f t="shared" si="1"/>
        <v/>
      </c>
      <c r="L7" s="11" t="str">
        <f t="shared" si="1"/>
        <v/>
      </c>
      <c r="M7" s="11" t="str">
        <f t="shared" si="1"/>
        <v/>
      </c>
      <c r="N7" s="11" t="str">
        <f t="shared" si="1"/>
        <v/>
      </c>
      <c r="O7" s="11" t="str">
        <f t="shared" si="1"/>
        <v/>
      </c>
      <c r="P7" s="11" t="str">
        <f t="shared" si="1"/>
        <v/>
      </c>
      <c r="Q7" s="11" t="str">
        <f t="shared" si="1"/>
        <v/>
      </c>
      <c r="R7" s="11" t="str">
        <f t="shared" si="1"/>
        <v/>
      </c>
      <c r="S7" s="11" t="str">
        <f t="shared" si="1"/>
        <v/>
      </c>
      <c r="T7" s="11" t="str">
        <f t="shared" si="1"/>
        <v/>
      </c>
      <c r="U7" s="11" t="str">
        <f t="shared" si="1"/>
        <v/>
      </c>
      <c r="V7" s="11" t="str">
        <f t="shared" si="1"/>
        <v/>
      </c>
      <c r="W7" s="11" t="str">
        <f t="shared" si="1"/>
        <v/>
      </c>
      <c r="X7" s="11" t="str">
        <f t="shared" si="1"/>
        <v/>
      </c>
      <c r="Y7" s="11" t="str">
        <f t="shared" si="1"/>
        <v/>
      </c>
      <c r="Z7" s="11" t="str">
        <f t="shared" si="1"/>
        <v/>
      </c>
      <c r="AA7" s="11" t="str">
        <f t="shared" si="1"/>
        <v/>
      </c>
      <c r="AB7" s="11" t="str">
        <f t="shared" si="1"/>
        <v/>
      </c>
      <c r="AC7" s="11" t="str">
        <f t="shared" si="1"/>
        <v/>
      </c>
      <c r="AD7" s="11" t="str">
        <f t="shared" si="1"/>
        <v/>
      </c>
      <c r="AE7" s="11" t="str">
        <f t="shared" si="1"/>
        <v/>
      </c>
      <c r="AF7" s="11" t="str">
        <f t="shared" si="1"/>
        <v/>
      </c>
      <c r="AG7" s="11" t="str">
        <f t="shared" si="1"/>
        <v/>
      </c>
      <c r="AH7" s="11" t="str">
        <f>IFERROR(AH2-AH3,"")</f>
        <v/>
      </c>
      <c r="AI7" s="11" t="str">
        <f t="shared" si="1"/>
        <v/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D9" s="741"/>
      <c r="E9" s="741"/>
    </row>
    <row r="97" spans="4:4" x14ac:dyDescent="0.25">
      <c r="D97" s="25"/>
    </row>
    <row r="98" spans="4:4" x14ac:dyDescent="0.25">
      <c r="D98" s="25"/>
    </row>
    <row r="99" spans="4:4" x14ac:dyDescent="0.25">
      <c r="D99" s="25"/>
    </row>
    <row r="100" spans="4:4" x14ac:dyDescent="0.25">
      <c r="D100" s="25"/>
    </row>
    <row r="101" spans="4:4" x14ac:dyDescent="0.25">
      <c r="D101" s="25"/>
    </row>
    <row r="102" spans="4:4" x14ac:dyDescent="0.25">
      <c r="D102" s="25"/>
    </row>
    <row r="103" spans="4:4" x14ac:dyDescent="0.25">
      <c r="D103" s="25"/>
    </row>
    <row r="104" spans="4:4" x14ac:dyDescent="0.25">
      <c r="D104" s="25"/>
    </row>
    <row r="105" spans="4:4" x14ac:dyDescent="0.25">
      <c r="D105" s="25"/>
    </row>
    <row r="106" spans="4:4" x14ac:dyDescent="0.25">
      <c r="D106" s="25"/>
    </row>
    <row r="107" spans="4:4" x14ac:dyDescent="0.25">
      <c r="D107" s="25"/>
    </row>
    <row r="108" spans="4:4" x14ac:dyDescent="0.25">
      <c r="D108" s="25"/>
    </row>
    <row r="109" spans="4:4" x14ac:dyDescent="0.25">
      <c r="D109" s="25"/>
    </row>
    <row r="110" spans="4:4" x14ac:dyDescent="0.25">
      <c r="D110" s="25"/>
    </row>
    <row r="111" spans="4:4" x14ac:dyDescent="0.25">
      <c r="D111" s="25"/>
    </row>
    <row r="112" spans="4:4" x14ac:dyDescent="0.25">
      <c r="D112" s="25"/>
    </row>
    <row r="113" spans="4:4" x14ac:dyDescent="0.25">
      <c r="D113" s="25"/>
    </row>
    <row r="114" spans="4:4" x14ac:dyDescent="0.25">
      <c r="D114" s="25"/>
    </row>
    <row r="115" spans="4:4" x14ac:dyDescent="0.25">
      <c r="D115" s="25"/>
    </row>
    <row r="116" spans="4:4" x14ac:dyDescent="0.25">
      <c r="D116" s="25"/>
    </row>
    <row r="117" spans="4:4" x14ac:dyDescent="0.25">
      <c r="D117" s="25"/>
    </row>
    <row r="118" spans="4:4" x14ac:dyDescent="0.25">
      <c r="D118" s="25"/>
    </row>
    <row r="119" spans="4:4" x14ac:dyDescent="0.25">
      <c r="D119" s="25"/>
    </row>
    <row r="120" spans="4:4" x14ac:dyDescent="0.25">
      <c r="D120" s="25"/>
    </row>
    <row r="121" spans="4:4" x14ac:dyDescent="0.25">
      <c r="D121" s="25"/>
    </row>
    <row r="122" spans="4:4" x14ac:dyDescent="0.25">
      <c r="D122" s="25"/>
    </row>
    <row r="123" spans="4:4" x14ac:dyDescent="0.25">
      <c r="D123" s="25"/>
    </row>
    <row r="124" spans="4:4" x14ac:dyDescent="0.25">
      <c r="D124" s="25"/>
    </row>
    <row r="125" spans="4:4" x14ac:dyDescent="0.25">
      <c r="D125" s="25"/>
    </row>
    <row r="126" spans="4:4" x14ac:dyDescent="0.25">
      <c r="D126" s="25"/>
    </row>
    <row r="127" spans="4:4" x14ac:dyDescent="0.25">
      <c r="D127" s="25"/>
    </row>
    <row r="128" spans="4:4" x14ac:dyDescent="0.25">
      <c r="D128" s="25"/>
    </row>
    <row r="129" spans="4:4" x14ac:dyDescent="0.25">
      <c r="D129" s="25"/>
    </row>
    <row r="130" spans="4:4" x14ac:dyDescent="0.25">
      <c r="D130" s="25"/>
    </row>
    <row r="131" spans="4:4" x14ac:dyDescent="0.25">
      <c r="D131" s="25"/>
    </row>
    <row r="132" spans="4:4" x14ac:dyDescent="0.25">
      <c r="D132" s="25"/>
    </row>
    <row r="133" spans="4:4" x14ac:dyDescent="0.25">
      <c r="D133" s="25"/>
    </row>
    <row r="134" spans="4:4" x14ac:dyDescent="0.25">
      <c r="D134" s="25"/>
    </row>
    <row r="135" spans="4:4" x14ac:dyDescent="0.25">
      <c r="D135" s="25"/>
    </row>
    <row r="136" spans="4:4" x14ac:dyDescent="0.25">
      <c r="D136" s="25"/>
    </row>
    <row r="137" spans="4:4" x14ac:dyDescent="0.25">
      <c r="D137" s="25"/>
    </row>
    <row r="138" spans="4:4" x14ac:dyDescent="0.25">
      <c r="D138" s="25"/>
    </row>
    <row r="139" spans="4:4" x14ac:dyDescent="0.25">
      <c r="D139" s="25"/>
    </row>
    <row r="140" spans="4:4" x14ac:dyDescent="0.25">
      <c r="D140" s="25"/>
    </row>
    <row r="141" spans="4:4" x14ac:dyDescent="0.25">
      <c r="D141" s="25"/>
    </row>
    <row r="142" spans="4:4" x14ac:dyDescent="0.25">
      <c r="D142" s="25"/>
    </row>
    <row r="143" spans="4:4" x14ac:dyDescent="0.25">
      <c r="D143" s="25"/>
    </row>
    <row r="144" spans="4:4" x14ac:dyDescent="0.25">
      <c r="D144" s="25"/>
    </row>
    <row r="145" spans="4:4" x14ac:dyDescent="0.25">
      <c r="D145" s="25"/>
    </row>
    <row r="146" spans="4:4" x14ac:dyDescent="0.25">
      <c r="D146" s="25"/>
    </row>
    <row r="147" spans="4:4" x14ac:dyDescent="0.25">
      <c r="D147" s="25"/>
    </row>
    <row r="148" spans="4:4" x14ac:dyDescent="0.25">
      <c r="D148" s="25"/>
    </row>
    <row r="149" spans="4:4" x14ac:dyDescent="0.25">
      <c r="D149" s="25"/>
    </row>
    <row r="150" spans="4:4" x14ac:dyDescent="0.25">
      <c r="D150" s="25"/>
    </row>
    <row r="151" spans="4:4" x14ac:dyDescent="0.25">
      <c r="D151" s="25"/>
    </row>
    <row r="152" spans="4:4" x14ac:dyDescent="0.25">
      <c r="D152" s="25"/>
    </row>
    <row r="153" spans="4:4" x14ac:dyDescent="0.25">
      <c r="D153" s="25"/>
    </row>
    <row r="154" spans="4:4" x14ac:dyDescent="0.25">
      <c r="D154" s="25"/>
    </row>
    <row r="155" spans="4:4" x14ac:dyDescent="0.25">
      <c r="D155" s="25"/>
    </row>
    <row r="156" spans="4:4" x14ac:dyDescent="0.25">
      <c r="D156" s="25"/>
    </row>
    <row r="157" spans="4:4" x14ac:dyDescent="0.25">
      <c r="D157" s="25"/>
    </row>
    <row r="158" spans="4:4" x14ac:dyDescent="0.25">
      <c r="D158" s="25"/>
    </row>
    <row r="159" spans="4:4" x14ac:dyDescent="0.25">
      <c r="D159" s="25"/>
    </row>
    <row r="160" spans="4:4" x14ac:dyDescent="0.25">
      <c r="D160" s="25"/>
    </row>
    <row r="161" spans="4:4" x14ac:dyDescent="0.25">
      <c r="D161" s="25"/>
    </row>
    <row r="162" spans="4:4" x14ac:dyDescent="0.25">
      <c r="D162" s="25"/>
    </row>
    <row r="163" spans="4:4" x14ac:dyDescent="0.25">
      <c r="D163" s="25"/>
    </row>
    <row r="164" spans="4:4" x14ac:dyDescent="0.25">
      <c r="D164" s="25"/>
    </row>
    <row r="165" spans="4:4" x14ac:dyDescent="0.25">
      <c r="D165" s="25"/>
    </row>
    <row r="166" spans="4:4" x14ac:dyDescent="0.25">
      <c r="D166" s="25"/>
    </row>
    <row r="167" spans="4:4" x14ac:dyDescent="0.25">
      <c r="D167" s="25"/>
    </row>
    <row r="168" spans="4:4" x14ac:dyDescent="0.25">
      <c r="D168" s="25"/>
    </row>
    <row r="169" spans="4:4" x14ac:dyDescent="0.25">
      <c r="D169" s="25"/>
    </row>
    <row r="170" spans="4:4" x14ac:dyDescent="0.25">
      <c r="D170" s="25"/>
    </row>
    <row r="171" spans="4:4" x14ac:dyDescent="0.25">
      <c r="D171" s="25"/>
    </row>
    <row r="172" spans="4:4" x14ac:dyDescent="0.25">
      <c r="D172" s="25"/>
    </row>
    <row r="173" spans="4:4" x14ac:dyDescent="0.25">
      <c r="D173" s="25"/>
    </row>
    <row r="174" spans="4:4" x14ac:dyDescent="0.25">
      <c r="D174" s="25"/>
    </row>
    <row r="175" spans="4:4" x14ac:dyDescent="0.25">
      <c r="D175" s="25"/>
    </row>
    <row r="176" spans="4:4" x14ac:dyDescent="0.25">
      <c r="D176" s="25"/>
    </row>
    <row r="177" spans="4:4" x14ac:dyDescent="0.25">
      <c r="D177" s="25"/>
    </row>
    <row r="178" spans="4:4" x14ac:dyDescent="0.25">
      <c r="D178" s="25"/>
    </row>
    <row r="179" spans="4:4" x14ac:dyDescent="0.25">
      <c r="D179" s="25"/>
    </row>
    <row r="180" spans="4:4" x14ac:dyDescent="0.25">
      <c r="D180" s="25"/>
    </row>
    <row r="181" spans="4:4" x14ac:dyDescent="0.25">
      <c r="D181" s="25"/>
    </row>
    <row r="182" spans="4:4" x14ac:dyDescent="0.25">
      <c r="D182" s="25"/>
    </row>
    <row r="183" spans="4:4" x14ac:dyDescent="0.25">
      <c r="D183" s="25"/>
    </row>
    <row r="184" spans="4:4" x14ac:dyDescent="0.25">
      <c r="D184" s="25"/>
    </row>
    <row r="185" spans="4:4" x14ac:dyDescent="0.25">
      <c r="D185" s="25"/>
    </row>
    <row r="186" spans="4:4" x14ac:dyDescent="0.25">
      <c r="D186" s="25"/>
    </row>
    <row r="187" spans="4:4" x14ac:dyDescent="0.25">
      <c r="D187" s="25"/>
    </row>
    <row r="188" spans="4:4" x14ac:dyDescent="0.25">
      <c r="D188" s="25"/>
    </row>
    <row r="189" spans="4:4" x14ac:dyDescent="0.25">
      <c r="D189" s="25"/>
    </row>
    <row r="190" spans="4:4" x14ac:dyDescent="0.25">
      <c r="D190" s="25"/>
    </row>
    <row r="191" spans="4:4" x14ac:dyDescent="0.25">
      <c r="D191" s="25"/>
    </row>
    <row r="192" spans="4:4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  <row r="205" spans="4:4" x14ac:dyDescent="0.25">
      <c r="D205" s="25"/>
    </row>
    <row r="206" spans="4:4" x14ac:dyDescent="0.25">
      <c r="D206" s="25"/>
    </row>
    <row r="207" spans="4:4" x14ac:dyDescent="0.25">
      <c r="D207" s="25"/>
    </row>
    <row r="208" spans="4:4" x14ac:dyDescent="0.25">
      <c r="D208" s="25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12" spans="4:4" x14ac:dyDescent="0.25">
      <c r="D212" s="25"/>
    </row>
    <row r="213" spans="4:4" x14ac:dyDescent="0.25">
      <c r="D213" s="25"/>
    </row>
    <row r="214" spans="4:4" x14ac:dyDescent="0.25">
      <c r="D214" s="25"/>
    </row>
  </sheetData>
  <mergeCells count="1">
    <mergeCell ref="E1:E2"/>
  </mergeCells>
  <conditionalFormatting sqref="AJ8:XFD8">
    <cfRule type="notContainsBlanks" priority="16" stopIfTrue="1">
      <formula>LEN(TRIM(AJ8))&gt;0</formula>
    </cfRule>
  </conditionalFormatting>
  <conditionalFormatting sqref="E1:E1048576">
    <cfRule type="cellIs" dxfId="244" priority="2" operator="greaterThan">
      <formula>0</formula>
    </cfRule>
  </conditionalFormatting>
  <conditionalFormatting sqref="E1:E8">
    <cfRule type="notContainsBlanks" priority="1" stopIfTrue="1">
      <formula>LEN(TRIM(E1))&gt;0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43" priority="10"/>
  </conditionalFormatting>
  <conditionalFormatting sqref="F6:S7 V6:AI7">
    <cfRule type="cellIs" dxfId="242" priority="5" stopIfTrue="1" operator="notBetween">
      <formula>0.35</formula>
      <formula>-0.35</formula>
    </cfRule>
    <cfRule type="cellIs" dxfId="241" priority="6" operator="notBetween">
      <formula>0.2</formula>
      <formula>-0.2</formula>
    </cfRule>
  </conditionalFormatting>
  <conditionalFormatting sqref="T6:U7">
    <cfRule type="cellIs" dxfId="240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39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00B050"/>
  </sheetPr>
  <dimension ref="A1:AI182"/>
  <sheetViews>
    <sheetView workbookViewId="0"/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MIN(AMP1_8[Date])</f>
        <v>43699.786145833335</v>
      </c>
      <c r="D1" s="310"/>
      <c r="E1" s="794" t="s">
        <v>40</v>
      </c>
      <c r="F1" s="2">
        <f>IFERROR(AVERAGEIFS(AMP1_8[[#All],[Dim 1_1]],AMP1_8[[#All],[Blade Part Number]],$B1,AMP1_8[[#All],[Date]],"&gt;"&amp;$A$1,AMP1_8[[#All],[Date]],"&lt;"&amp;$A$2),"")</f>
        <v>41.322024390243918</v>
      </c>
      <c r="G1" s="2">
        <f>IFERROR(AVERAGEIFS(AMP1_8[[#All],[Dim 1_2]],AMP1_8[[#All],[Blade Part Number]],$B1,AMP1_8[[#All],[Date]],"&gt;"&amp;$A$1,AMP1_8[[#All],[Date]],"&lt;"&amp;$A$2),"")</f>
        <v>41.327170731707312</v>
      </c>
      <c r="H1" s="2">
        <f>IFERROR(AVERAGEIFS(AMP1_8[[#All],[Dim 2_1]],AMP1_8[[#All],[Blade Part Number]],$B1,AMP1_8[[#All],[Date]],"&gt;"&amp;$A$1,AMP1_8[[#All],[Date]],"&lt;"&amp;$A$2),"")</f>
        <v>155.81560975609756</v>
      </c>
      <c r="I1" s="2">
        <f>IFERROR(AVERAGEIFS(AMP1_8[[#All],[Dim 2_2]],AMP1_8[[#All],[Blade Part Number]],$B1,AMP1_8[[#All],[Date]],"&gt;"&amp;$A$1,AMP1_8[[#All],[Date]],"&lt;"&amp;$A$2),"")</f>
        <v>155.79729268292684</v>
      </c>
      <c r="J1" s="2" t="str">
        <f>IFERROR(AVERAGEIFS(AMP1_8[[#All],[Dim 3_1]],AMP1_8[[#All],[Blade Part Number]],$B1,AMP1_8[[#All],[Date]],"&gt;"&amp;$A$1,AMP1_8[[#All],[Date]],"&lt;"&amp;$A$2),"")</f>
        <v/>
      </c>
      <c r="K1" s="2" t="str">
        <f>IFERROR(AVERAGEIFS(AMP1_8[[#All],[Dim 3_2]],AMP1_8[[#All],[Blade Part Number]],$B1,AMP1_8[[#All],[Date]],"&gt;"&amp;$A$1,AMP1_8[[#All],[Date]],"&lt;"&amp;$A$2),"")</f>
        <v/>
      </c>
      <c r="L1" s="2">
        <f>IFERROR(AVERAGEIFS(AMP1_8[[#All],[Dim 4_1]],AMP1_8[[#All],[Blade Part Number]],$B1,AMP1_8[[#All],[Date]],"&gt;"&amp;$A$1,AMP1_8[[#All],[Date]],"&lt;"&amp;$A$2),"")</f>
        <v>155.82702439024388</v>
      </c>
      <c r="M1" s="2">
        <f>IFERROR(AVERAGEIFS(AMP1_8[[#All],[Dim 4_2]],AMP1_8[[#All],[Blade Part Number]],$B1,AMP1_8[[#All],[Date]],"&gt;"&amp;$A$1,AMP1_8[[#All],[Date]],"&lt;"&amp;$A$2),"")</f>
        <v>155.7103170731707</v>
      </c>
      <c r="N1" s="2">
        <f>IFERROR(AVERAGEIFS(AMP1_8[[#All],[Dim 5_1]],AMP1_8[[#All],[Blade Part Number]],$B1,AMP1_8[[#All],[Date]],"&gt;"&amp;$A$1,AMP1_8[[#All],[Date]],"&lt;"&amp;$A$2),"")</f>
        <v>27.379219512195128</v>
      </c>
      <c r="O1" s="2">
        <f>IFERROR(AVERAGEIFS(AMP1_8[[#All],[Dim 5_2]],AMP1_8[[#All],[Blade Part Number]],$B1,AMP1_8[[#All],[Date]],"&gt;"&amp;$A$1,AMP1_8[[#All],[Date]],"&lt;"&amp;$A$2),"")</f>
        <v>27.588243902439022</v>
      </c>
      <c r="P1" s="2" t="str">
        <f>IFERROR(AVERAGEIFS(AMP1_8[[#All],[Dim 6]],AMP1_8[[#All],[Blade Part Number]],$B1,AMP1_8[[#All],[Date]],"&gt;"&amp;$A$1,AMP1_8[[#All],[Date]],"&lt;"&amp;$A$2),"")</f>
        <v/>
      </c>
      <c r="Q1" s="2" t="str">
        <f>IFERROR(AVERAGEIFS(AMP1_8[[#All],[Dim 7]],AMP1_8[[#All],[Blade Part Number]],$B1,AMP1_8[[#All],[Date]],"&gt;"&amp;$A$1,AMP1_8[[#All],[Date]],"&lt;"&amp;$A$2),"")</f>
        <v/>
      </c>
      <c r="R1" s="2">
        <f>IFERROR(AVERAGEIFS(AMP1_8[[#All],[Dim 9_1]],AMP1_8[[#All],[Blade Part Number]],$B1,AMP1_8[[#All],[Date]],"&gt;"&amp;$A$1,AMP1_8[[#All],[Date]],"&lt;"&amp;$A$2),"")</f>
        <v>17.132390243902432</v>
      </c>
      <c r="S1" s="2">
        <f>IFERROR(AVERAGEIFS(AMP1_8[[#All],[Dim 9_2]],AMP1_8[[#All],[Blade Part Number]],$B1,AMP1_8[[#All],[Date]],"&gt;"&amp;$A$1,AMP1_8[[#All],[Date]],"&lt;"&amp;$A$2),"")</f>
        <v>17.037585365853655</v>
      </c>
      <c r="T1" s="2">
        <f>IFERROR(AVERAGEIFS(AMP1_8[[#All],[Dim 10_1]],AMP1_8[[#All],[Blade Part Number]],$B1,AMP1_8[[#All],[Date]],"&gt;"&amp;$A$1,AMP1_8[[#All],[Date]],"&lt;"&amp;$A$2),"")</f>
        <v>33.705780487804873</v>
      </c>
      <c r="U1" s="2">
        <f>IFERROR(AVERAGEIFS(AMP1_8[[#All],[Dim 10_2]],AMP1_8[[#All],[Blade Part Number]],$B1,AMP1_8[[#All],[Date]],"&gt;"&amp;$A$1,AMP1_8[[#All],[Date]],"&lt;"&amp;$A$2),"")</f>
        <v>33.924731707317079</v>
      </c>
      <c r="V1" s="2" t="str">
        <f>IFERROR(AVERAGEIFS(AMP1_8[[#All],[Dim 11]],AMP1_8[[#All],[Blade Part Number]],$B1,AMP1_8[[#All],[Date]],"&gt;"&amp;$A$1,AMP1_8[[#All],[Date]],"&lt;"&amp;$A$2),"")</f>
        <v/>
      </c>
      <c r="W1" s="2">
        <f>IFERROR(AVERAGEIFS(AMP1_8[[#All],[Dim 11 Max]],AMP1_8[[#All],[Blade Part Number]],$B1,AMP1_8[[#All],[Date]],"&gt;"&amp;$A$1,AMP1_8[[#All],[Date]],"&lt;"&amp;$A$2),"")</f>
        <v>8.8292682926829243E-3</v>
      </c>
      <c r="X1" s="2">
        <f>IFERROR(AVERAGEIFS(AMP1_8[[#All],[Dim 11 Min]],AMP1_8[[#All],[Blade Part Number]],$B1,AMP1_8[[#All],[Date]],"&gt;"&amp;$A$1,AMP1_8[[#All],[Date]],"&lt;"&amp;$A$2),"")</f>
        <v>-0.21556097560975612</v>
      </c>
      <c r="Y1" s="2" t="str">
        <f>IFERROR(AVERAGEIFS(AMP1_8[[#All],[Dim 12]],AMP1_8[[#All],[Blade Part Number]],$B1,AMP1_8[[#All],[Date]],"&gt;"&amp;$A$1,AMP1_8[[#All],[Date]],"&lt;"&amp;$A$2),"")</f>
        <v/>
      </c>
      <c r="Z1" s="2">
        <f>IFERROR(AVERAGEIFS(AMP1_8[[#All],[Dim 12 Max]],AMP1_8[[#All],[Blade Part Number]],$B1,AMP1_8[[#All],[Date]],"&gt;"&amp;$A$1,AMP1_8[[#All],[Date]],"&lt;"&amp;$A$2),"")</f>
        <v>2.153658536585366E-2</v>
      </c>
      <c r="AA1" s="2">
        <f>IFERROR(AVERAGEIFS(AMP1_8[[#All],[Dim 12 Min]],AMP1_8[[#All],[Blade Part Number]],$B1,AMP1_8[[#All],[Date]],"&gt;"&amp;$A$1,AMP1_8[[#All],[Date]],"&lt;"&amp;$A$2),"")</f>
        <v>-0.1511463414634146</v>
      </c>
      <c r="AB1" s="2">
        <f>IFERROR(AVERAGEIFS(AMP1_8[[#All],[T 1]],AMP1_8[[#All],[Blade Part Number]],$B1,AMP1_8[[#All],[Date]],"&gt;"&amp;$A$1,AMP1_8[[#All],[Date]],"&lt;"&amp;$A$2),"")</f>
        <v>-0.15675609756097564</v>
      </c>
      <c r="AC1" s="2">
        <f>IFERROR(AVERAGEIFS(AMP1_8[[#All],[T 2]],AMP1_8[[#All],[Blade Part Number]],$B1,AMP1_8[[#All],[Date]],"&gt;"&amp;$A$1,AMP1_8[[#All],[Date]],"&lt;"&amp;$A$2),"")</f>
        <v>-0.20248780487804882</v>
      </c>
      <c r="AD1" s="2">
        <f>IFERROR(AVERAGEIFS(AMP1_8[[#All],[T 3]],AMP1_8[[#All],[Blade Part Number]],$B1,AMP1_8[[#All],[Date]],"&gt;"&amp;$A$1,AMP1_8[[#All],[Date]],"&lt;"&amp;$A$2),"")</f>
        <v>8.8292682926829243E-3</v>
      </c>
      <c r="AE1" s="2">
        <f>IFERROR(AVERAGEIFS(AMP1_8[[#All],[T 4]],AMP1_8[[#All],[Blade Part Number]],$B1,AMP1_8[[#All],[Date]],"&gt;"&amp;$A$1,AMP1_8[[#All],[Date]],"&lt;"&amp;$A$2),"")</f>
        <v>-0.13880487804878047</v>
      </c>
      <c r="AF1" s="2">
        <f>IFERROR(AVERAGEIFS(AMP1_8[[#All],[T 5]],AMP1_8[[#All],[Blade Part Number]],$B1,AMP1_8[[#All],[Date]],"&gt;"&amp;$A$1,AMP1_8[[#All],[Date]],"&lt;"&amp;$A$2),"")</f>
        <v>-0.14907317073170731</v>
      </c>
      <c r="AG1" s="2">
        <f>IFERROR(AVERAGEIFS(AMP1_8[[#All],[T 6]],AMP1_8[[#All],[Blade Part Number]],$B1,AMP1_8[[#All],[Date]],"&gt;"&amp;$A$1,AMP1_8[[#All],[Date]],"&lt;"&amp;$A$2),"")</f>
        <v>-0.11656097560975612</v>
      </c>
      <c r="AH1" s="2">
        <f>IFERROR(AVERAGEIFS(AMP1_8[[#All],[T 7]],AMP1_8[[#All],[Blade Part Number]],$B1,AMP1_8[[#All],[Date]],"&gt;"&amp;$A$1,AMP1_8[[#All],[Date]],"&lt;"&amp;$A$2),"")</f>
        <v>1.5634146341463415E-2</v>
      </c>
      <c r="AI1" s="2">
        <f>IFERROR(AVERAGEIFS(AMP1_8[[#All],[T 8]],AMP1_8[[#All],[Blade Part Number]],$B1,AMP1_8[[#All],[Date]],"&gt;"&amp;$A$1,AMP1_8[[#All],[Date]],"&lt;"&amp;$A$2),"")</f>
        <v>-7.2195121951219533E-3</v>
      </c>
    </row>
    <row r="2" spans="1:35" x14ac:dyDescent="0.25">
      <c r="A2" s="1">
        <f>'Offset Solver'!E31</f>
        <v>73050</v>
      </c>
      <c r="B2" s="12" t="s">
        <v>31</v>
      </c>
      <c r="C2" s="25">
        <f>MAX(AMP1_8[Date])</f>
        <v>43711.974074074074</v>
      </c>
      <c r="D2" s="310"/>
      <c r="E2" s="795"/>
      <c r="F2" s="2" t="str">
        <f>IFERROR(AVERAGEIFS(AMP1_8[[#All],[Dim 1_1]],AMP1_8[[#All],[Blade Part Number]],$B2,AMP1_8[[#All],[Date]],"&gt;"&amp;$A$1,AMP1_8[[#All],[Date]],"&lt;"&amp;$A$2),"")</f>
        <v/>
      </c>
      <c r="G2" s="2" t="str">
        <f>IFERROR(AVERAGEIFS(AMP1_8[[#All],[Dim 1_2]],AMP1_8[[#All],[Blade Part Number]],$B2,AMP1_8[[#All],[Date]],"&gt;"&amp;$A$1,AMP1_8[[#All],[Date]],"&lt;"&amp;$A$2),"")</f>
        <v/>
      </c>
      <c r="H2" s="2">
        <f>IFERROR(AVERAGEIFS(AMP1_8[[#All],[Dim 2_1]],AMP1_8[[#All],[Blade Part Number]],$B2,AMP1_8[[#All],[Date]],"&gt;"&amp;$A$1,AMP1_8[[#All],[Date]],"&lt;"&amp;$A$2),"")</f>
        <v>155.74943902439023</v>
      </c>
      <c r="I2" s="2">
        <f>IFERROR(AVERAGEIFS(AMP1_8[[#All],[Dim 2_2]],AMP1_8[[#All],[Blade Part Number]],$B2,AMP1_8[[#All],[Date]],"&gt;"&amp;$A$1,AMP1_8[[#All],[Date]],"&lt;"&amp;$A$2),"")</f>
        <v>155.72307317073165</v>
      </c>
      <c r="J2" s="2">
        <f>IFERROR(AVERAGEIFS(AMP1_8[[#All],[Dim 3_1]],AMP1_8[[#All],[Blade Part Number]],$B2,AMP1_8[[#All],[Date]],"&gt;"&amp;$A$1,AMP1_8[[#All],[Date]],"&lt;"&amp;$A$2),"")</f>
        <v>168.65602439024383</v>
      </c>
      <c r="K2" s="2">
        <f>IFERROR(AVERAGEIFS(AMP1_8[[#All],[Dim 3_2]],AMP1_8[[#All],[Blade Part Number]],$B2,AMP1_8[[#All],[Date]],"&gt;"&amp;$A$1,AMP1_8[[#All],[Date]],"&lt;"&amp;$A$2),"")</f>
        <v>168.65748780487806</v>
      </c>
      <c r="L2" s="2">
        <f>IFERROR(AVERAGEIFS(AMP1_8[[#All],[Dim 4_1]],AMP1_8[[#All],[Blade Part Number]],$B2,AMP1_8[[#All],[Date]],"&gt;"&amp;$A$1,AMP1_8[[#All],[Date]],"&lt;"&amp;$A$2),"")</f>
        <v>155.90875609756094</v>
      </c>
      <c r="M2" s="2">
        <f>IFERROR(AVERAGEIFS(AMP1_8[[#All],[Dim 4_2]],AMP1_8[[#All],[Blade Part Number]],$B2,AMP1_8[[#All],[Date]],"&gt;"&amp;$A$1,AMP1_8[[#All],[Date]],"&lt;"&amp;$A$2),"")</f>
        <v>155.67180487804879</v>
      </c>
      <c r="N2" s="2">
        <f>IFERROR(AVERAGEIFS(AMP1_8[[#All],[Dim 5_1]],AMP1_8[[#All],[Blade Part Number]],$B2,AMP1_8[[#All],[Date]],"&gt;"&amp;$A$1,AMP1_8[[#All],[Date]],"&lt;"&amp;$A$2),"")</f>
        <v>27.273634146341458</v>
      </c>
      <c r="O2" s="2">
        <f>IFERROR(AVERAGEIFS(AMP1_8[[#All],[Dim 5_2]],AMP1_8[[#All],[Blade Part Number]],$B2,AMP1_8[[#All],[Date]],"&gt;"&amp;$A$1,AMP1_8[[#All],[Date]],"&lt;"&amp;$A$2),"")</f>
        <v>27.473829268292668</v>
      </c>
      <c r="P2" s="2" t="str">
        <f>IFERROR(AVERAGEIFS(AMP1_8[[#All],[Dim 6]],AMP1_8[[#All],[Blade Part Number]],$B2,AMP1_8[[#All],[Date]],"&gt;"&amp;$A$1,AMP1_8[[#All],[Date]],"&lt;"&amp;$A$2),"")</f>
        <v/>
      </c>
      <c r="Q2" s="2" t="str">
        <f>IFERROR(AVERAGEIFS(AMP1_8[[#All],[Dim 7]],AMP1_8[[#All],[Blade Part Number]],$B2,AMP1_8[[#All],[Date]],"&gt;"&amp;$A$1,AMP1_8[[#All],[Date]],"&lt;"&amp;$A$2),"")</f>
        <v/>
      </c>
      <c r="R2" s="2">
        <f>IFERROR(AVERAGEIFS(AMP1_8[[#All],[Dim 9_1]],AMP1_8[[#All],[Blade Part Number]],$B2,AMP1_8[[#All],[Date]],"&gt;"&amp;$A$1,AMP1_8[[#All],[Date]],"&lt;"&amp;$A$2),"")</f>
        <v>17.323414634146342</v>
      </c>
      <c r="S2" s="2">
        <f>IFERROR(AVERAGEIFS(AMP1_8[[#All],[Dim 9_2]],AMP1_8[[#All],[Blade Part Number]],$B2,AMP1_8[[#All],[Date]],"&gt;"&amp;$A$1,AMP1_8[[#All],[Date]],"&lt;"&amp;$A$2),"")</f>
        <v>17.313341463414634</v>
      </c>
      <c r="T2" s="2">
        <f>IFERROR(AVERAGEIFS(AMP1_8[[#All],[Dim 10_1]],AMP1_8[[#All],[Blade Part Number]],$B2,AMP1_8[[#All],[Date]],"&gt;"&amp;$A$1,AMP1_8[[#All],[Date]],"&lt;"&amp;$A$2),"")</f>
        <v>37.476146341463419</v>
      </c>
      <c r="U2" s="2">
        <f>IFERROR(AVERAGEIFS(AMP1_8[[#All],[Dim 10_2]],AMP1_8[[#All],[Blade Part Number]],$B2,AMP1_8[[#All],[Date]],"&gt;"&amp;$A$1,AMP1_8[[#All],[Date]],"&lt;"&amp;$A$2),"")</f>
        <v>38.623853658536582</v>
      </c>
      <c r="V2" s="2" t="str">
        <f>IFERROR(AVERAGEIFS(AMP1_8[[#All],[Dim 11]],AMP1_8[[#All],[Blade Part Number]],$B2,AMP1_8[[#All],[Date]],"&gt;"&amp;$A$1,AMP1_8[[#All],[Date]],"&lt;"&amp;$A$2),"")</f>
        <v/>
      </c>
      <c r="W2" s="2">
        <f>IFERROR(AVERAGEIFS(AMP1_8[[#All],[Dim 11 Max]],AMP1_8[[#All],[Blade Part Number]],$B2,AMP1_8[[#All],[Date]],"&gt;"&amp;$A$1,AMP1_8[[#All],[Date]],"&lt;"&amp;$A$2),"")</f>
        <v>3.1878048780487805E-2</v>
      </c>
      <c r="X2" s="2">
        <f>IFERROR(AVERAGEIFS(AMP1_8[[#All],[Dim 11 Min]],AMP1_8[[#All],[Blade Part Number]],$B2,AMP1_8[[#All],[Date]],"&gt;"&amp;$A$1,AMP1_8[[#All],[Date]],"&lt;"&amp;$A$2),"")</f>
        <v>-0.35741463414634139</v>
      </c>
      <c r="Y2" s="2" t="str">
        <f>IFERROR(AVERAGEIFS(AMP1_8[[#All],[Dim 12]],AMP1_8[[#All],[Blade Part Number]],$B2,AMP1_8[[#All],[Date]],"&gt;"&amp;$A$1,AMP1_8[[#All],[Date]],"&lt;"&amp;$A$2),"")</f>
        <v/>
      </c>
      <c r="Z2" s="2">
        <f>IFERROR(AVERAGEIFS(AMP1_8[[#All],[Dim 12 Max]],AMP1_8[[#All],[Blade Part Number]],$B2,AMP1_8[[#All],[Date]],"&gt;"&amp;$A$1,AMP1_8[[#All],[Date]],"&lt;"&amp;$A$2),"")</f>
        <v>3.0121951219512215E-2</v>
      </c>
      <c r="AA2" s="2">
        <f>IFERROR(AVERAGEIFS(AMP1_8[[#All],[Dim 12 Min]],AMP1_8[[#All],[Blade Part Number]],$B2,AMP1_8[[#All],[Date]],"&gt;"&amp;$A$1,AMP1_8[[#All],[Date]],"&lt;"&amp;$A$2),"")</f>
        <v>-0.10182926829268292</v>
      </c>
      <c r="AB2" s="2">
        <f>IFERROR(AVERAGEIFS(AMP1_8[[#All],[T 1]],AMP1_8[[#All],[Blade Part Number]],$B2,AMP1_8[[#All],[Date]],"&gt;"&amp;$A$1,AMP1_8[[#All],[Date]],"&lt;"&amp;$A$2),"")</f>
        <v>-0.28253658536585363</v>
      </c>
      <c r="AC2" s="2">
        <f>IFERROR(AVERAGEIFS(AMP1_8[[#All],[T 2]],AMP1_8[[#All],[Blade Part Number]],$B2,AMP1_8[[#All],[Date]],"&gt;"&amp;$A$1,AMP1_8[[#All],[Date]],"&lt;"&amp;$A$2),"")</f>
        <v>-0.35190243902439017</v>
      </c>
      <c r="AD2" s="2">
        <f>IFERROR(AVERAGEIFS(AMP1_8[[#All],[T 3]],AMP1_8[[#All],[Blade Part Number]],$B2,AMP1_8[[#All],[Date]],"&gt;"&amp;$A$1,AMP1_8[[#All],[Date]],"&lt;"&amp;$A$2),"")</f>
        <v>3.1878048780487805E-2</v>
      </c>
      <c r="AE2" s="2">
        <f>IFERROR(AVERAGEIFS(AMP1_8[[#All],[T 4]],AMP1_8[[#All],[Blade Part Number]],$B2,AMP1_8[[#All],[Date]],"&gt;"&amp;$A$1,AMP1_8[[#All],[Date]],"&lt;"&amp;$A$2),"")</f>
        <v>-0.22719512195121955</v>
      </c>
      <c r="AF2" s="2">
        <f>IFERROR(AVERAGEIFS(AMP1_8[[#All],[T 5]],AMP1_8[[#All],[Blade Part Number]],$B2,AMP1_8[[#All],[Date]],"&gt;"&amp;$A$1,AMP1_8[[#All],[Date]],"&lt;"&amp;$A$2),"")</f>
        <v>-8.1268292682926846E-2</v>
      </c>
      <c r="AG2" s="2">
        <f>IFERROR(AVERAGEIFS(AMP1_8[[#All],[T 6]],AMP1_8[[#All],[Blade Part Number]],$B2,AMP1_8[[#All],[Date]],"&gt;"&amp;$A$1,AMP1_8[[#All],[Date]],"&lt;"&amp;$A$2),"")</f>
        <v>-9.6121951219512197E-2</v>
      </c>
      <c r="AH2" s="2">
        <f>IFERROR(AVERAGEIFS(AMP1_8[[#All],[T 7]],AMP1_8[[#All],[Blade Part Number]],$B2,AMP1_8[[#All],[Date]],"&gt;"&amp;$A$1,AMP1_8[[#All],[Date]],"&lt;"&amp;$A$2),"")</f>
        <v>1.721951219512196E-2</v>
      </c>
      <c r="AI2" s="2">
        <f>IFERROR(AVERAGEIFS(AMP1_8[[#All],[T 8]],AMP1_8[[#All],[Blade Part Number]],$B2,AMP1_8[[#All],[Date]],"&gt;"&amp;$A$1,AMP1_8[[#All],[Date]],"&lt;"&amp;$A$2),"")</f>
        <v>1.6975609756097566E-2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2.2024390243920777E-2</v>
      </c>
      <c r="G6" s="11">
        <f t="shared" si="0"/>
        <v>2.7170731707315099E-2</v>
      </c>
      <c r="H6" s="11">
        <f t="shared" si="0"/>
        <v>1.5609756097546779E-2</v>
      </c>
      <c r="I6" s="11">
        <f t="shared" si="0"/>
        <v>-2.7073170731739538E-3</v>
      </c>
      <c r="J6" s="11" t="str">
        <f t="shared" si="0"/>
        <v/>
      </c>
      <c r="K6" s="11" t="str">
        <f t="shared" si="0"/>
        <v/>
      </c>
      <c r="L6" s="11">
        <f t="shared" si="0"/>
        <v>2.7024390243866492E-2</v>
      </c>
      <c r="M6" s="11">
        <f t="shared" si="0"/>
        <v>-8.9682926829311782E-2</v>
      </c>
      <c r="N6" s="11">
        <f t="shared" si="0"/>
        <v>-2.0780487804870518E-2</v>
      </c>
      <c r="O6" s="11">
        <f t="shared" si="0"/>
        <v>0.188243902439023</v>
      </c>
      <c r="P6" s="11" t="str">
        <f t="shared" si="0"/>
        <v/>
      </c>
      <c r="Q6" s="11" t="str">
        <f t="shared" si="0"/>
        <v/>
      </c>
      <c r="R6" s="11">
        <f t="shared" si="0"/>
        <v>-0.11760975609756841</v>
      </c>
      <c r="S6" s="11">
        <f t="shared" si="0"/>
        <v>-0.21241463414634509</v>
      </c>
      <c r="T6" s="11">
        <f t="shared" si="0"/>
        <v>1.7057804878048728</v>
      </c>
      <c r="U6" s="11">
        <f t="shared" si="0"/>
        <v>1.9247317073170791</v>
      </c>
      <c r="V6" s="11" t="str">
        <f t="shared" si="0"/>
        <v/>
      </c>
      <c r="W6" s="11">
        <f t="shared" si="0"/>
        <v>8.8292682926829243E-3</v>
      </c>
      <c r="X6" s="11">
        <f t="shared" si="0"/>
        <v>-0.21556097560975612</v>
      </c>
      <c r="Y6" s="11" t="str">
        <f t="shared" si="0"/>
        <v/>
      </c>
      <c r="Z6" s="11">
        <f t="shared" si="0"/>
        <v>2.153658536585366E-2</v>
      </c>
      <c r="AA6" s="11">
        <f t="shared" si="0"/>
        <v>-0.1511463414634146</v>
      </c>
      <c r="AB6" s="11">
        <f t="shared" si="0"/>
        <v>-0.15675609756097564</v>
      </c>
      <c r="AC6" s="11">
        <f t="shared" si="0"/>
        <v>-0.20248780487804882</v>
      </c>
      <c r="AD6" s="11">
        <f t="shared" si="0"/>
        <v>8.8292682926829243E-3</v>
      </c>
      <c r="AE6" s="11">
        <f t="shared" si="0"/>
        <v>-0.13880487804878047</v>
      </c>
      <c r="AF6" s="11">
        <f t="shared" si="0"/>
        <v>-0.14907317073170731</v>
      </c>
      <c r="AG6" s="11">
        <f t="shared" si="0"/>
        <v>-0.11656097560975612</v>
      </c>
      <c r="AH6" s="11">
        <f t="shared" si="0"/>
        <v>1.5634146341463415E-2</v>
      </c>
      <c r="AI6" s="11">
        <f t="shared" si="0"/>
        <v>-7.2195121951219533E-3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-5.0560975609784009E-2</v>
      </c>
      <c r="I7" s="11">
        <f t="shared" si="1"/>
        <v>-7.6926829268359143E-2</v>
      </c>
      <c r="J7" s="11">
        <f t="shared" si="1"/>
        <v>-4.3975609756159884E-2</v>
      </c>
      <c r="K7" s="11">
        <f t="shared" si="1"/>
        <v>-4.2512195121929608E-2</v>
      </c>
      <c r="L7" s="11">
        <f t="shared" si="1"/>
        <v>0.10875609756092786</v>
      </c>
      <c r="M7" s="11">
        <f t="shared" si="1"/>
        <v>-0.12819512195122229</v>
      </c>
      <c r="N7" s="11">
        <f t="shared" si="1"/>
        <v>-0.12636585365854103</v>
      </c>
      <c r="O7" s="11">
        <f t="shared" si="1"/>
        <v>7.3829268292669781E-2</v>
      </c>
      <c r="P7" s="11" t="str">
        <f t="shared" si="1"/>
        <v/>
      </c>
      <c r="Q7" s="11" t="str">
        <f t="shared" si="1"/>
        <v/>
      </c>
      <c r="R7" s="11">
        <f t="shared" si="1"/>
        <v>7.3414634146342195E-2</v>
      </c>
      <c r="S7" s="11">
        <f t="shared" si="1"/>
        <v>6.3341463414634092E-2</v>
      </c>
      <c r="T7" s="11">
        <f t="shared" si="1"/>
        <v>5.4761463414634193</v>
      </c>
      <c r="U7" s="11">
        <f t="shared" si="1"/>
        <v>6.6238536585365821</v>
      </c>
      <c r="V7" s="11" t="str">
        <f t="shared" si="1"/>
        <v/>
      </c>
      <c r="W7" s="11">
        <f t="shared" si="1"/>
        <v>3.1878048780487805E-2</v>
      </c>
      <c r="X7" s="11">
        <f t="shared" si="1"/>
        <v>-0.35741463414634139</v>
      </c>
      <c r="Y7" s="11" t="str">
        <f t="shared" si="1"/>
        <v/>
      </c>
      <c r="Z7" s="11">
        <f t="shared" si="1"/>
        <v>3.0121951219512215E-2</v>
      </c>
      <c r="AA7" s="11">
        <f t="shared" si="1"/>
        <v>-0.10182926829268292</v>
      </c>
      <c r="AB7" s="11">
        <f t="shared" si="1"/>
        <v>-0.28253658536585363</v>
      </c>
      <c r="AC7" s="11">
        <f t="shared" si="1"/>
        <v>-0.35190243902439017</v>
      </c>
      <c r="AD7" s="11">
        <f t="shared" si="1"/>
        <v>3.1878048780487805E-2</v>
      </c>
      <c r="AE7" s="11">
        <f t="shared" si="1"/>
        <v>-0.22719512195121955</v>
      </c>
      <c r="AF7" s="11">
        <f t="shared" si="1"/>
        <v>-8.1268292682926846E-2</v>
      </c>
      <c r="AG7" s="11">
        <f t="shared" si="1"/>
        <v>-9.6121951219512197E-2</v>
      </c>
      <c r="AH7" s="11">
        <f t="shared" si="1"/>
        <v>1.721951219512196E-2</v>
      </c>
      <c r="AI7" s="11">
        <f t="shared" si="1"/>
        <v>1.6975609756097566E-2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1159</v>
      </c>
      <c r="B9" t="s">
        <v>32</v>
      </c>
      <c r="C9" s="25">
        <v>43699.786145833335</v>
      </c>
      <c r="D9" s="741" t="s">
        <v>969</v>
      </c>
      <c r="E9" s="741">
        <f t="array" ref="E9">SUMPRODUCT(IF(AMP1_8[[#This Row],[Dim 1_1]:[T 8]]-$F$4:$AI$4&lt;0,1,0)+IF($F$5:$AI$5-AMP1_8[[#This Row],[Dim 1_1]:[T 8]]&lt;0,1,0),IF(ISNUMBER(AMP1_8[[#This Row],[Dim 1_1]:[T 8]])=TRUE,1,0))</f>
        <v>0</v>
      </c>
      <c r="F9">
        <v>41.354999999999997</v>
      </c>
      <c r="G9">
        <v>41.417999999999999</v>
      </c>
      <c r="H9">
        <v>155.63900000000001</v>
      </c>
      <c r="I9">
        <v>155.572</v>
      </c>
      <c r="L9">
        <v>155.72</v>
      </c>
      <c r="M9">
        <v>155.512</v>
      </c>
      <c r="N9">
        <v>27.494</v>
      </c>
      <c r="O9">
        <v>27.811</v>
      </c>
      <c r="R9">
        <v>17.113</v>
      </c>
      <c r="S9">
        <v>17.085000000000001</v>
      </c>
      <c r="T9">
        <v>33.515999999999998</v>
      </c>
      <c r="U9">
        <v>34.093000000000004</v>
      </c>
      <c r="W9">
        <v>0.112</v>
      </c>
      <c r="X9">
        <v>-3.7999999999999999E-2</v>
      </c>
      <c r="Z9">
        <v>0.17100000000000001</v>
      </c>
      <c r="AA9">
        <v>5.6000000000000001E-2</v>
      </c>
      <c r="AB9">
        <v>1E-3</v>
      </c>
      <c r="AC9">
        <v>-3.7999999999999999E-2</v>
      </c>
      <c r="AD9">
        <v>0.112</v>
      </c>
      <c r="AE9">
        <v>3.4000000000000002E-2</v>
      </c>
      <c r="AF9">
        <v>5.6000000000000001E-2</v>
      </c>
      <c r="AG9">
        <v>9.2999999999999999E-2</v>
      </c>
      <c r="AH9">
        <v>0.156</v>
      </c>
      <c r="AI9">
        <v>0.17100000000000001</v>
      </c>
    </row>
    <row r="10" spans="1:35" ht="15" customHeight="1" x14ac:dyDescent="0.25">
      <c r="A10" t="s">
        <v>1160</v>
      </c>
      <c r="B10" t="s">
        <v>31</v>
      </c>
      <c r="C10" s="25">
        <v>43699.788356481484</v>
      </c>
      <c r="D10" s="741" t="s">
        <v>969</v>
      </c>
      <c r="E10" s="741">
        <f t="array" ref="E10">SUMPRODUCT(IF(AMP1_8[[#This Row],[Dim 1_1]:[T 8]]-$F$4:$AI$4&lt;0,1,0)+IF($F$5:$AI$5-AMP1_8[[#This Row],[Dim 1_1]:[T 8]]&lt;0,1,0),IF(ISNUMBER(AMP1_8[[#This Row],[Dim 1_1]:[T 8]])=TRUE,1,0))</f>
        <v>0</v>
      </c>
      <c r="H10">
        <v>155.70500000000001</v>
      </c>
      <c r="I10">
        <v>155.64599999999999</v>
      </c>
      <c r="J10">
        <v>168.84800000000001</v>
      </c>
      <c r="K10">
        <v>168.97200000000001</v>
      </c>
      <c r="L10">
        <v>155.804</v>
      </c>
      <c r="M10">
        <v>155.65299999999999</v>
      </c>
      <c r="N10">
        <v>27.373000000000001</v>
      </c>
      <c r="O10">
        <v>27.486000000000001</v>
      </c>
      <c r="R10">
        <v>17.402000000000001</v>
      </c>
      <c r="S10">
        <v>17.395</v>
      </c>
      <c r="T10">
        <v>35.215000000000003</v>
      </c>
      <c r="U10">
        <v>37.709000000000003</v>
      </c>
      <c r="W10">
        <v>0.14499999999999999</v>
      </c>
      <c r="X10">
        <v>-0.26400000000000001</v>
      </c>
      <c r="Z10">
        <v>5.3999999999999999E-2</v>
      </c>
      <c r="AA10">
        <v>-5.5E-2</v>
      </c>
      <c r="AB10">
        <v>-0.17199999999999999</v>
      </c>
      <c r="AC10">
        <v>-0.26400000000000001</v>
      </c>
      <c r="AD10">
        <v>0.14499999999999999</v>
      </c>
      <c r="AE10">
        <v>-0.13</v>
      </c>
      <c r="AF10">
        <v>-8.0000000000000002E-3</v>
      </c>
      <c r="AG10">
        <v>-5.5E-2</v>
      </c>
      <c r="AH10">
        <v>5.3999999999999999E-2</v>
      </c>
      <c r="AI10">
        <v>5.2999999999999999E-2</v>
      </c>
    </row>
    <row r="11" spans="1:35" x14ac:dyDescent="0.25">
      <c r="A11" t="s">
        <v>1161</v>
      </c>
      <c r="B11" t="s">
        <v>32</v>
      </c>
      <c r="C11" s="25">
        <v>43699.898287037038</v>
      </c>
      <c r="D11" s="741" t="s">
        <v>969</v>
      </c>
      <c r="E11" s="741">
        <f t="array" ref="E11">SUMPRODUCT(IF(AMP1_8[[#This Row],[Dim 1_1]:[T 8]]-$F$4:$AI$4&lt;0,1,0)+IF($F$5:$AI$5-AMP1_8[[#This Row],[Dim 1_1]:[T 8]]&lt;0,1,0),IF(ISNUMBER(AMP1_8[[#This Row],[Dim 1_1]:[T 8]])=TRUE,1,0))</f>
        <v>0</v>
      </c>
      <c r="F11">
        <v>41.39</v>
      </c>
      <c r="G11">
        <v>41.722000000000001</v>
      </c>
      <c r="H11">
        <v>155.80600000000001</v>
      </c>
      <c r="I11">
        <v>155.70099999999999</v>
      </c>
      <c r="L11">
        <v>155.77600000000001</v>
      </c>
      <c r="M11">
        <v>155.614</v>
      </c>
      <c r="N11">
        <v>27.413</v>
      </c>
      <c r="O11">
        <v>27.677</v>
      </c>
      <c r="R11">
        <v>17.137</v>
      </c>
      <c r="S11">
        <v>17.055</v>
      </c>
      <c r="T11">
        <v>34.162999999999997</v>
      </c>
      <c r="U11">
        <v>33.377000000000002</v>
      </c>
      <c r="W11">
        <v>1.2E-2</v>
      </c>
      <c r="X11">
        <v>-0.158</v>
      </c>
      <c r="Z11">
        <v>0.05</v>
      </c>
      <c r="AA11">
        <v>-5.3999999999999999E-2</v>
      </c>
      <c r="AB11">
        <v>-0.105</v>
      </c>
      <c r="AC11">
        <v>-0.14000000000000001</v>
      </c>
      <c r="AD11">
        <v>1.2E-2</v>
      </c>
      <c r="AE11">
        <v>-0.158</v>
      </c>
      <c r="AF11">
        <v>-5.3999999999999999E-2</v>
      </c>
      <c r="AG11">
        <v>-4.2000000000000003E-2</v>
      </c>
      <c r="AH11">
        <v>0.05</v>
      </c>
      <c r="AI11">
        <v>1.2E-2</v>
      </c>
    </row>
    <row r="12" spans="1:35" ht="15" customHeight="1" x14ac:dyDescent="0.25">
      <c r="A12" t="s">
        <v>1162</v>
      </c>
      <c r="B12" t="s">
        <v>31</v>
      </c>
      <c r="C12" s="25">
        <v>43699.900671296295</v>
      </c>
      <c r="D12" s="741" t="s">
        <v>969</v>
      </c>
      <c r="E12" s="741">
        <f t="array" ref="E12">SUMPRODUCT(IF(AMP1_8[[#This Row],[Dim 1_1]:[T 8]]-$F$4:$AI$4&lt;0,1,0)+IF($F$5:$AI$5-AMP1_8[[#This Row],[Dim 1_1]:[T 8]]&lt;0,1,0),IF(ISNUMBER(AMP1_8[[#This Row],[Dim 1_1]:[T 8]])=TRUE,1,0))</f>
        <v>0</v>
      </c>
      <c r="H12">
        <v>155.66399999999999</v>
      </c>
      <c r="I12">
        <v>155.67599999999999</v>
      </c>
      <c r="J12">
        <v>168.648</v>
      </c>
      <c r="K12">
        <v>168.774</v>
      </c>
      <c r="L12">
        <v>155.81200000000001</v>
      </c>
      <c r="M12">
        <v>155.637</v>
      </c>
      <c r="N12">
        <v>27.337</v>
      </c>
      <c r="O12">
        <v>27.481999999999999</v>
      </c>
      <c r="R12">
        <v>17.32</v>
      </c>
      <c r="S12">
        <v>17.308</v>
      </c>
      <c r="T12">
        <v>37.048999999999999</v>
      </c>
      <c r="U12">
        <v>37.58</v>
      </c>
      <c r="W12">
        <v>0.11799999999999999</v>
      </c>
      <c r="X12">
        <v>-0.27600000000000002</v>
      </c>
      <c r="Z12">
        <v>0.104</v>
      </c>
      <c r="AA12">
        <v>-4.8000000000000001E-2</v>
      </c>
      <c r="AB12">
        <v>-0.224</v>
      </c>
      <c r="AC12">
        <v>-0.27600000000000002</v>
      </c>
      <c r="AD12">
        <v>0.11799999999999999</v>
      </c>
      <c r="AE12">
        <v>-0.14899999999999999</v>
      </c>
      <c r="AF12">
        <v>-3.6999999999999998E-2</v>
      </c>
      <c r="AG12">
        <v>-4.8000000000000001E-2</v>
      </c>
      <c r="AH12">
        <v>0.104</v>
      </c>
      <c r="AI12">
        <v>6.8000000000000005E-2</v>
      </c>
    </row>
    <row r="13" spans="1:35" x14ac:dyDescent="0.25">
      <c r="A13" t="s">
        <v>1163</v>
      </c>
      <c r="B13" t="s">
        <v>32</v>
      </c>
      <c r="C13" s="25">
        <v>43700.007835648146</v>
      </c>
      <c r="D13" s="741" t="s">
        <v>969</v>
      </c>
      <c r="E13" s="741">
        <f t="array" ref="E13">SUMPRODUCT(IF(AMP1_8[[#This Row],[Dim 1_1]:[T 8]]-$F$4:$AI$4&lt;0,1,0)+IF($F$5:$AI$5-AMP1_8[[#This Row],[Dim 1_1]:[T 8]]&lt;0,1,0),IF(ISNUMBER(AMP1_8[[#This Row],[Dim 1_1]:[T 8]])=TRUE,1,0))</f>
        <v>0</v>
      </c>
      <c r="F13">
        <v>41.335000000000001</v>
      </c>
      <c r="G13">
        <v>41.518999999999998</v>
      </c>
      <c r="H13">
        <v>155.73699999999999</v>
      </c>
      <c r="I13">
        <v>155.65100000000001</v>
      </c>
      <c r="L13">
        <v>155.75</v>
      </c>
      <c r="M13">
        <v>155.57599999999999</v>
      </c>
      <c r="N13">
        <v>27.436</v>
      </c>
      <c r="O13">
        <v>27.731000000000002</v>
      </c>
      <c r="R13">
        <v>17.103999999999999</v>
      </c>
      <c r="S13">
        <v>16.963999999999999</v>
      </c>
      <c r="T13">
        <v>33.761000000000003</v>
      </c>
      <c r="U13">
        <v>34.006</v>
      </c>
      <c r="W13">
        <v>5.7000000000000002E-2</v>
      </c>
      <c r="X13">
        <v>-0.13500000000000001</v>
      </c>
      <c r="Z13">
        <v>0.14099999999999999</v>
      </c>
      <c r="AA13">
        <v>1.4E-2</v>
      </c>
      <c r="AB13">
        <v>-3.9E-2</v>
      </c>
      <c r="AC13">
        <v>-0.13500000000000001</v>
      </c>
      <c r="AD13">
        <v>5.7000000000000002E-2</v>
      </c>
      <c r="AE13">
        <v>5.6000000000000001E-2</v>
      </c>
      <c r="AF13">
        <v>1.4E-2</v>
      </c>
      <c r="AG13">
        <v>0.05</v>
      </c>
      <c r="AH13">
        <v>0.14099999999999999</v>
      </c>
      <c r="AI13">
        <v>0.13600000000000001</v>
      </c>
    </row>
    <row r="14" spans="1:35" ht="15" customHeight="1" x14ac:dyDescent="0.25">
      <c r="A14" t="s">
        <v>1164</v>
      </c>
      <c r="B14" t="s">
        <v>31</v>
      </c>
      <c r="C14" s="25">
        <v>43700.009918981479</v>
      </c>
      <c r="D14" s="741" t="s">
        <v>969</v>
      </c>
      <c r="E14" s="741">
        <f t="array" ref="E14">SUMPRODUCT(IF(AMP1_8[[#This Row],[Dim 1_1]:[T 8]]-$F$4:$AI$4&lt;0,1,0)+IF($F$5:$AI$5-AMP1_8[[#This Row],[Dim 1_1]:[T 8]]&lt;0,1,0),IF(ISNUMBER(AMP1_8[[#This Row],[Dim 1_1]:[T 8]])=TRUE,1,0))</f>
        <v>0</v>
      </c>
      <c r="H14">
        <v>155.66900000000001</v>
      </c>
      <c r="I14">
        <v>155.66999999999999</v>
      </c>
      <c r="J14">
        <v>168.56700000000001</v>
      </c>
      <c r="K14">
        <v>168.685</v>
      </c>
      <c r="L14">
        <v>155.86600000000001</v>
      </c>
      <c r="M14">
        <v>155.66999999999999</v>
      </c>
      <c r="N14">
        <v>27.361999999999998</v>
      </c>
      <c r="O14">
        <v>27.484999999999999</v>
      </c>
      <c r="R14">
        <v>17.367000000000001</v>
      </c>
      <c r="S14">
        <v>17.315999999999999</v>
      </c>
      <c r="T14">
        <v>34.969000000000001</v>
      </c>
      <c r="U14">
        <v>37.92</v>
      </c>
      <c r="W14">
        <v>0.187</v>
      </c>
      <c r="X14">
        <v>-0.25600000000000001</v>
      </c>
      <c r="Z14">
        <v>0.17399999999999999</v>
      </c>
      <c r="AA14">
        <v>-6.0000000000000001E-3</v>
      </c>
      <c r="AB14">
        <v>-0.20599999999999999</v>
      </c>
      <c r="AC14">
        <v>-0.25600000000000001</v>
      </c>
      <c r="AD14">
        <v>0.187</v>
      </c>
      <c r="AE14">
        <v>-7.9000000000000001E-2</v>
      </c>
      <c r="AF14">
        <v>-6.0000000000000001E-3</v>
      </c>
      <c r="AG14">
        <v>-6.0000000000000001E-3</v>
      </c>
      <c r="AH14">
        <v>0.128</v>
      </c>
      <c r="AI14">
        <v>0.17399999999999999</v>
      </c>
    </row>
    <row r="15" spans="1:35" x14ac:dyDescent="0.25">
      <c r="A15" t="s">
        <v>1165</v>
      </c>
      <c r="B15" t="s">
        <v>32</v>
      </c>
      <c r="C15" s="25">
        <v>43700.35800925926</v>
      </c>
      <c r="D15" s="741" t="s">
        <v>969</v>
      </c>
      <c r="E15" s="741">
        <f t="array" ref="E15">SUMPRODUCT(IF(AMP1_8[[#This Row],[Dim 1_1]:[T 8]]-$F$4:$AI$4&lt;0,1,0)+IF($F$5:$AI$5-AMP1_8[[#This Row],[Dim 1_1]:[T 8]]&lt;0,1,0),IF(ISNUMBER(AMP1_8[[#This Row],[Dim 1_1]:[T 8]])=TRUE,1,0))</f>
        <v>0</v>
      </c>
      <c r="F15">
        <v>41.350999999999999</v>
      </c>
      <c r="G15">
        <v>41.354999999999997</v>
      </c>
      <c r="H15">
        <v>155.815</v>
      </c>
      <c r="I15">
        <v>155.75800000000001</v>
      </c>
      <c r="L15">
        <v>155.85400000000001</v>
      </c>
      <c r="M15">
        <v>155.62799999999999</v>
      </c>
      <c r="N15">
        <v>27.390999999999998</v>
      </c>
      <c r="O15">
        <v>27.66</v>
      </c>
      <c r="R15">
        <v>17.193999999999999</v>
      </c>
      <c r="S15">
        <v>17.113</v>
      </c>
      <c r="T15">
        <v>33.594999999999999</v>
      </c>
      <c r="U15">
        <v>33.942</v>
      </c>
      <c r="W15">
        <v>-2.9000000000000001E-2</v>
      </c>
      <c r="X15">
        <v>-0.224</v>
      </c>
      <c r="Z15">
        <v>-0.01</v>
      </c>
      <c r="AA15">
        <v>-0.13900000000000001</v>
      </c>
      <c r="AB15">
        <v>-0.157</v>
      </c>
      <c r="AC15">
        <v>-0.224</v>
      </c>
      <c r="AD15">
        <v>-2.9000000000000001E-2</v>
      </c>
      <c r="AE15">
        <v>-0.14000000000000001</v>
      </c>
      <c r="AF15">
        <v>-0.13900000000000001</v>
      </c>
      <c r="AG15">
        <v>-0.11</v>
      </c>
      <c r="AH15">
        <v>-0.01</v>
      </c>
      <c r="AI15">
        <v>-9.1999999999999998E-2</v>
      </c>
    </row>
    <row r="16" spans="1:35" ht="15" customHeight="1" x14ac:dyDescent="0.25">
      <c r="A16" t="s">
        <v>1166</v>
      </c>
      <c r="B16" t="s">
        <v>31</v>
      </c>
      <c r="C16" s="25">
        <v>43700.36042824074</v>
      </c>
      <c r="D16" s="741" t="s">
        <v>969</v>
      </c>
      <c r="E16" s="741">
        <f t="array" ref="E16">SUMPRODUCT(IF(AMP1_8[[#This Row],[Dim 1_1]:[T 8]]-$F$4:$AI$4&lt;0,1,0)+IF($F$5:$AI$5-AMP1_8[[#This Row],[Dim 1_1]:[T 8]]&lt;0,1,0),IF(ISNUMBER(AMP1_8[[#This Row],[Dim 1_1]:[T 8]])=TRUE,1,0))</f>
        <v>0</v>
      </c>
      <c r="H16">
        <v>155.702</v>
      </c>
      <c r="I16">
        <v>155.792</v>
      </c>
      <c r="J16">
        <v>168.714</v>
      </c>
      <c r="K16">
        <v>168.98099999999999</v>
      </c>
      <c r="L16">
        <v>155.905</v>
      </c>
      <c r="M16">
        <v>155.71899999999999</v>
      </c>
      <c r="N16">
        <v>27.274000000000001</v>
      </c>
      <c r="O16">
        <v>27.43</v>
      </c>
      <c r="R16">
        <v>17.381</v>
      </c>
      <c r="S16">
        <v>17.388000000000002</v>
      </c>
      <c r="T16">
        <v>39.146999999999998</v>
      </c>
      <c r="U16">
        <v>39.738999999999997</v>
      </c>
      <c r="W16">
        <v>5.0000000000000001E-3</v>
      </c>
      <c r="X16">
        <v>-0.39100000000000001</v>
      </c>
      <c r="Z16">
        <v>0.01</v>
      </c>
      <c r="AA16">
        <v>-0.128</v>
      </c>
      <c r="AB16">
        <v>-0.29899999999999999</v>
      </c>
      <c r="AC16">
        <v>-0.39100000000000001</v>
      </c>
      <c r="AD16">
        <v>5.0000000000000001E-3</v>
      </c>
      <c r="AE16">
        <v>-0.29799999999999999</v>
      </c>
      <c r="AF16">
        <v>-0.104</v>
      </c>
      <c r="AG16">
        <v>-0.128</v>
      </c>
      <c r="AH16">
        <v>7.0000000000000001E-3</v>
      </c>
      <c r="AI16">
        <v>0.01</v>
      </c>
    </row>
    <row r="17" spans="1:35" x14ac:dyDescent="0.25">
      <c r="A17" t="s">
        <v>1167</v>
      </c>
      <c r="B17" t="s">
        <v>32</v>
      </c>
      <c r="C17" s="25">
        <v>43700.514710648145</v>
      </c>
      <c r="D17" s="741" t="s">
        <v>969</v>
      </c>
      <c r="E17" s="741">
        <f t="array" ref="E17">SUMPRODUCT(IF(AMP1_8[[#This Row],[Dim 1_1]:[T 8]]-$F$4:$AI$4&lt;0,1,0)+IF($F$5:$AI$5-AMP1_8[[#This Row],[Dim 1_1]:[T 8]]&lt;0,1,0),IF(ISNUMBER(AMP1_8[[#This Row],[Dim 1_1]:[T 8]])=TRUE,1,0))</f>
        <v>0</v>
      </c>
      <c r="F17">
        <v>41.304000000000002</v>
      </c>
      <c r="G17">
        <v>41.523000000000003</v>
      </c>
      <c r="H17">
        <v>155.77500000000001</v>
      </c>
      <c r="I17">
        <v>155.68</v>
      </c>
      <c r="L17">
        <v>155.80699999999999</v>
      </c>
      <c r="M17">
        <v>155.65</v>
      </c>
      <c r="N17">
        <v>27.398</v>
      </c>
      <c r="O17">
        <v>27.702999999999999</v>
      </c>
      <c r="R17">
        <v>17.108000000000001</v>
      </c>
      <c r="S17">
        <v>17.045999999999999</v>
      </c>
      <c r="T17">
        <v>33.765999999999998</v>
      </c>
      <c r="U17">
        <v>33.850999999999999</v>
      </c>
      <c r="W17">
        <v>-5.5E-2</v>
      </c>
      <c r="X17">
        <v>-0.22700000000000001</v>
      </c>
      <c r="Z17">
        <v>-1.0999999999999999E-2</v>
      </c>
      <c r="AA17">
        <v>-0.15</v>
      </c>
      <c r="AB17">
        <v>-0.17100000000000001</v>
      </c>
      <c r="AC17">
        <v>-0.22700000000000001</v>
      </c>
      <c r="AD17">
        <v>-5.5E-2</v>
      </c>
      <c r="AE17">
        <v>-0.129</v>
      </c>
      <c r="AF17">
        <v>-0.15</v>
      </c>
      <c r="AG17">
        <v>-0.107</v>
      </c>
      <c r="AH17">
        <v>-1.2E-2</v>
      </c>
      <c r="AI17">
        <v>-1.0999999999999999E-2</v>
      </c>
    </row>
    <row r="18" spans="1:35" ht="15" customHeight="1" x14ac:dyDescent="0.25">
      <c r="A18" t="s">
        <v>1168</v>
      </c>
      <c r="B18" t="s">
        <v>31</v>
      </c>
      <c r="C18" s="25">
        <v>43700.51635416667</v>
      </c>
      <c r="D18" s="741" t="s">
        <v>969</v>
      </c>
      <c r="E18" s="741">
        <f t="array" ref="E18">SUMPRODUCT(IF(AMP1_8[[#This Row],[Dim 1_1]:[T 8]]-$F$4:$AI$4&lt;0,1,0)+IF($F$5:$AI$5-AMP1_8[[#This Row],[Dim 1_1]:[T 8]]&lt;0,1,0),IF(ISNUMBER(AMP1_8[[#This Row],[Dim 1_1]:[T 8]])=TRUE,1,0))</f>
        <v>0</v>
      </c>
      <c r="H18">
        <v>155.74100000000001</v>
      </c>
      <c r="I18">
        <v>155.76</v>
      </c>
      <c r="J18">
        <v>168.63300000000001</v>
      </c>
      <c r="K18">
        <v>168.916</v>
      </c>
      <c r="L18">
        <v>155.90899999999999</v>
      </c>
      <c r="M18">
        <v>155.749</v>
      </c>
      <c r="N18">
        <v>27.294</v>
      </c>
      <c r="O18">
        <v>27.416</v>
      </c>
      <c r="R18">
        <v>17.311</v>
      </c>
      <c r="S18">
        <v>17.283999999999999</v>
      </c>
      <c r="T18">
        <v>36.68</v>
      </c>
      <c r="U18">
        <v>38.286000000000001</v>
      </c>
      <c r="W18">
        <v>3.0000000000000001E-3</v>
      </c>
      <c r="X18">
        <v>-0.33100000000000002</v>
      </c>
      <c r="Z18">
        <v>3.9E-2</v>
      </c>
      <c r="AA18">
        <v>-1.7999999999999999E-2</v>
      </c>
      <c r="AB18">
        <v>-0.26500000000000001</v>
      </c>
      <c r="AC18">
        <v>-0.33100000000000002</v>
      </c>
      <c r="AD18">
        <v>3.0000000000000001E-3</v>
      </c>
      <c r="AE18">
        <v>-0.26900000000000002</v>
      </c>
      <c r="AF18">
        <v>-1.7999999999999999E-2</v>
      </c>
      <c r="AG18">
        <v>-1.2999999999999999E-2</v>
      </c>
      <c r="AH18">
        <v>2.8000000000000001E-2</v>
      </c>
      <c r="AI18">
        <v>3.9E-2</v>
      </c>
    </row>
    <row r="19" spans="1:35" x14ac:dyDescent="0.25">
      <c r="A19" t="s">
        <v>1273</v>
      </c>
      <c r="B19" t="s">
        <v>32</v>
      </c>
      <c r="C19" s="25">
        <v>43700.605787037035</v>
      </c>
      <c r="D19" s="741" t="s">
        <v>969</v>
      </c>
      <c r="E19" s="741">
        <f t="array" ref="E19">SUMPRODUCT(IF(AMP1_8[[#This Row],[Dim 1_1]:[T 8]]-$F$4:$AI$4&lt;0,1,0)+IF($F$5:$AI$5-AMP1_8[[#This Row],[Dim 1_1]:[T 8]]&lt;0,1,0),IF(ISNUMBER(AMP1_8[[#This Row],[Dim 1_1]:[T 8]])=TRUE,1,0))</f>
        <v>0</v>
      </c>
      <c r="F19">
        <v>41.387999999999998</v>
      </c>
      <c r="G19">
        <v>41.296999999999997</v>
      </c>
      <c r="H19">
        <v>155.78800000000001</v>
      </c>
      <c r="I19">
        <v>155.73400000000001</v>
      </c>
      <c r="L19">
        <v>155.815</v>
      </c>
      <c r="M19">
        <v>155.667</v>
      </c>
      <c r="N19">
        <v>27.460999999999999</v>
      </c>
      <c r="O19">
        <v>27.69</v>
      </c>
      <c r="R19">
        <v>17.143000000000001</v>
      </c>
      <c r="S19">
        <v>17.085000000000001</v>
      </c>
      <c r="T19">
        <v>33.637</v>
      </c>
      <c r="U19">
        <v>33.912999999999997</v>
      </c>
      <c r="W19">
        <v>-0.01</v>
      </c>
      <c r="X19">
        <v>-0.13500000000000001</v>
      </c>
      <c r="Z19">
        <v>0</v>
      </c>
      <c r="AA19">
        <v>-0.11</v>
      </c>
      <c r="AB19">
        <v>-0.115</v>
      </c>
      <c r="AC19">
        <v>-0.13500000000000001</v>
      </c>
      <c r="AD19">
        <v>-0.01</v>
      </c>
      <c r="AE19">
        <v>-7.1999999999999995E-2</v>
      </c>
      <c r="AF19">
        <v>-0.11</v>
      </c>
      <c r="AG19">
        <v>-8.1000000000000003E-2</v>
      </c>
      <c r="AH19">
        <v>-1.4999999999999999E-2</v>
      </c>
      <c r="AI19">
        <v>0</v>
      </c>
    </row>
    <row r="20" spans="1:35" ht="15" customHeight="1" x14ac:dyDescent="0.25">
      <c r="A20" t="s">
        <v>1274</v>
      </c>
      <c r="B20" t="s">
        <v>31</v>
      </c>
      <c r="C20" s="25">
        <v>43700.607453703706</v>
      </c>
      <c r="D20" s="741" t="s">
        <v>969</v>
      </c>
      <c r="E20" s="741">
        <f t="array" ref="E20">SUMPRODUCT(IF(AMP1_8[[#This Row],[Dim 1_1]:[T 8]]-$F$4:$AI$4&lt;0,1,0)+IF($F$5:$AI$5-AMP1_8[[#This Row],[Dim 1_1]:[T 8]]&lt;0,1,0),IF(ISNUMBER(AMP1_8[[#This Row],[Dim 1_1]:[T 8]])=TRUE,1,0))</f>
        <v>0</v>
      </c>
      <c r="H20">
        <v>155.68899999999999</v>
      </c>
      <c r="I20">
        <v>155.71600000000001</v>
      </c>
      <c r="J20">
        <v>168.65299999999999</v>
      </c>
      <c r="K20">
        <v>168.66200000000001</v>
      </c>
      <c r="L20">
        <v>155.86699999999999</v>
      </c>
      <c r="M20">
        <v>155.68600000000001</v>
      </c>
      <c r="N20">
        <v>27.314</v>
      </c>
      <c r="O20">
        <v>27.446000000000002</v>
      </c>
      <c r="R20">
        <v>17.332999999999998</v>
      </c>
      <c r="S20">
        <v>17.32</v>
      </c>
      <c r="T20">
        <v>37.755000000000003</v>
      </c>
      <c r="U20">
        <v>38.164000000000001</v>
      </c>
      <c r="W20">
        <v>0.03</v>
      </c>
      <c r="X20">
        <v>-0.30499999999999999</v>
      </c>
      <c r="Z20">
        <v>0.107</v>
      </c>
      <c r="AA20">
        <v>6.0000000000000001E-3</v>
      </c>
      <c r="AB20">
        <v>-0.245</v>
      </c>
      <c r="AC20">
        <v>-0.30499999999999999</v>
      </c>
      <c r="AD20">
        <v>0.03</v>
      </c>
      <c r="AE20">
        <v>-0.25600000000000001</v>
      </c>
      <c r="AF20">
        <v>1.6E-2</v>
      </c>
      <c r="AG20">
        <v>6.0000000000000001E-3</v>
      </c>
      <c r="AH20">
        <v>7.8E-2</v>
      </c>
      <c r="AI20">
        <v>0.107</v>
      </c>
    </row>
    <row r="21" spans="1:35" x14ac:dyDescent="0.25">
      <c r="A21" t="s">
        <v>1275</v>
      </c>
      <c r="B21" t="s">
        <v>32</v>
      </c>
      <c r="C21" s="25">
        <v>43701.354004629633</v>
      </c>
      <c r="D21" s="741" t="s">
        <v>969</v>
      </c>
      <c r="E21" s="741">
        <f t="array" ref="E21">SUMPRODUCT(IF(AMP1_8[[#This Row],[Dim 1_1]:[T 8]]-$F$4:$AI$4&lt;0,1,0)+IF($F$5:$AI$5-AMP1_8[[#This Row],[Dim 1_1]:[T 8]]&lt;0,1,0),IF(ISNUMBER(AMP1_8[[#This Row],[Dim 1_1]:[T 8]])=TRUE,1,0))</f>
        <v>0</v>
      </c>
      <c r="F21">
        <v>41.307000000000002</v>
      </c>
      <c r="G21">
        <v>41.429000000000002</v>
      </c>
      <c r="H21">
        <v>155.768</v>
      </c>
      <c r="I21">
        <v>155.708</v>
      </c>
      <c r="L21">
        <v>155.81800000000001</v>
      </c>
      <c r="M21">
        <v>155.66200000000001</v>
      </c>
      <c r="N21">
        <v>27.378</v>
      </c>
      <c r="O21">
        <v>27.663</v>
      </c>
      <c r="R21">
        <v>17.050999999999998</v>
      </c>
      <c r="S21">
        <v>17.059000000000001</v>
      </c>
      <c r="T21">
        <v>33.744999999999997</v>
      </c>
      <c r="U21">
        <v>33.816000000000003</v>
      </c>
      <c r="W21">
        <v>6.3E-2</v>
      </c>
      <c r="X21">
        <v>-0.16200000000000001</v>
      </c>
      <c r="Z21">
        <v>5.6000000000000001E-2</v>
      </c>
      <c r="AA21">
        <v>-0.09</v>
      </c>
      <c r="AB21">
        <v>-9.5000000000000001E-2</v>
      </c>
      <c r="AC21">
        <v>-0.1</v>
      </c>
      <c r="AD21">
        <v>6.3E-2</v>
      </c>
      <c r="AE21">
        <v>-0.16200000000000001</v>
      </c>
      <c r="AF21">
        <v>-5.1999999999999998E-2</v>
      </c>
      <c r="AG21">
        <v>-0.09</v>
      </c>
      <c r="AH21">
        <v>5.6000000000000001E-2</v>
      </c>
      <c r="AI21">
        <v>2.7E-2</v>
      </c>
    </row>
    <row r="22" spans="1:35" ht="15" customHeight="1" x14ac:dyDescent="0.25">
      <c r="A22" t="s">
        <v>1276</v>
      </c>
      <c r="B22" t="s">
        <v>31</v>
      </c>
      <c r="C22" s="25">
        <v>43701.35564814815</v>
      </c>
      <c r="D22" s="741" t="s">
        <v>969</v>
      </c>
      <c r="E22" s="741">
        <f t="array" ref="E22">SUMPRODUCT(IF(AMP1_8[[#This Row],[Dim 1_1]:[T 8]]-$F$4:$AI$4&lt;0,1,0)+IF($F$5:$AI$5-AMP1_8[[#This Row],[Dim 1_1]:[T 8]]&lt;0,1,0),IF(ISNUMBER(AMP1_8[[#This Row],[Dim 1_1]:[T 8]])=TRUE,1,0))</f>
        <v>0</v>
      </c>
      <c r="H22">
        <v>155.71600000000001</v>
      </c>
      <c r="I22">
        <v>155.76300000000001</v>
      </c>
      <c r="J22">
        <v>168.67099999999999</v>
      </c>
      <c r="K22">
        <v>168.696</v>
      </c>
      <c r="L22">
        <v>155.88200000000001</v>
      </c>
      <c r="M22">
        <v>155.70500000000001</v>
      </c>
      <c r="N22">
        <v>27.329000000000001</v>
      </c>
      <c r="O22">
        <v>27.423999999999999</v>
      </c>
      <c r="R22">
        <v>17.280999999999999</v>
      </c>
      <c r="S22">
        <v>17.326000000000001</v>
      </c>
      <c r="T22">
        <v>38.600999999999999</v>
      </c>
      <c r="U22">
        <v>39.195999999999998</v>
      </c>
      <c r="W22">
        <v>9.2999999999999999E-2</v>
      </c>
      <c r="X22">
        <v>-0.224</v>
      </c>
      <c r="Z22">
        <v>9.9000000000000005E-2</v>
      </c>
      <c r="AA22">
        <v>2.5999999999999999E-2</v>
      </c>
      <c r="AB22">
        <v>-0.159</v>
      </c>
      <c r="AC22">
        <v>-0.224</v>
      </c>
      <c r="AD22">
        <v>9.2999999999999999E-2</v>
      </c>
      <c r="AE22">
        <v>-0.20200000000000001</v>
      </c>
      <c r="AF22">
        <v>3.7999999999999999E-2</v>
      </c>
      <c r="AG22">
        <v>2.5999999999999999E-2</v>
      </c>
      <c r="AH22">
        <v>9.5000000000000001E-2</v>
      </c>
      <c r="AI22">
        <v>9.9000000000000005E-2</v>
      </c>
    </row>
    <row r="23" spans="1:35" x14ac:dyDescent="0.25">
      <c r="A23" t="s">
        <v>1277</v>
      </c>
      <c r="B23" t="s">
        <v>32</v>
      </c>
      <c r="C23" s="25">
        <v>43701.479305555556</v>
      </c>
      <c r="D23" s="741" t="s">
        <v>969</v>
      </c>
      <c r="E23" s="741">
        <f t="array" ref="E23">SUMPRODUCT(IF(AMP1_8[[#This Row],[Dim 1_1]:[T 8]]-$F$4:$AI$4&lt;0,1,0)+IF($F$5:$AI$5-AMP1_8[[#This Row],[Dim 1_1]:[T 8]]&lt;0,1,0),IF(ISNUMBER(AMP1_8[[#This Row],[Dim 1_1]:[T 8]])=TRUE,1,0))</f>
        <v>0</v>
      </c>
      <c r="F23">
        <v>41.387</v>
      </c>
      <c r="G23">
        <v>41.481000000000002</v>
      </c>
      <c r="H23">
        <v>155.875</v>
      </c>
      <c r="I23">
        <v>155.78399999999999</v>
      </c>
      <c r="L23">
        <v>155.88900000000001</v>
      </c>
      <c r="M23">
        <v>155.73699999999999</v>
      </c>
      <c r="N23">
        <v>27.303000000000001</v>
      </c>
      <c r="O23">
        <v>27.582000000000001</v>
      </c>
      <c r="R23">
        <v>17.126000000000001</v>
      </c>
      <c r="S23">
        <v>17.033999999999999</v>
      </c>
      <c r="T23">
        <v>33.807000000000002</v>
      </c>
      <c r="U23">
        <v>33.710999999999999</v>
      </c>
      <c r="W23">
        <v>-5.6000000000000001E-2</v>
      </c>
      <c r="X23">
        <v>-0.24199999999999999</v>
      </c>
      <c r="Z23">
        <v>-1.9E-2</v>
      </c>
      <c r="AA23">
        <v>-0.152</v>
      </c>
      <c r="AB23">
        <v>-0.17799999999999999</v>
      </c>
      <c r="AC23">
        <v>-0.24199999999999999</v>
      </c>
      <c r="AD23">
        <v>-5.6000000000000001E-2</v>
      </c>
      <c r="AE23">
        <v>-0.191</v>
      </c>
      <c r="AF23">
        <v>-0.152</v>
      </c>
      <c r="AG23">
        <v>-0.112</v>
      </c>
      <c r="AH23">
        <v>-1.9E-2</v>
      </c>
      <c r="AI23">
        <v>-3.5000000000000003E-2</v>
      </c>
    </row>
    <row r="24" spans="1:35" ht="15" customHeight="1" x14ac:dyDescent="0.25">
      <c r="A24" t="s">
        <v>1278</v>
      </c>
      <c r="B24" t="s">
        <v>31</v>
      </c>
      <c r="C24" s="25">
        <v>43701.480937499997</v>
      </c>
      <c r="D24" s="741" t="s">
        <v>969</v>
      </c>
      <c r="E24" s="741">
        <f t="array" ref="E24">SUMPRODUCT(IF(AMP1_8[[#This Row],[Dim 1_1]:[T 8]]-$F$4:$AI$4&lt;0,1,0)+IF($F$5:$AI$5-AMP1_8[[#This Row],[Dim 1_1]:[T 8]]&lt;0,1,0),IF(ISNUMBER(AMP1_8[[#This Row],[Dim 1_1]:[T 8]])=TRUE,1,0))</f>
        <v>0</v>
      </c>
      <c r="H24">
        <v>155.768</v>
      </c>
      <c r="I24">
        <v>155.75200000000001</v>
      </c>
      <c r="J24">
        <v>168.744</v>
      </c>
      <c r="K24">
        <v>168.81700000000001</v>
      </c>
      <c r="L24">
        <v>155.91200000000001</v>
      </c>
      <c r="M24">
        <v>155.78299999999999</v>
      </c>
      <c r="N24">
        <v>27.242000000000001</v>
      </c>
      <c r="O24">
        <v>27.413</v>
      </c>
      <c r="R24">
        <v>17.338000000000001</v>
      </c>
      <c r="S24">
        <v>17.347999999999999</v>
      </c>
      <c r="T24">
        <v>37</v>
      </c>
      <c r="U24">
        <v>36.988</v>
      </c>
      <c r="W24">
        <v>-1.2999999999999999E-2</v>
      </c>
      <c r="X24">
        <v>-0.39</v>
      </c>
      <c r="Z24">
        <v>8.9999999999999993E-3</v>
      </c>
      <c r="AA24">
        <v>-8.8999999999999996E-2</v>
      </c>
      <c r="AB24">
        <v>-0.317</v>
      </c>
      <c r="AC24">
        <v>-0.39</v>
      </c>
      <c r="AD24">
        <v>-1.2999999999999999E-2</v>
      </c>
      <c r="AE24">
        <v>-0.28199999999999997</v>
      </c>
      <c r="AF24">
        <v>-8.1000000000000003E-2</v>
      </c>
      <c r="AG24">
        <v>-8.8999999999999996E-2</v>
      </c>
      <c r="AH24">
        <v>-5.0000000000000001E-3</v>
      </c>
      <c r="AI24">
        <v>8.9999999999999993E-3</v>
      </c>
    </row>
    <row r="25" spans="1:35" x14ac:dyDescent="0.25">
      <c r="A25" t="s">
        <v>1279</v>
      </c>
      <c r="B25" t="s">
        <v>32</v>
      </c>
      <c r="C25" s="25">
        <v>43701.612951388888</v>
      </c>
      <c r="D25" s="741" t="s">
        <v>969</v>
      </c>
      <c r="E25" s="741">
        <f t="array" ref="E25">SUMPRODUCT(IF(AMP1_8[[#This Row],[Dim 1_1]:[T 8]]-$F$4:$AI$4&lt;0,1,0)+IF($F$5:$AI$5-AMP1_8[[#This Row],[Dim 1_1]:[T 8]]&lt;0,1,0),IF(ISNUMBER(AMP1_8[[#This Row],[Dim 1_1]:[T 8]])=TRUE,1,0))</f>
        <v>0</v>
      </c>
      <c r="F25">
        <v>41.44</v>
      </c>
      <c r="G25">
        <v>41.441000000000003</v>
      </c>
      <c r="H25">
        <v>155.773</v>
      </c>
      <c r="I25">
        <v>155.721</v>
      </c>
      <c r="L25">
        <v>155.774</v>
      </c>
      <c r="M25">
        <v>155.625</v>
      </c>
      <c r="N25">
        <v>27.431999999999999</v>
      </c>
      <c r="O25">
        <v>27.648</v>
      </c>
      <c r="R25">
        <v>17.125</v>
      </c>
      <c r="S25">
        <v>17.169</v>
      </c>
      <c r="T25">
        <v>33.701000000000001</v>
      </c>
      <c r="U25">
        <v>34.024999999999999</v>
      </c>
      <c r="W25">
        <v>-3.5999999999999997E-2</v>
      </c>
      <c r="X25">
        <v>-0.20499999999999999</v>
      </c>
      <c r="Z25">
        <v>0.01</v>
      </c>
      <c r="AA25">
        <v>-7.5999999999999998E-2</v>
      </c>
      <c r="AB25">
        <v>-4.8000000000000001E-2</v>
      </c>
      <c r="AC25">
        <v>-8.4000000000000005E-2</v>
      </c>
      <c r="AD25">
        <v>-3.5999999999999997E-2</v>
      </c>
      <c r="AE25">
        <v>-0.20499999999999999</v>
      </c>
      <c r="AF25">
        <v>-2.9000000000000001E-2</v>
      </c>
      <c r="AG25">
        <v>0.01</v>
      </c>
      <c r="AH25">
        <v>-2.1999999999999999E-2</v>
      </c>
      <c r="AI25">
        <v>-7.5999999999999998E-2</v>
      </c>
    </row>
    <row r="26" spans="1:35" ht="15" customHeight="1" x14ac:dyDescent="0.25">
      <c r="A26" t="s">
        <v>1280</v>
      </c>
      <c r="B26" t="s">
        <v>31</v>
      </c>
      <c r="C26" s="25">
        <v>43701.614583333336</v>
      </c>
      <c r="D26" s="741" t="s">
        <v>969</v>
      </c>
      <c r="E26" s="741">
        <f t="array" ref="E26">SUMPRODUCT(IF(AMP1_8[[#This Row],[Dim 1_1]:[T 8]]-$F$4:$AI$4&lt;0,1,0)+IF($F$5:$AI$5-AMP1_8[[#This Row],[Dim 1_1]:[T 8]]&lt;0,1,0),IF(ISNUMBER(AMP1_8[[#This Row],[Dim 1_1]:[T 8]])=TRUE,1,0))</f>
        <v>0</v>
      </c>
      <c r="H26">
        <v>155.72200000000001</v>
      </c>
      <c r="I26">
        <v>155.71</v>
      </c>
      <c r="J26">
        <v>168.73500000000001</v>
      </c>
      <c r="K26">
        <v>168.68299999999999</v>
      </c>
      <c r="L26">
        <v>155.87100000000001</v>
      </c>
      <c r="M26">
        <v>155.654</v>
      </c>
      <c r="N26">
        <v>27.292000000000002</v>
      </c>
      <c r="O26">
        <v>27.492999999999999</v>
      </c>
      <c r="R26">
        <v>17.29</v>
      </c>
      <c r="S26">
        <v>17.161000000000001</v>
      </c>
      <c r="T26">
        <v>38.658000000000001</v>
      </c>
      <c r="U26">
        <v>40.177</v>
      </c>
      <c r="W26">
        <v>0.251</v>
      </c>
      <c r="X26">
        <v>-0.27</v>
      </c>
      <c r="Z26">
        <v>0.26100000000000001</v>
      </c>
      <c r="AA26">
        <v>0.02</v>
      </c>
      <c r="AB26">
        <v>-0.17599999999999999</v>
      </c>
      <c r="AC26">
        <v>-0.27</v>
      </c>
      <c r="AD26">
        <v>0.251</v>
      </c>
      <c r="AE26">
        <v>-0.04</v>
      </c>
      <c r="AF26">
        <v>3.5999999999999997E-2</v>
      </c>
      <c r="AG26">
        <v>0.02</v>
      </c>
      <c r="AH26">
        <v>0.26100000000000001</v>
      </c>
      <c r="AI26">
        <v>0.25700000000000001</v>
      </c>
    </row>
    <row r="27" spans="1:35" x14ac:dyDescent="0.25">
      <c r="A27" t="s">
        <v>1281</v>
      </c>
      <c r="B27" t="s">
        <v>32</v>
      </c>
      <c r="C27" s="25">
        <v>43702.376087962963</v>
      </c>
      <c r="D27" s="741" t="s">
        <v>969</v>
      </c>
      <c r="E27" s="741">
        <f t="array" ref="E27">SUMPRODUCT(IF(AMP1_8[[#This Row],[Dim 1_1]:[T 8]]-$F$4:$AI$4&lt;0,1,0)+IF($F$5:$AI$5-AMP1_8[[#This Row],[Dim 1_1]:[T 8]]&lt;0,1,0),IF(ISNUMBER(AMP1_8[[#This Row],[Dim 1_1]:[T 8]])=TRUE,1,0))</f>
        <v>0</v>
      </c>
      <c r="F27">
        <v>41.210999999999999</v>
      </c>
      <c r="G27">
        <v>41.076999999999998</v>
      </c>
      <c r="H27">
        <v>155.82400000000001</v>
      </c>
      <c r="I27">
        <v>155.774</v>
      </c>
      <c r="L27">
        <v>155.822</v>
      </c>
      <c r="M27">
        <v>155.70500000000001</v>
      </c>
      <c r="N27">
        <v>27.396000000000001</v>
      </c>
      <c r="O27">
        <v>27.611000000000001</v>
      </c>
      <c r="R27">
        <v>17.126000000000001</v>
      </c>
      <c r="S27">
        <v>16.97</v>
      </c>
      <c r="T27">
        <v>33.878</v>
      </c>
      <c r="U27">
        <v>33.838999999999999</v>
      </c>
      <c r="W27">
        <v>7.5999999999999998E-2</v>
      </c>
      <c r="X27">
        <v>-0.14699999999999999</v>
      </c>
      <c r="Z27">
        <v>0.14899999999999999</v>
      </c>
      <c r="AA27">
        <v>-9.4E-2</v>
      </c>
      <c r="AB27">
        <v>-0.14699999999999999</v>
      </c>
      <c r="AC27">
        <v>-0.14099999999999999</v>
      </c>
      <c r="AD27">
        <v>7.5999999999999998E-2</v>
      </c>
      <c r="AE27">
        <v>-1.0999999999999999E-2</v>
      </c>
      <c r="AF27">
        <v>-9.4E-2</v>
      </c>
      <c r="AG27">
        <v>-6.7000000000000004E-2</v>
      </c>
      <c r="AH27">
        <v>0.14899999999999999</v>
      </c>
      <c r="AI27">
        <v>0.14899999999999999</v>
      </c>
    </row>
    <row r="28" spans="1:35" ht="15" customHeight="1" x14ac:dyDescent="0.25">
      <c r="A28" t="s">
        <v>1282</v>
      </c>
      <c r="B28" t="s">
        <v>31</v>
      </c>
      <c r="C28" s="25">
        <v>43702.377754629626</v>
      </c>
      <c r="D28" s="741" t="s">
        <v>969</v>
      </c>
      <c r="E28" s="741">
        <f t="array" ref="E28">SUMPRODUCT(IF(AMP1_8[[#This Row],[Dim 1_1]:[T 8]]-$F$4:$AI$4&lt;0,1,0)+IF($F$5:$AI$5-AMP1_8[[#This Row],[Dim 1_1]:[T 8]]&lt;0,1,0),IF(ISNUMBER(AMP1_8[[#This Row],[Dim 1_1]:[T 8]])=TRUE,1,0))</f>
        <v>0</v>
      </c>
      <c r="H28">
        <v>155.71299999999999</v>
      </c>
      <c r="I28">
        <v>155.70500000000001</v>
      </c>
      <c r="J28">
        <v>168.524</v>
      </c>
      <c r="K28">
        <v>168.416</v>
      </c>
      <c r="L28">
        <v>155.88999999999999</v>
      </c>
      <c r="M28">
        <v>155.69200000000001</v>
      </c>
      <c r="N28">
        <v>27.238</v>
      </c>
      <c r="O28">
        <v>27.411999999999999</v>
      </c>
      <c r="R28">
        <v>17.308</v>
      </c>
      <c r="S28">
        <v>17.04</v>
      </c>
      <c r="T28">
        <v>35.659999999999997</v>
      </c>
      <c r="U28">
        <v>36.774000000000001</v>
      </c>
      <c r="W28">
        <v>0.27400000000000002</v>
      </c>
      <c r="X28">
        <v>-0.374</v>
      </c>
      <c r="Z28">
        <v>0.34100000000000003</v>
      </c>
      <c r="AA28">
        <v>-4.4999999999999998E-2</v>
      </c>
      <c r="AB28">
        <v>-0.28299999999999997</v>
      </c>
      <c r="AC28">
        <v>-0.374</v>
      </c>
      <c r="AD28">
        <v>0.27400000000000002</v>
      </c>
      <c r="AE28">
        <v>1E-3</v>
      </c>
      <c r="AF28">
        <v>-4.2000000000000003E-2</v>
      </c>
      <c r="AG28">
        <v>-4.4999999999999998E-2</v>
      </c>
      <c r="AH28">
        <v>0.314</v>
      </c>
      <c r="AI28">
        <v>0.34100000000000003</v>
      </c>
    </row>
    <row r="29" spans="1:35" x14ac:dyDescent="0.25">
      <c r="A29" t="s">
        <v>1283</v>
      </c>
      <c r="B29" t="s">
        <v>32</v>
      </c>
      <c r="C29" s="25">
        <v>43702.504062499997</v>
      </c>
      <c r="D29" s="741" t="s">
        <v>969</v>
      </c>
      <c r="E29" s="741">
        <f t="array" ref="E29">SUMPRODUCT(IF(AMP1_8[[#This Row],[Dim 1_1]:[T 8]]-$F$4:$AI$4&lt;0,1,0)+IF($F$5:$AI$5-AMP1_8[[#This Row],[Dim 1_1]:[T 8]]&lt;0,1,0),IF(ISNUMBER(AMP1_8[[#This Row],[Dim 1_1]:[T 8]])=TRUE,1,0))</f>
        <v>0</v>
      </c>
      <c r="F29">
        <v>41.390999999999998</v>
      </c>
      <c r="G29">
        <v>41.255000000000003</v>
      </c>
      <c r="H29">
        <v>155.816</v>
      </c>
      <c r="I29">
        <v>155.77699999999999</v>
      </c>
      <c r="L29">
        <v>155.83199999999999</v>
      </c>
      <c r="M29">
        <v>155.73099999999999</v>
      </c>
      <c r="N29">
        <v>27.414999999999999</v>
      </c>
      <c r="O29">
        <v>27.599</v>
      </c>
      <c r="R29">
        <v>17.123999999999999</v>
      </c>
      <c r="S29">
        <v>17.038</v>
      </c>
      <c r="T29">
        <v>33.677</v>
      </c>
      <c r="U29">
        <v>34.021999999999998</v>
      </c>
      <c r="W29">
        <v>2.7E-2</v>
      </c>
      <c r="X29">
        <v>-0.214</v>
      </c>
      <c r="Z29">
        <v>7.2999999999999995E-2</v>
      </c>
      <c r="AA29">
        <v>-0.128</v>
      </c>
      <c r="AB29">
        <v>-0.158</v>
      </c>
      <c r="AC29">
        <v>-0.214</v>
      </c>
      <c r="AD29">
        <v>2.7E-2</v>
      </c>
      <c r="AE29">
        <v>-2.1000000000000001E-2</v>
      </c>
      <c r="AF29">
        <v>-0.128</v>
      </c>
      <c r="AG29">
        <v>-9.0999999999999998E-2</v>
      </c>
      <c r="AH29">
        <v>6.2E-2</v>
      </c>
      <c r="AI29">
        <v>7.2999999999999995E-2</v>
      </c>
    </row>
    <row r="30" spans="1:35" ht="15" customHeight="1" x14ac:dyDescent="0.25">
      <c r="A30" t="s">
        <v>1284</v>
      </c>
      <c r="B30" t="s">
        <v>31</v>
      </c>
      <c r="C30" s="25">
        <v>43702.505694444444</v>
      </c>
      <c r="D30" s="741" t="s">
        <v>969</v>
      </c>
      <c r="E30" s="741">
        <f t="array" ref="E30">SUMPRODUCT(IF(AMP1_8[[#This Row],[Dim 1_1]:[T 8]]-$F$4:$AI$4&lt;0,1,0)+IF($F$5:$AI$5-AMP1_8[[#This Row],[Dim 1_1]:[T 8]]&lt;0,1,0),IF(ISNUMBER(AMP1_8[[#This Row],[Dim 1_1]:[T 8]])=TRUE,1,0))</f>
        <v>0</v>
      </c>
      <c r="H30">
        <v>155.75399999999999</v>
      </c>
      <c r="I30">
        <v>155.78</v>
      </c>
      <c r="J30">
        <v>168.71199999999999</v>
      </c>
      <c r="K30">
        <v>168.83199999999999</v>
      </c>
      <c r="L30">
        <v>155.94200000000001</v>
      </c>
      <c r="M30">
        <v>155.697</v>
      </c>
      <c r="N30">
        <v>27.241</v>
      </c>
      <c r="O30">
        <v>27.434999999999999</v>
      </c>
      <c r="R30">
        <v>17.341000000000001</v>
      </c>
      <c r="S30">
        <v>17.306000000000001</v>
      </c>
      <c r="T30">
        <v>38.484000000000002</v>
      </c>
      <c r="U30">
        <v>39.716999999999999</v>
      </c>
      <c r="W30">
        <v>7.0000000000000007E-2</v>
      </c>
      <c r="X30">
        <v>-0.371</v>
      </c>
      <c r="Z30">
        <v>5.3999999999999999E-2</v>
      </c>
      <c r="AA30">
        <v>-0.11799999999999999</v>
      </c>
      <c r="AB30">
        <v>-0.29299999999999998</v>
      </c>
      <c r="AC30">
        <v>-0.371</v>
      </c>
      <c r="AD30">
        <v>7.0000000000000007E-2</v>
      </c>
      <c r="AE30">
        <v>-0.23599999999999999</v>
      </c>
      <c r="AF30">
        <v>-8.3000000000000004E-2</v>
      </c>
      <c r="AG30">
        <v>-0.11799999999999999</v>
      </c>
      <c r="AH30">
        <v>0.05</v>
      </c>
      <c r="AI30">
        <v>5.3999999999999999E-2</v>
      </c>
    </row>
    <row r="31" spans="1:35" x14ac:dyDescent="0.25">
      <c r="A31" t="s">
        <v>1285</v>
      </c>
      <c r="B31" t="s">
        <v>32</v>
      </c>
      <c r="C31" s="25">
        <v>43702.625092592592</v>
      </c>
      <c r="D31" s="741" t="s">
        <v>969</v>
      </c>
      <c r="E31" s="741">
        <f t="array" ref="E31">SUMPRODUCT(IF(AMP1_8[[#This Row],[Dim 1_1]:[T 8]]-$F$4:$AI$4&lt;0,1,0)+IF($F$5:$AI$5-AMP1_8[[#This Row],[Dim 1_1]:[T 8]]&lt;0,1,0),IF(ISNUMBER(AMP1_8[[#This Row],[Dim 1_1]:[T 8]])=TRUE,1,0))</f>
        <v>0</v>
      </c>
      <c r="F31">
        <v>41.353000000000002</v>
      </c>
      <c r="G31">
        <v>41.689</v>
      </c>
      <c r="H31">
        <v>155.846</v>
      </c>
      <c r="I31">
        <v>155.83199999999999</v>
      </c>
      <c r="L31">
        <v>155.84200000000001</v>
      </c>
      <c r="M31">
        <v>155.75700000000001</v>
      </c>
      <c r="N31">
        <v>27.361999999999998</v>
      </c>
      <c r="O31">
        <v>27.556999999999999</v>
      </c>
      <c r="R31">
        <v>17.155000000000001</v>
      </c>
      <c r="S31">
        <v>17.077000000000002</v>
      </c>
      <c r="T31">
        <v>33.746000000000002</v>
      </c>
      <c r="U31">
        <v>33.893999999999998</v>
      </c>
      <c r="W31">
        <v>6.3E-2</v>
      </c>
      <c r="X31">
        <v>-0.151</v>
      </c>
      <c r="Z31">
        <v>3.4000000000000002E-2</v>
      </c>
      <c r="AA31">
        <v>-0.13100000000000001</v>
      </c>
      <c r="AB31">
        <v>-0.111</v>
      </c>
      <c r="AC31">
        <v>-0.151</v>
      </c>
      <c r="AD31">
        <v>6.3E-2</v>
      </c>
      <c r="AE31">
        <v>-1.2999999999999999E-2</v>
      </c>
      <c r="AF31">
        <v>-0.13100000000000001</v>
      </c>
      <c r="AG31">
        <v>-9.0999999999999998E-2</v>
      </c>
      <c r="AH31">
        <v>1.4999999999999999E-2</v>
      </c>
      <c r="AI31">
        <v>3.4000000000000002E-2</v>
      </c>
    </row>
    <row r="32" spans="1:35" ht="15" customHeight="1" x14ac:dyDescent="0.25">
      <c r="A32" t="s">
        <v>1286</v>
      </c>
      <c r="B32" t="s">
        <v>31</v>
      </c>
      <c r="C32" s="25">
        <v>43702.62667824074</v>
      </c>
      <c r="D32" s="741" t="s">
        <v>969</v>
      </c>
      <c r="E32" s="741">
        <f t="array" ref="E32">SUMPRODUCT(IF(AMP1_8[[#This Row],[Dim 1_1]:[T 8]]-$F$4:$AI$4&lt;0,1,0)+IF($F$5:$AI$5-AMP1_8[[#This Row],[Dim 1_1]:[T 8]]&lt;0,1,0),IF(ISNUMBER(AMP1_8[[#This Row],[Dim 1_1]:[T 8]])=TRUE,1,0))</f>
        <v>0</v>
      </c>
      <c r="H32">
        <v>155.74799999999999</v>
      </c>
      <c r="I32">
        <v>155.733</v>
      </c>
      <c r="J32">
        <v>168.71100000000001</v>
      </c>
      <c r="K32">
        <v>168.85</v>
      </c>
      <c r="L32">
        <v>155.90100000000001</v>
      </c>
      <c r="M32">
        <v>155.666</v>
      </c>
      <c r="N32">
        <v>27.242000000000001</v>
      </c>
      <c r="O32">
        <v>27.43</v>
      </c>
      <c r="R32">
        <v>17.334</v>
      </c>
      <c r="S32">
        <v>17.274999999999999</v>
      </c>
      <c r="T32">
        <v>37.359000000000002</v>
      </c>
      <c r="U32">
        <v>37.515999999999998</v>
      </c>
      <c r="W32">
        <v>0.01</v>
      </c>
      <c r="X32">
        <v>-0.33300000000000002</v>
      </c>
      <c r="Z32">
        <v>6.2E-2</v>
      </c>
      <c r="AA32">
        <v>-8.6999999999999994E-2</v>
      </c>
      <c r="AB32">
        <v>-0.29199999999999998</v>
      </c>
      <c r="AC32">
        <v>-0.33300000000000002</v>
      </c>
      <c r="AD32">
        <v>0.01</v>
      </c>
      <c r="AE32">
        <v>-0.23899999999999999</v>
      </c>
      <c r="AF32">
        <v>-8.6999999999999994E-2</v>
      </c>
      <c r="AG32">
        <v>-8.6999999999999994E-2</v>
      </c>
      <c r="AH32">
        <v>-8.9999999999999993E-3</v>
      </c>
      <c r="AI32">
        <v>6.2E-2</v>
      </c>
    </row>
    <row r="33" spans="1:35" x14ac:dyDescent="0.25">
      <c r="A33" t="s">
        <v>1476</v>
      </c>
      <c r="B33" t="s">
        <v>32</v>
      </c>
      <c r="C33" s="25">
        <v>43703.366689814815</v>
      </c>
      <c r="D33" s="741" t="s">
        <v>969</v>
      </c>
      <c r="E33" s="741">
        <f t="array" ref="E33">SUMPRODUCT(IF(AMP1_8[[#This Row],[Dim 1_1]:[T 8]]-$F$4:$AI$4&lt;0,1,0)+IF($F$5:$AI$5-AMP1_8[[#This Row],[Dim 1_1]:[T 8]]&lt;0,1,0),IF(ISNUMBER(AMP1_8[[#This Row],[Dim 1_1]:[T 8]])=TRUE,1,0))</f>
        <v>0</v>
      </c>
      <c r="F33">
        <v>41.277000000000001</v>
      </c>
      <c r="G33">
        <v>41.332999999999998</v>
      </c>
      <c r="H33">
        <v>155.88900000000001</v>
      </c>
      <c r="I33">
        <v>155.86000000000001</v>
      </c>
      <c r="L33">
        <v>155.893</v>
      </c>
      <c r="M33">
        <v>155.756</v>
      </c>
      <c r="N33">
        <v>27.324000000000002</v>
      </c>
      <c r="O33">
        <v>27.536000000000001</v>
      </c>
      <c r="R33">
        <v>17.138000000000002</v>
      </c>
      <c r="S33">
        <v>17.03</v>
      </c>
      <c r="T33">
        <v>33.572000000000003</v>
      </c>
      <c r="U33">
        <v>33.962000000000003</v>
      </c>
      <c r="W33">
        <v>5.8999999999999997E-2</v>
      </c>
      <c r="X33">
        <v>-0.19600000000000001</v>
      </c>
      <c r="Z33">
        <v>3.0000000000000001E-3</v>
      </c>
      <c r="AA33">
        <v>-0.17699999999999999</v>
      </c>
      <c r="AB33">
        <v>-0.161</v>
      </c>
      <c r="AC33">
        <v>-0.19600000000000001</v>
      </c>
      <c r="AD33">
        <v>5.8999999999999997E-2</v>
      </c>
      <c r="AE33">
        <v>-0.16800000000000001</v>
      </c>
      <c r="AF33">
        <v>-0.17699999999999999</v>
      </c>
      <c r="AG33">
        <v>-0.151</v>
      </c>
      <c r="AH33">
        <v>3.0000000000000001E-3</v>
      </c>
      <c r="AI33">
        <v>-1.2E-2</v>
      </c>
    </row>
    <row r="34" spans="1:35" ht="15" customHeight="1" x14ac:dyDescent="0.25">
      <c r="A34" t="s">
        <v>1477</v>
      </c>
      <c r="B34" t="s">
        <v>31</v>
      </c>
      <c r="C34" s="25">
        <v>43703.369386574072</v>
      </c>
      <c r="D34" s="741" t="s">
        <v>969</v>
      </c>
      <c r="E34" s="741">
        <f t="array" ref="E34">SUMPRODUCT(IF(AMP1_8[[#This Row],[Dim 1_1]:[T 8]]-$F$4:$AI$4&lt;0,1,0)+IF($F$5:$AI$5-AMP1_8[[#This Row],[Dim 1_1]:[T 8]]&lt;0,1,0),IF(ISNUMBER(AMP1_8[[#This Row],[Dim 1_1]:[T 8]])=TRUE,1,0))</f>
        <v>0</v>
      </c>
      <c r="H34">
        <v>155.75700000000001</v>
      </c>
      <c r="I34">
        <v>155.75800000000001</v>
      </c>
      <c r="J34">
        <v>168.65199999999999</v>
      </c>
      <c r="K34">
        <v>168.54300000000001</v>
      </c>
      <c r="L34">
        <v>155.94999999999999</v>
      </c>
      <c r="M34">
        <v>155.703</v>
      </c>
      <c r="N34">
        <v>27.222000000000001</v>
      </c>
      <c r="O34">
        <v>27.396000000000001</v>
      </c>
      <c r="R34">
        <v>17.315999999999999</v>
      </c>
      <c r="S34">
        <v>17.256</v>
      </c>
      <c r="T34">
        <v>38.765999999999998</v>
      </c>
      <c r="U34">
        <v>39.512999999999998</v>
      </c>
      <c r="W34">
        <v>7.6999999999999999E-2</v>
      </c>
      <c r="X34">
        <v>-0.38600000000000001</v>
      </c>
      <c r="Z34">
        <v>0.12</v>
      </c>
      <c r="AA34">
        <v>-8.4000000000000005E-2</v>
      </c>
      <c r="AB34">
        <v>-0.317</v>
      </c>
      <c r="AC34">
        <v>-0.38600000000000001</v>
      </c>
      <c r="AD34">
        <v>7.6999999999999999E-2</v>
      </c>
      <c r="AE34">
        <v>-0.188</v>
      </c>
      <c r="AF34">
        <v>-6.8000000000000005E-2</v>
      </c>
      <c r="AG34">
        <v>-8.4000000000000005E-2</v>
      </c>
      <c r="AH34">
        <v>0.11799999999999999</v>
      </c>
      <c r="AI34">
        <v>0.12</v>
      </c>
    </row>
    <row r="35" spans="1:35" x14ac:dyDescent="0.25">
      <c r="A35" t="s">
        <v>1478</v>
      </c>
      <c r="B35" t="s">
        <v>32</v>
      </c>
      <c r="C35" s="25">
        <v>43703.507118055553</v>
      </c>
      <c r="D35" s="741" t="s">
        <v>969</v>
      </c>
      <c r="E35" s="741">
        <f t="array" ref="E35">SUMPRODUCT(IF(AMP1_8[[#This Row],[Dim 1_1]:[T 8]]-$F$4:$AI$4&lt;0,1,0)+IF($F$5:$AI$5-AMP1_8[[#This Row],[Dim 1_1]:[T 8]]&lt;0,1,0),IF(ISNUMBER(AMP1_8[[#This Row],[Dim 1_1]:[T 8]])=TRUE,1,0))</f>
        <v>0</v>
      </c>
      <c r="F35">
        <v>41.180999999999997</v>
      </c>
      <c r="G35">
        <v>41.173000000000002</v>
      </c>
      <c r="H35">
        <v>155.86500000000001</v>
      </c>
      <c r="I35">
        <v>155.809</v>
      </c>
      <c r="L35">
        <v>155.86000000000001</v>
      </c>
      <c r="M35">
        <v>155.73400000000001</v>
      </c>
      <c r="N35">
        <v>27.311</v>
      </c>
      <c r="O35">
        <v>27.530999999999999</v>
      </c>
      <c r="R35">
        <v>17.157</v>
      </c>
      <c r="S35">
        <v>17.047000000000001</v>
      </c>
      <c r="T35">
        <v>33.584000000000003</v>
      </c>
      <c r="U35">
        <v>33.930999999999997</v>
      </c>
      <c r="W35">
        <v>-2.4E-2</v>
      </c>
      <c r="X35">
        <v>-0.32900000000000001</v>
      </c>
      <c r="Z35">
        <v>0</v>
      </c>
      <c r="AA35">
        <v>-0.26200000000000001</v>
      </c>
      <c r="AB35">
        <v>-0.26</v>
      </c>
      <c r="AC35">
        <v>-0.32900000000000001</v>
      </c>
      <c r="AD35">
        <v>-2.4E-2</v>
      </c>
      <c r="AE35">
        <v>-0.108</v>
      </c>
      <c r="AF35">
        <v>-0.26200000000000001</v>
      </c>
      <c r="AG35">
        <v>-0.216</v>
      </c>
      <c r="AH35">
        <v>0</v>
      </c>
      <c r="AI35">
        <v>-5.7000000000000002E-2</v>
      </c>
    </row>
    <row r="36" spans="1:35" ht="15" customHeight="1" x14ac:dyDescent="0.25">
      <c r="A36" t="s">
        <v>1479</v>
      </c>
      <c r="B36" t="s">
        <v>31</v>
      </c>
      <c r="C36" s="25">
        <v>43703.508877314816</v>
      </c>
      <c r="D36" s="741" t="s">
        <v>969</v>
      </c>
      <c r="E36" s="741">
        <f t="array" ref="E36">SUMPRODUCT(IF(AMP1_8[[#This Row],[Dim 1_1]:[T 8]]-$F$4:$AI$4&lt;0,1,0)+IF($F$5:$AI$5-AMP1_8[[#This Row],[Dim 1_1]:[T 8]]&lt;0,1,0),IF(ISNUMBER(AMP1_8[[#This Row],[Dim 1_1]:[T 8]])=TRUE,1,0))</f>
        <v>0</v>
      </c>
      <c r="H36">
        <v>155.76900000000001</v>
      </c>
      <c r="I36">
        <v>155.74700000000001</v>
      </c>
      <c r="J36">
        <v>168.56399999999999</v>
      </c>
      <c r="K36">
        <v>168.52600000000001</v>
      </c>
      <c r="L36">
        <v>156.01300000000001</v>
      </c>
      <c r="M36">
        <v>155.75</v>
      </c>
      <c r="N36">
        <v>27.227</v>
      </c>
      <c r="O36">
        <v>27.431999999999999</v>
      </c>
      <c r="R36">
        <v>17.32</v>
      </c>
      <c r="S36">
        <v>17.192</v>
      </c>
      <c r="T36">
        <v>36.484000000000002</v>
      </c>
      <c r="U36">
        <v>36.776000000000003</v>
      </c>
      <c r="W36">
        <v>0.13800000000000001</v>
      </c>
      <c r="X36">
        <v>-0.35099999999999998</v>
      </c>
      <c r="Z36">
        <v>0.13700000000000001</v>
      </c>
      <c r="AA36">
        <v>-8.6999999999999994E-2</v>
      </c>
      <c r="AB36">
        <v>-0.27900000000000003</v>
      </c>
      <c r="AC36">
        <v>-0.35099999999999998</v>
      </c>
      <c r="AD36">
        <v>0.13800000000000001</v>
      </c>
      <c r="AE36">
        <v>-0.11799999999999999</v>
      </c>
      <c r="AF36">
        <v>-6.2E-2</v>
      </c>
      <c r="AG36">
        <v>-8.6999999999999994E-2</v>
      </c>
      <c r="AH36">
        <v>0.11799999999999999</v>
      </c>
      <c r="AI36">
        <v>0.13700000000000001</v>
      </c>
    </row>
    <row r="37" spans="1:35" x14ac:dyDescent="0.25">
      <c r="A37" t="s">
        <v>1480</v>
      </c>
      <c r="B37" t="s">
        <v>32</v>
      </c>
      <c r="C37" s="25">
        <v>43703.605868055558</v>
      </c>
      <c r="D37" s="741" t="s">
        <v>969</v>
      </c>
      <c r="E37" s="741">
        <f t="array" ref="E37">SUMPRODUCT(IF(AMP1_8[[#This Row],[Dim 1_1]:[T 8]]-$F$4:$AI$4&lt;0,1,0)+IF($F$5:$AI$5-AMP1_8[[#This Row],[Dim 1_1]:[T 8]]&lt;0,1,0),IF(ISNUMBER(AMP1_8[[#This Row],[Dim 1_1]:[T 8]])=TRUE,1,0))</f>
        <v>0</v>
      </c>
      <c r="F37">
        <v>41.091999999999999</v>
      </c>
      <c r="G37">
        <v>41.048999999999999</v>
      </c>
      <c r="H37">
        <v>155.886</v>
      </c>
      <c r="I37">
        <v>155.84800000000001</v>
      </c>
      <c r="L37">
        <v>155.91999999999999</v>
      </c>
      <c r="M37">
        <v>155.779</v>
      </c>
      <c r="N37">
        <v>27.312000000000001</v>
      </c>
      <c r="O37">
        <v>27.533999999999999</v>
      </c>
      <c r="R37">
        <v>17.096</v>
      </c>
      <c r="S37">
        <v>16.992000000000001</v>
      </c>
      <c r="T37">
        <v>33.630000000000003</v>
      </c>
      <c r="U37">
        <v>34.011000000000003</v>
      </c>
      <c r="W37">
        <v>-8.0000000000000002E-3</v>
      </c>
      <c r="X37">
        <v>-0.26900000000000002</v>
      </c>
      <c r="Z37">
        <v>1E-3</v>
      </c>
      <c r="AA37">
        <v>-0.223</v>
      </c>
      <c r="AB37">
        <v>-0.20699999999999999</v>
      </c>
      <c r="AC37">
        <v>-0.26900000000000002</v>
      </c>
      <c r="AD37">
        <v>-8.0000000000000002E-3</v>
      </c>
      <c r="AE37">
        <v>-0.114</v>
      </c>
      <c r="AF37">
        <v>-0.223</v>
      </c>
      <c r="AG37">
        <v>-0.223</v>
      </c>
      <c r="AH37">
        <v>1E-3</v>
      </c>
      <c r="AI37">
        <v>-5.6000000000000001E-2</v>
      </c>
    </row>
    <row r="38" spans="1:35" ht="15" customHeight="1" x14ac:dyDescent="0.25">
      <c r="A38" t="s">
        <v>1481</v>
      </c>
      <c r="B38" t="s">
        <v>31</v>
      </c>
      <c r="C38" s="25">
        <v>43703.607511574075</v>
      </c>
      <c r="D38" s="741" t="s">
        <v>969</v>
      </c>
      <c r="E38" s="741">
        <f t="array" ref="E38">SUMPRODUCT(IF(AMP1_8[[#This Row],[Dim 1_1]:[T 8]]-$F$4:$AI$4&lt;0,1,0)+IF($F$5:$AI$5-AMP1_8[[#This Row],[Dim 1_1]:[T 8]]&lt;0,1,0),IF(ISNUMBER(AMP1_8[[#This Row],[Dim 1_1]:[T 8]])=TRUE,1,0))</f>
        <v>0</v>
      </c>
      <c r="H38">
        <v>155.79900000000001</v>
      </c>
      <c r="I38">
        <v>155.779</v>
      </c>
      <c r="J38">
        <v>168.50800000000001</v>
      </c>
      <c r="K38">
        <v>168.53200000000001</v>
      </c>
      <c r="L38">
        <v>156.01</v>
      </c>
      <c r="M38">
        <v>155.77799999999999</v>
      </c>
      <c r="N38">
        <v>27.19</v>
      </c>
      <c r="O38">
        <v>27.419</v>
      </c>
      <c r="R38">
        <v>17.323</v>
      </c>
      <c r="S38">
        <v>17.286000000000001</v>
      </c>
      <c r="T38">
        <v>36.969000000000001</v>
      </c>
      <c r="U38">
        <v>37.148000000000003</v>
      </c>
      <c r="W38">
        <v>-0.01</v>
      </c>
      <c r="X38">
        <v>-0.443</v>
      </c>
      <c r="Z38">
        <v>2.1000000000000001E-2</v>
      </c>
      <c r="AA38">
        <v>-0.154</v>
      </c>
      <c r="AB38">
        <v>-0.38400000000000001</v>
      </c>
      <c r="AC38">
        <v>-0.443</v>
      </c>
      <c r="AD38">
        <v>-0.01</v>
      </c>
      <c r="AE38">
        <v>-0.21</v>
      </c>
      <c r="AF38">
        <v>-0.154</v>
      </c>
      <c r="AG38">
        <v>-0.154</v>
      </c>
      <c r="AH38">
        <v>-1.2E-2</v>
      </c>
      <c r="AI38">
        <v>2.1000000000000001E-2</v>
      </c>
    </row>
    <row r="39" spans="1:35" x14ac:dyDescent="0.25">
      <c r="A39" t="s">
        <v>1482</v>
      </c>
      <c r="B39" t="s">
        <v>32</v>
      </c>
      <c r="C39" s="25">
        <v>43703.71980324074</v>
      </c>
      <c r="D39" s="741" t="s">
        <v>969</v>
      </c>
      <c r="E39" s="741">
        <f t="array" ref="E39">SUMPRODUCT(IF(AMP1_8[[#This Row],[Dim 1_1]:[T 8]]-$F$4:$AI$4&lt;0,1,0)+IF($F$5:$AI$5-AMP1_8[[#This Row],[Dim 1_1]:[T 8]]&lt;0,1,0),IF(ISNUMBER(AMP1_8[[#This Row],[Dim 1_1]:[T 8]])=TRUE,1,0))</f>
        <v>0</v>
      </c>
      <c r="F39">
        <v>41.32</v>
      </c>
      <c r="G39">
        <v>41.506999999999998</v>
      </c>
      <c r="H39">
        <v>155.874</v>
      </c>
      <c r="I39">
        <v>155.85499999999999</v>
      </c>
      <c r="L39">
        <v>155.84800000000001</v>
      </c>
      <c r="M39">
        <v>155.74700000000001</v>
      </c>
      <c r="N39">
        <v>27.363</v>
      </c>
      <c r="O39">
        <v>27.545000000000002</v>
      </c>
      <c r="R39">
        <v>17.12</v>
      </c>
      <c r="S39">
        <v>17.004000000000001</v>
      </c>
      <c r="T39">
        <v>33.518000000000001</v>
      </c>
      <c r="U39">
        <v>33.776000000000003</v>
      </c>
      <c r="W39">
        <v>-7.9000000000000001E-2</v>
      </c>
      <c r="X39">
        <v>-0.28899999999999998</v>
      </c>
      <c r="Z39">
        <v>-5.1999999999999998E-2</v>
      </c>
      <c r="AA39">
        <v>-0.28299999999999997</v>
      </c>
      <c r="AB39">
        <v>-0.26900000000000002</v>
      </c>
      <c r="AC39">
        <v>-0.28899999999999998</v>
      </c>
      <c r="AD39">
        <v>-7.9000000000000001E-2</v>
      </c>
      <c r="AE39">
        <v>-0.13900000000000001</v>
      </c>
      <c r="AF39">
        <v>-0.28299999999999997</v>
      </c>
      <c r="AG39">
        <v>-0.23799999999999999</v>
      </c>
      <c r="AH39">
        <v>-5.1999999999999998E-2</v>
      </c>
      <c r="AI39">
        <v>-7.2999999999999995E-2</v>
      </c>
    </row>
    <row r="40" spans="1:35" ht="15" customHeight="1" x14ac:dyDescent="0.25">
      <c r="A40" t="s">
        <v>1483</v>
      </c>
      <c r="B40" t="s">
        <v>31</v>
      </c>
      <c r="C40" s="25">
        <v>43703.721597222226</v>
      </c>
      <c r="D40" s="741" t="s">
        <v>969</v>
      </c>
      <c r="E40" s="741">
        <f t="array" ref="E40">SUMPRODUCT(IF(AMP1_8[[#This Row],[Dim 1_1]:[T 8]]-$F$4:$AI$4&lt;0,1,0)+IF($F$5:$AI$5-AMP1_8[[#This Row],[Dim 1_1]:[T 8]]&lt;0,1,0),IF(ISNUMBER(AMP1_8[[#This Row],[Dim 1_1]:[T 8]])=TRUE,1,0))</f>
        <v>0</v>
      </c>
      <c r="H40">
        <v>155.80600000000001</v>
      </c>
      <c r="I40">
        <v>155.81299999999999</v>
      </c>
      <c r="J40">
        <v>168.745</v>
      </c>
      <c r="K40">
        <v>168.64</v>
      </c>
      <c r="L40">
        <v>156.00800000000001</v>
      </c>
      <c r="M40">
        <v>155.761</v>
      </c>
      <c r="N40">
        <v>27.158999999999999</v>
      </c>
      <c r="O40">
        <v>27.373000000000001</v>
      </c>
      <c r="R40">
        <v>17.297000000000001</v>
      </c>
      <c r="S40">
        <v>17.335000000000001</v>
      </c>
      <c r="T40">
        <v>37.409999999999997</v>
      </c>
      <c r="U40">
        <v>36.918999999999997</v>
      </c>
      <c r="W40">
        <v>-6.7000000000000004E-2</v>
      </c>
      <c r="X40">
        <v>-0.41099999999999998</v>
      </c>
      <c r="Z40">
        <v>-3.3000000000000002E-2</v>
      </c>
      <c r="AA40">
        <v>-7.9000000000000001E-2</v>
      </c>
      <c r="AB40">
        <v>-0.33700000000000002</v>
      </c>
      <c r="AC40">
        <v>-0.41099999999999998</v>
      </c>
      <c r="AD40">
        <v>-6.7000000000000004E-2</v>
      </c>
      <c r="AE40">
        <v>-0.318</v>
      </c>
      <c r="AF40">
        <v>-7.9000000000000001E-2</v>
      </c>
      <c r="AG40">
        <v>-6.6000000000000003E-2</v>
      </c>
      <c r="AH40">
        <v>-7.3999999999999996E-2</v>
      </c>
      <c r="AI40">
        <v>-3.3000000000000002E-2</v>
      </c>
    </row>
    <row r="41" spans="1:35" x14ac:dyDescent="0.25">
      <c r="A41" t="s">
        <v>1484</v>
      </c>
      <c r="B41" t="s">
        <v>32</v>
      </c>
      <c r="C41" s="25">
        <v>43703.837534722225</v>
      </c>
      <c r="D41" s="741" t="s">
        <v>969</v>
      </c>
      <c r="E41" s="741">
        <f t="array" ref="E41">SUMPRODUCT(IF(AMP1_8[[#This Row],[Dim 1_1]:[T 8]]-$F$4:$AI$4&lt;0,1,0)+IF($F$5:$AI$5-AMP1_8[[#This Row],[Dim 1_1]:[T 8]]&lt;0,1,0),IF(ISNUMBER(AMP1_8[[#This Row],[Dim 1_1]:[T 8]])=TRUE,1,0))</f>
        <v>0</v>
      </c>
      <c r="F41">
        <v>41.225999999999999</v>
      </c>
      <c r="G41">
        <v>41.24</v>
      </c>
      <c r="H41">
        <v>155.88900000000001</v>
      </c>
      <c r="I41">
        <v>155.886</v>
      </c>
      <c r="L41">
        <v>155.93100000000001</v>
      </c>
      <c r="M41">
        <v>155.78100000000001</v>
      </c>
      <c r="N41">
        <v>27.306000000000001</v>
      </c>
      <c r="O41">
        <v>27.510999999999999</v>
      </c>
      <c r="R41">
        <v>17.114999999999998</v>
      </c>
      <c r="S41">
        <v>17</v>
      </c>
      <c r="T41">
        <v>33.701999999999998</v>
      </c>
      <c r="U41">
        <v>33.984000000000002</v>
      </c>
      <c r="W41">
        <v>-5.6000000000000001E-2</v>
      </c>
      <c r="X41">
        <v>-0.28899999999999998</v>
      </c>
      <c r="Z41">
        <v>-0.01</v>
      </c>
      <c r="AA41">
        <v>-0.254</v>
      </c>
      <c r="AB41">
        <v>-0.26400000000000001</v>
      </c>
      <c r="AC41">
        <v>-0.28899999999999998</v>
      </c>
      <c r="AD41">
        <v>-5.6000000000000001E-2</v>
      </c>
      <c r="AE41">
        <v>-0.25800000000000001</v>
      </c>
      <c r="AF41">
        <v>-0.254</v>
      </c>
      <c r="AG41">
        <v>-0.24399999999999999</v>
      </c>
      <c r="AH41">
        <v>-0.01</v>
      </c>
      <c r="AI41">
        <v>-0.10100000000000001</v>
      </c>
    </row>
    <row r="42" spans="1:35" ht="15" customHeight="1" x14ac:dyDescent="0.25">
      <c r="A42" t="s">
        <v>1485</v>
      </c>
      <c r="B42" t="s">
        <v>31</v>
      </c>
      <c r="C42" s="25">
        <v>43703.840150462966</v>
      </c>
      <c r="D42" s="741" t="s">
        <v>969</v>
      </c>
      <c r="E42" s="741">
        <f t="array" ref="E42">SUMPRODUCT(IF(AMP1_8[[#This Row],[Dim 1_1]:[T 8]]-$F$4:$AI$4&lt;0,1,0)+IF($F$5:$AI$5-AMP1_8[[#This Row],[Dim 1_1]:[T 8]]&lt;0,1,0),IF(ISNUMBER(AMP1_8[[#This Row],[Dim 1_1]:[T 8]])=TRUE,1,0))</f>
        <v>0</v>
      </c>
      <c r="H42">
        <v>155.899</v>
      </c>
      <c r="I42">
        <v>155.833</v>
      </c>
      <c r="J42">
        <v>168.69200000000001</v>
      </c>
      <c r="K42">
        <v>168.61199999999999</v>
      </c>
      <c r="L42">
        <v>156.101</v>
      </c>
      <c r="M42">
        <v>155.78800000000001</v>
      </c>
      <c r="N42">
        <v>27.122</v>
      </c>
      <c r="O42">
        <v>27.376000000000001</v>
      </c>
      <c r="R42">
        <v>17.335000000000001</v>
      </c>
      <c r="S42">
        <v>17.219000000000001</v>
      </c>
      <c r="T42">
        <v>36.856000000000002</v>
      </c>
      <c r="U42">
        <v>37.515000000000001</v>
      </c>
      <c r="W42">
        <v>1.4E-2</v>
      </c>
      <c r="X42">
        <v>-0.47299999999999998</v>
      </c>
      <c r="Z42">
        <v>-2E-3</v>
      </c>
      <c r="AA42">
        <v>-0.23699999999999999</v>
      </c>
      <c r="AB42">
        <v>-0.41799999999999998</v>
      </c>
      <c r="AC42">
        <v>-0.47299999999999998</v>
      </c>
      <c r="AD42">
        <v>1.4E-2</v>
      </c>
      <c r="AE42">
        <v>-0.248</v>
      </c>
      <c r="AF42">
        <v>-0.218</v>
      </c>
      <c r="AG42">
        <v>-0.23699999999999999</v>
      </c>
      <c r="AH42">
        <v>-7.0000000000000001E-3</v>
      </c>
      <c r="AI42">
        <v>-2E-3</v>
      </c>
    </row>
    <row r="43" spans="1:35" x14ac:dyDescent="0.25">
      <c r="A43" t="s">
        <v>1486</v>
      </c>
      <c r="B43" t="s">
        <v>32</v>
      </c>
      <c r="C43" s="25">
        <v>43703.977847222224</v>
      </c>
      <c r="D43" s="741" t="s">
        <v>969</v>
      </c>
      <c r="E43" s="741">
        <f t="array" ref="E43">SUMPRODUCT(IF(AMP1_8[[#This Row],[Dim 1_1]:[T 8]]-$F$4:$AI$4&lt;0,1,0)+IF($F$5:$AI$5-AMP1_8[[#This Row],[Dim 1_1]:[T 8]]&lt;0,1,0),IF(ISNUMBER(AMP1_8[[#This Row],[Dim 1_1]:[T 8]])=TRUE,1,0))</f>
        <v>0</v>
      </c>
      <c r="F43">
        <v>41.264000000000003</v>
      </c>
      <c r="G43">
        <v>41.146000000000001</v>
      </c>
      <c r="H43">
        <v>155.89599999999999</v>
      </c>
      <c r="I43">
        <v>155.886</v>
      </c>
      <c r="L43">
        <v>155.89400000000001</v>
      </c>
      <c r="M43">
        <v>155.79599999999999</v>
      </c>
      <c r="N43">
        <v>27.324000000000002</v>
      </c>
      <c r="O43">
        <v>27.5</v>
      </c>
      <c r="R43">
        <v>17.099</v>
      </c>
      <c r="S43">
        <v>17.021999999999998</v>
      </c>
      <c r="T43">
        <v>33.521999999999998</v>
      </c>
      <c r="U43">
        <v>33.883000000000003</v>
      </c>
      <c r="W43">
        <v>2.5000000000000001E-2</v>
      </c>
      <c r="X43">
        <v>-0.22</v>
      </c>
      <c r="Z43">
        <v>0</v>
      </c>
      <c r="AA43">
        <v>-0.19</v>
      </c>
      <c r="AB43">
        <v>-0.187</v>
      </c>
      <c r="AC43">
        <v>-0.22</v>
      </c>
      <c r="AD43">
        <v>2.5000000000000001E-2</v>
      </c>
      <c r="AE43">
        <v>-0.13</v>
      </c>
      <c r="AF43">
        <v>-0.19</v>
      </c>
      <c r="AG43">
        <v>-0.17</v>
      </c>
      <c r="AH43">
        <v>0</v>
      </c>
      <c r="AI43">
        <v>-3.0000000000000001E-3</v>
      </c>
    </row>
    <row r="44" spans="1:35" ht="15" customHeight="1" x14ac:dyDescent="0.25">
      <c r="A44" t="s">
        <v>1487</v>
      </c>
      <c r="B44" t="s">
        <v>31</v>
      </c>
      <c r="C44" s="25">
        <v>43703.979375000003</v>
      </c>
      <c r="D44" s="741" t="s">
        <v>969</v>
      </c>
      <c r="E44" s="741">
        <f t="array" ref="E44">SUMPRODUCT(IF(AMP1_8[[#This Row],[Dim 1_1]:[T 8]]-$F$4:$AI$4&lt;0,1,0)+IF($F$5:$AI$5-AMP1_8[[#This Row],[Dim 1_1]:[T 8]]&lt;0,1,0),IF(ISNUMBER(AMP1_8[[#This Row],[Dim 1_1]:[T 8]])=TRUE,1,0))</f>
        <v>0</v>
      </c>
      <c r="H44">
        <v>155.82</v>
      </c>
      <c r="I44">
        <v>155.78899999999999</v>
      </c>
      <c r="J44">
        <v>168.73500000000001</v>
      </c>
      <c r="K44">
        <v>168.65799999999999</v>
      </c>
      <c r="L44">
        <v>156.00200000000001</v>
      </c>
      <c r="M44">
        <v>155.739</v>
      </c>
      <c r="N44">
        <v>27.175999999999998</v>
      </c>
      <c r="O44">
        <v>27.436</v>
      </c>
      <c r="R44">
        <v>17.318999999999999</v>
      </c>
      <c r="S44">
        <v>17.245000000000001</v>
      </c>
      <c r="T44">
        <v>36.975999999999999</v>
      </c>
      <c r="U44">
        <v>38.014000000000003</v>
      </c>
      <c r="W44">
        <v>5.8999999999999997E-2</v>
      </c>
      <c r="X44">
        <v>-0.443</v>
      </c>
      <c r="Z44">
        <v>7.9000000000000001E-2</v>
      </c>
      <c r="AA44">
        <v>-0.106</v>
      </c>
      <c r="AB44">
        <v>-0.36</v>
      </c>
      <c r="AC44">
        <v>-0.443</v>
      </c>
      <c r="AD44">
        <v>5.8999999999999997E-2</v>
      </c>
      <c r="AE44">
        <v>-0.23</v>
      </c>
      <c r="AF44">
        <v>-0.10100000000000001</v>
      </c>
      <c r="AG44">
        <v>-0.106</v>
      </c>
      <c r="AH44">
        <v>7.9000000000000001E-2</v>
      </c>
      <c r="AI44">
        <v>6.0999999999999999E-2</v>
      </c>
    </row>
    <row r="45" spans="1:35" x14ac:dyDescent="0.25">
      <c r="A45" t="s">
        <v>1488</v>
      </c>
      <c r="B45" t="s">
        <v>32</v>
      </c>
      <c r="C45" s="25">
        <v>43704.361655092594</v>
      </c>
      <c r="D45" s="741" t="s">
        <v>969</v>
      </c>
      <c r="E45" s="741">
        <f t="array" ref="E45">SUMPRODUCT(IF(AMP1_8[[#This Row],[Dim 1_1]:[T 8]]-$F$4:$AI$4&lt;0,1,0)+IF($F$5:$AI$5-AMP1_8[[#This Row],[Dim 1_1]:[T 8]]&lt;0,1,0),IF(ISNUMBER(AMP1_8[[#This Row],[Dim 1_1]:[T 8]])=TRUE,1,0))</f>
        <v>0</v>
      </c>
      <c r="F45">
        <v>41.08</v>
      </c>
      <c r="G45">
        <v>41.161999999999999</v>
      </c>
      <c r="H45">
        <v>155.89500000000001</v>
      </c>
      <c r="I45">
        <v>155.946</v>
      </c>
      <c r="L45">
        <v>155.94800000000001</v>
      </c>
      <c r="M45">
        <v>155.90799999999999</v>
      </c>
      <c r="N45">
        <v>27.239000000000001</v>
      </c>
      <c r="O45">
        <v>27.414000000000001</v>
      </c>
      <c r="R45">
        <v>17.102</v>
      </c>
      <c r="S45">
        <v>17.045000000000002</v>
      </c>
      <c r="T45">
        <v>33.679000000000002</v>
      </c>
      <c r="U45">
        <v>33.896999999999998</v>
      </c>
      <c r="W45">
        <v>-0.13800000000000001</v>
      </c>
      <c r="X45">
        <v>-0.26600000000000001</v>
      </c>
      <c r="Z45">
        <v>1.6E-2</v>
      </c>
      <c r="AA45">
        <v>-0.13600000000000001</v>
      </c>
      <c r="AB45">
        <v>-0.22900000000000001</v>
      </c>
      <c r="AC45">
        <v>-0.26500000000000001</v>
      </c>
      <c r="AD45">
        <v>-0.13800000000000001</v>
      </c>
      <c r="AE45">
        <v>-0.26600000000000001</v>
      </c>
      <c r="AF45">
        <v>-0.13600000000000001</v>
      </c>
      <c r="AG45">
        <v>-0.10100000000000001</v>
      </c>
      <c r="AH45">
        <v>-4.0000000000000001E-3</v>
      </c>
      <c r="AI45">
        <v>1.6E-2</v>
      </c>
    </row>
    <row r="46" spans="1:35" ht="15" customHeight="1" x14ac:dyDescent="0.25">
      <c r="A46" t="s">
        <v>1489</v>
      </c>
      <c r="B46" t="s">
        <v>31</v>
      </c>
      <c r="C46" s="25">
        <v>43704.363726851851</v>
      </c>
      <c r="D46" s="741" t="s">
        <v>969</v>
      </c>
      <c r="E46" s="741">
        <f t="array" ref="E46">SUMPRODUCT(IF(AMP1_8[[#This Row],[Dim 1_1]:[T 8]]-$F$4:$AI$4&lt;0,1,0)+IF($F$5:$AI$5-AMP1_8[[#This Row],[Dim 1_1]:[T 8]]&lt;0,1,0),IF(ISNUMBER(AMP1_8[[#This Row],[Dim 1_1]:[T 8]])=TRUE,1,0))</f>
        <v>0</v>
      </c>
      <c r="H46">
        <v>155.76499999999999</v>
      </c>
      <c r="I46">
        <v>155.75899999999999</v>
      </c>
      <c r="J46">
        <v>168.55799999999999</v>
      </c>
      <c r="K46">
        <v>168.44800000000001</v>
      </c>
      <c r="L46">
        <v>155.99700000000001</v>
      </c>
      <c r="M46">
        <v>155.672</v>
      </c>
      <c r="N46">
        <v>27.207999999999998</v>
      </c>
      <c r="O46">
        <v>27.452999999999999</v>
      </c>
      <c r="R46">
        <v>17.344000000000001</v>
      </c>
      <c r="S46">
        <v>17.349</v>
      </c>
      <c r="T46">
        <v>38.311</v>
      </c>
      <c r="U46">
        <v>39.476999999999997</v>
      </c>
      <c r="W46">
        <v>-7.0000000000000001E-3</v>
      </c>
      <c r="X46">
        <v>-0.38900000000000001</v>
      </c>
      <c r="Z46">
        <v>0.04</v>
      </c>
      <c r="AA46">
        <v>-9.5000000000000001E-2</v>
      </c>
      <c r="AB46">
        <v>-0.315</v>
      </c>
      <c r="AC46">
        <v>-0.38900000000000001</v>
      </c>
      <c r="AD46">
        <v>-7.0000000000000001E-3</v>
      </c>
      <c r="AE46">
        <v>-0.249</v>
      </c>
      <c r="AF46">
        <v>-9.1999999999999998E-2</v>
      </c>
      <c r="AG46">
        <v>-9.5000000000000001E-2</v>
      </c>
      <c r="AH46">
        <v>0.04</v>
      </c>
      <c r="AI46">
        <v>3.6999999999999998E-2</v>
      </c>
    </row>
    <row r="47" spans="1:35" x14ac:dyDescent="0.25">
      <c r="A47" t="s">
        <v>1490</v>
      </c>
      <c r="B47" t="s">
        <v>32</v>
      </c>
      <c r="C47" s="25">
        <v>43704.465891203705</v>
      </c>
      <c r="D47" s="741" t="s">
        <v>969</v>
      </c>
      <c r="E47" s="741">
        <f t="array" ref="E47">SUMPRODUCT(IF(AMP1_8[[#This Row],[Dim 1_1]:[T 8]]-$F$4:$AI$4&lt;0,1,0)+IF($F$5:$AI$5-AMP1_8[[#This Row],[Dim 1_1]:[T 8]]&lt;0,1,0),IF(ISNUMBER(AMP1_8[[#This Row],[Dim 1_1]:[T 8]])=TRUE,1,0))</f>
        <v>0</v>
      </c>
      <c r="F47">
        <v>41.366</v>
      </c>
      <c r="G47">
        <v>41.154000000000003</v>
      </c>
      <c r="H47">
        <v>155.97800000000001</v>
      </c>
      <c r="I47">
        <v>155.953</v>
      </c>
      <c r="L47">
        <v>155.94200000000001</v>
      </c>
      <c r="M47">
        <v>155.81299999999999</v>
      </c>
      <c r="N47">
        <v>27.254999999999999</v>
      </c>
      <c r="O47">
        <v>27.498000000000001</v>
      </c>
      <c r="R47">
        <v>17.109000000000002</v>
      </c>
      <c r="S47">
        <v>17.091000000000001</v>
      </c>
      <c r="T47">
        <v>33.290999999999997</v>
      </c>
      <c r="U47">
        <v>33.905000000000001</v>
      </c>
      <c r="W47">
        <v>-0.114</v>
      </c>
      <c r="X47">
        <v>-0.25</v>
      </c>
      <c r="Z47">
        <v>-4.1000000000000002E-2</v>
      </c>
      <c r="AA47">
        <v>-0.20300000000000001</v>
      </c>
      <c r="AB47">
        <v>-0.216</v>
      </c>
      <c r="AC47">
        <v>-0.25</v>
      </c>
      <c r="AD47">
        <v>-0.114</v>
      </c>
      <c r="AE47">
        <v>-0.23300000000000001</v>
      </c>
      <c r="AF47">
        <v>-0.20300000000000001</v>
      </c>
      <c r="AG47">
        <v>-0.18</v>
      </c>
      <c r="AH47">
        <v>-4.3999999999999997E-2</v>
      </c>
      <c r="AI47">
        <v>-4.1000000000000002E-2</v>
      </c>
    </row>
    <row r="48" spans="1:35" ht="15" customHeight="1" x14ac:dyDescent="0.25">
      <c r="A48" t="s">
        <v>1491</v>
      </c>
      <c r="B48" t="s">
        <v>31</v>
      </c>
      <c r="C48" s="25">
        <v>43704.467986111114</v>
      </c>
      <c r="D48" s="741" t="s">
        <v>969</v>
      </c>
      <c r="E48" s="741">
        <f t="array" ref="E48">SUMPRODUCT(IF(AMP1_8[[#This Row],[Dim 1_1]:[T 8]]-$F$4:$AI$4&lt;0,1,0)+IF($F$5:$AI$5-AMP1_8[[#This Row],[Dim 1_1]:[T 8]]&lt;0,1,0),IF(ISNUMBER(AMP1_8[[#This Row],[Dim 1_1]:[T 8]])=TRUE,1,0))</f>
        <v>0</v>
      </c>
      <c r="H48">
        <v>155.87</v>
      </c>
      <c r="I48">
        <v>155.803</v>
      </c>
      <c r="J48">
        <v>168.792</v>
      </c>
      <c r="K48">
        <v>168.88800000000001</v>
      </c>
      <c r="L48">
        <v>156.01</v>
      </c>
      <c r="M48">
        <v>155.61199999999999</v>
      </c>
      <c r="N48">
        <v>27.126000000000001</v>
      </c>
      <c r="O48">
        <v>27.42</v>
      </c>
      <c r="R48">
        <v>17.298999999999999</v>
      </c>
      <c r="S48">
        <v>17.285</v>
      </c>
      <c r="T48">
        <v>37.753999999999998</v>
      </c>
      <c r="U48">
        <v>38.752000000000002</v>
      </c>
      <c r="W48">
        <v>-3.4000000000000002E-2</v>
      </c>
      <c r="X48">
        <v>-0.436</v>
      </c>
      <c r="Z48">
        <v>-1.7999999999999999E-2</v>
      </c>
      <c r="AA48">
        <v>-0.13600000000000001</v>
      </c>
      <c r="AB48">
        <v>-0.379</v>
      </c>
      <c r="AC48">
        <v>-0.436</v>
      </c>
      <c r="AD48">
        <v>-3.4000000000000002E-2</v>
      </c>
      <c r="AE48">
        <v>-0.27800000000000002</v>
      </c>
      <c r="AF48">
        <v>-0.13</v>
      </c>
      <c r="AG48">
        <v>-0.13600000000000001</v>
      </c>
      <c r="AH48">
        <v>-1.7999999999999999E-2</v>
      </c>
      <c r="AI48">
        <v>-2.1999999999999999E-2</v>
      </c>
    </row>
    <row r="49" spans="1:35" x14ac:dyDescent="0.25">
      <c r="A49" t="s">
        <v>1492</v>
      </c>
      <c r="B49" t="s">
        <v>32</v>
      </c>
      <c r="C49" s="25">
        <v>43704.625138888892</v>
      </c>
      <c r="D49" s="741" t="s">
        <v>969</v>
      </c>
      <c r="E49" s="741">
        <f t="array" ref="E49">SUMPRODUCT(IF(AMP1_8[[#This Row],[Dim 1_1]:[T 8]]-$F$4:$AI$4&lt;0,1,0)+IF($F$5:$AI$5-AMP1_8[[#This Row],[Dim 1_1]:[T 8]]&lt;0,1,0),IF(ISNUMBER(AMP1_8[[#This Row],[Dim 1_1]:[T 8]])=TRUE,1,0))</f>
        <v>0</v>
      </c>
      <c r="F49">
        <v>41.28</v>
      </c>
      <c r="G49">
        <v>41.054000000000002</v>
      </c>
      <c r="H49">
        <v>155.97399999999999</v>
      </c>
      <c r="I49">
        <v>155.93299999999999</v>
      </c>
      <c r="L49">
        <v>155.999</v>
      </c>
      <c r="M49">
        <v>155.864</v>
      </c>
      <c r="N49">
        <v>27.254000000000001</v>
      </c>
      <c r="O49">
        <v>27.463000000000001</v>
      </c>
      <c r="R49">
        <v>17.134</v>
      </c>
      <c r="S49">
        <v>17.056000000000001</v>
      </c>
      <c r="T49">
        <v>34.017000000000003</v>
      </c>
      <c r="U49">
        <v>33.414999999999999</v>
      </c>
      <c r="W49">
        <v>-0.128</v>
      </c>
      <c r="X49">
        <v>-0.376</v>
      </c>
      <c r="Z49">
        <v>-0.156</v>
      </c>
      <c r="AA49">
        <v>-0.35799999999999998</v>
      </c>
      <c r="AB49">
        <v>-0.29599999999999999</v>
      </c>
      <c r="AC49">
        <v>-0.34899999999999998</v>
      </c>
      <c r="AD49">
        <v>-0.128</v>
      </c>
      <c r="AE49">
        <v>-0.376</v>
      </c>
      <c r="AF49">
        <v>-0.35799999999999998</v>
      </c>
      <c r="AG49">
        <v>-0.33100000000000002</v>
      </c>
      <c r="AH49">
        <v>-0.156</v>
      </c>
      <c r="AI49">
        <v>-0.20300000000000001</v>
      </c>
    </row>
    <row r="50" spans="1:35" ht="15" customHeight="1" x14ac:dyDescent="0.25">
      <c r="A50" t="s">
        <v>1493</v>
      </c>
      <c r="B50" t="s">
        <v>31</v>
      </c>
      <c r="C50" s="25">
        <v>43704.627268518518</v>
      </c>
      <c r="D50" s="741" t="s">
        <v>969</v>
      </c>
      <c r="E50" s="741">
        <f t="array" ref="E50">SUMPRODUCT(IF(AMP1_8[[#This Row],[Dim 1_1]:[T 8]]-$F$4:$AI$4&lt;0,1,0)+IF($F$5:$AI$5-AMP1_8[[#This Row],[Dim 1_1]:[T 8]]&lt;0,1,0),IF(ISNUMBER(AMP1_8[[#This Row],[Dim 1_1]:[T 8]])=TRUE,1,0))</f>
        <v>0</v>
      </c>
      <c r="H50">
        <v>155.90600000000001</v>
      </c>
      <c r="I50">
        <v>155.928</v>
      </c>
      <c r="J50">
        <v>168.84299999999999</v>
      </c>
      <c r="K50">
        <v>168.869</v>
      </c>
      <c r="L50">
        <v>156.107</v>
      </c>
      <c r="M50">
        <v>155.804</v>
      </c>
      <c r="N50">
        <v>27.087</v>
      </c>
      <c r="O50">
        <v>27.280999999999999</v>
      </c>
      <c r="R50">
        <v>17.321000000000002</v>
      </c>
      <c r="S50">
        <v>17.36</v>
      </c>
      <c r="T50">
        <v>39.222999999999999</v>
      </c>
      <c r="U50">
        <v>39.643999999999998</v>
      </c>
      <c r="W50">
        <v>-0.15</v>
      </c>
      <c r="X50">
        <v>-0.49</v>
      </c>
      <c r="Z50">
        <v>-0.17199999999999999</v>
      </c>
      <c r="AA50">
        <v>-0.29299999999999998</v>
      </c>
      <c r="AB50">
        <v>-0.438</v>
      </c>
      <c r="AC50">
        <v>-0.49</v>
      </c>
      <c r="AD50">
        <v>-0.15</v>
      </c>
      <c r="AE50">
        <v>-0.35399999999999998</v>
      </c>
      <c r="AF50">
        <v>-0.29299999999999998</v>
      </c>
      <c r="AG50">
        <v>-0.29299999999999998</v>
      </c>
      <c r="AH50">
        <v>-0.17199999999999999</v>
      </c>
      <c r="AI50">
        <v>-0.184</v>
      </c>
    </row>
    <row r="51" spans="1:35" x14ac:dyDescent="0.25">
      <c r="A51" t="s">
        <v>1494</v>
      </c>
      <c r="B51" t="s">
        <v>32</v>
      </c>
      <c r="C51" s="25">
        <v>43704.725416666668</v>
      </c>
      <c r="D51" s="741" t="s">
        <v>969</v>
      </c>
      <c r="E51" s="741">
        <f t="array" ref="E51">SUMPRODUCT(IF(AMP1_8[[#This Row],[Dim 1_1]:[T 8]]-$F$4:$AI$4&lt;0,1,0)+IF($F$5:$AI$5-AMP1_8[[#This Row],[Dim 1_1]:[T 8]]&lt;0,1,0),IF(ISNUMBER(AMP1_8[[#This Row],[Dim 1_1]:[T 8]])=TRUE,1,0))</f>
        <v>0</v>
      </c>
      <c r="F51">
        <v>41.542999999999999</v>
      </c>
      <c r="G51">
        <v>41.323999999999998</v>
      </c>
      <c r="H51">
        <v>155.88499999999999</v>
      </c>
      <c r="I51">
        <v>155.88399999999999</v>
      </c>
      <c r="L51">
        <v>155.898</v>
      </c>
      <c r="M51">
        <v>155.77699999999999</v>
      </c>
      <c r="N51">
        <v>27.306000000000001</v>
      </c>
      <c r="O51">
        <v>27.524999999999999</v>
      </c>
      <c r="R51">
        <v>17.138000000000002</v>
      </c>
      <c r="S51">
        <v>16.995999999999999</v>
      </c>
      <c r="T51">
        <v>33.304000000000002</v>
      </c>
      <c r="U51">
        <v>34.024000000000001</v>
      </c>
      <c r="W51">
        <v>5.1999999999999998E-2</v>
      </c>
      <c r="X51">
        <v>-0.28799999999999998</v>
      </c>
      <c r="Z51">
        <v>7.0999999999999994E-2</v>
      </c>
      <c r="AA51">
        <v>-0.23899999999999999</v>
      </c>
      <c r="AB51">
        <v>-0.23300000000000001</v>
      </c>
      <c r="AC51">
        <v>-0.28799999999999998</v>
      </c>
      <c r="AD51">
        <v>5.1999999999999998E-2</v>
      </c>
      <c r="AE51">
        <v>0.01</v>
      </c>
      <c r="AF51">
        <v>-0.23899999999999999</v>
      </c>
      <c r="AG51">
        <v>-0.214</v>
      </c>
      <c r="AH51">
        <v>6.3E-2</v>
      </c>
      <c r="AI51">
        <v>7.0999999999999994E-2</v>
      </c>
    </row>
    <row r="52" spans="1:35" ht="15" customHeight="1" x14ac:dyDescent="0.25">
      <c r="A52" t="s">
        <v>1495</v>
      </c>
      <c r="B52" t="s">
        <v>31</v>
      </c>
      <c r="C52" s="25">
        <v>43704.726909722223</v>
      </c>
      <c r="D52" s="741" t="s">
        <v>969</v>
      </c>
      <c r="E52" s="741">
        <f t="array" ref="E52">SUMPRODUCT(IF(AMP1_8[[#This Row],[Dim 1_1]:[T 8]]-$F$4:$AI$4&lt;0,1,0)+IF($F$5:$AI$5-AMP1_8[[#This Row],[Dim 1_1]:[T 8]]&lt;0,1,0),IF(ISNUMBER(AMP1_8[[#This Row],[Dim 1_1]:[T 8]])=TRUE,1,0))</f>
        <v>0</v>
      </c>
      <c r="H52">
        <v>155.91200000000001</v>
      </c>
      <c r="I52">
        <v>155.845</v>
      </c>
      <c r="J52">
        <v>169.001</v>
      </c>
      <c r="K52">
        <v>168.71199999999999</v>
      </c>
      <c r="L52">
        <v>156.06899999999999</v>
      </c>
      <c r="M52">
        <v>155.80500000000001</v>
      </c>
      <c r="N52">
        <v>27.113</v>
      </c>
      <c r="O52">
        <v>27.393999999999998</v>
      </c>
      <c r="R52">
        <v>17.369</v>
      </c>
      <c r="S52">
        <v>17.198</v>
      </c>
      <c r="T52">
        <v>37.341999999999999</v>
      </c>
      <c r="U52">
        <v>39.368000000000002</v>
      </c>
      <c r="W52">
        <v>9.8000000000000004E-2</v>
      </c>
      <c r="X52">
        <v>-0.45600000000000002</v>
      </c>
      <c r="Z52">
        <v>9.1999999999999998E-2</v>
      </c>
      <c r="AA52">
        <v>-0.186</v>
      </c>
      <c r="AB52">
        <v>-0.41699999999999998</v>
      </c>
      <c r="AC52">
        <v>-0.45600000000000002</v>
      </c>
      <c r="AD52">
        <v>9.8000000000000004E-2</v>
      </c>
      <c r="AE52">
        <v>-0.16400000000000001</v>
      </c>
      <c r="AF52">
        <v>-0.18</v>
      </c>
      <c r="AG52">
        <v>-0.186</v>
      </c>
      <c r="AH52">
        <v>9.0999999999999998E-2</v>
      </c>
      <c r="AI52">
        <v>9.1999999999999998E-2</v>
      </c>
    </row>
    <row r="53" spans="1:35" x14ac:dyDescent="0.25">
      <c r="A53" t="s">
        <v>1496</v>
      </c>
      <c r="B53" t="s">
        <v>32</v>
      </c>
      <c r="C53" s="25">
        <v>43704.841041666667</v>
      </c>
      <c r="D53" s="741" t="s">
        <v>969</v>
      </c>
      <c r="E53" s="741">
        <f t="array" ref="E53">SUMPRODUCT(IF(AMP1_8[[#This Row],[Dim 1_1]:[T 8]]-$F$4:$AI$4&lt;0,1,0)+IF($F$5:$AI$5-AMP1_8[[#This Row],[Dim 1_1]:[T 8]]&lt;0,1,0),IF(ISNUMBER(AMP1_8[[#This Row],[Dim 1_1]:[T 8]])=TRUE,1,0))</f>
        <v>0</v>
      </c>
      <c r="F53">
        <v>41.201000000000001</v>
      </c>
      <c r="G53">
        <v>40.851999999999997</v>
      </c>
      <c r="H53">
        <v>156.029</v>
      </c>
      <c r="I53">
        <v>155.988</v>
      </c>
      <c r="L53">
        <v>155.98599999999999</v>
      </c>
      <c r="M53">
        <v>155.88</v>
      </c>
      <c r="N53">
        <v>27.248000000000001</v>
      </c>
      <c r="O53">
        <v>27.442</v>
      </c>
      <c r="R53">
        <v>17.152999999999999</v>
      </c>
      <c r="S53">
        <v>17.109000000000002</v>
      </c>
      <c r="T53">
        <v>33.597999999999999</v>
      </c>
      <c r="U53">
        <v>33.902999999999999</v>
      </c>
      <c r="W53">
        <v>-7.1999999999999995E-2</v>
      </c>
      <c r="X53">
        <v>-0.36199999999999999</v>
      </c>
      <c r="Z53">
        <v>-5.3999999999999999E-2</v>
      </c>
      <c r="AA53">
        <v>-0.37</v>
      </c>
      <c r="AB53">
        <v>-0.29199999999999998</v>
      </c>
      <c r="AC53">
        <v>-0.36199999999999999</v>
      </c>
      <c r="AD53">
        <v>-7.1999999999999995E-2</v>
      </c>
      <c r="AE53">
        <v>-0.27500000000000002</v>
      </c>
      <c r="AF53">
        <v>-0.37</v>
      </c>
      <c r="AG53">
        <v>-0.314</v>
      </c>
      <c r="AH53">
        <v>-0.11899999999999999</v>
      </c>
      <c r="AI53">
        <v>-5.3999999999999999E-2</v>
      </c>
    </row>
    <row r="54" spans="1:35" ht="15" customHeight="1" x14ac:dyDescent="0.25">
      <c r="A54" t="s">
        <v>1497</v>
      </c>
      <c r="B54" t="s">
        <v>31</v>
      </c>
      <c r="C54" s="25">
        <v>43704.842719907407</v>
      </c>
      <c r="D54" s="741" t="s">
        <v>969</v>
      </c>
      <c r="E54" s="741">
        <f t="array" ref="E54">SUMPRODUCT(IF(AMP1_8[[#This Row],[Dim 1_1]:[T 8]]-$F$4:$AI$4&lt;0,1,0)+IF($F$5:$AI$5-AMP1_8[[#This Row],[Dim 1_1]:[T 8]]&lt;0,1,0),IF(ISNUMBER(AMP1_8[[#This Row],[Dim 1_1]:[T 8]])=TRUE,1,0))</f>
        <v>0</v>
      </c>
      <c r="H54">
        <v>155.87200000000001</v>
      </c>
      <c r="I54">
        <v>155.82499999999999</v>
      </c>
      <c r="J54">
        <v>168.65600000000001</v>
      </c>
      <c r="K54">
        <v>168.43799999999999</v>
      </c>
      <c r="L54">
        <v>156.04900000000001</v>
      </c>
      <c r="M54">
        <v>155.70400000000001</v>
      </c>
      <c r="N54">
        <v>27.091999999999999</v>
      </c>
      <c r="O54">
        <v>27.382000000000001</v>
      </c>
      <c r="R54">
        <v>17.291</v>
      </c>
      <c r="S54">
        <v>17.271999999999998</v>
      </c>
      <c r="T54">
        <v>39.183999999999997</v>
      </c>
      <c r="U54">
        <v>40.646999999999998</v>
      </c>
      <c r="W54">
        <v>-0.105</v>
      </c>
      <c r="X54">
        <v>-0.53400000000000003</v>
      </c>
      <c r="Z54">
        <v>-1.7999999999999999E-2</v>
      </c>
      <c r="AA54">
        <v>-0.22500000000000001</v>
      </c>
      <c r="AB54">
        <v>-0.46100000000000002</v>
      </c>
      <c r="AC54">
        <v>-0.53400000000000003</v>
      </c>
      <c r="AD54">
        <v>-0.105</v>
      </c>
      <c r="AE54">
        <v>-0.33800000000000002</v>
      </c>
      <c r="AF54">
        <v>-0.21299999999999999</v>
      </c>
      <c r="AG54">
        <v>-0.22500000000000001</v>
      </c>
      <c r="AH54">
        <v>-2.1000000000000001E-2</v>
      </c>
      <c r="AI54">
        <v>-1.7999999999999999E-2</v>
      </c>
    </row>
    <row r="55" spans="1:35" x14ac:dyDescent="0.25">
      <c r="A55" t="s">
        <v>1498</v>
      </c>
      <c r="B55" t="s">
        <v>32</v>
      </c>
      <c r="C55" s="25">
        <v>43704.961967592593</v>
      </c>
      <c r="D55" s="741" t="s">
        <v>969</v>
      </c>
      <c r="E55" s="741">
        <f t="array" ref="E55">SUMPRODUCT(IF(AMP1_8[[#This Row],[Dim 1_1]:[T 8]]-$F$4:$AI$4&lt;0,1,0)+IF($F$5:$AI$5-AMP1_8[[#This Row],[Dim 1_1]:[T 8]]&lt;0,1,0),IF(ISNUMBER(AMP1_8[[#This Row],[Dim 1_1]:[T 8]])=TRUE,1,0))</f>
        <v>0</v>
      </c>
      <c r="F55">
        <v>41.075000000000003</v>
      </c>
      <c r="G55">
        <v>41.052999999999997</v>
      </c>
      <c r="H55">
        <v>156.05099999999999</v>
      </c>
      <c r="I55">
        <v>156.07599999999999</v>
      </c>
      <c r="L55">
        <v>156.06700000000001</v>
      </c>
      <c r="M55">
        <v>155.94800000000001</v>
      </c>
      <c r="N55">
        <v>27.140999999999998</v>
      </c>
      <c r="O55">
        <v>27.326000000000001</v>
      </c>
      <c r="R55">
        <v>17.152000000000001</v>
      </c>
      <c r="S55">
        <v>17.056999999999999</v>
      </c>
      <c r="T55">
        <v>33.512999999999998</v>
      </c>
      <c r="U55">
        <v>33.865000000000002</v>
      </c>
      <c r="W55">
        <v>-0.109</v>
      </c>
      <c r="X55">
        <v>-0.39100000000000001</v>
      </c>
      <c r="Z55">
        <v>-0.107</v>
      </c>
      <c r="AA55">
        <v>-0.379</v>
      </c>
      <c r="AB55">
        <v>-0.38200000000000001</v>
      </c>
      <c r="AC55">
        <v>-0.39100000000000001</v>
      </c>
      <c r="AD55">
        <v>-0.109</v>
      </c>
      <c r="AE55">
        <v>-0.35799999999999998</v>
      </c>
      <c r="AF55">
        <v>-0.379</v>
      </c>
      <c r="AG55">
        <v>-0.34599999999999997</v>
      </c>
      <c r="AH55">
        <v>-0.114</v>
      </c>
      <c r="AI55">
        <v>-0.107</v>
      </c>
    </row>
    <row r="56" spans="1:35" ht="15" customHeight="1" x14ac:dyDescent="0.25">
      <c r="A56" t="s">
        <v>1499</v>
      </c>
      <c r="B56" t="s">
        <v>31</v>
      </c>
      <c r="C56" s="25">
        <v>43704.964050925926</v>
      </c>
      <c r="D56" s="741" t="s">
        <v>969</v>
      </c>
      <c r="E56" s="741">
        <f t="array" ref="E56">SUMPRODUCT(IF(AMP1_8[[#This Row],[Dim 1_1]:[T 8]]-$F$4:$AI$4&lt;0,1,0)+IF($F$5:$AI$5-AMP1_8[[#This Row],[Dim 1_1]:[T 8]]&lt;0,1,0),IF(ISNUMBER(AMP1_8[[#This Row],[Dim 1_1]:[T 8]])=TRUE,1,0))</f>
        <v>0</v>
      </c>
      <c r="H56">
        <v>156.00899999999999</v>
      </c>
      <c r="I56">
        <v>155.947</v>
      </c>
      <c r="J56">
        <v>168.678</v>
      </c>
      <c r="K56">
        <v>168.67099999999999</v>
      </c>
      <c r="L56">
        <v>156.14400000000001</v>
      </c>
      <c r="M56">
        <v>155.81200000000001</v>
      </c>
      <c r="N56">
        <v>27.045000000000002</v>
      </c>
      <c r="O56">
        <v>27.295000000000002</v>
      </c>
      <c r="R56">
        <v>17.302</v>
      </c>
      <c r="S56">
        <v>17.184999999999999</v>
      </c>
      <c r="T56">
        <v>37.292000000000002</v>
      </c>
      <c r="U56">
        <v>37.244999999999997</v>
      </c>
      <c r="W56">
        <v>-5.0000000000000001E-3</v>
      </c>
      <c r="X56">
        <v>-0.56599999999999995</v>
      </c>
      <c r="Z56">
        <v>-6.5000000000000002E-2</v>
      </c>
      <c r="AA56">
        <v>-0.35599999999999998</v>
      </c>
      <c r="AB56">
        <v>-0.47499999999999998</v>
      </c>
      <c r="AC56">
        <v>-0.56599999999999995</v>
      </c>
      <c r="AD56">
        <v>-5.0000000000000001E-3</v>
      </c>
      <c r="AE56">
        <v>-0.23699999999999999</v>
      </c>
      <c r="AF56">
        <v>-0.33700000000000002</v>
      </c>
      <c r="AG56">
        <v>-0.35599999999999998</v>
      </c>
      <c r="AH56">
        <v>-8.3000000000000004E-2</v>
      </c>
      <c r="AI56">
        <v>-6.5000000000000002E-2</v>
      </c>
    </row>
    <row r="57" spans="1:35" x14ac:dyDescent="0.25">
      <c r="A57" t="s">
        <v>1500</v>
      </c>
      <c r="B57" t="s">
        <v>32</v>
      </c>
      <c r="C57" s="25">
        <v>43705.373055555552</v>
      </c>
      <c r="D57" s="741" t="s">
        <v>969</v>
      </c>
      <c r="E57" s="741">
        <f t="array" ref="E57">SUMPRODUCT(IF(AMP1_8[[#This Row],[Dim 1_1]:[T 8]]-$F$4:$AI$4&lt;0,1,0)+IF($F$5:$AI$5-AMP1_8[[#This Row],[Dim 1_1]:[T 8]]&lt;0,1,0),IF(ISNUMBER(AMP1_8[[#This Row],[Dim 1_1]:[T 8]])=TRUE,1,0))</f>
        <v>0</v>
      </c>
      <c r="F57">
        <v>41.225999999999999</v>
      </c>
      <c r="G57">
        <v>41.164999999999999</v>
      </c>
      <c r="H57">
        <v>155.70500000000001</v>
      </c>
      <c r="I57">
        <v>155.66</v>
      </c>
      <c r="L57">
        <v>155.71799999999999</v>
      </c>
      <c r="M57">
        <v>155.58000000000001</v>
      </c>
      <c r="N57">
        <v>27.471</v>
      </c>
      <c r="O57">
        <v>27.702999999999999</v>
      </c>
      <c r="R57">
        <v>17.152000000000001</v>
      </c>
      <c r="S57">
        <v>17.076000000000001</v>
      </c>
      <c r="T57">
        <v>33.805999999999997</v>
      </c>
      <c r="U57">
        <v>34.067</v>
      </c>
      <c r="W57">
        <v>0.105</v>
      </c>
      <c r="X57">
        <v>-8.1000000000000003E-2</v>
      </c>
      <c r="Z57">
        <v>0.184</v>
      </c>
      <c r="AA57">
        <v>5.0999999999999997E-2</v>
      </c>
      <c r="AB57">
        <v>-3.1E-2</v>
      </c>
      <c r="AC57">
        <v>-8.1000000000000003E-2</v>
      </c>
      <c r="AD57">
        <v>0.105</v>
      </c>
      <c r="AE57">
        <v>-0.05</v>
      </c>
      <c r="AF57">
        <v>5.0999999999999997E-2</v>
      </c>
      <c r="AG57">
        <v>9.7000000000000003E-2</v>
      </c>
      <c r="AH57">
        <v>0.17199999999999999</v>
      </c>
      <c r="AI57">
        <v>0.184</v>
      </c>
    </row>
    <row r="58" spans="1:35" ht="15" customHeight="1" x14ac:dyDescent="0.25">
      <c r="A58" t="s">
        <v>1501</v>
      </c>
      <c r="B58" t="s">
        <v>31</v>
      </c>
      <c r="C58" s="25">
        <v>43705.375138888892</v>
      </c>
      <c r="D58" s="741" t="s">
        <v>969</v>
      </c>
      <c r="E58" s="741">
        <f t="array" ref="E58">SUMPRODUCT(IF(AMP1_8[[#This Row],[Dim 1_1]:[T 8]]-$F$4:$AI$4&lt;0,1,0)+IF($F$5:$AI$5-AMP1_8[[#This Row],[Dim 1_1]:[T 8]]&lt;0,1,0),IF(ISNUMBER(AMP1_8[[#This Row],[Dim 1_1]:[T 8]])=TRUE,1,0))</f>
        <v>0</v>
      </c>
      <c r="H58">
        <v>155.636</v>
      </c>
      <c r="I58">
        <v>155.541</v>
      </c>
      <c r="J58">
        <v>168.488</v>
      </c>
      <c r="K58">
        <v>168.482</v>
      </c>
      <c r="L58">
        <v>155.76</v>
      </c>
      <c r="M58">
        <v>155.53399999999999</v>
      </c>
      <c r="N58">
        <v>27.45</v>
      </c>
      <c r="O58">
        <v>27.640999999999998</v>
      </c>
      <c r="R58">
        <v>17.315999999999999</v>
      </c>
      <c r="S58">
        <v>17.491</v>
      </c>
      <c r="T58">
        <v>37.822000000000003</v>
      </c>
      <c r="U58">
        <v>39.917999999999999</v>
      </c>
      <c r="W58">
        <v>0.06</v>
      </c>
      <c r="X58">
        <v>-0.215</v>
      </c>
      <c r="Z58">
        <v>5.8000000000000003E-2</v>
      </c>
      <c r="AA58">
        <v>3.0000000000000001E-3</v>
      </c>
      <c r="AB58">
        <v>-0.11899999999999999</v>
      </c>
      <c r="AC58">
        <v>-0.17100000000000001</v>
      </c>
      <c r="AD58">
        <v>0.06</v>
      </c>
      <c r="AE58">
        <v>-0.215</v>
      </c>
      <c r="AF58">
        <v>5.8000000000000003E-2</v>
      </c>
      <c r="AG58">
        <v>4.8000000000000001E-2</v>
      </c>
      <c r="AH58">
        <v>3.0000000000000001E-3</v>
      </c>
      <c r="AI58">
        <v>0.02</v>
      </c>
    </row>
    <row r="59" spans="1:35" x14ac:dyDescent="0.25">
      <c r="A59" t="s">
        <v>1837</v>
      </c>
      <c r="B59" t="s">
        <v>32</v>
      </c>
      <c r="C59" s="25">
        <v>43705.509155092594</v>
      </c>
      <c r="D59" s="741" t="s">
        <v>969</v>
      </c>
      <c r="E59" s="741">
        <f t="array" ref="E59">SUMPRODUCT(IF(AMP1_8[[#This Row],[Dim 1_1]:[T 8]]-$F$4:$AI$4&lt;0,1,0)+IF($F$5:$AI$5-AMP1_8[[#This Row],[Dim 1_1]:[T 8]]&lt;0,1,0),IF(ISNUMBER(AMP1_8[[#This Row],[Dim 1_1]:[T 8]])=TRUE,1,0))</f>
        <v>0</v>
      </c>
      <c r="F59">
        <v>41.533999999999999</v>
      </c>
      <c r="G59">
        <v>41.537999999999997</v>
      </c>
      <c r="H59">
        <v>155.60599999999999</v>
      </c>
      <c r="I59">
        <v>155.61500000000001</v>
      </c>
      <c r="L59">
        <v>155.66200000000001</v>
      </c>
      <c r="M59">
        <v>155.54300000000001</v>
      </c>
      <c r="N59">
        <v>27.582999999999998</v>
      </c>
      <c r="O59">
        <v>27.777000000000001</v>
      </c>
      <c r="R59">
        <v>17.158999999999999</v>
      </c>
      <c r="S59">
        <v>17.021999999999998</v>
      </c>
      <c r="T59">
        <v>33.895000000000003</v>
      </c>
      <c r="U59">
        <v>34.031999999999996</v>
      </c>
      <c r="W59">
        <v>6.8000000000000005E-2</v>
      </c>
      <c r="X59">
        <v>-7.3999999999999996E-2</v>
      </c>
      <c r="Z59">
        <v>0.11899999999999999</v>
      </c>
      <c r="AA59">
        <v>0.01</v>
      </c>
      <c r="AB59">
        <v>-1.7000000000000001E-2</v>
      </c>
      <c r="AC59">
        <v>-7.3999999999999996E-2</v>
      </c>
      <c r="AD59">
        <v>6.8000000000000005E-2</v>
      </c>
      <c r="AE59">
        <v>-0.05</v>
      </c>
      <c r="AF59">
        <v>0.01</v>
      </c>
      <c r="AG59">
        <v>4.2000000000000003E-2</v>
      </c>
      <c r="AH59">
        <v>0.11899999999999999</v>
      </c>
      <c r="AI59">
        <v>7.4999999999999997E-2</v>
      </c>
    </row>
    <row r="60" spans="1:35" ht="15" customHeight="1" x14ac:dyDescent="0.25">
      <c r="A60" t="s">
        <v>1838</v>
      </c>
      <c r="B60" t="s">
        <v>31</v>
      </c>
      <c r="C60" s="25">
        <v>43705.511203703703</v>
      </c>
      <c r="D60" s="741" t="s">
        <v>969</v>
      </c>
      <c r="E60" s="741">
        <f t="array" ref="E60">SUMPRODUCT(IF(AMP1_8[[#This Row],[Dim 1_1]:[T 8]]-$F$4:$AI$4&lt;0,1,0)+IF($F$5:$AI$5-AMP1_8[[#This Row],[Dim 1_1]:[T 8]]&lt;0,1,0),IF(ISNUMBER(AMP1_8[[#This Row],[Dim 1_1]:[T 8]])=TRUE,1,0))</f>
        <v>0</v>
      </c>
      <c r="H60">
        <v>155.57</v>
      </c>
      <c r="I60">
        <v>155.511</v>
      </c>
      <c r="J60">
        <v>168.636</v>
      </c>
      <c r="K60">
        <v>168.678</v>
      </c>
      <c r="L60">
        <v>155.697</v>
      </c>
      <c r="M60">
        <v>155.50800000000001</v>
      </c>
      <c r="N60">
        <v>27.501999999999999</v>
      </c>
      <c r="O60">
        <v>27.686</v>
      </c>
      <c r="R60">
        <v>17.312999999999999</v>
      </c>
      <c r="S60">
        <v>17.39</v>
      </c>
      <c r="T60">
        <v>37.476999999999997</v>
      </c>
      <c r="U60">
        <v>39.136000000000003</v>
      </c>
      <c r="W60">
        <v>5.1999999999999998E-2</v>
      </c>
      <c r="X60">
        <v>-0.23</v>
      </c>
      <c r="Z60">
        <v>9.7000000000000003E-2</v>
      </c>
      <c r="AA60">
        <v>4.5999999999999999E-2</v>
      </c>
      <c r="AB60">
        <v>-0.112</v>
      </c>
      <c r="AC60">
        <v>-0.17199999999999999</v>
      </c>
      <c r="AD60">
        <v>5.1999999999999998E-2</v>
      </c>
      <c r="AE60">
        <v>-0.23</v>
      </c>
      <c r="AF60">
        <v>9.7000000000000003E-2</v>
      </c>
      <c r="AG60">
        <v>0.09</v>
      </c>
      <c r="AH60">
        <v>8.1000000000000003E-2</v>
      </c>
      <c r="AI60">
        <v>4.5999999999999999E-2</v>
      </c>
    </row>
    <row r="61" spans="1:35" x14ac:dyDescent="0.25">
      <c r="A61" t="s">
        <v>1839</v>
      </c>
      <c r="B61" t="s">
        <v>32</v>
      </c>
      <c r="C61" s="25">
        <v>43705.699745370373</v>
      </c>
      <c r="D61" s="741" t="s">
        <v>969</v>
      </c>
      <c r="E61" s="741">
        <f t="array" ref="E61">SUMPRODUCT(IF(AMP1_8[[#This Row],[Dim 1_1]:[T 8]]-$F$4:$AI$4&lt;0,1,0)+IF($F$5:$AI$5-AMP1_8[[#This Row],[Dim 1_1]:[T 8]]&lt;0,1,0),IF(ISNUMBER(AMP1_8[[#This Row],[Dim 1_1]:[T 8]])=TRUE,1,0))</f>
        <v>0</v>
      </c>
      <c r="F61">
        <v>41.496000000000002</v>
      </c>
      <c r="G61">
        <v>41.65</v>
      </c>
      <c r="H61">
        <v>155.68700000000001</v>
      </c>
      <c r="I61">
        <v>155.684</v>
      </c>
      <c r="L61">
        <v>155.67699999999999</v>
      </c>
      <c r="M61">
        <v>155.578</v>
      </c>
      <c r="N61">
        <v>27.504000000000001</v>
      </c>
      <c r="O61">
        <v>27.684000000000001</v>
      </c>
      <c r="R61">
        <v>17.170999999999999</v>
      </c>
      <c r="S61">
        <v>17.042000000000002</v>
      </c>
      <c r="T61">
        <v>33.734999999999999</v>
      </c>
      <c r="U61">
        <v>33.963999999999999</v>
      </c>
      <c r="W61">
        <v>0.06</v>
      </c>
      <c r="X61">
        <v>-0.17599999999999999</v>
      </c>
      <c r="Z61">
        <v>1.7999999999999999E-2</v>
      </c>
      <c r="AA61">
        <v>-9.8000000000000004E-2</v>
      </c>
      <c r="AB61">
        <v>-7.8E-2</v>
      </c>
      <c r="AC61">
        <v>-0.124</v>
      </c>
      <c r="AD61">
        <v>0.06</v>
      </c>
      <c r="AE61">
        <v>-0.17599999999999999</v>
      </c>
      <c r="AF61">
        <v>-9.8000000000000004E-2</v>
      </c>
      <c r="AG61">
        <v>-4.7E-2</v>
      </c>
      <c r="AH61">
        <v>1.7999999999999999E-2</v>
      </c>
      <c r="AI61">
        <v>-6.0000000000000001E-3</v>
      </c>
    </row>
    <row r="62" spans="1:35" ht="15" customHeight="1" x14ac:dyDescent="0.25">
      <c r="A62" t="s">
        <v>1840</v>
      </c>
      <c r="B62" t="s">
        <v>31</v>
      </c>
      <c r="C62" s="25">
        <v>43705.709745370368</v>
      </c>
      <c r="D62" s="741" t="s">
        <v>969</v>
      </c>
      <c r="E62" s="741">
        <f t="array" ref="E62">SUMPRODUCT(IF(AMP1_8[[#This Row],[Dim 1_1]:[T 8]]-$F$4:$AI$4&lt;0,1,0)+IF($F$5:$AI$5-AMP1_8[[#This Row],[Dim 1_1]:[T 8]]&lt;0,1,0),IF(ISNUMBER(AMP1_8[[#This Row],[Dim 1_1]:[T 8]])=TRUE,1,0))</f>
        <v>0</v>
      </c>
      <c r="H62">
        <v>155.64500000000001</v>
      </c>
      <c r="I62">
        <v>155.58099999999999</v>
      </c>
      <c r="J62">
        <v>168.69900000000001</v>
      </c>
      <c r="K62">
        <v>168.78700000000001</v>
      </c>
      <c r="L62">
        <v>155.768</v>
      </c>
      <c r="M62">
        <v>155.56</v>
      </c>
      <c r="N62">
        <v>27.402999999999999</v>
      </c>
      <c r="O62">
        <v>27.581</v>
      </c>
      <c r="R62">
        <v>17.303999999999998</v>
      </c>
      <c r="S62">
        <v>17.34</v>
      </c>
      <c r="T62">
        <v>36.802</v>
      </c>
      <c r="U62">
        <v>37.441000000000003</v>
      </c>
      <c r="W62">
        <v>6.3E-2</v>
      </c>
      <c r="X62">
        <v>-0.27700000000000002</v>
      </c>
      <c r="Z62">
        <v>2.5999999999999999E-2</v>
      </c>
      <c r="AA62">
        <v>-3.1E-2</v>
      </c>
      <c r="AB62">
        <v>-0.19600000000000001</v>
      </c>
      <c r="AC62">
        <v>-0.27700000000000002</v>
      </c>
      <c r="AD62">
        <v>6.3E-2</v>
      </c>
      <c r="AE62">
        <v>-0.23300000000000001</v>
      </c>
      <c r="AF62">
        <v>-1.4999999999999999E-2</v>
      </c>
      <c r="AG62">
        <v>-3.1E-2</v>
      </c>
      <c r="AH62">
        <v>2.5999999999999999E-2</v>
      </c>
      <c r="AI62">
        <v>2.1000000000000001E-2</v>
      </c>
    </row>
    <row r="63" spans="1:35" x14ac:dyDescent="0.25">
      <c r="A63" t="s">
        <v>1841</v>
      </c>
      <c r="B63" t="s">
        <v>32</v>
      </c>
      <c r="C63" s="25">
        <v>43705.79314814815</v>
      </c>
      <c r="D63" s="741" t="s">
        <v>969</v>
      </c>
      <c r="E63" s="741">
        <f t="array" ref="E63">SUMPRODUCT(IF(AMP1_8[[#This Row],[Dim 1_1]:[T 8]]-$F$4:$AI$4&lt;0,1,0)+IF($F$5:$AI$5-AMP1_8[[#This Row],[Dim 1_1]:[T 8]]&lt;0,1,0),IF(ISNUMBER(AMP1_8[[#This Row],[Dim 1_1]:[T 8]])=TRUE,1,0))</f>
        <v>0</v>
      </c>
      <c r="F63">
        <v>41.463999999999999</v>
      </c>
      <c r="G63">
        <v>41.531999999999996</v>
      </c>
      <c r="H63">
        <v>155.68199999999999</v>
      </c>
      <c r="I63">
        <v>155.733</v>
      </c>
      <c r="L63">
        <v>155.74199999999999</v>
      </c>
      <c r="M63">
        <v>155.679</v>
      </c>
      <c r="N63">
        <v>27.436</v>
      </c>
      <c r="O63">
        <v>27.617999999999999</v>
      </c>
      <c r="R63">
        <v>17.161000000000001</v>
      </c>
      <c r="S63">
        <v>17.137</v>
      </c>
      <c r="T63">
        <v>33.741999999999997</v>
      </c>
      <c r="U63">
        <v>33.734000000000002</v>
      </c>
      <c r="W63">
        <v>-0.08</v>
      </c>
      <c r="X63">
        <v>-0.307</v>
      </c>
      <c r="Z63">
        <v>-9.1999999999999998E-2</v>
      </c>
      <c r="AA63">
        <v>-0.17199999999999999</v>
      </c>
      <c r="AB63">
        <v>-0.14699999999999999</v>
      </c>
      <c r="AC63">
        <v>-0.222</v>
      </c>
      <c r="AD63">
        <v>-0.08</v>
      </c>
      <c r="AE63">
        <v>-0.307</v>
      </c>
      <c r="AF63">
        <v>-0.17199999999999999</v>
      </c>
      <c r="AG63">
        <v>-9.1999999999999998E-2</v>
      </c>
      <c r="AH63">
        <v>-0.11600000000000001</v>
      </c>
      <c r="AI63">
        <v>-0.157</v>
      </c>
    </row>
    <row r="64" spans="1:35" ht="15" customHeight="1" x14ac:dyDescent="0.25">
      <c r="A64" t="s">
        <v>1842</v>
      </c>
      <c r="B64" t="s">
        <v>31</v>
      </c>
      <c r="C64" s="25">
        <v>43705.795069444444</v>
      </c>
      <c r="D64" s="741" t="s">
        <v>969</v>
      </c>
      <c r="E64" s="741">
        <f t="array" ref="E64">SUMPRODUCT(IF(AMP1_8[[#This Row],[Dim 1_1]:[T 8]]-$F$4:$AI$4&lt;0,1,0)+IF($F$5:$AI$5-AMP1_8[[#This Row],[Dim 1_1]:[T 8]]&lt;0,1,0),IF(ISNUMBER(AMP1_8[[#This Row],[Dim 1_1]:[T 8]])=TRUE,1,0))</f>
        <v>0</v>
      </c>
      <c r="H64">
        <v>155.702</v>
      </c>
      <c r="I64">
        <v>155.673</v>
      </c>
      <c r="J64">
        <v>168.71199999999999</v>
      </c>
      <c r="K64">
        <v>168.702</v>
      </c>
      <c r="L64">
        <v>155.81700000000001</v>
      </c>
      <c r="M64">
        <v>155.62299999999999</v>
      </c>
      <c r="N64">
        <v>27.347000000000001</v>
      </c>
      <c r="O64">
        <v>27.55</v>
      </c>
      <c r="R64">
        <v>17.327999999999999</v>
      </c>
      <c r="S64">
        <v>17.225000000000001</v>
      </c>
      <c r="T64">
        <v>37.243000000000002</v>
      </c>
      <c r="U64">
        <v>38.703000000000003</v>
      </c>
      <c r="W64">
        <v>0.18</v>
      </c>
      <c r="X64">
        <v>-0.30299999999999999</v>
      </c>
      <c r="Z64">
        <v>9.4E-2</v>
      </c>
      <c r="AA64">
        <v>-0.122</v>
      </c>
      <c r="AB64">
        <v>-0.222</v>
      </c>
      <c r="AC64">
        <v>-0.30299999999999999</v>
      </c>
      <c r="AD64">
        <v>0.18</v>
      </c>
      <c r="AE64">
        <v>-6.2E-2</v>
      </c>
      <c r="AF64">
        <v>-9.9000000000000005E-2</v>
      </c>
      <c r="AG64">
        <v>-0.122</v>
      </c>
      <c r="AH64">
        <v>9.4E-2</v>
      </c>
      <c r="AI64">
        <v>4.7E-2</v>
      </c>
    </row>
    <row r="65" spans="1:35" x14ac:dyDescent="0.25">
      <c r="A65" t="s">
        <v>1843</v>
      </c>
      <c r="B65" t="s">
        <v>32</v>
      </c>
      <c r="C65" s="25">
        <v>43705.983206018522</v>
      </c>
      <c r="D65" s="25" t="s">
        <v>969</v>
      </c>
      <c r="E65" s="424">
        <f t="array" ref="E65">SUMPRODUCT(IF(AMP1_8[[#This Row],[Dim 1_1]:[T 8]]-$F$4:$AI$4&lt;0,1,0)+IF($F$5:$AI$5-AMP1_8[[#This Row],[Dim 1_1]:[T 8]]&lt;0,1,0),IF(ISNUMBER(AMP1_8[[#This Row],[Dim 1_1]:[T 8]])=TRUE,1,0))</f>
        <v>0</v>
      </c>
      <c r="F65">
        <v>41.325000000000003</v>
      </c>
      <c r="G65">
        <v>41.317999999999998</v>
      </c>
      <c r="H65">
        <v>155.755</v>
      </c>
      <c r="I65">
        <v>155.798</v>
      </c>
      <c r="L65">
        <v>155.76900000000001</v>
      </c>
      <c r="M65">
        <v>155.70400000000001</v>
      </c>
      <c r="N65">
        <v>27.433</v>
      </c>
      <c r="O65">
        <v>27.599</v>
      </c>
      <c r="R65">
        <v>17.134</v>
      </c>
      <c r="S65">
        <v>17.068000000000001</v>
      </c>
      <c r="T65">
        <v>33.832999999999998</v>
      </c>
      <c r="U65">
        <v>33.832000000000001</v>
      </c>
      <c r="W65">
        <v>-2.8000000000000001E-2</v>
      </c>
      <c r="X65">
        <v>-0.247</v>
      </c>
      <c r="Z65">
        <v>-6.5000000000000002E-2</v>
      </c>
      <c r="AA65">
        <v>-0.153</v>
      </c>
      <c r="AB65">
        <v>-0.121</v>
      </c>
      <c r="AC65">
        <v>-0.183</v>
      </c>
      <c r="AD65">
        <v>-2.8000000000000001E-2</v>
      </c>
      <c r="AE65">
        <v>-0.247</v>
      </c>
      <c r="AF65">
        <v>-0.153</v>
      </c>
      <c r="AG65">
        <v>-0.13600000000000001</v>
      </c>
      <c r="AH65">
        <v>-6.5000000000000002E-2</v>
      </c>
      <c r="AI65">
        <v>-0.1</v>
      </c>
    </row>
    <row r="66" spans="1:35" ht="15" customHeight="1" x14ac:dyDescent="0.25">
      <c r="A66" t="s">
        <v>1844</v>
      </c>
      <c r="B66" t="s">
        <v>31</v>
      </c>
      <c r="C66" s="25">
        <v>43705.98474537037</v>
      </c>
      <c r="D66" s="25" t="s">
        <v>969</v>
      </c>
      <c r="E66" s="424">
        <f t="array" ref="E66">SUMPRODUCT(IF(AMP1_8[[#This Row],[Dim 1_1]:[T 8]]-$F$4:$AI$4&lt;0,1,0)+IF($F$5:$AI$5-AMP1_8[[#This Row],[Dim 1_1]:[T 8]]&lt;0,1,0),IF(ISNUMBER(AMP1_8[[#This Row],[Dim 1_1]:[T 8]])=TRUE,1,0))</f>
        <v>0</v>
      </c>
      <c r="H66">
        <v>155.727</v>
      </c>
      <c r="I66">
        <v>155.666</v>
      </c>
      <c r="J66">
        <v>168.614</v>
      </c>
      <c r="K66">
        <v>168.41300000000001</v>
      </c>
      <c r="L66">
        <v>155.87200000000001</v>
      </c>
      <c r="M66">
        <v>155.63999999999999</v>
      </c>
      <c r="N66">
        <v>27.312000000000001</v>
      </c>
      <c r="O66">
        <v>27.544</v>
      </c>
      <c r="R66">
        <v>17.317</v>
      </c>
      <c r="S66">
        <v>17.334</v>
      </c>
      <c r="T66">
        <v>37.805</v>
      </c>
      <c r="U66">
        <v>38.372999999999998</v>
      </c>
      <c r="W66">
        <v>1.6E-2</v>
      </c>
      <c r="X66">
        <v>-0.35199999999999998</v>
      </c>
      <c r="Z66">
        <v>-2.8000000000000001E-2</v>
      </c>
      <c r="AA66">
        <v>-0.10100000000000001</v>
      </c>
      <c r="AB66">
        <v>-0.27700000000000002</v>
      </c>
      <c r="AC66">
        <v>-0.35199999999999998</v>
      </c>
      <c r="AD66">
        <v>1.6E-2</v>
      </c>
      <c r="AE66">
        <v>-0.23499999999999999</v>
      </c>
      <c r="AF66">
        <v>-8.1000000000000003E-2</v>
      </c>
      <c r="AG66">
        <v>-0.10100000000000001</v>
      </c>
      <c r="AH66">
        <v>-2.8000000000000001E-2</v>
      </c>
      <c r="AI66">
        <v>-0.03</v>
      </c>
    </row>
    <row r="67" spans="1:35" x14ac:dyDescent="0.25">
      <c r="A67" t="s">
        <v>1845</v>
      </c>
      <c r="B67" t="s">
        <v>32</v>
      </c>
      <c r="C67" s="25">
        <v>43706.06759259259</v>
      </c>
      <c r="D67" s="25" t="s">
        <v>969</v>
      </c>
      <c r="E67" s="424">
        <f t="array" ref="E67">SUMPRODUCT(IF(AMP1_8[[#This Row],[Dim 1_1]:[T 8]]-$F$4:$AI$4&lt;0,1,0)+IF($F$5:$AI$5-AMP1_8[[#This Row],[Dim 1_1]:[T 8]]&lt;0,1,0),IF(ISNUMBER(AMP1_8[[#This Row],[Dim 1_1]:[T 8]])=TRUE,1,0))</f>
        <v>0</v>
      </c>
      <c r="F67">
        <v>41.274999999999999</v>
      </c>
      <c r="G67">
        <v>41.31</v>
      </c>
      <c r="H67">
        <v>155.77799999999999</v>
      </c>
      <c r="I67">
        <v>155.804</v>
      </c>
      <c r="L67">
        <v>155.779</v>
      </c>
      <c r="M67">
        <v>155.696</v>
      </c>
      <c r="N67">
        <v>27.431000000000001</v>
      </c>
      <c r="O67">
        <v>27.582999999999998</v>
      </c>
      <c r="R67">
        <v>17.146000000000001</v>
      </c>
      <c r="S67">
        <v>17.065000000000001</v>
      </c>
      <c r="T67">
        <v>33.872</v>
      </c>
      <c r="U67">
        <v>34.146999999999998</v>
      </c>
      <c r="W67">
        <v>3.5000000000000003E-2</v>
      </c>
      <c r="X67">
        <v>-0.20899999999999999</v>
      </c>
      <c r="Z67">
        <v>6.5000000000000002E-2</v>
      </c>
      <c r="AA67">
        <v>-8.3000000000000004E-2</v>
      </c>
      <c r="AB67">
        <v>-0.151</v>
      </c>
      <c r="AC67">
        <v>-0.17499999999999999</v>
      </c>
      <c r="AD67">
        <v>3.5000000000000003E-2</v>
      </c>
      <c r="AE67">
        <v>-0.20899999999999999</v>
      </c>
      <c r="AF67">
        <v>-8.3000000000000004E-2</v>
      </c>
      <c r="AG67">
        <v>-4.1000000000000002E-2</v>
      </c>
      <c r="AH67">
        <v>6.5000000000000002E-2</v>
      </c>
      <c r="AI67">
        <v>2.7E-2</v>
      </c>
    </row>
    <row r="68" spans="1:35" ht="15" customHeight="1" x14ac:dyDescent="0.25">
      <c r="A68" t="s">
        <v>1846</v>
      </c>
      <c r="B68" t="s">
        <v>31</v>
      </c>
      <c r="C68" s="25">
        <v>43706.069444444445</v>
      </c>
      <c r="D68" s="25" t="s">
        <v>969</v>
      </c>
      <c r="E68" s="424">
        <f t="array" ref="E68">SUMPRODUCT(IF(AMP1_8[[#This Row],[Dim 1_1]:[T 8]]-$F$4:$AI$4&lt;0,1,0)+IF($F$5:$AI$5-AMP1_8[[#This Row],[Dim 1_1]:[T 8]]&lt;0,1,0),IF(ISNUMBER(AMP1_8[[#This Row],[Dim 1_1]:[T 8]])=TRUE,1,0))</f>
        <v>0</v>
      </c>
      <c r="H68">
        <v>155.68700000000001</v>
      </c>
      <c r="I68">
        <v>155.607</v>
      </c>
      <c r="J68">
        <v>168.547</v>
      </c>
      <c r="K68">
        <v>168.43100000000001</v>
      </c>
      <c r="L68">
        <v>155.80699999999999</v>
      </c>
      <c r="M68">
        <v>155.58199999999999</v>
      </c>
      <c r="N68">
        <v>27.349</v>
      </c>
      <c r="O68">
        <v>27.564</v>
      </c>
      <c r="R68">
        <v>17.32</v>
      </c>
      <c r="S68">
        <v>17.38</v>
      </c>
      <c r="T68">
        <v>37.606999999999999</v>
      </c>
      <c r="U68">
        <v>38.247</v>
      </c>
      <c r="W68">
        <v>3.5000000000000003E-2</v>
      </c>
      <c r="X68">
        <v>-0.27700000000000002</v>
      </c>
      <c r="Z68">
        <v>-1.6E-2</v>
      </c>
      <c r="AA68">
        <v>-0.06</v>
      </c>
      <c r="AB68">
        <v>-0.217</v>
      </c>
      <c r="AC68">
        <v>-0.27700000000000002</v>
      </c>
      <c r="AD68">
        <v>3.5000000000000003E-2</v>
      </c>
      <c r="AE68">
        <v>-0.245</v>
      </c>
      <c r="AF68">
        <v>-4.2000000000000003E-2</v>
      </c>
      <c r="AG68">
        <v>-0.06</v>
      </c>
      <c r="AH68">
        <v>-1.6E-2</v>
      </c>
      <c r="AI68">
        <v>-3.4000000000000002E-2</v>
      </c>
    </row>
    <row r="69" spans="1:35" x14ac:dyDescent="0.25">
      <c r="A69" t="s">
        <v>2194</v>
      </c>
      <c r="B69" t="s">
        <v>32</v>
      </c>
      <c r="C69" s="25">
        <v>43706.384479166663</v>
      </c>
      <c r="D69" s="25" t="s">
        <v>969</v>
      </c>
      <c r="E69" s="424">
        <f t="array" ref="E69">SUMPRODUCT(IF(AMP1_8[[#This Row],[Dim 1_1]:[T 8]]-$F$4:$AI$4&lt;0,1,0)+IF($F$5:$AI$5-AMP1_8[[#This Row],[Dim 1_1]:[T 8]]&lt;0,1,0),IF(ISNUMBER(AMP1_8[[#This Row],[Dim 1_1]:[T 8]])=TRUE,1,0))</f>
        <v>0</v>
      </c>
      <c r="F69">
        <v>41.277000000000001</v>
      </c>
      <c r="G69">
        <v>41.3</v>
      </c>
      <c r="H69">
        <v>155.71600000000001</v>
      </c>
      <c r="I69">
        <v>155.738</v>
      </c>
      <c r="L69">
        <v>155.73599999999999</v>
      </c>
      <c r="M69">
        <v>155.66399999999999</v>
      </c>
      <c r="N69">
        <v>27.483000000000001</v>
      </c>
      <c r="O69">
        <v>27.62</v>
      </c>
      <c r="R69">
        <v>17.131</v>
      </c>
      <c r="S69">
        <v>16.991</v>
      </c>
      <c r="T69">
        <v>33.767000000000003</v>
      </c>
      <c r="U69">
        <v>34.127000000000002</v>
      </c>
      <c r="W69">
        <v>6.9000000000000006E-2</v>
      </c>
      <c r="X69">
        <v>-0.15</v>
      </c>
      <c r="Z69">
        <v>6.9000000000000006E-2</v>
      </c>
      <c r="AA69">
        <v>-6.9000000000000006E-2</v>
      </c>
      <c r="AB69">
        <v>-7.4999999999999997E-2</v>
      </c>
      <c r="AC69">
        <v>-0.14399999999999999</v>
      </c>
      <c r="AD69">
        <v>6.9000000000000006E-2</v>
      </c>
      <c r="AE69">
        <v>-0.15</v>
      </c>
      <c r="AF69">
        <v>-6.9000000000000006E-2</v>
      </c>
      <c r="AG69">
        <v>-4.2000000000000003E-2</v>
      </c>
      <c r="AH69">
        <v>6.9000000000000006E-2</v>
      </c>
      <c r="AI69">
        <v>2.4E-2</v>
      </c>
    </row>
    <row r="70" spans="1:35" ht="15" customHeight="1" x14ac:dyDescent="0.25">
      <c r="A70" t="s">
        <v>2195</v>
      </c>
      <c r="B70" t="s">
        <v>31</v>
      </c>
      <c r="C70" s="25">
        <v>43706.386550925927</v>
      </c>
      <c r="D70" s="25" t="s">
        <v>969</v>
      </c>
      <c r="E70" s="424">
        <f t="array" ref="E70">SUMPRODUCT(IF(AMP1_8[[#This Row],[Dim 1_1]:[T 8]]-$F$4:$AI$4&lt;0,1,0)+IF($F$5:$AI$5-AMP1_8[[#This Row],[Dim 1_1]:[T 8]]&lt;0,1,0),IF(ISNUMBER(AMP1_8[[#This Row],[Dim 1_1]:[T 8]])=TRUE,1,0))</f>
        <v>0</v>
      </c>
      <c r="H70">
        <v>155.71899999999999</v>
      </c>
      <c r="I70">
        <v>155.69200000000001</v>
      </c>
      <c r="J70">
        <v>168.53399999999999</v>
      </c>
      <c r="K70">
        <v>168.566</v>
      </c>
      <c r="L70">
        <v>155.81700000000001</v>
      </c>
      <c r="M70">
        <v>155.57900000000001</v>
      </c>
      <c r="N70">
        <v>27.355</v>
      </c>
      <c r="O70">
        <v>27.571999999999999</v>
      </c>
      <c r="R70">
        <v>17.356999999999999</v>
      </c>
      <c r="S70">
        <v>17.405999999999999</v>
      </c>
      <c r="T70">
        <v>39.646000000000001</v>
      </c>
      <c r="U70">
        <v>39.865000000000002</v>
      </c>
      <c r="W70">
        <v>7.0000000000000001E-3</v>
      </c>
      <c r="X70">
        <v>-0.28100000000000003</v>
      </c>
      <c r="Z70">
        <v>-4.3999999999999997E-2</v>
      </c>
      <c r="AA70">
        <v>-8.1000000000000003E-2</v>
      </c>
      <c r="AB70">
        <v>-0.20200000000000001</v>
      </c>
      <c r="AC70">
        <v>-0.28100000000000003</v>
      </c>
      <c r="AD70">
        <v>7.0000000000000001E-3</v>
      </c>
      <c r="AE70">
        <v>-0.25900000000000001</v>
      </c>
      <c r="AF70">
        <v>-4.3999999999999997E-2</v>
      </c>
      <c r="AG70">
        <v>-8.1000000000000003E-2</v>
      </c>
      <c r="AH70">
        <v>-6.2E-2</v>
      </c>
      <c r="AI70">
        <v>-5.8000000000000003E-2</v>
      </c>
    </row>
    <row r="71" spans="1:35" x14ac:dyDescent="0.25">
      <c r="A71" t="s">
        <v>2254</v>
      </c>
      <c r="B71" t="s">
        <v>32</v>
      </c>
      <c r="C71" s="25">
        <v>43706.565821759257</v>
      </c>
      <c r="D71" s="25" t="s">
        <v>2238</v>
      </c>
      <c r="E71" s="424">
        <f t="array" ref="E71">SUMPRODUCT(IF(AMP1_8[[#This Row],[Dim 1_1]:[T 8]]-$F$4:$AI$4&lt;0,1,0)+IF($F$5:$AI$5-AMP1_8[[#This Row],[Dim 1_1]:[T 8]]&lt;0,1,0),IF(ISNUMBER(AMP1_8[[#This Row],[Dim 1_1]:[T 8]])=TRUE,1,0))</f>
        <v>0</v>
      </c>
      <c r="F71">
        <v>41.362000000000002</v>
      </c>
      <c r="G71">
        <v>41.552999999999997</v>
      </c>
      <c r="H71">
        <v>155.82599999999999</v>
      </c>
      <c r="I71">
        <v>155.857</v>
      </c>
      <c r="L71">
        <v>155.834</v>
      </c>
      <c r="M71">
        <v>155.77099999999999</v>
      </c>
      <c r="N71">
        <v>27.391999999999999</v>
      </c>
      <c r="O71">
        <v>27.533000000000001</v>
      </c>
      <c r="R71">
        <v>17.152999999999999</v>
      </c>
      <c r="S71">
        <v>16.997</v>
      </c>
      <c r="T71">
        <v>33.883000000000003</v>
      </c>
      <c r="U71">
        <v>33.820999999999998</v>
      </c>
      <c r="W71">
        <v>3.4000000000000002E-2</v>
      </c>
      <c r="X71">
        <v>-0.23</v>
      </c>
      <c r="Z71">
        <v>5.6000000000000001E-2</v>
      </c>
      <c r="AA71">
        <v>-0.124</v>
      </c>
      <c r="AB71">
        <v>-0.153</v>
      </c>
      <c r="AC71">
        <v>-0.23</v>
      </c>
      <c r="AD71">
        <v>3.4000000000000002E-2</v>
      </c>
      <c r="AE71">
        <v>-0.22500000000000001</v>
      </c>
      <c r="AF71">
        <v>-0.124</v>
      </c>
      <c r="AG71">
        <v>-9.2999999999999999E-2</v>
      </c>
      <c r="AH71">
        <v>5.6000000000000001E-2</v>
      </c>
      <c r="AI71">
        <v>-1.7999999999999999E-2</v>
      </c>
    </row>
    <row r="72" spans="1:35" ht="15" customHeight="1" x14ac:dyDescent="0.25">
      <c r="A72" t="s">
        <v>2255</v>
      </c>
      <c r="B72" t="s">
        <v>31</v>
      </c>
      <c r="C72" s="25">
        <v>43706.567939814813</v>
      </c>
      <c r="D72" s="25" t="s">
        <v>2238</v>
      </c>
      <c r="E72" s="424">
        <f t="array" ref="E72">SUMPRODUCT(IF(AMP1_8[[#This Row],[Dim 1_1]:[T 8]]-$F$4:$AI$4&lt;0,1,0)+IF($F$5:$AI$5-AMP1_8[[#This Row],[Dim 1_1]:[T 8]]&lt;0,1,0),IF(ISNUMBER(AMP1_8[[#This Row],[Dim 1_1]:[T 8]])=TRUE,1,0))</f>
        <v>0</v>
      </c>
      <c r="H72">
        <v>155.721</v>
      </c>
      <c r="I72">
        <v>155.709</v>
      </c>
      <c r="J72">
        <v>168.57900000000001</v>
      </c>
      <c r="K72">
        <v>168.61500000000001</v>
      </c>
      <c r="L72">
        <v>155.91399999999999</v>
      </c>
      <c r="M72">
        <v>155.65199999999999</v>
      </c>
      <c r="N72">
        <v>27.271999999999998</v>
      </c>
      <c r="O72">
        <v>27.533000000000001</v>
      </c>
      <c r="R72">
        <v>17.303000000000001</v>
      </c>
      <c r="S72">
        <v>17.346</v>
      </c>
      <c r="T72">
        <v>37.651000000000003</v>
      </c>
      <c r="U72">
        <v>39.978000000000002</v>
      </c>
      <c r="W72">
        <v>-1.2999999999999999E-2</v>
      </c>
      <c r="X72">
        <v>-0.34100000000000003</v>
      </c>
      <c r="Z72">
        <v>0.154</v>
      </c>
      <c r="AA72">
        <v>7.0999999999999994E-2</v>
      </c>
      <c r="AB72">
        <v>-0.27400000000000002</v>
      </c>
      <c r="AC72">
        <v>-0.34100000000000003</v>
      </c>
      <c r="AD72">
        <v>-1.2999999999999999E-2</v>
      </c>
      <c r="AE72">
        <v>-0.23599999999999999</v>
      </c>
      <c r="AF72">
        <v>0.11700000000000001</v>
      </c>
      <c r="AG72">
        <v>7.0999999999999994E-2</v>
      </c>
      <c r="AH72">
        <v>0.154</v>
      </c>
      <c r="AI72">
        <v>0.13400000000000001</v>
      </c>
    </row>
    <row r="73" spans="1:35" x14ac:dyDescent="0.25">
      <c r="A73" t="s">
        <v>2256</v>
      </c>
      <c r="B73" t="s">
        <v>32</v>
      </c>
      <c r="C73" s="25">
        <v>43706.70107638889</v>
      </c>
      <c r="D73" s="25" t="s">
        <v>2238</v>
      </c>
      <c r="E73" s="424">
        <f t="array" ref="E73">SUMPRODUCT(IF(AMP1_8[[#This Row],[Dim 1_1]:[T 8]]-$F$4:$AI$4&lt;0,1,0)+IF($F$5:$AI$5-AMP1_8[[#This Row],[Dim 1_1]:[T 8]]&lt;0,1,0),IF(ISNUMBER(AMP1_8[[#This Row],[Dim 1_1]:[T 8]])=TRUE,1,0))</f>
        <v>0</v>
      </c>
      <c r="F73">
        <v>41.204000000000001</v>
      </c>
      <c r="G73">
        <v>41.246000000000002</v>
      </c>
      <c r="H73">
        <v>155.91300000000001</v>
      </c>
      <c r="I73">
        <v>155.90899999999999</v>
      </c>
      <c r="L73">
        <v>155.93700000000001</v>
      </c>
      <c r="M73">
        <v>155.86199999999999</v>
      </c>
      <c r="N73">
        <v>27.228000000000002</v>
      </c>
      <c r="O73">
        <v>27.422999999999998</v>
      </c>
      <c r="R73">
        <v>17.084</v>
      </c>
      <c r="S73">
        <v>17.029</v>
      </c>
      <c r="T73">
        <v>33.726999999999997</v>
      </c>
      <c r="U73">
        <v>34.018999999999998</v>
      </c>
      <c r="W73">
        <v>-0.17</v>
      </c>
      <c r="X73">
        <v>-0.35399999999999998</v>
      </c>
      <c r="Z73">
        <v>-0.105</v>
      </c>
      <c r="AA73">
        <v>-0.22800000000000001</v>
      </c>
      <c r="AB73">
        <v>-0.28499999999999998</v>
      </c>
      <c r="AC73">
        <v>-0.33300000000000002</v>
      </c>
      <c r="AD73">
        <v>-0.17</v>
      </c>
      <c r="AE73">
        <v>-0.35399999999999998</v>
      </c>
      <c r="AF73">
        <v>-0.22800000000000001</v>
      </c>
      <c r="AG73">
        <v>-0.17799999999999999</v>
      </c>
      <c r="AH73">
        <v>-0.105</v>
      </c>
      <c r="AI73">
        <v>-0.14299999999999999</v>
      </c>
    </row>
    <row r="74" spans="1:35" ht="15" customHeight="1" x14ac:dyDescent="0.25">
      <c r="A74" t="s">
        <v>2257</v>
      </c>
      <c r="B74" t="s">
        <v>31</v>
      </c>
      <c r="C74" s="25">
        <v>43706.703159722223</v>
      </c>
      <c r="D74" s="25" t="s">
        <v>2238</v>
      </c>
      <c r="E74" s="424">
        <f t="array" ref="E74">SUMPRODUCT(IF(AMP1_8[[#This Row],[Dim 1_1]:[T 8]]-$F$4:$AI$4&lt;0,1,0)+IF($F$5:$AI$5-AMP1_8[[#This Row],[Dim 1_1]:[T 8]]&lt;0,1,0),IF(ISNUMBER(AMP1_8[[#This Row],[Dim 1_1]:[T 8]])=TRUE,1,0))</f>
        <v>0</v>
      </c>
      <c r="H74">
        <v>155.89599999999999</v>
      </c>
      <c r="I74">
        <v>155.82599999999999</v>
      </c>
      <c r="J74">
        <v>168.56299999999999</v>
      </c>
      <c r="K74">
        <v>168.61699999999999</v>
      </c>
      <c r="L74">
        <v>155.97399999999999</v>
      </c>
      <c r="M74">
        <v>155.70099999999999</v>
      </c>
      <c r="N74">
        <v>27.273</v>
      </c>
      <c r="O74">
        <v>27.515999999999998</v>
      </c>
      <c r="R74">
        <v>17.324000000000002</v>
      </c>
      <c r="S74">
        <v>17.32</v>
      </c>
      <c r="T74">
        <v>38.031999999999996</v>
      </c>
      <c r="U74">
        <v>38.561999999999998</v>
      </c>
      <c r="W74">
        <v>-5.2999999999999999E-2</v>
      </c>
      <c r="X74">
        <v>-0.41</v>
      </c>
      <c r="Z74">
        <v>-9.0999999999999998E-2</v>
      </c>
      <c r="AA74">
        <v>-0.23</v>
      </c>
      <c r="AB74">
        <v>-0.34899999999999998</v>
      </c>
      <c r="AC74">
        <v>-0.41</v>
      </c>
      <c r="AD74">
        <v>-5.2999999999999999E-2</v>
      </c>
      <c r="AE74">
        <v>-0.26500000000000001</v>
      </c>
      <c r="AF74">
        <v>-0.23</v>
      </c>
      <c r="AG74">
        <v>-0.22500000000000001</v>
      </c>
      <c r="AH74">
        <v>-9.0999999999999998E-2</v>
      </c>
      <c r="AI74">
        <v>-0.114</v>
      </c>
    </row>
    <row r="75" spans="1:35" x14ac:dyDescent="0.25">
      <c r="A75" t="s">
        <v>2258</v>
      </c>
      <c r="B75" t="s">
        <v>32</v>
      </c>
      <c r="C75" s="25">
        <v>43706.808506944442</v>
      </c>
      <c r="D75" s="25" t="s">
        <v>2238</v>
      </c>
      <c r="E75" s="424">
        <f t="array" ref="E75">SUMPRODUCT(IF(AMP1_8[[#This Row],[Dim 1_1]:[T 8]]-$F$4:$AI$4&lt;0,1,0)+IF($F$5:$AI$5-AMP1_8[[#This Row],[Dim 1_1]:[T 8]]&lt;0,1,0),IF(ISNUMBER(AMP1_8[[#This Row],[Dim 1_1]:[T 8]])=TRUE,1,0))</f>
        <v>0</v>
      </c>
      <c r="F75">
        <v>41.258000000000003</v>
      </c>
      <c r="G75">
        <v>41.104999999999997</v>
      </c>
      <c r="H75">
        <v>155.88800000000001</v>
      </c>
      <c r="I75">
        <v>155.93299999999999</v>
      </c>
      <c r="L75">
        <v>155.905</v>
      </c>
      <c r="M75">
        <v>155.86000000000001</v>
      </c>
      <c r="N75">
        <v>27.344000000000001</v>
      </c>
      <c r="O75">
        <v>27.518999999999998</v>
      </c>
      <c r="R75">
        <v>17.145</v>
      </c>
      <c r="S75">
        <v>17.018000000000001</v>
      </c>
      <c r="T75">
        <v>33.503999999999998</v>
      </c>
      <c r="U75">
        <v>34.042999999999999</v>
      </c>
      <c r="W75">
        <v>-5.7000000000000002E-2</v>
      </c>
      <c r="X75">
        <v>-0.28899999999999998</v>
      </c>
      <c r="Z75">
        <v>-0.13800000000000001</v>
      </c>
      <c r="AA75">
        <v>-0.28299999999999997</v>
      </c>
      <c r="AB75">
        <v>-0.24299999999999999</v>
      </c>
      <c r="AC75">
        <v>-0.26500000000000001</v>
      </c>
      <c r="AD75">
        <v>-5.7000000000000002E-2</v>
      </c>
      <c r="AE75">
        <v>-0.28899999999999998</v>
      </c>
      <c r="AF75">
        <v>-0.28299999999999997</v>
      </c>
      <c r="AG75">
        <v>-0.214</v>
      </c>
      <c r="AH75">
        <v>-0.13800000000000001</v>
      </c>
      <c r="AI75">
        <v>-0.157</v>
      </c>
    </row>
    <row r="76" spans="1:35" ht="15" customHeight="1" x14ac:dyDescent="0.25">
      <c r="A76" t="s">
        <v>2259</v>
      </c>
      <c r="B76" t="s">
        <v>31</v>
      </c>
      <c r="C76" s="25">
        <v>43706.812754629631</v>
      </c>
      <c r="D76" s="25" t="s">
        <v>2238</v>
      </c>
      <c r="E76" s="424">
        <f t="array" ref="E76">SUMPRODUCT(IF(AMP1_8[[#This Row],[Dim 1_1]:[T 8]]-$F$4:$AI$4&lt;0,1,0)+IF($F$5:$AI$5-AMP1_8[[#This Row],[Dim 1_1]:[T 8]]&lt;0,1,0),IF(ISNUMBER(AMP1_8[[#This Row],[Dim 1_1]:[T 8]])=TRUE,1,0))</f>
        <v>0</v>
      </c>
      <c r="H76">
        <v>155.79400000000001</v>
      </c>
      <c r="I76">
        <v>155.76300000000001</v>
      </c>
      <c r="J76">
        <v>168.63800000000001</v>
      </c>
      <c r="K76">
        <v>168.45699999999999</v>
      </c>
      <c r="L76">
        <v>155.93100000000001</v>
      </c>
      <c r="M76">
        <v>155.72</v>
      </c>
      <c r="N76">
        <v>27.266999999999999</v>
      </c>
      <c r="O76">
        <v>27.481999999999999</v>
      </c>
      <c r="R76">
        <v>17.329999999999998</v>
      </c>
      <c r="S76">
        <v>17.381</v>
      </c>
      <c r="T76">
        <v>39.085999999999999</v>
      </c>
      <c r="U76">
        <v>40.134999999999998</v>
      </c>
      <c r="W76">
        <v>-0.109</v>
      </c>
      <c r="X76">
        <v>-0.43099999999999999</v>
      </c>
      <c r="Z76">
        <v>-0.115</v>
      </c>
      <c r="AA76">
        <v>-0.17699999999999999</v>
      </c>
      <c r="AB76">
        <v>-0.34100000000000003</v>
      </c>
      <c r="AC76">
        <v>-0.43099999999999999</v>
      </c>
      <c r="AD76">
        <v>-0.109</v>
      </c>
      <c r="AE76">
        <v>-0.32900000000000001</v>
      </c>
      <c r="AF76">
        <v>-0.14699999999999999</v>
      </c>
      <c r="AG76">
        <v>-0.17699999999999999</v>
      </c>
      <c r="AH76">
        <v>-0.115</v>
      </c>
      <c r="AI76">
        <v>-0.14099999999999999</v>
      </c>
    </row>
    <row r="77" spans="1:35" x14ac:dyDescent="0.25">
      <c r="A77" t="s">
        <v>2260</v>
      </c>
      <c r="B77" t="s">
        <v>32</v>
      </c>
      <c r="C77" s="25">
        <v>43706.984224537038</v>
      </c>
      <c r="D77" s="25" t="s">
        <v>2238</v>
      </c>
      <c r="E77" s="424">
        <f t="array" ref="E77">SUMPRODUCT(IF(AMP1_8[[#This Row],[Dim 1_1]:[T 8]]-$F$4:$AI$4&lt;0,1,0)+IF($F$5:$AI$5-AMP1_8[[#This Row],[Dim 1_1]:[T 8]]&lt;0,1,0),IF(ISNUMBER(AMP1_8[[#This Row],[Dim 1_1]:[T 8]])=TRUE,1,0))</f>
        <v>0</v>
      </c>
      <c r="F77">
        <v>41.408000000000001</v>
      </c>
      <c r="G77">
        <v>41.341999999999999</v>
      </c>
      <c r="H77">
        <v>155.697</v>
      </c>
      <c r="I77">
        <v>155.75200000000001</v>
      </c>
      <c r="L77">
        <v>155.70099999999999</v>
      </c>
      <c r="M77">
        <v>155.58500000000001</v>
      </c>
      <c r="N77">
        <v>27.515000000000001</v>
      </c>
      <c r="O77">
        <v>27.658999999999999</v>
      </c>
      <c r="R77">
        <v>17.167999999999999</v>
      </c>
      <c r="S77">
        <v>16.984000000000002</v>
      </c>
      <c r="T77">
        <v>33.838000000000001</v>
      </c>
      <c r="U77">
        <v>34.070999999999998</v>
      </c>
      <c r="W77">
        <v>0.41299999999999998</v>
      </c>
      <c r="X77">
        <v>8.0000000000000002E-3</v>
      </c>
      <c r="Z77">
        <v>0.33900000000000002</v>
      </c>
      <c r="AA77">
        <v>-4.4999999999999998E-2</v>
      </c>
      <c r="AB77">
        <v>8.2000000000000003E-2</v>
      </c>
      <c r="AC77">
        <v>8.0000000000000002E-3</v>
      </c>
      <c r="AD77">
        <v>0.41299999999999998</v>
      </c>
      <c r="AE77">
        <v>0.36</v>
      </c>
      <c r="AF77">
        <v>-4.4999999999999998E-2</v>
      </c>
      <c r="AG77">
        <v>-2.1999999999999999E-2</v>
      </c>
      <c r="AH77">
        <v>0.33900000000000002</v>
      </c>
      <c r="AI77">
        <v>0.29199999999999998</v>
      </c>
    </row>
    <row r="78" spans="1:35" ht="15" customHeight="1" x14ac:dyDescent="0.25">
      <c r="A78" t="s">
        <v>2261</v>
      </c>
      <c r="B78" t="s">
        <v>31</v>
      </c>
      <c r="C78" s="25">
        <v>43706.988483796296</v>
      </c>
      <c r="D78" s="25" t="s">
        <v>2238</v>
      </c>
      <c r="E78" s="424">
        <f t="array" ref="E78">SUMPRODUCT(IF(AMP1_8[[#This Row],[Dim 1_1]:[T 8]]-$F$4:$AI$4&lt;0,1,0)+IF($F$5:$AI$5-AMP1_8[[#This Row],[Dim 1_1]:[T 8]]&lt;0,1,0),IF(ISNUMBER(AMP1_8[[#This Row],[Dim 1_1]:[T 8]])=TRUE,1,0))</f>
        <v>0</v>
      </c>
      <c r="H78">
        <v>155.678</v>
      </c>
      <c r="I78">
        <v>155.67699999999999</v>
      </c>
      <c r="J78">
        <v>168.595</v>
      </c>
      <c r="K78">
        <v>168.697</v>
      </c>
      <c r="L78">
        <v>155.82900000000001</v>
      </c>
      <c r="M78">
        <v>155.572</v>
      </c>
      <c r="N78">
        <v>27.326000000000001</v>
      </c>
      <c r="O78">
        <v>27.553000000000001</v>
      </c>
      <c r="R78">
        <v>17.338999999999999</v>
      </c>
      <c r="S78">
        <v>17.373999999999999</v>
      </c>
      <c r="T78">
        <v>36.155000000000001</v>
      </c>
      <c r="U78">
        <v>38.948999999999998</v>
      </c>
      <c r="W78">
        <v>-5.3999999999999999E-2</v>
      </c>
      <c r="X78">
        <v>-0.35</v>
      </c>
      <c r="Z78">
        <v>-5.0999999999999997E-2</v>
      </c>
      <c r="AA78">
        <v>-0.129</v>
      </c>
      <c r="AB78">
        <v>-0.20799999999999999</v>
      </c>
      <c r="AC78">
        <v>-0.29299999999999998</v>
      </c>
      <c r="AD78">
        <v>-5.3999999999999999E-2</v>
      </c>
      <c r="AE78">
        <v>-0.35</v>
      </c>
      <c r="AF78">
        <v>-5.0999999999999997E-2</v>
      </c>
      <c r="AG78">
        <v>-7.3999999999999996E-2</v>
      </c>
      <c r="AH78">
        <v>-0.129</v>
      </c>
      <c r="AI78">
        <v>-0.128</v>
      </c>
    </row>
    <row r="79" spans="1:35" x14ac:dyDescent="0.25">
      <c r="A79" t="s">
        <v>2262</v>
      </c>
      <c r="B79" t="s">
        <v>32</v>
      </c>
      <c r="C79" s="25">
        <v>43707.386874999997</v>
      </c>
      <c r="D79" s="25" t="s">
        <v>2238</v>
      </c>
      <c r="E79" s="424">
        <f t="array" ref="E79">SUMPRODUCT(IF(AMP1_8[[#This Row],[Dim 1_1]:[T 8]]-$F$4:$AI$4&lt;0,1,0)+IF($F$5:$AI$5-AMP1_8[[#This Row],[Dim 1_1]:[T 8]]&lt;0,1,0),IF(ISNUMBER(AMP1_8[[#This Row],[Dim 1_1]:[T 8]])=TRUE,1,0))</f>
        <v>0</v>
      </c>
      <c r="F79">
        <v>41.289000000000001</v>
      </c>
      <c r="G79">
        <v>41.201999999999998</v>
      </c>
      <c r="H79">
        <v>155.76599999999999</v>
      </c>
      <c r="I79">
        <v>155.81299999999999</v>
      </c>
      <c r="L79">
        <v>155.78</v>
      </c>
      <c r="M79">
        <v>155.71100000000001</v>
      </c>
      <c r="N79">
        <v>27.305</v>
      </c>
      <c r="O79">
        <v>27.495000000000001</v>
      </c>
      <c r="R79">
        <v>17.155000000000001</v>
      </c>
      <c r="S79">
        <v>16.995000000000001</v>
      </c>
      <c r="T79">
        <v>33.887999999999998</v>
      </c>
      <c r="U79">
        <v>33.886000000000003</v>
      </c>
      <c r="W79">
        <v>2.9000000000000001E-2</v>
      </c>
      <c r="X79">
        <v>-0.221</v>
      </c>
      <c r="Z79">
        <v>6.5000000000000002E-2</v>
      </c>
      <c r="AA79">
        <v>-0.122</v>
      </c>
      <c r="AB79">
        <v>-0.17499999999999999</v>
      </c>
      <c r="AC79">
        <v>-0.221</v>
      </c>
      <c r="AD79">
        <v>2.9000000000000001E-2</v>
      </c>
      <c r="AE79">
        <v>-8.3000000000000004E-2</v>
      </c>
      <c r="AF79">
        <v>-0.122</v>
      </c>
      <c r="AG79">
        <v>-8.4000000000000005E-2</v>
      </c>
      <c r="AH79">
        <v>5.5E-2</v>
      </c>
      <c r="AI79">
        <v>6.5000000000000002E-2</v>
      </c>
    </row>
    <row r="80" spans="1:35" ht="15" customHeight="1" x14ac:dyDescent="0.25">
      <c r="A80" t="s">
        <v>2263</v>
      </c>
      <c r="B80" t="s">
        <v>31</v>
      </c>
      <c r="C80" s="25">
        <v>43707.389085648145</v>
      </c>
      <c r="D80" s="25" t="s">
        <v>2238</v>
      </c>
      <c r="E80" s="424">
        <f t="array" ref="E80">SUMPRODUCT(IF(AMP1_8[[#This Row],[Dim 1_1]:[T 8]]-$F$4:$AI$4&lt;0,1,0)+IF($F$5:$AI$5-AMP1_8[[#This Row],[Dim 1_1]:[T 8]]&lt;0,1,0),IF(ISNUMBER(AMP1_8[[#This Row],[Dim 1_1]:[T 8]])=TRUE,1,0))</f>
        <v>0</v>
      </c>
      <c r="H80">
        <v>155.73599999999999</v>
      </c>
      <c r="I80">
        <v>155.614</v>
      </c>
      <c r="J80">
        <v>168.55699999999999</v>
      </c>
      <c r="K80">
        <v>168.60300000000001</v>
      </c>
      <c r="L80">
        <v>155.922</v>
      </c>
      <c r="M80">
        <v>155.50399999999999</v>
      </c>
      <c r="N80">
        <v>27.327000000000002</v>
      </c>
      <c r="O80">
        <v>27.571000000000002</v>
      </c>
      <c r="R80">
        <v>17.254999999999999</v>
      </c>
      <c r="S80">
        <v>17.361999999999998</v>
      </c>
      <c r="T80">
        <v>33.009</v>
      </c>
      <c r="U80">
        <v>35.898000000000003</v>
      </c>
      <c r="W80">
        <v>8.5000000000000006E-2</v>
      </c>
      <c r="X80">
        <v>-0.28499999999999998</v>
      </c>
      <c r="Z80">
        <v>-1.6E-2</v>
      </c>
      <c r="AA80">
        <v>-0.109</v>
      </c>
      <c r="AB80">
        <v>-0.2</v>
      </c>
      <c r="AC80">
        <v>-0.28499999999999998</v>
      </c>
      <c r="AD80">
        <v>8.5000000000000006E-2</v>
      </c>
      <c r="AE80">
        <v>-0.20499999999999999</v>
      </c>
      <c r="AF80">
        <v>-3.2000000000000001E-2</v>
      </c>
      <c r="AG80">
        <v>-0.109</v>
      </c>
      <c r="AH80">
        <v>-1.6E-2</v>
      </c>
      <c r="AI80">
        <v>-3.4000000000000002E-2</v>
      </c>
    </row>
    <row r="81" spans="1:35" x14ac:dyDescent="0.25">
      <c r="A81" t="s">
        <v>2436</v>
      </c>
      <c r="B81" t="s">
        <v>32</v>
      </c>
      <c r="C81" s="25">
        <v>43707.473402777781</v>
      </c>
      <c r="D81" s="25" t="s">
        <v>2238</v>
      </c>
      <c r="E81" s="424">
        <f t="array" ref="E81">SUMPRODUCT(IF(AMP1_8[[#This Row],[Dim 1_1]:[T 8]]-$F$4:$AI$4&lt;0,1,0)+IF($F$5:$AI$5-AMP1_8[[#This Row],[Dim 1_1]:[T 8]]&lt;0,1,0),IF(ISNUMBER(AMP1_8[[#This Row],[Dim 1_1]:[T 8]])=TRUE,1,0))</f>
        <v>0</v>
      </c>
      <c r="F81">
        <v>41.372999999999998</v>
      </c>
      <c r="G81">
        <v>41.283000000000001</v>
      </c>
      <c r="H81">
        <v>155.88499999999999</v>
      </c>
      <c r="I81">
        <v>155.90899999999999</v>
      </c>
      <c r="L81">
        <v>155.881</v>
      </c>
      <c r="M81">
        <v>155.803</v>
      </c>
      <c r="N81">
        <v>27.326000000000001</v>
      </c>
      <c r="O81">
        <v>27.483000000000001</v>
      </c>
      <c r="R81">
        <v>17.184999999999999</v>
      </c>
      <c r="S81">
        <v>17.093</v>
      </c>
      <c r="T81">
        <v>33.820999999999998</v>
      </c>
      <c r="U81">
        <v>33.832999999999998</v>
      </c>
      <c r="W81">
        <v>-8.1000000000000003E-2</v>
      </c>
      <c r="X81">
        <v>-0.33400000000000002</v>
      </c>
      <c r="Z81">
        <v>-0.16</v>
      </c>
      <c r="AA81">
        <v>-0.35</v>
      </c>
      <c r="AB81">
        <v>-0.28499999999999998</v>
      </c>
      <c r="AC81">
        <v>-0.33400000000000002</v>
      </c>
      <c r="AD81">
        <v>-8.1000000000000003E-2</v>
      </c>
      <c r="AE81">
        <v>-0.318</v>
      </c>
      <c r="AF81">
        <v>-0.35</v>
      </c>
      <c r="AG81">
        <v>-0.33300000000000002</v>
      </c>
      <c r="AH81">
        <v>-0.16</v>
      </c>
      <c r="AI81">
        <v>-0.193</v>
      </c>
    </row>
    <row r="82" spans="1:35" ht="15" customHeight="1" x14ac:dyDescent="0.25">
      <c r="A82" t="s">
        <v>2437</v>
      </c>
      <c r="B82" t="s">
        <v>31</v>
      </c>
      <c r="C82" s="25">
        <v>43707.476099537038</v>
      </c>
      <c r="D82" s="25" t="s">
        <v>2238</v>
      </c>
      <c r="E82" s="424">
        <f t="array" ref="E82">SUMPRODUCT(IF(AMP1_8[[#This Row],[Dim 1_1]:[T 8]]-$F$4:$AI$4&lt;0,1,0)+IF($F$5:$AI$5-AMP1_8[[#This Row],[Dim 1_1]:[T 8]]&lt;0,1,0),IF(ISNUMBER(AMP1_8[[#This Row],[Dim 1_1]:[T 8]])=TRUE,1,0))</f>
        <v>0</v>
      </c>
      <c r="H82">
        <v>155.762</v>
      </c>
      <c r="I82">
        <v>155.69200000000001</v>
      </c>
      <c r="J82">
        <v>168.67599999999999</v>
      </c>
      <c r="K82">
        <v>168.45099999999999</v>
      </c>
      <c r="L82">
        <v>155.917</v>
      </c>
      <c r="M82">
        <v>155.75299999999999</v>
      </c>
      <c r="N82">
        <v>27.257000000000001</v>
      </c>
      <c r="O82">
        <v>27.419</v>
      </c>
      <c r="R82">
        <v>17.347999999999999</v>
      </c>
      <c r="S82">
        <v>17.335000000000001</v>
      </c>
      <c r="T82">
        <v>37.643000000000001</v>
      </c>
      <c r="U82">
        <v>40.052999999999997</v>
      </c>
      <c r="W82">
        <v>2.3E-2</v>
      </c>
      <c r="X82">
        <v>-0.434</v>
      </c>
      <c r="Z82">
        <v>-2.9000000000000001E-2</v>
      </c>
      <c r="AA82">
        <v>-0.16800000000000001</v>
      </c>
      <c r="AB82">
        <v>-0.36399999999999999</v>
      </c>
      <c r="AC82">
        <v>-0.434</v>
      </c>
      <c r="AD82">
        <v>2.3E-2</v>
      </c>
      <c r="AE82">
        <v>-0.23799999999999999</v>
      </c>
      <c r="AF82">
        <v>-0.16800000000000001</v>
      </c>
      <c r="AG82">
        <v>-0.158</v>
      </c>
      <c r="AH82">
        <v>-2.9000000000000001E-2</v>
      </c>
      <c r="AI82">
        <v>-4.1000000000000002E-2</v>
      </c>
    </row>
    <row r="83" spans="1:35" x14ac:dyDescent="0.25">
      <c r="A83" t="s">
        <v>2438</v>
      </c>
      <c r="B83" t="s">
        <v>32</v>
      </c>
      <c r="C83" s="25">
        <v>43707.640659722223</v>
      </c>
      <c r="D83" s="25" t="s">
        <v>2238</v>
      </c>
      <c r="E83" s="424">
        <f t="array" ref="E83">SUMPRODUCT(IF(AMP1_8[[#This Row],[Dim 1_1]:[T 8]]-$F$4:$AI$4&lt;0,1,0)+IF($F$5:$AI$5-AMP1_8[[#This Row],[Dim 1_1]:[T 8]]&lt;0,1,0),IF(ISNUMBER(AMP1_8[[#This Row],[Dim 1_1]:[T 8]])=TRUE,1,0))</f>
        <v>0</v>
      </c>
      <c r="F83">
        <v>41.378</v>
      </c>
      <c r="G83">
        <v>41.328000000000003</v>
      </c>
      <c r="H83">
        <v>155.834</v>
      </c>
      <c r="I83">
        <v>155.85300000000001</v>
      </c>
      <c r="L83">
        <v>155.857</v>
      </c>
      <c r="M83">
        <v>155.762</v>
      </c>
      <c r="N83">
        <v>27.308</v>
      </c>
      <c r="O83">
        <v>27.495999999999999</v>
      </c>
      <c r="R83">
        <v>17.111999999999998</v>
      </c>
      <c r="S83">
        <v>17.045000000000002</v>
      </c>
      <c r="T83">
        <v>33.682000000000002</v>
      </c>
      <c r="U83">
        <v>34.136000000000003</v>
      </c>
      <c r="W83">
        <v>-2.8000000000000001E-2</v>
      </c>
      <c r="X83">
        <v>-0.28000000000000003</v>
      </c>
      <c r="Z83">
        <v>-5.8999999999999997E-2</v>
      </c>
      <c r="AA83">
        <v>-0.23699999999999999</v>
      </c>
      <c r="AB83">
        <v>-0.25</v>
      </c>
      <c r="AC83">
        <v>-0.26500000000000001</v>
      </c>
      <c r="AD83">
        <v>-2.8000000000000001E-2</v>
      </c>
      <c r="AE83">
        <v>-0.28000000000000003</v>
      </c>
      <c r="AF83">
        <v>-0.23699999999999999</v>
      </c>
      <c r="AG83">
        <v>-0.184</v>
      </c>
      <c r="AH83">
        <v>-5.8999999999999997E-2</v>
      </c>
      <c r="AI83">
        <v>-9.1999999999999998E-2</v>
      </c>
    </row>
    <row r="84" spans="1:35" ht="15" customHeight="1" x14ac:dyDescent="0.25">
      <c r="A84" t="s">
        <v>2439</v>
      </c>
      <c r="B84" t="s">
        <v>31</v>
      </c>
      <c r="C84" s="25">
        <v>43707.642835648148</v>
      </c>
      <c r="D84" s="25" t="s">
        <v>2238</v>
      </c>
      <c r="E84" s="424">
        <f t="array" ref="E84">SUMPRODUCT(IF(AMP1_8[[#This Row],[Dim 1_1]:[T 8]]-$F$4:$AI$4&lt;0,1,0)+IF($F$5:$AI$5-AMP1_8[[#This Row],[Dim 1_1]:[T 8]]&lt;0,1,0),IF(ISNUMBER(AMP1_8[[#This Row],[Dim 1_1]:[T 8]])=TRUE,1,0))</f>
        <v>0</v>
      </c>
      <c r="H84">
        <v>155.78800000000001</v>
      </c>
      <c r="I84">
        <v>155.70400000000001</v>
      </c>
      <c r="J84">
        <v>168.708</v>
      </c>
      <c r="K84">
        <v>168.67</v>
      </c>
      <c r="L84">
        <v>155.94999999999999</v>
      </c>
      <c r="M84">
        <v>155.66900000000001</v>
      </c>
      <c r="N84">
        <v>27.283999999999999</v>
      </c>
      <c r="O84">
        <v>27.518000000000001</v>
      </c>
      <c r="R84">
        <v>17.295999999999999</v>
      </c>
      <c r="S84">
        <v>17.375</v>
      </c>
      <c r="T84">
        <v>39.951999999999998</v>
      </c>
      <c r="U84">
        <v>40.899000000000001</v>
      </c>
      <c r="W84">
        <v>-4.4999999999999998E-2</v>
      </c>
      <c r="X84">
        <v>-0.35</v>
      </c>
      <c r="Z84">
        <v>-0.14799999999999999</v>
      </c>
      <c r="AA84">
        <v>-0.192</v>
      </c>
      <c r="AB84">
        <v>-0.31900000000000001</v>
      </c>
      <c r="AC84">
        <v>-0.35</v>
      </c>
      <c r="AD84">
        <v>-4.4999999999999998E-2</v>
      </c>
      <c r="AE84">
        <v>-0.28100000000000003</v>
      </c>
      <c r="AF84">
        <v>-0.17699999999999999</v>
      </c>
      <c r="AG84">
        <v>-0.192</v>
      </c>
      <c r="AH84">
        <v>-0.152</v>
      </c>
      <c r="AI84">
        <v>-0.14799999999999999</v>
      </c>
    </row>
    <row r="85" spans="1:35" x14ac:dyDescent="0.25">
      <c r="A85" t="s">
        <v>2654</v>
      </c>
      <c r="B85" t="s">
        <v>32</v>
      </c>
      <c r="C85" s="25">
        <v>43711.734965277778</v>
      </c>
      <c r="D85" s="25" t="s">
        <v>2238</v>
      </c>
      <c r="E85" s="424">
        <f t="array" ref="E85">SUMPRODUCT(IF(AMP1_8[[#This Row],[Dim 1_1]:[T 8]]-$F$4:$AI$4&lt;0,1,0)+IF($F$5:$AI$5-AMP1_8[[#This Row],[Dim 1_1]:[T 8]]&lt;0,1,0),IF(ISNUMBER(AMP1_8[[#This Row],[Dim 1_1]:[T 8]])=TRUE,1,0))</f>
        <v>0</v>
      </c>
      <c r="F85">
        <v>41.524000000000001</v>
      </c>
      <c r="G85">
        <v>41.597999999999999</v>
      </c>
      <c r="H85">
        <v>155.69499999999999</v>
      </c>
      <c r="I85">
        <v>155.63800000000001</v>
      </c>
      <c r="L85">
        <v>155.62799999999999</v>
      </c>
      <c r="M85">
        <v>155.53</v>
      </c>
      <c r="N85">
        <v>27.541</v>
      </c>
      <c r="O85">
        <v>27.780999999999999</v>
      </c>
      <c r="R85">
        <v>17.126000000000001</v>
      </c>
      <c r="S85">
        <v>16.954000000000001</v>
      </c>
      <c r="T85">
        <v>33.832999999999998</v>
      </c>
      <c r="U85">
        <v>33.970999999999997</v>
      </c>
      <c r="W85">
        <v>0.249</v>
      </c>
      <c r="X85">
        <v>1.4999999999999999E-2</v>
      </c>
      <c r="Z85">
        <v>0.121</v>
      </c>
      <c r="AA85">
        <v>1.2E-2</v>
      </c>
      <c r="AB85">
        <v>6.9000000000000006E-2</v>
      </c>
      <c r="AC85">
        <v>1.4999999999999999E-2</v>
      </c>
      <c r="AD85">
        <v>0.249</v>
      </c>
      <c r="AE85">
        <v>0.19600000000000001</v>
      </c>
      <c r="AF85">
        <v>1.2E-2</v>
      </c>
      <c r="AG85">
        <v>0.05</v>
      </c>
      <c r="AH85">
        <v>0.121</v>
      </c>
      <c r="AI85">
        <v>0.108</v>
      </c>
    </row>
    <row r="86" spans="1:35" ht="15" customHeight="1" x14ac:dyDescent="0.25">
      <c r="A86" t="s">
        <v>2655</v>
      </c>
      <c r="B86" t="s">
        <v>31</v>
      </c>
      <c r="C86" s="25">
        <v>43711.738020833334</v>
      </c>
      <c r="D86" s="25" t="s">
        <v>2238</v>
      </c>
      <c r="E86" s="424">
        <f t="array" ref="E86">SUMPRODUCT(IF(AMP1_8[[#This Row],[Dim 1_1]:[T 8]]-$F$4:$AI$4&lt;0,1,0)+IF($F$5:$AI$5-AMP1_8[[#This Row],[Dim 1_1]:[T 8]]&lt;0,1,0),IF(ISNUMBER(AMP1_8[[#This Row],[Dim 1_1]:[T 8]])=TRUE,1,0))</f>
        <v>0</v>
      </c>
      <c r="H86">
        <v>155.535</v>
      </c>
      <c r="I86">
        <v>155.571</v>
      </c>
      <c r="J86">
        <v>168.684</v>
      </c>
      <c r="K86">
        <v>168.934</v>
      </c>
      <c r="L86">
        <v>155.64699999999999</v>
      </c>
      <c r="M86">
        <v>155.49</v>
      </c>
      <c r="N86">
        <v>27.492999999999999</v>
      </c>
      <c r="O86">
        <v>27.638999999999999</v>
      </c>
      <c r="R86">
        <v>17.329000000000001</v>
      </c>
      <c r="S86">
        <v>17.373999999999999</v>
      </c>
      <c r="T86">
        <v>37.142000000000003</v>
      </c>
      <c r="U86">
        <v>40.238999999999997</v>
      </c>
      <c r="W86">
        <v>-0.20200000000000001</v>
      </c>
      <c r="X86">
        <v>-0.36599999999999999</v>
      </c>
      <c r="Z86">
        <v>-5.0999999999999997E-2</v>
      </c>
      <c r="AA86">
        <v>-9.4E-2</v>
      </c>
      <c r="AB86">
        <v>-0.221</v>
      </c>
      <c r="AC86">
        <v>-0.29899999999999999</v>
      </c>
      <c r="AD86">
        <v>-0.20200000000000001</v>
      </c>
      <c r="AE86">
        <v>-0.36599999999999999</v>
      </c>
      <c r="AF86">
        <v>-5.0999999999999997E-2</v>
      </c>
      <c r="AG86">
        <v>-6.7000000000000004E-2</v>
      </c>
      <c r="AH86">
        <v>-7.8E-2</v>
      </c>
      <c r="AI86">
        <v>-9.4E-2</v>
      </c>
    </row>
    <row r="87" spans="1:35" x14ac:dyDescent="0.25">
      <c r="A87" t="s">
        <v>2656</v>
      </c>
      <c r="B87" t="s">
        <v>32</v>
      </c>
      <c r="C87" s="25">
        <v>43711.848865740743</v>
      </c>
      <c r="D87" s="25" t="s">
        <v>2238</v>
      </c>
      <c r="E87" s="424">
        <f t="array" ref="E87">SUMPRODUCT(IF(AMP1_8[[#This Row],[Dim 1_1]:[T 8]]-$F$4:$AI$4&lt;0,1,0)+IF($F$5:$AI$5-AMP1_8[[#This Row],[Dim 1_1]:[T 8]]&lt;0,1,0),IF(ISNUMBER(AMP1_8[[#This Row],[Dim 1_1]:[T 8]])=TRUE,1,0))</f>
        <v>0</v>
      </c>
      <c r="F87">
        <v>41.335000000000001</v>
      </c>
      <c r="G87">
        <v>41.372</v>
      </c>
      <c r="H87">
        <v>155.745</v>
      </c>
      <c r="I87">
        <v>155.702</v>
      </c>
      <c r="L87">
        <v>155.70699999999999</v>
      </c>
      <c r="M87">
        <v>155.572</v>
      </c>
      <c r="N87">
        <v>27.466999999999999</v>
      </c>
      <c r="O87">
        <v>27.704000000000001</v>
      </c>
      <c r="R87">
        <v>17.111999999999998</v>
      </c>
      <c r="S87">
        <v>16.951000000000001</v>
      </c>
      <c r="T87">
        <v>33.598999999999997</v>
      </c>
      <c r="U87">
        <v>34.085000000000001</v>
      </c>
      <c r="W87">
        <v>6.6000000000000003E-2</v>
      </c>
      <c r="X87">
        <v>-0.189</v>
      </c>
      <c r="Z87">
        <v>8.5999999999999993E-2</v>
      </c>
      <c r="AA87">
        <v>-6.6000000000000003E-2</v>
      </c>
      <c r="AB87">
        <v>-0.11899999999999999</v>
      </c>
      <c r="AC87">
        <v>-0.189</v>
      </c>
      <c r="AD87">
        <v>6.6000000000000003E-2</v>
      </c>
      <c r="AE87">
        <v>-5.6000000000000001E-2</v>
      </c>
      <c r="AF87">
        <v>-6.6000000000000003E-2</v>
      </c>
      <c r="AG87">
        <v>-3.7999999999999999E-2</v>
      </c>
      <c r="AH87">
        <v>8.5999999999999993E-2</v>
      </c>
      <c r="AI87">
        <v>4.7E-2</v>
      </c>
    </row>
    <row r="88" spans="1:35" ht="15" customHeight="1" x14ac:dyDescent="0.25">
      <c r="A88" t="s">
        <v>2657</v>
      </c>
      <c r="B88" t="s">
        <v>31</v>
      </c>
      <c r="C88" s="25">
        <v>43711.851400462961</v>
      </c>
      <c r="D88" s="25" t="s">
        <v>2238</v>
      </c>
      <c r="E88" s="424">
        <f t="array" ref="E88">SUMPRODUCT(IF(AMP1_8[[#This Row],[Dim 1_1]:[T 8]]-$F$4:$AI$4&lt;0,1,0)+IF($F$5:$AI$5-AMP1_8[[#This Row],[Dim 1_1]:[T 8]]&lt;0,1,0),IF(ISNUMBER(AMP1_8[[#This Row],[Dim 1_1]:[T 8]])=TRUE,1,0))</f>
        <v>0</v>
      </c>
      <c r="H88">
        <v>155.70400000000001</v>
      </c>
      <c r="I88">
        <v>155.62100000000001</v>
      </c>
      <c r="J88">
        <v>168.51599999999999</v>
      </c>
      <c r="K88">
        <v>168.49299999999999</v>
      </c>
      <c r="L88">
        <v>155.79900000000001</v>
      </c>
      <c r="M88">
        <v>155.583</v>
      </c>
      <c r="N88">
        <v>27.36</v>
      </c>
      <c r="O88">
        <v>27.547999999999998</v>
      </c>
      <c r="R88">
        <v>17.315999999999999</v>
      </c>
      <c r="S88">
        <v>17.364000000000001</v>
      </c>
      <c r="T88">
        <v>36.646999999999998</v>
      </c>
      <c r="U88">
        <v>37.862000000000002</v>
      </c>
      <c r="W88">
        <v>7.4999999999999997E-2</v>
      </c>
      <c r="X88">
        <v>-0.29099999999999998</v>
      </c>
      <c r="Z88">
        <v>-2.1000000000000001E-2</v>
      </c>
      <c r="AA88">
        <v>-9.5000000000000001E-2</v>
      </c>
      <c r="AB88">
        <v>-0.22700000000000001</v>
      </c>
      <c r="AC88">
        <v>-0.29099999999999998</v>
      </c>
      <c r="AD88">
        <v>7.4999999999999997E-2</v>
      </c>
      <c r="AE88">
        <v>-0.18099999999999999</v>
      </c>
      <c r="AF88">
        <v>-8.2000000000000003E-2</v>
      </c>
      <c r="AG88">
        <v>-9.5000000000000001E-2</v>
      </c>
      <c r="AH88">
        <v>-2.1000000000000001E-2</v>
      </c>
      <c r="AI88">
        <v>-4.1000000000000002E-2</v>
      </c>
    </row>
    <row r="89" spans="1:35" x14ac:dyDescent="0.25">
      <c r="A89" t="s">
        <v>2658</v>
      </c>
      <c r="B89" t="s">
        <v>32</v>
      </c>
      <c r="C89" s="25">
        <v>43711.972037037034</v>
      </c>
      <c r="D89" s="25" t="s">
        <v>2238</v>
      </c>
      <c r="E89" s="424">
        <f t="array" ref="E89">SUMPRODUCT(IF(AMP1_8[[#This Row],[Dim 1_1]:[T 8]]-$F$4:$AI$4&lt;0,1,0)+IF($F$5:$AI$5-AMP1_8[[#This Row],[Dim 1_1]:[T 8]]&lt;0,1,0),IF(ISNUMBER(AMP1_8[[#This Row],[Dim 1_1]:[T 8]])=TRUE,1,0))</f>
        <v>0</v>
      </c>
      <c r="F89">
        <v>41.357999999999997</v>
      </c>
      <c r="G89">
        <v>41.319000000000003</v>
      </c>
      <c r="H89">
        <v>155.68899999999999</v>
      </c>
      <c r="I89">
        <v>155.67500000000001</v>
      </c>
      <c r="L89">
        <v>155.71</v>
      </c>
      <c r="M89">
        <v>155.57599999999999</v>
      </c>
      <c r="N89">
        <v>27.518999999999998</v>
      </c>
      <c r="O89">
        <v>27.684000000000001</v>
      </c>
      <c r="R89">
        <v>17.114999999999998</v>
      </c>
      <c r="S89">
        <v>16.93</v>
      </c>
      <c r="T89">
        <v>33.590000000000003</v>
      </c>
      <c r="U89">
        <v>34.100999999999999</v>
      </c>
      <c r="W89">
        <v>4.5999999999999999E-2</v>
      </c>
      <c r="X89">
        <v>-0.157</v>
      </c>
      <c r="Z89">
        <v>6.5000000000000002E-2</v>
      </c>
      <c r="AA89">
        <v>-0.112</v>
      </c>
      <c r="AB89">
        <v>-0.129</v>
      </c>
      <c r="AC89">
        <v>-0.157</v>
      </c>
      <c r="AD89">
        <v>4.5999999999999999E-2</v>
      </c>
      <c r="AE89">
        <v>-2.5999999999999999E-2</v>
      </c>
      <c r="AF89">
        <v>-0.112</v>
      </c>
      <c r="AG89">
        <v>-9.8000000000000004E-2</v>
      </c>
      <c r="AH89">
        <v>6.5000000000000002E-2</v>
      </c>
      <c r="AI89">
        <v>-0.02</v>
      </c>
    </row>
    <row r="90" spans="1:35" ht="15" customHeight="1" x14ac:dyDescent="0.25">
      <c r="A90" t="s">
        <v>2659</v>
      </c>
      <c r="B90" t="s">
        <v>31</v>
      </c>
      <c r="C90" s="25">
        <v>43711.974074074074</v>
      </c>
      <c r="D90" s="25" t="s">
        <v>2238</v>
      </c>
      <c r="E90" s="424">
        <f t="array" ref="E90">SUMPRODUCT(IF(AMP1_8[[#This Row],[Dim 1_1]:[T 8]]-$F$4:$AI$4&lt;0,1,0)+IF($F$5:$AI$5-AMP1_8[[#This Row],[Dim 1_1]:[T 8]]&lt;0,1,0),IF(ISNUMBER(AMP1_8[[#This Row],[Dim 1_1]:[T 8]])=TRUE,1,0))</f>
        <v>0</v>
      </c>
      <c r="H90">
        <v>155.65199999999999</v>
      </c>
      <c r="I90">
        <v>155.66900000000001</v>
      </c>
      <c r="J90">
        <v>168.56700000000001</v>
      </c>
      <c r="K90">
        <v>168.54</v>
      </c>
      <c r="L90">
        <v>155.81700000000001</v>
      </c>
      <c r="M90">
        <v>155.63499999999999</v>
      </c>
      <c r="N90">
        <v>27.337</v>
      </c>
      <c r="O90">
        <v>27.501000000000001</v>
      </c>
      <c r="R90">
        <v>17.323</v>
      </c>
      <c r="S90">
        <v>17.401</v>
      </c>
      <c r="T90">
        <v>37.658999999999999</v>
      </c>
      <c r="U90">
        <v>38.536000000000001</v>
      </c>
      <c r="W90">
        <v>6.0000000000000001E-3</v>
      </c>
      <c r="X90">
        <v>-0.29799999999999999</v>
      </c>
      <c r="Z90">
        <v>-7.9000000000000001E-2</v>
      </c>
      <c r="AA90">
        <v>-0.126</v>
      </c>
      <c r="AB90">
        <v>-0.22500000000000001</v>
      </c>
      <c r="AC90">
        <v>-0.29799999999999999</v>
      </c>
      <c r="AD90">
        <v>6.0000000000000001E-3</v>
      </c>
      <c r="AE90">
        <v>-0.27400000000000002</v>
      </c>
      <c r="AF90">
        <v>-8.2000000000000003E-2</v>
      </c>
      <c r="AG90">
        <v>-9.6000000000000002E-2</v>
      </c>
      <c r="AH90">
        <v>-7.9000000000000001E-2</v>
      </c>
      <c r="AI90">
        <v>-0.126</v>
      </c>
    </row>
    <row r="91" spans="1:35" x14ac:dyDescent="0.25">
      <c r="D91" s="25"/>
      <c r="E91" s="736"/>
    </row>
    <row r="92" spans="1:35" ht="15" customHeight="1" x14ac:dyDescent="0.25">
      <c r="D92" s="25"/>
    </row>
    <row r="93" spans="1:35" x14ac:dyDescent="0.25">
      <c r="D93" s="25"/>
    </row>
    <row r="94" spans="1:35" ht="15" customHeight="1" x14ac:dyDescent="0.25">
      <c r="D94" s="25"/>
    </row>
    <row r="95" spans="1:35" x14ac:dyDescent="0.25">
      <c r="D95" s="25"/>
    </row>
    <row r="96" spans="1:35" ht="15" customHeight="1" x14ac:dyDescent="0.25">
      <c r="D96" s="25"/>
    </row>
    <row r="97" spans="4:4" x14ac:dyDescent="0.25">
      <c r="D97" s="25"/>
    </row>
    <row r="98" spans="4:4" ht="15" customHeight="1" x14ac:dyDescent="0.25">
      <c r="D98" s="25"/>
    </row>
    <row r="99" spans="4:4" x14ac:dyDescent="0.25">
      <c r="D99" s="25"/>
    </row>
    <row r="100" spans="4:4" ht="15" customHeight="1" x14ac:dyDescent="0.25">
      <c r="D100" s="25"/>
    </row>
    <row r="101" spans="4:4" x14ac:dyDescent="0.25">
      <c r="D101" s="25"/>
    </row>
    <row r="102" spans="4:4" ht="15" customHeight="1" x14ac:dyDescent="0.25">
      <c r="D102" s="25"/>
    </row>
    <row r="103" spans="4:4" x14ac:dyDescent="0.25">
      <c r="D103" s="25"/>
    </row>
    <row r="104" spans="4:4" ht="15" customHeight="1" x14ac:dyDescent="0.25">
      <c r="D104" s="25"/>
    </row>
    <row r="105" spans="4:4" x14ac:dyDescent="0.25">
      <c r="D105" s="25"/>
    </row>
    <row r="106" spans="4:4" ht="15" customHeight="1" x14ac:dyDescent="0.25">
      <c r="D106" s="25"/>
    </row>
    <row r="107" spans="4:4" x14ac:dyDescent="0.25">
      <c r="D107" s="25"/>
    </row>
    <row r="108" spans="4:4" ht="15" customHeight="1" x14ac:dyDescent="0.25">
      <c r="D108" s="25"/>
    </row>
    <row r="109" spans="4:4" x14ac:dyDescent="0.25">
      <c r="D109" s="25"/>
    </row>
    <row r="110" spans="4:4" ht="15" customHeight="1" x14ac:dyDescent="0.25">
      <c r="D110" s="25"/>
    </row>
    <row r="111" spans="4:4" x14ac:dyDescent="0.25">
      <c r="D111" s="25"/>
    </row>
    <row r="112" spans="4:4" ht="15" customHeight="1" x14ac:dyDescent="0.25">
      <c r="D112" s="25"/>
    </row>
    <row r="113" spans="4:4" x14ac:dyDescent="0.25">
      <c r="D113" s="25"/>
    </row>
    <row r="114" spans="4:4" ht="15" customHeight="1" x14ac:dyDescent="0.25">
      <c r="D114" s="25"/>
    </row>
    <row r="115" spans="4:4" x14ac:dyDescent="0.25">
      <c r="D115" s="25"/>
    </row>
    <row r="116" spans="4:4" ht="15" customHeight="1" x14ac:dyDescent="0.25">
      <c r="D116" s="25"/>
    </row>
    <row r="117" spans="4:4" x14ac:dyDescent="0.25">
      <c r="D117" s="25"/>
    </row>
    <row r="118" spans="4:4" ht="15" customHeight="1" x14ac:dyDescent="0.25">
      <c r="D118" s="25"/>
    </row>
    <row r="119" spans="4:4" x14ac:dyDescent="0.25">
      <c r="D119" s="25"/>
    </row>
    <row r="120" spans="4:4" ht="15" customHeight="1" x14ac:dyDescent="0.25">
      <c r="D120" s="25"/>
    </row>
    <row r="121" spans="4:4" x14ac:dyDescent="0.25">
      <c r="D121" s="25"/>
    </row>
    <row r="122" spans="4:4" ht="15" customHeight="1" x14ac:dyDescent="0.25">
      <c r="D122" s="25"/>
    </row>
    <row r="123" spans="4:4" x14ac:dyDescent="0.25">
      <c r="D123" s="25"/>
    </row>
    <row r="124" spans="4:4" ht="15" customHeight="1" x14ac:dyDescent="0.25">
      <c r="D124" s="25"/>
    </row>
    <row r="125" spans="4:4" x14ac:dyDescent="0.25">
      <c r="D125" s="25"/>
    </row>
    <row r="126" spans="4:4" ht="15" customHeight="1" x14ac:dyDescent="0.25"/>
    <row r="128" spans="4:4" ht="15" customHeight="1" x14ac:dyDescent="0.25"/>
    <row r="130" ht="15" customHeight="1" x14ac:dyDescent="0.25"/>
    <row r="132" ht="15" customHeight="1" x14ac:dyDescent="0.25"/>
    <row r="134" ht="15" customHeight="1" x14ac:dyDescent="0.25"/>
    <row r="136" ht="15" customHeight="1" x14ac:dyDescent="0.25"/>
    <row r="138" ht="15" customHeight="1" x14ac:dyDescent="0.25"/>
    <row r="140" ht="15" customHeight="1" x14ac:dyDescent="0.25"/>
    <row r="142" ht="15" customHeight="1" x14ac:dyDescent="0.25"/>
    <row r="144" ht="15" customHeight="1" x14ac:dyDescent="0.25"/>
    <row r="146" ht="15" customHeight="1" x14ac:dyDescent="0.25"/>
    <row r="148" ht="15" customHeight="1" x14ac:dyDescent="0.25"/>
    <row r="150" ht="15" customHeight="1" x14ac:dyDescent="0.25"/>
    <row r="152" ht="15" customHeight="1" x14ac:dyDescent="0.25"/>
    <row r="154" ht="15" customHeight="1" x14ac:dyDescent="0.25"/>
    <row r="156" ht="15" customHeight="1" x14ac:dyDescent="0.25"/>
    <row r="158" ht="15" customHeight="1" x14ac:dyDescent="0.25"/>
    <row r="160" ht="15" customHeight="1" x14ac:dyDescent="0.25"/>
    <row r="162" ht="15" customHeight="1" x14ac:dyDescent="0.25"/>
    <row r="164" ht="15" customHeight="1" x14ac:dyDescent="0.25"/>
    <row r="166" ht="15" customHeight="1" x14ac:dyDescent="0.25"/>
    <row r="168" ht="15" customHeight="1" x14ac:dyDescent="0.25"/>
    <row r="170" ht="15" customHeight="1" x14ac:dyDescent="0.25"/>
    <row r="172" ht="15" customHeight="1" x14ac:dyDescent="0.25"/>
    <row r="174" ht="15" customHeight="1" x14ac:dyDescent="0.25"/>
    <row r="176" ht="15" customHeight="1" x14ac:dyDescent="0.25"/>
    <row r="178" ht="15" customHeight="1" x14ac:dyDescent="0.25"/>
    <row r="180" ht="15" customHeight="1" x14ac:dyDescent="0.25"/>
    <row r="182" ht="15" customHeight="1" x14ac:dyDescent="0.25"/>
  </sheetData>
  <mergeCells count="1">
    <mergeCell ref="E1:E2"/>
  </mergeCells>
  <conditionalFormatting sqref="AJ8:XFD8">
    <cfRule type="notContainsBlanks" priority="11">
      <formula>LEN(TRIM(AJ8))&gt;0</formula>
    </cfRule>
  </conditionalFormatting>
  <conditionalFormatting sqref="AJ1:XFD8">
    <cfRule type="notContainsBlanks" priority="15" stopIfTrue="1">
      <formula>LEN(TRIM(AJ1))&gt;0</formula>
    </cfRule>
  </conditionalFormatting>
  <conditionalFormatting sqref="AJ6:XFD7">
    <cfRule type="cellIs" dxfId="238" priority="13" stopIfTrue="1" operator="notBetween">
      <formula>0.35</formula>
      <formula>-0.35</formula>
    </cfRule>
    <cfRule type="cellIs" dxfId="237" priority="14" operator="notBetween">
      <formula>0.2</formula>
      <formula>-0.2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36" priority="10"/>
  </conditionalFormatting>
  <conditionalFormatting sqref="F6:S7 V6:AI7">
    <cfRule type="cellIs" dxfId="235" priority="5" stopIfTrue="1" operator="notBetween">
      <formula>0.35</formula>
      <formula>-0.35</formula>
    </cfRule>
    <cfRule type="cellIs" dxfId="234" priority="6" operator="notBetween">
      <formula>0.2</formula>
      <formula>-0.2</formula>
    </cfRule>
  </conditionalFormatting>
  <conditionalFormatting sqref="E1:E1048576">
    <cfRule type="cellIs" dxfId="233" priority="2" operator="greaterThan">
      <formula>0</formula>
    </cfRule>
  </conditionalFormatting>
  <conditionalFormatting sqref="E1:E8">
    <cfRule type="notContainsBlanks" priority="1" stopIfTrue="1">
      <formula>LEN(TRIM(E1))&gt;0</formula>
    </cfRule>
  </conditionalFormatting>
  <conditionalFormatting sqref="T6:U7">
    <cfRule type="cellIs" dxfId="232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31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F072-9978-4F6D-92F8-272603CAC3EF}">
  <sheetPr codeName="Sheet41">
    <tabColor rgb="FF00B050"/>
  </sheetPr>
  <dimension ref="A1:AI52"/>
  <sheetViews>
    <sheetView workbookViewId="0">
      <pane xSplit="2" ySplit="8" topLeftCell="AI9" activePane="bottomRight" state="frozenSplit"/>
      <selection pane="topRight" activeCell="C1" sqref="C1"/>
      <selection pane="bottomLeft" activeCell="A9" sqref="A9"/>
      <selection pane="bottomRight" activeCell="BP174" sqref="BP174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731" customWidth="1"/>
    <col min="5" max="5" width="15.140625" style="731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MIN(AMP2_2[Date])</f>
        <v>43705.368194444447</v>
      </c>
      <c r="D1" s="310"/>
      <c r="E1" s="794" t="s">
        <v>40</v>
      </c>
      <c r="F1" s="2">
        <f>IFERROR(AVERAGEIFS(AMP2_2[[#All],[Dim 1_1]],AMP2_2[[#All],[Blade Part Number]],$B1,AMP2_2[[#All],[Date]],"&gt;"&amp;$A$1,AMP2_2[[#All],[Date]],"&lt;"&amp;$A$2),"")</f>
        <v>41.388954545454538</v>
      </c>
      <c r="G1" s="2">
        <f>IFERROR(AVERAGEIFS(AMP2_2[[#All],[Dim 1_2]],AMP2_2[[#All],[Blade Part Number]],$B1,AMP2_2[[#All],[Date]],"&gt;"&amp;$A$1,AMP2_2[[#All],[Date]],"&lt;"&amp;$A$2),"")</f>
        <v>41.352772727272729</v>
      </c>
      <c r="H1" s="2">
        <f>IFERROR(AVERAGEIFS(AMP2_2[[#All],[Dim 2_1]],AMP2_2[[#All],[Blade Part Number]],$B1,AMP2_2[[#All],[Date]],"&gt;"&amp;$A$1,AMP2_2[[#All],[Date]],"&lt;"&amp;$A$2),"")</f>
        <v>155.90040909090911</v>
      </c>
      <c r="I1" s="2">
        <f>IFERROR(AVERAGEIFS(AMP2_2[[#All],[Dim 2_2]],AMP2_2[[#All],[Blade Part Number]],$B1,AMP2_2[[#All],[Date]],"&gt;"&amp;$A$1,AMP2_2[[#All],[Date]],"&lt;"&amp;$A$2),"")</f>
        <v>156.0691363636364</v>
      </c>
      <c r="J1" s="2" t="str">
        <f>IFERROR(AVERAGEIFS(AMP2_2[[#All],[Dim 3_1]],AMP2_2[[#All],[Blade Part Number]],$B1,AMP2_2[[#All],[Date]],"&gt;"&amp;$A$1,AMP2_2[[#All],[Date]],"&lt;"&amp;$A$2),"")</f>
        <v/>
      </c>
      <c r="K1" s="2" t="str">
        <f>IFERROR(AVERAGEIFS(AMP2_2[[#All],[Dim 3_2]],AMP2_2[[#All],[Blade Part Number]],$B1,AMP2_2[[#All],[Date]],"&gt;"&amp;$A$1,AMP2_2[[#All],[Date]],"&lt;"&amp;$A$2),"")</f>
        <v/>
      </c>
      <c r="L1" s="2">
        <f>IFERROR(AVERAGEIFS(AMP2_2[[#All],[Dim 4_1]],AMP2_2[[#All],[Blade Part Number]],$B1,AMP2_2[[#All],[Date]],"&gt;"&amp;$A$1,AMP2_2[[#All],[Date]],"&lt;"&amp;$A$2),"")</f>
        <v>155.80513636363636</v>
      </c>
      <c r="M1" s="2">
        <f>IFERROR(AVERAGEIFS(AMP2_2[[#All],[Dim 4_2]],AMP2_2[[#All],[Blade Part Number]],$B1,AMP2_2[[#All],[Date]],"&gt;"&amp;$A$1,AMP2_2[[#All],[Date]],"&lt;"&amp;$A$2),"")</f>
        <v>155.7832727272727</v>
      </c>
      <c r="N1" s="2">
        <f>IFERROR(AVERAGEIFS(AMP2_2[[#All],[Dim 5_1]],AMP2_2[[#All],[Blade Part Number]],$B1,AMP2_2[[#All],[Date]],"&gt;"&amp;$A$1,AMP2_2[[#All],[Date]],"&lt;"&amp;$A$2),"")</f>
        <v>27.424636363636367</v>
      </c>
      <c r="O1" s="2">
        <f>IFERROR(AVERAGEIFS(AMP2_2[[#All],[Dim 5_2]],AMP2_2[[#All],[Blade Part Number]],$B1,AMP2_2[[#All],[Date]],"&gt;"&amp;$A$1,AMP2_2[[#All],[Date]],"&lt;"&amp;$A$2),"")</f>
        <v>27.516909090909095</v>
      </c>
      <c r="P1" s="2" t="str">
        <f>IFERROR(AVERAGEIFS(AMP2_2[[#All],[Dim 6]],AMP2_2[[#All],[Blade Part Number]],$B1,AMP2_2[[#All],[Date]],"&gt;"&amp;$A$1,AMP2_2[[#All],[Date]],"&lt;"&amp;$A$2),"")</f>
        <v/>
      </c>
      <c r="Q1" s="2" t="str">
        <f>IFERROR(AVERAGEIFS(AMP2_2[[#All],[Dim 7]],AMP2_2[[#All],[Blade Part Number]],$B1,AMP2_2[[#All],[Date]],"&gt;"&amp;$A$1,AMP2_2[[#All],[Date]],"&lt;"&amp;$A$2),"")</f>
        <v/>
      </c>
      <c r="R1" s="2">
        <f>IFERROR(AVERAGEIFS(AMP2_2[[#All],[Dim 9_1]],AMP2_2[[#All],[Blade Part Number]],$B1,AMP2_2[[#All],[Date]],"&gt;"&amp;$A$1,AMP2_2[[#All],[Date]],"&lt;"&amp;$A$2),"")</f>
        <v>17.216863636363634</v>
      </c>
      <c r="S1" s="2">
        <f>IFERROR(AVERAGEIFS(AMP2_2[[#All],[Dim 9_2]],AMP2_2[[#All],[Blade Part Number]],$B1,AMP2_2[[#All],[Date]],"&gt;"&amp;$A$1,AMP2_2[[#All],[Date]],"&lt;"&amp;$A$2),"")</f>
        <v>16.984500000000001</v>
      </c>
      <c r="T1" s="2">
        <f>IFERROR(AVERAGEIFS(AMP2_2[[#All],[Dim 10_1]],AMP2_2[[#All],[Blade Part Number]],$B1,AMP2_2[[#All],[Date]],"&gt;"&amp;$A$1,AMP2_2[[#All],[Date]],"&lt;"&amp;$A$2),"")</f>
        <v>33.818590909090908</v>
      </c>
      <c r="U1" s="2">
        <f>IFERROR(AVERAGEIFS(AMP2_2[[#All],[Dim 10_2]],AMP2_2[[#All],[Blade Part Number]],$B1,AMP2_2[[#All],[Date]],"&gt;"&amp;$A$1,AMP2_2[[#All],[Date]],"&lt;"&amp;$A$2),"")</f>
        <v>34.330636363636366</v>
      </c>
      <c r="V1" s="2" t="str">
        <f>IFERROR(AVERAGEIFS(AMP2_2[[#All],[Dim 11]],AMP2_2[[#All],[Blade Part Number]],$B1,AMP2_2[[#All],[Date]],"&gt;"&amp;$A$1,AMP2_2[[#All],[Date]],"&lt;"&amp;$A$2),"")</f>
        <v/>
      </c>
      <c r="W1" s="2">
        <f>IFERROR(AVERAGEIFS(AMP2_2[[#All],[Dim 11 Max]],AMP2_2[[#All],[Blade Part Number]],$B1,AMP2_2[[#All],[Date]],"&gt;"&amp;$A$1,AMP2_2[[#All],[Date]],"&lt;"&amp;$A$2),"")</f>
        <v>0.42231818181818181</v>
      </c>
      <c r="X1" s="2">
        <f>IFERROR(AVERAGEIFS(AMP2_2[[#All],[Dim 11 Min]],AMP2_2[[#All],[Blade Part Number]],$B1,AMP2_2[[#All],[Date]],"&gt;"&amp;$A$1,AMP2_2[[#All],[Date]],"&lt;"&amp;$A$2),"")</f>
        <v>0.23749999999999999</v>
      </c>
      <c r="Y1" s="2" t="str">
        <f>IFERROR(AVERAGEIFS(AMP2_2[[#All],[Dim 12]],AMP2_2[[#All],[Blade Part Number]],$B1,AMP2_2[[#All],[Date]],"&gt;"&amp;$A$1,AMP2_2[[#All],[Date]],"&lt;"&amp;$A$2),"")</f>
        <v/>
      </c>
      <c r="Z1" s="2">
        <f>IFERROR(AVERAGEIFS(AMP2_2[[#All],[Dim 12 Max]],AMP2_2[[#All],[Blade Part Number]],$B1,AMP2_2[[#All],[Date]],"&gt;"&amp;$A$1,AMP2_2[[#All],[Date]],"&lt;"&amp;$A$2),"")</f>
        <v>0.35200000000000004</v>
      </c>
      <c r="AA1" s="2">
        <f>IFERROR(AVERAGEIFS(AMP2_2[[#All],[Dim 12 Min]],AMP2_2[[#All],[Blade Part Number]],$B1,AMP2_2[[#All],[Date]],"&gt;"&amp;$A$1,AMP2_2[[#All],[Date]],"&lt;"&amp;$A$2),"")</f>
        <v>8.4136363636363648E-2</v>
      </c>
      <c r="AB1" s="2">
        <f>IFERROR(AVERAGEIFS(AMP2_2[[#All],[T 1]],AMP2_2[[#All],[Blade Part Number]],$B1,AMP2_2[[#All],[Date]],"&gt;"&amp;$A$1,AMP2_2[[#All],[Date]],"&lt;"&amp;$A$2),"")</f>
        <v>0.2464545454545454</v>
      </c>
      <c r="AC1" s="2">
        <f>IFERROR(AVERAGEIFS(AMP2_2[[#All],[T 2]],AMP2_2[[#All],[Blade Part Number]],$B1,AMP2_2[[#All],[Date]],"&gt;"&amp;$A$1,AMP2_2[[#All],[Date]],"&lt;"&amp;$A$2),"")</f>
        <v>0.27018181818181825</v>
      </c>
      <c r="AD1" s="2">
        <f>IFERROR(AVERAGEIFS(AMP2_2[[#All],[T 3]],AMP2_2[[#All],[Blade Part Number]],$B1,AMP2_2[[#All],[Date]],"&gt;"&amp;$A$1,AMP2_2[[#All],[Date]],"&lt;"&amp;$A$2),"")</f>
        <v>0.32918181818181824</v>
      </c>
      <c r="AE1" s="2">
        <f>IFERROR(AVERAGEIFS(AMP2_2[[#All],[T 4]],AMP2_2[[#All],[Blade Part Number]],$B1,AMP2_2[[#All],[Date]],"&gt;"&amp;$A$1,AMP2_2[[#All],[Date]],"&lt;"&amp;$A$2),"")</f>
        <v>0.42100000000000004</v>
      </c>
      <c r="AF1" s="2">
        <f>IFERROR(AVERAGEIFS(AMP2_2[[#All],[T 5]],AMP2_2[[#All],[Blade Part Number]],$B1,AMP2_2[[#All],[Date]],"&gt;"&amp;$A$1,AMP2_2[[#All],[Date]],"&lt;"&amp;$A$2),"")</f>
        <v>8.4181818181818191E-2</v>
      </c>
      <c r="AG1" s="2">
        <f>IFERROR(AVERAGEIFS(AMP2_2[[#All],[T 6]],AMP2_2[[#All],[Blade Part Number]],$B1,AMP2_2[[#All],[Date]],"&gt;"&amp;$A$1,AMP2_2[[#All],[Date]],"&lt;"&amp;$A$2),"")</f>
        <v>0.11113636363636363</v>
      </c>
      <c r="AH1" s="2">
        <f>IFERROR(AVERAGEIFS(AMP2_2[[#All],[T 7]],AMP2_2[[#All],[Blade Part Number]],$B1,AMP2_2[[#All],[Date]],"&gt;"&amp;$A$1,AMP2_2[[#All],[Date]],"&lt;"&amp;$A$2),"")</f>
        <v>0.31890909090909098</v>
      </c>
      <c r="AI1" s="2">
        <f>IFERROR(AVERAGEIFS(AMP2_2[[#All],[T 8]],AMP2_2[[#All],[Blade Part Number]],$B1,AMP2_2[[#All],[Date]],"&gt;"&amp;$A$1,AMP2_2[[#All],[Date]],"&lt;"&amp;$A$2),"")</f>
        <v>0.35100000000000003</v>
      </c>
    </row>
    <row r="2" spans="1:35" x14ac:dyDescent="0.25">
      <c r="A2" s="1">
        <f>'Offset Solver'!E31</f>
        <v>73050</v>
      </c>
      <c r="B2" s="12" t="s">
        <v>31</v>
      </c>
      <c r="C2" s="25">
        <f>MAX(AMP2_2[Date])</f>
        <v>43708.570173611108</v>
      </c>
      <c r="D2" s="310"/>
      <c r="E2" s="794"/>
      <c r="F2" s="2" t="str">
        <f>IFERROR(AVERAGEIFS(AMP2_2[[#All],[Dim 1_1]],AMP2_2[[#All],[Blade Part Number]],$B2,AMP2_2[[#All],[Date]],"&gt;"&amp;$A$1,AMP2_2[[#All],[Date]],"&lt;"&amp;$A$2),"")</f>
        <v/>
      </c>
      <c r="G2" s="2" t="str">
        <f>IFERROR(AVERAGEIFS(AMP2_2[[#All],[Dim 1_2]],AMP2_2[[#All],[Blade Part Number]],$B2,AMP2_2[[#All],[Date]],"&gt;"&amp;$A$1,AMP2_2[[#All],[Date]],"&lt;"&amp;$A$2),"")</f>
        <v/>
      </c>
      <c r="H2" s="2">
        <f>IFERROR(AVERAGEIFS(AMP2_2[[#All],[Dim 2_1]],AMP2_2[[#All],[Blade Part Number]],$B2,AMP2_2[[#All],[Date]],"&gt;"&amp;$A$1,AMP2_2[[#All],[Date]],"&lt;"&amp;$A$2),"")</f>
        <v>155.66640909090913</v>
      </c>
      <c r="I2" s="2">
        <f>IFERROR(AVERAGEIFS(AMP2_2[[#All],[Dim 2_2]],AMP2_2[[#All],[Blade Part Number]],$B2,AMP2_2[[#All],[Date]],"&gt;"&amp;$A$1,AMP2_2[[#All],[Date]],"&lt;"&amp;$A$2),"")</f>
        <v>155.52627272727275</v>
      </c>
      <c r="J2" s="2">
        <f>IFERROR(AVERAGEIFS(AMP2_2[[#All],[Dim 3_1]],AMP2_2[[#All],[Blade Part Number]],$B2,AMP2_2[[#All],[Date]],"&gt;"&amp;$A$1,AMP2_2[[#All],[Date]],"&lt;"&amp;$A$2),"")</f>
        <v>168.69718181818183</v>
      </c>
      <c r="K2" s="2">
        <f>IFERROR(AVERAGEIFS(AMP2_2[[#All],[Dim 3_2]],AMP2_2[[#All],[Blade Part Number]],$B2,AMP2_2[[#All],[Date]],"&gt;"&amp;$A$1,AMP2_2[[#All],[Date]],"&lt;"&amp;$A$2),"")</f>
        <v>168.80931818181818</v>
      </c>
      <c r="L2" s="2">
        <f>IFERROR(AVERAGEIFS(AMP2_2[[#All],[Dim 4_1]],AMP2_2[[#All],[Blade Part Number]],$B2,AMP2_2[[#All],[Date]],"&gt;"&amp;$A$1,AMP2_2[[#All],[Date]],"&lt;"&amp;$A$2),"")</f>
        <v>155.86736363636365</v>
      </c>
      <c r="M2" s="2">
        <f>IFERROR(AVERAGEIFS(AMP2_2[[#All],[Dim 4_2]],AMP2_2[[#All],[Blade Part Number]],$B2,AMP2_2[[#All],[Date]],"&gt;"&amp;$A$1,AMP2_2[[#All],[Date]],"&lt;"&amp;$A$2),"")</f>
        <v>155.62968181818181</v>
      </c>
      <c r="N2" s="2">
        <f>IFERROR(AVERAGEIFS(AMP2_2[[#All],[Dim 5_1]],AMP2_2[[#All],[Blade Part Number]],$B2,AMP2_2[[#All],[Date]],"&gt;"&amp;$A$1,AMP2_2[[#All],[Date]],"&lt;"&amp;$A$2),"")</f>
        <v>27.368227272727268</v>
      </c>
      <c r="O2" s="2">
        <f>IFERROR(AVERAGEIFS(AMP2_2[[#All],[Dim 5_2]],AMP2_2[[#All],[Blade Part Number]],$B2,AMP2_2[[#All],[Date]],"&gt;"&amp;$A$1,AMP2_2[[#All],[Date]],"&lt;"&amp;$A$2),"")</f>
        <v>27.614363636363635</v>
      </c>
      <c r="P2" s="2" t="str">
        <f>IFERROR(AVERAGEIFS(AMP2_2[[#All],[Dim 6]],AMP2_2[[#All],[Blade Part Number]],$B2,AMP2_2[[#All],[Date]],"&gt;"&amp;$A$1,AMP2_2[[#All],[Date]],"&lt;"&amp;$A$2),"")</f>
        <v/>
      </c>
      <c r="Q2" s="2" t="str">
        <f>IFERROR(AVERAGEIFS(AMP2_2[[#All],[Dim 7]],AMP2_2[[#All],[Blade Part Number]],$B2,AMP2_2[[#All],[Date]],"&gt;"&amp;$A$1,AMP2_2[[#All],[Date]],"&lt;"&amp;$A$2),"")</f>
        <v/>
      </c>
      <c r="R2" s="2">
        <f>IFERROR(AVERAGEIFS(AMP2_2[[#All],[Dim 9_1]],AMP2_2[[#All],[Blade Part Number]],$B2,AMP2_2[[#All],[Date]],"&gt;"&amp;$A$1,AMP2_2[[#All],[Date]],"&lt;"&amp;$A$2),"")</f>
        <v>17.25059090909091</v>
      </c>
      <c r="S2" s="2">
        <f>IFERROR(AVERAGEIFS(AMP2_2[[#All],[Dim 9_2]],AMP2_2[[#All],[Blade Part Number]],$B2,AMP2_2[[#All],[Date]],"&gt;"&amp;$A$1,AMP2_2[[#All],[Date]],"&lt;"&amp;$A$2),"")</f>
        <v>16.593500000000002</v>
      </c>
      <c r="T2" s="2">
        <f>IFERROR(AVERAGEIFS(AMP2_2[[#All],[Dim 10_1]],AMP2_2[[#All],[Blade Part Number]],$B2,AMP2_2[[#All],[Date]],"&gt;"&amp;$A$1,AMP2_2[[#All],[Date]],"&lt;"&amp;$A$2),"")</f>
        <v>37.447499999999984</v>
      </c>
      <c r="U2" s="2">
        <f>IFERROR(AVERAGEIFS(AMP2_2[[#All],[Dim 10_2]],AMP2_2[[#All],[Blade Part Number]],$B2,AMP2_2[[#All],[Date]],"&gt;"&amp;$A$1,AMP2_2[[#All],[Date]],"&lt;"&amp;$A$2),"")</f>
        <v>38.241363636363651</v>
      </c>
      <c r="V2" s="2" t="str">
        <f>IFERROR(AVERAGEIFS(AMP2_2[[#All],[Dim 11]],AMP2_2[[#All],[Blade Part Number]],$B2,AMP2_2[[#All],[Date]],"&gt;"&amp;$A$1,AMP2_2[[#All],[Date]],"&lt;"&amp;$A$2),"")</f>
        <v/>
      </c>
      <c r="W2" s="2">
        <f>IFERROR(AVERAGEIFS(AMP2_2[[#All],[Dim 11 Max]],AMP2_2[[#All],[Blade Part Number]],$B2,AMP2_2[[#All],[Date]],"&gt;"&amp;$A$1,AMP2_2[[#All],[Date]],"&lt;"&amp;$A$2),"")</f>
        <v>0.16931818181818181</v>
      </c>
      <c r="X2" s="2">
        <f>IFERROR(AVERAGEIFS(AMP2_2[[#All],[Dim 11 Min]],AMP2_2[[#All],[Blade Part Number]],$B2,AMP2_2[[#All],[Date]],"&gt;"&amp;$A$1,AMP2_2[[#All],[Date]],"&lt;"&amp;$A$2),"")</f>
        <v>-0.20922727272727271</v>
      </c>
      <c r="Y2" s="2" t="str">
        <f>IFERROR(AVERAGEIFS(AMP2_2[[#All],[Dim 12]],AMP2_2[[#All],[Blade Part Number]],$B2,AMP2_2[[#All],[Date]],"&gt;"&amp;$A$1,AMP2_2[[#All],[Date]],"&lt;"&amp;$A$2),"")</f>
        <v/>
      </c>
      <c r="Z2" s="2">
        <f>IFERROR(AVERAGEIFS(AMP2_2[[#All],[Dim 12 Max]],AMP2_2[[#All],[Blade Part Number]],$B2,AMP2_2[[#All],[Date]],"&gt;"&amp;$A$1,AMP2_2[[#All],[Date]],"&lt;"&amp;$A$2),"")</f>
        <v>0.23913636363636365</v>
      </c>
      <c r="AA2" s="2">
        <f>IFERROR(AVERAGEIFS(AMP2_2[[#All],[Dim 12 Min]],AMP2_2[[#All],[Blade Part Number]],$B2,AMP2_2[[#All],[Date]],"&gt;"&amp;$A$1,AMP2_2[[#All],[Date]],"&lt;"&amp;$A$2),"")</f>
        <v>3.1818181818181897E-3</v>
      </c>
      <c r="AB2" s="2">
        <f>IFERROR(AVERAGEIFS(AMP2_2[[#All],[T 1]],AMP2_2[[#All],[Blade Part Number]],$B2,AMP2_2[[#All],[Date]],"&gt;"&amp;$A$1,AMP2_2[[#All],[Date]],"&lt;"&amp;$A$2),"")</f>
        <v>-4.195454545454546E-2</v>
      </c>
      <c r="AC2" s="2">
        <f>IFERROR(AVERAGEIFS(AMP2_2[[#All],[T 2]],AMP2_2[[#All],[Blade Part Number]],$B2,AMP2_2[[#All],[Date]],"&gt;"&amp;$A$1,AMP2_2[[#All],[Date]],"&lt;"&amp;$A$2),"")</f>
        <v>-0.20336363636363633</v>
      </c>
      <c r="AD2" s="2">
        <f>IFERROR(AVERAGEIFS(AMP2_2[[#All],[T 3]],AMP2_2[[#All],[Blade Part Number]],$B2,AMP2_2[[#All],[Date]],"&gt;"&amp;$A$1,AMP2_2[[#All],[Date]],"&lt;"&amp;$A$2),"")</f>
        <v>0.15368181818181817</v>
      </c>
      <c r="AE2" s="2">
        <f>IFERROR(AVERAGEIFS(AMP2_2[[#All],[T 4]],AMP2_2[[#All],[Blade Part Number]],$B2,AMP2_2[[#All],[Date]],"&gt;"&amp;$A$1,AMP2_2[[#All],[Date]],"&lt;"&amp;$A$2),"")</f>
        <v>-0.10427272727272728</v>
      </c>
      <c r="AF2" s="2">
        <f>IFERROR(AVERAGEIFS(AMP2_2[[#All],[T 5]],AMP2_2[[#All],[Blade Part Number]],$B2,AMP2_2[[#All],[Date]],"&gt;"&amp;$A$1,AMP2_2[[#All],[Date]],"&lt;"&amp;$A$2),"")</f>
        <v>0.21509090909090914</v>
      </c>
      <c r="AG2" s="2">
        <f>IFERROR(AVERAGEIFS(AMP2_2[[#All],[T 6]],AMP2_2[[#All],[Blade Part Number]],$B2,AMP2_2[[#All],[Date]],"&gt;"&amp;$A$1,AMP2_2[[#All],[Date]],"&lt;"&amp;$A$2),"")</f>
        <v>0.2029090909090909</v>
      </c>
      <c r="AH2" s="2">
        <f>IFERROR(AVERAGEIFS(AMP2_2[[#All],[T 7]],AMP2_2[[#All],[Blade Part Number]],$B2,AMP2_2[[#All],[Date]],"&gt;"&amp;$A$1,AMP2_2[[#All],[Date]],"&lt;"&amp;$A$2),"")</f>
        <v>3.0318181818181821E-2</v>
      </c>
      <c r="AI2" s="2">
        <f>IFERROR(AVERAGEIFS(AMP2_2[[#All],[T 8]],AMP2_2[[#All],[Blade Part Number]],$B2,AMP2_2[[#All],[Date]],"&gt;"&amp;$A$1,AMP2_2[[#All],[Date]],"&lt;"&amp;$A$2),"")</f>
        <v>5.0227272727272745E-2</v>
      </c>
    </row>
    <row r="3" spans="1:35" x14ac:dyDescent="0.25">
      <c r="E3" s="72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72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72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8.8954545454541289E-2</v>
      </c>
      <c r="G6" s="11">
        <f t="shared" si="0"/>
        <v>5.2772727272731856E-2</v>
      </c>
      <c r="H6" s="11">
        <f t="shared" si="0"/>
        <v>0.10040909090909622</v>
      </c>
      <c r="I6" s="11">
        <f t="shared" si="0"/>
        <v>0.26913636363639171</v>
      </c>
      <c r="J6" s="11" t="str">
        <f t="shared" si="0"/>
        <v/>
      </c>
      <c r="K6" s="11" t="str">
        <f t="shared" si="0"/>
        <v/>
      </c>
      <c r="L6" s="11">
        <f t="shared" si="0"/>
        <v>5.1363636363532805E-3</v>
      </c>
      <c r="M6" s="11">
        <f t="shared" si="0"/>
        <v>-1.6727272727308673E-2</v>
      </c>
      <c r="N6" s="11">
        <f t="shared" si="0"/>
        <v>2.463636363636823E-2</v>
      </c>
      <c r="O6" s="11">
        <f t="shared" si="0"/>
        <v>0.11690909090909685</v>
      </c>
      <c r="P6" s="11" t="str">
        <f t="shared" si="0"/>
        <v/>
      </c>
      <c r="Q6" s="11" t="str">
        <f t="shared" si="0"/>
        <v/>
      </c>
      <c r="R6" s="11">
        <f t="shared" si="0"/>
        <v>-3.3136363636366184E-2</v>
      </c>
      <c r="S6" s="11">
        <f t="shared" si="0"/>
        <v>-0.2654999999999994</v>
      </c>
      <c r="T6" s="11">
        <f t="shared" si="0"/>
        <v>1.8185909090909078</v>
      </c>
      <c r="U6" s="11">
        <f t="shared" si="0"/>
        <v>2.3306363636363656</v>
      </c>
      <c r="V6" s="11" t="str">
        <f t="shared" si="0"/>
        <v/>
      </c>
      <c r="W6" s="11">
        <f t="shared" si="0"/>
        <v>0.42231818181818181</v>
      </c>
      <c r="X6" s="11">
        <f t="shared" si="0"/>
        <v>0.23749999999999999</v>
      </c>
      <c r="Y6" s="11" t="str">
        <f t="shared" si="0"/>
        <v/>
      </c>
      <c r="Z6" s="11">
        <f t="shared" si="0"/>
        <v>0.35200000000000004</v>
      </c>
      <c r="AA6" s="11">
        <f t="shared" si="0"/>
        <v>8.4136363636363648E-2</v>
      </c>
      <c r="AB6" s="11">
        <f t="shared" si="0"/>
        <v>0.2464545454545454</v>
      </c>
      <c r="AC6" s="11">
        <f t="shared" si="0"/>
        <v>0.27018181818181825</v>
      </c>
      <c r="AD6" s="11">
        <f t="shared" si="0"/>
        <v>0.32918181818181824</v>
      </c>
      <c r="AE6" s="11">
        <f t="shared" si="0"/>
        <v>0.42100000000000004</v>
      </c>
      <c r="AF6" s="11">
        <f t="shared" si="0"/>
        <v>8.4181818181818191E-2</v>
      </c>
      <c r="AG6" s="11">
        <f t="shared" si="0"/>
        <v>0.11113636363636363</v>
      </c>
      <c r="AH6" s="11">
        <f t="shared" si="0"/>
        <v>0.31890909090909098</v>
      </c>
      <c r="AI6" s="11">
        <f t="shared" si="0"/>
        <v>0.35100000000000003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-0.13359090909088422</v>
      </c>
      <c r="I7" s="11">
        <f t="shared" si="1"/>
        <v>-0.27372727272725683</v>
      </c>
      <c r="J7" s="11">
        <f t="shared" si="1"/>
        <v>-2.8181818181565177E-3</v>
      </c>
      <c r="K7" s="11">
        <f t="shared" si="1"/>
        <v>0.10931818181819608</v>
      </c>
      <c r="L7" s="11">
        <f t="shared" si="1"/>
        <v>6.7363636363637625E-2</v>
      </c>
      <c r="M7" s="11">
        <f t="shared" si="1"/>
        <v>-0.17031818181820313</v>
      </c>
      <c r="N7" s="11">
        <f t="shared" si="1"/>
        <v>-3.1772727272731061E-2</v>
      </c>
      <c r="O7" s="11">
        <f t="shared" si="1"/>
        <v>0.21436363636363609</v>
      </c>
      <c r="P7" s="11" t="str">
        <f t="shared" si="1"/>
        <v/>
      </c>
      <c r="Q7" s="11" t="str">
        <f t="shared" si="1"/>
        <v/>
      </c>
      <c r="R7" s="11">
        <f t="shared" si="1"/>
        <v>5.9090909090997457E-4</v>
      </c>
      <c r="S7" s="11">
        <f t="shared" si="1"/>
        <v>-0.65649999999999764</v>
      </c>
      <c r="T7" s="11">
        <f t="shared" si="1"/>
        <v>5.4474999999999838</v>
      </c>
      <c r="U7" s="11">
        <f t="shared" si="1"/>
        <v>6.2413636363636513</v>
      </c>
      <c r="V7" s="11" t="str">
        <f t="shared" si="1"/>
        <v/>
      </c>
      <c r="W7" s="11">
        <f t="shared" si="1"/>
        <v>0.16931818181818181</v>
      </c>
      <c r="X7" s="11">
        <f t="shared" si="1"/>
        <v>-0.20922727272727271</v>
      </c>
      <c r="Y7" s="11" t="str">
        <f t="shared" si="1"/>
        <v/>
      </c>
      <c r="Z7" s="11">
        <f t="shared" si="1"/>
        <v>0.23913636363636365</v>
      </c>
      <c r="AA7" s="11">
        <f t="shared" si="1"/>
        <v>3.1818181818181897E-3</v>
      </c>
      <c r="AB7" s="11">
        <f t="shared" si="1"/>
        <v>-4.195454545454546E-2</v>
      </c>
      <c r="AC7" s="11">
        <f t="shared" si="1"/>
        <v>-0.20336363636363633</v>
      </c>
      <c r="AD7" s="11">
        <f t="shared" si="1"/>
        <v>0.15368181818181817</v>
      </c>
      <c r="AE7" s="11">
        <f t="shared" si="1"/>
        <v>-0.10427272727272728</v>
      </c>
      <c r="AF7" s="11">
        <f t="shared" si="1"/>
        <v>0.21509090909090914</v>
      </c>
      <c r="AG7" s="11">
        <f t="shared" si="1"/>
        <v>0.2029090909090909</v>
      </c>
      <c r="AH7" s="11">
        <f t="shared" si="1"/>
        <v>3.0318181818181821E-2</v>
      </c>
      <c r="AI7" s="11">
        <f t="shared" si="1"/>
        <v>5.0227272727272745E-2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1824</v>
      </c>
      <c r="B9" t="s">
        <v>32</v>
      </c>
      <c r="C9" s="25">
        <v>43705.368194444447</v>
      </c>
      <c r="D9" s="741" t="s">
        <v>969</v>
      </c>
      <c r="E9" s="741">
        <f t="array" ref="E9">SUMPRODUCT(IF(AMP2_2[[#This Row],[Dim 1_1]:[T 8]]-$F$4:$AI$4&lt;0,1,0)+IF($F$5:$AI$5-AMP2_2[[#This Row],[Dim 1_1]:[T 8]]&lt;0,1,0),IF(ISNUMBER(AMP2_2[[#This Row],[Dim 1_1]:[T 8]])=TRUE,1,0))</f>
        <v>0</v>
      </c>
      <c r="F9">
        <v>41.369</v>
      </c>
      <c r="G9">
        <v>41.354999999999997</v>
      </c>
      <c r="H9">
        <v>155.828</v>
      </c>
      <c r="I9">
        <v>155.92599999999999</v>
      </c>
      <c r="L9">
        <v>155.69800000000001</v>
      </c>
      <c r="M9">
        <v>155.63999999999999</v>
      </c>
      <c r="N9">
        <v>27.516999999999999</v>
      </c>
      <c r="O9">
        <v>27.623999999999999</v>
      </c>
      <c r="R9">
        <v>17.215</v>
      </c>
      <c r="S9">
        <v>16.936</v>
      </c>
      <c r="T9">
        <v>33.639000000000003</v>
      </c>
      <c r="U9">
        <v>33.837000000000003</v>
      </c>
      <c r="W9">
        <v>0.56699999999999995</v>
      </c>
      <c r="X9">
        <v>0.33800000000000002</v>
      </c>
      <c r="Z9">
        <v>0.38300000000000001</v>
      </c>
      <c r="AA9">
        <v>0.16900000000000001</v>
      </c>
      <c r="AB9">
        <v>0.33800000000000002</v>
      </c>
      <c r="AC9">
        <v>0.38400000000000001</v>
      </c>
      <c r="AD9">
        <v>0.39800000000000002</v>
      </c>
      <c r="AE9">
        <v>0.56699999999999995</v>
      </c>
      <c r="AF9">
        <v>0.16900000000000001</v>
      </c>
      <c r="AG9">
        <v>0.19900000000000001</v>
      </c>
      <c r="AH9">
        <v>0.35499999999999998</v>
      </c>
      <c r="AI9">
        <v>0.38300000000000001</v>
      </c>
    </row>
    <row r="10" spans="1:35" x14ac:dyDescent="0.25">
      <c r="A10" t="s">
        <v>1825</v>
      </c>
      <c r="B10" t="s">
        <v>31</v>
      </c>
      <c r="C10" s="25">
        <v>43705.370243055557</v>
      </c>
      <c r="D10" s="741" t="s">
        <v>969</v>
      </c>
      <c r="E10" s="741">
        <f t="array" ref="E10">SUMPRODUCT(IF(AMP2_2[[#This Row],[Dim 1_1]:[T 8]]-$F$4:$AI$4&lt;0,1,0)+IF($F$5:$AI$5-AMP2_2[[#This Row],[Dim 1_1]:[T 8]]&lt;0,1,0),IF(ISNUMBER(AMP2_2[[#This Row],[Dim 1_1]:[T 8]])=TRUE,1,0))</f>
        <v>5</v>
      </c>
      <c r="H10">
        <v>155.541</v>
      </c>
      <c r="I10">
        <v>155.483</v>
      </c>
      <c r="J10">
        <v>168.65199999999999</v>
      </c>
      <c r="K10">
        <v>168.59899999999999</v>
      </c>
      <c r="L10">
        <v>155.822</v>
      </c>
      <c r="M10">
        <v>155.624</v>
      </c>
      <c r="N10">
        <v>27.460999999999999</v>
      </c>
      <c r="O10">
        <v>27.67</v>
      </c>
      <c r="R10">
        <v>17.265000000000001</v>
      </c>
      <c r="S10">
        <v>16.626000000000001</v>
      </c>
      <c r="T10">
        <v>36.658999999999999</v>
      </c>
      <c r="U10">
        <v>37.44</v>
      </c>
      <c r="W10">
        <v>0.93400000000000005</v>
      </c>
      <c r="X10">
        <v>8.2000000000000003E-2</v>
      </c>
      <c r="Z10">
        <v>1.0820000000000001</v>
      </c>
      <c r="AA10">
        <v>0.53500000000000003</v>
      </c>
      <c r="AB10">
        <v>0.11600000000000001</v>
      </c>
      <c r="AC10">
        <v>8.2000000000000003E-2</v>
      </c>
      <c r="AD10">
        <v>0.59</v>
      </c>
      <c r="AE10">
        <v>0.93400000000000005</v>
      </c>
      <c r="AF10">
        <v>0.55500000000000005</v>
      </c>
      <c r="AG10">
        <v>0.53500000000000003</v>
      </c>
      <c r="AH10">
        <v>1.054</v>
      </c>
      <c r="AI10">
        <v>1.0820000000000001</v>
      </c>
    </row>
    <row r="11" spans="1:35" x14ac:dyDescent="0.25">
      <c r="A11" t="s">
        <v>1847</v>
      </c>
      <c r="B11" t="s">
        <v>32</v>
      </c>
      <c r="C11" s="25">
        <v>43705.615659722222</v>
      </c>
      <c r="D11" s="741" t="s">
        <v>969</v>
      </c>
      <c r="E11" s="741">
        <f t="array" ref="E11">SUMPRODUCT(IF(AMP2_2[[#This Row],[Dim 1_1]:[T 8]]-$F$4:$AI$4&lt;0,1,0)+IF($F$5:$AI$5-AMP2_2[[#This Row],[Dim 1_1]:[T 8]]&lt;0,1,0),IF(ISNUMBER(AMP2_2[[#This Row],[Dim 1_1]:[T 8]])=TRUE,1,0))</f>
        <v>0</v>
      </c>
      <c r="F11">
        <v>41.427999999999997</v>
      </c>
      <c r="G11">
        <v>41.243000000000002</v>
      </c>
      <c r="H11">
        <v>155.852</v>
      </c>
      <c r="I11">
        <v>155.958</v>
      </c>
      <c r="L11">
        <v>155.75800000000001</v>
      </c>
      <c r="M11">
        <v>155.69399999999999</v>
      </c>
      <c r="N11">
        <v>27.488</v>
      </c>
      <c r="O11">
        <v>27.683</v>
      </c>
      <c r="R11">
        <v>17.213000000000001</v>
      </c>
      <c r="S11">
        <v>16.984000000000002</v>
      </c>
      <c r="T11">
        <v>33.780999999999999</v>
      </c>
      <c r="U11">
        <v>34.122</v>
      </c>
      <c r="W11">
        <v>0.38</v>
      </c>
      <c r="X11">
        <v>0.308</v>
      </c>
      <c r="Z11">
        <v>0.372</v>
      </c>
      <c r="AA11">
        <v>0.17199999999999999</v>
      </c>
      <c r="AB11">
        <v>0.33</v>
      </c>
      <c r="AC11">
        <v>0.308</v>
      </c>
      <c r="AD11">
        <v>0.34799999999999998</v>
      </c>
      <c r="AE11">
        <v>0.38</v>
      </c>
      <c r="AF11">
        <v>0.17199999999999999</v>
      </c>
      <c r="AG11">
        <v>0.217</v>
      </c>
      <c r="AH11">
        <v>0.32800000000000001</v>
      </c>
      <c r="AI11">
        <v>0.372</v>
      </c>
    </row>
    <row r="12" spans="1:35" x14ac:dyDescent="0.25">
      <c r="A12" t="s">
        <v>1848</v>
      </c>
      <c r="B12" t="s">
        <v>31</v>
      </c>
      <c r="C12" s="25">
        <v>43705.617696759262</v>
      </c>
      <c r="D12" s="741" t="s">
        <v>969</v>
      </c>
      <c r="E12" s="741">
        <f t="array" ref="E12">SUMPRODUCT(IF(AMP2_2[[#This Row],[Dim 1_1]:[T 8]]-$F$4:$AI$4&lt;0,1,0)+IF($F$5:$AI$5-AMP2_2[[#This Row],[Dim 1_1]:[T 8]]&lt;0,1,0),IF(ISNUMBER(AMP2_2[[#This Row],[Dim 1_1]:[T 8]])=TRUE,1,0))</f>
        <v>0</v>
      </c>
      <c r="H12">
        <v>155.61000000000001</v>
      </c>
      <c r="I12">
        <v>155.44300000000001</v>
      </c>
      <c r="J12">
        <v>168.68100000000001</v>
      </c>
      <c r="K12">
        <v>168.63499999999999</v>
      </c>
      <c r="L12">
        <v>155.78800000000001</v>
      </c>
      <c r="M12">
        <v>155.57900000000001</v>
      </c>
      <c r="N12">
        <v>27.475999999999999</v>
      </c>
      <c r="O12">
        <v>27.739000000000001</v>
      </c>
      <c r="R12">
        <v>17.265999999999998</v>
      </c>
      <c r="S12">
        <v>16.623999999999999</v>
      </c>
      <c r="T12">
        <v>37.893000000000001</v>
      </c>
      <c r="U12">
        <v>36.353999999999999</v>
      </c>
      <c r="W12">
        <v>0.29099999999999998</v>
      </c>
      <c r="X12">
        <v>-0.10299999999999999</v>
      </c>
      <c r="Z12">
        <v>0.26100000000000001</v>
      </c>
      <c r="AA12">
        <v>5.8000000000000003E-2</v>
      </c>
      <c r="AB12">
        <v>6.9000000000000006E-2</v>
      </c>
      <c r="AC12">
        <v>-0.10299999999999999</v>
      </c>
      <c r="AD12">
        <v>0.29099999999999998</v>
      </c>
      <c r="AE12">
        <v>-1E-3</v>
      </c>
      <c r="AF12">
        <v>0.26100000000000001</v>
      </c>
      <c r="AG12">
        <v>0.24199999999999999</v>
      </c>
      <c r="AH12">
        <v>5.8000000000000003E-2</v>
      </c>
      <c r="AI12">
        <v>9.2999999999999999E-2</v>
      </c>
    </row>
    <row r="13" spans="1:35" x14ac:dyDescent="0.25">
      <c r="A13" t="s">
        <v>1849</v>
      </c>
      <c r="B13" t="s">
        <v>32</v>
      </c>
      <c r="C13" s="25">
        <v>43705.75744212963</v>
      </c>
      <c r="D13" s="741" t="s">
        <v>969</v>
      </c>
      <c r="E13" s="741">
        <f t="array" ref="E13">SUMPRODUCT(IF(AMP2_2[[#This Row],[Dim 1_1]:[T 8]]-$F$4:$AI$4&lt;0,1,0)+IF($F$5:$AI$5-AMP2_2[[#This Row],[Dim 1_1]:[T 8]]&lt;0,1,0),IF(ISNUMBER(AMP2_2[[#This Row],[Dim 1_1]:[T 8]])=TRUE,1,0))</f>
        <v>0</v>
      </c>
      <c r="F13">
        <v>41.442</v>
      </c>
      <c r="G13">
        <v>41.396000000000001</v>
      </c>
      <c r="H13">
        <v>155.78800000000001</v>
      </c>
      <c r="I13">
        <v>155.91</v>
      </c>
      <c r="L13">
        <v>155.749</v>
      </c>
      <c r="M13">
        <v>155.68100000000001</v>
      </c>
      <c r="N13">
        <v>27.518000000000001</v>
      </c>
      <c r="O13">
        <v>27.626000000000001</v>
      </c>
      <c r="R13">
        <v>17.231000000000002</v>
      </c>
      <c r="S13">
        <v>16.963000000000001</v>
      </c>
      <c r="T13">
        <v>33.85</v>
      </c>
      <c r="U13">
        <v>34.204000000000001</v>
      </c>
      <c r="W13">
        <v>0.45600000000000002</v>
      </c>
      <c r="X13">
        <v>0.32</v>
      </c>
      <c r="Z13">
        <v>0.29299999999999998</v>
      </c>
      <c r="AA13">
        <v>0.11</v>
      </c>
      <c r="AB13">
        <v>0.32</v>
      </c>
      <c r="AC13">
        <v>0.34699999999999998</v>
      </c>
      <c r="AD13">
        <v>0.32500000000000001</v>
      </c>
      <c r="AE13">
        <v>0.45600000000000002</v>
      </c>
      <c r="AF13">
        <v>0.111</v>
      </c>
      <c r="AG13">
        <v>0.11</v>
      </c>
      <c r="AH13">
        <v>0.28100000000000003</v>
      </c>
      <c r="AI13">
        <v>0.29299999999999998</v>
      </c>
    </row>
    <row r="14" spans="1:35" x14ac:dyDescent="0.25">
      <c r="A14" t="s">
        <v>1850</v>
      </c>
      <c r="B14" t="s">
        <v>31</v>
      </c>
      <c r="C14" s="25">
        <v>43705.758981481478</v>
      </c>
      <c r="D14" s="741" t="s">
        <v>969</v>
      </c>
      <c r="E14" s="741">
        <f t="array" ref="E14">SUMPRODUCT(IF(AMP2_2[[#This Row],[Dim 1_1]:[T 8]]-$F$4:$AI$4&lt;0,1,0)+IF($F$5:$AI$5-AMP2_2[[#This Row],[Dim 1_1]:[T 8]]&lt;0,1,0),IF(ISNUMBER(AMP2_2[[#This Row],[Dim 1_1]:[T 8]])=TRUE,1,0))</f>
        <v>0</v>
      </c>
      <c r="H14">
        <v>155.542</v>
      </c>
      <c r="I14">
        <v>155.446</v>
      </c>
      <c r="J14">
        <v>168.67400000000001</v>
      </c>
      <c r="K14">
        <v>168.76</v>
      </c>
      <c r="L14">
        <v>155.744</v>
      </c>
      <c r="M14">
        <v>155.54300000000001</v>
      </c>
      <c r="N14">
        <v>27.44</v>
      </c>
      <c r="O14">
        <v>27.678999999999998</v>
      </c>
      <c r="R14">
        <v>17.283999999999999</v>
      </c>
      <c r="S14">
        <v>16.617000000000001</v>
      </c>
      <c r="T14">
        <v>36.74</v>
      </c>
      <c r="U14">
        <v>37.191000000000003</v>
      </c>
      <c r="W14">
        <v>0.218</v>
      </c>
      <c r="X14">
        <v>-0.11700000000000001</v>
      </c>
      <c r="Z14">
        <v>0.254</v>
      </c>
      <c r="AA14">
        <v>4.5999999999999999E-2</v>
      </c>
      <c r="AB14">
        <v>5.8999999999999997E-2</v>
      </c>
      <c r="AC14">
        <v>-0.11700000000000001</v>
      </c>
      <c r="AD14">
        <v>0.218</v>
      </c>
      <c r="AE14">
        <v>-2.1000000000000001E-2</v>
      </c>
      <c r="AF14">
        <v>0.254</v>
      </c>
      <c r="AG14">
        <v>0.251</v>
      </c>
      <c r="AH14">
        <v>4.5999999999999999E-2</v>
      </c>
      <c r="AI14">
        <v>7.1999999999999995E-2</v>
      </c>
    </row>
    <row r="15" spans="1:35" x14ac:dyDescent="0.25">
      <c r="A15" t="s">
        <v>1851</v>
      </c>
      <c r="B15" t="s">
        <v>32</v>
      </c>
      <c r="C15" s="25">
        <v>43705.830393518518</v>
      </c>
      <c r="D15" s="741" t="s">
        <v>969</v>
      </c>
      <c r="E15" s="741">
        <f t="array" ref="E15">SUMPRODUCT(IF(AMP2_2[[#This Row],[Dim 1_1]:[T 8]]-$F$4:$AI$4&lt;0,1,0)+IF($F$5:$AI$5-AMP2_2[[#This Row],[Dim 1_1]:[T 8]]&lt;0,1,0),IF(ISNUMBER(AMP2_2[[#This Row],[Dim 1_1]:[T 8]])=TRUE,1,0))</f>
        <v>0</v>
      </c>
      <c r="F15">
        <v>41.487000000000002</v>
      </c>
      <c r="G15">
        <v>41.378</v>
      </c>
      <c r="H15">
        <v>155.75899999999999</v>
      </c>
      <c r="I15">
        <v>155.935</v>
      </c>
      <c r="L15">
        <v>155.75200000000001</v>
      </c>
      <c r="M15">
        <v>155.71</v>
      </c>
      <c r="N15">
        <v>27.462</v>
      </c>
      <c r="O15">
        <v>27.581</v>
      </c>
      <c r="R15">
        <v>17.227</v>
      </c>
      <c r="S15">
        <v>17.04</v>
      </c>
      <c r="T15">
        <v>33.850999999999999</v>
      </c>
      <c r="U15">
        <v>34.125999999999998</v>
      </c>
      <c r="W15">
        <v>0.35899999999999999</v>
      </c>
      <c r="X15">
        <v>0.23200000000000001</v>
      </c>
      <c r="Z15">
        <v>0.19500000000000001</v>
      </c>
      <c r="AA15">
        <v>0.121</v>
      </c>
      <c r="AB15">
        <v>0.309</v>
      </c>
      <c r="AC15">
        <v>0.33</v>
      </c>
      <c r="AD15">
        <v>0.23200000000000001</v>
      </c>
      <c r="AE15">
        <v>0.35899999999999999</v>
      </c>
      <c r="AF15">
        <v>0.121</v>
      </c>
      <c r="AG15">
        <v>0.14000000000000001</v>
      </c>
      <c r="AH15">
        <v>0.16800000000000001</v>
      </c>
      <c r="AI15">
        <v>0.19500000000000001</v>
      </c>
    </row>
    <row r="16" spans="1:35" x14ac:dyDescent="0.25">
      <c r="A16" t="s">
        <v>1852</v>
      </c>
      <c r="B16" t="s">
        <v>31</v>
      </c>
      <c r="C16" s="25">
        <v>43705.832013888888</v>
      </c>
      <c r="D16" s="741" t="s">
        <v>969</v>
      </c>
      <c r="E16" s="741">
        <f t="array" ref="E16">SUMPRODUCT(IF(AMP2_2[[#This Row],[Dim 1_1]:[T 8]]-$F$4:$AI$4&lt;0,1,0)+IF($F$5:$AI$5-AMP2_2[[#This Row],[Dim 1_1]:[T 8]]&lt;0,1,0),IF(ISNUMBER(AMP2_2[[#This Row],[Dim 1_1]:[T 8]])=TRUE,1,0))</f>
        <v>0</v>
      </c>
      <c r="H16">
        <v>155.61699999999999</v>
      </c>
      <c r="I16">
        <v>155.46799999999999</v>
      </c>
      <c r="J16">
        <v>168.74100000000001</v>
      </c>
      <c r="K16">
        <v>168.71700000000001</v>
      </c>
      <c r="L16">
        <v>155.80699999999999</v>
      </c>
      <c r="M16">
        <v>155.584</v>
      </c>
      <c r="N16">
        <v>27.44</v>
      </c>
      <c r="O16">
        <v>27.664999999999999</v>
      </c>
      <c r="R16">
        <v>17.274999999999999</v>
      </c>
      <c r="S16">
        <v>16.643000000000001</v>
      </c>
      <c r="T16">
        <v>37.512</v>
      </c>
      <c r="U16">
        <v>38.258000000000003</v>
      </c>
      <c r="W16">
        <v>0.20100000000000001</v>
      </c>
      <c r="X16">
        <v>-0.113</v>
      </c>
      <c r="Z16">
        <v>0.27100000000000002</v>
      </c>
      <c r="AA16">
        <v>1.7000000000000001E-2</v>
      </c>
      <c r="AB16">
        <v>4.3999999999999997E-2</v>
      </c>
      <c r="AC16">
        <v>-0.113</v>
      </c>
      <c r="AD16">
        <v>0.20100000000000001</v>
      </c>
      <c r="AE16">
        <v>-7.1999999999999995E-2</v>
      </c>
      <c r="AF16">
        <v>0.27100000000000002</v>
      </c>
      <c r="AG16">
        <v>0.26200000000000001</v>
      </c>
      <c r="AH16">
        <v>1.7000000000000001E-2</v>
      </c>
      <c r="AI16">
        <v>5.7000000000000002E-2</v>
      </c>
    </row>
    <row r="17" spans="1:35" x14ac:dyDescent="0.25">
      <c r="A17" t="s">
        <v>1853</v>
      </c>
      <c r="B17" t="s">
        <v>32</v>
      </c>
      <c r="C17" s="25">
        <v>43705.952280092592</v>
      </c>
      <c r="D17" s="741" t="s">
        <v>969</v>
      </c>
      <c r="E17" s="741">
        <f t="array" ref="E17">SUMPRODUCT(IF(AMP2_2[[#This Row],[Dim 1_1]:[T 8]]-$F$4:$AI$4&lt;0,1,0)+IF($F$5:$AI$5-AMP2_2[[#This Row],[Dim 1_1]:[T 8]]&lt;0,1,0),IF(ISNUMBER(AMP2_2[[#This Row],[Dim 1_1]:[T 8]])=TRUE,1,0))</f>
        <v>0</v>
      </c>
      <c r="F17">
        <v>41.454000000000001</v>
      </c>
      <c r="G17">
        <v>41.347000000000001</v>
      </c>
      <c r="H17">
        <v>155.804</v>
      </c>
      <c r="I17">
        <v>155.952</v>
      </c>
      <c r="L17">
        <v>155.791</v>
      </c>
      <c r="M17">
        <v>155.761</v>
      </c>
      <c r="N17">
        <v>27.463999999999999</v>
      </c>
      <c r="O17">
        <v>27.547999999999998</v>
      </c>
      <c r="R17">
        <v>17.190000000000001</v>
      </c>
      <c r="S17">
        <v>17.027999999999999</v>
      </c>
      <c r="T17">
        <v>33.927</v>
      </c>
      <c r="U17">
        <v>34.18</v>
      </c>
      <c r="W17">
        <v>0.26600000000000001</v>
      </c>
      <c r="X17">
        <v>0.193</v>
      </c>
      <c r="Z17">
        <v>0.27</v>
      </c>
      <c r="AA17">
        <v>-8.9999999999999993E-3</v>
      </c>
      <c r="AB17">
        <v>0.193</v>
      </c>
      <c r="AC17">
        <v>0.19500000000000001</v>
      </c>
      <c r="AD17">
        <v>0.26600000000000001</v>
      </c>
      <c r="AE17">
        <v>0.26</v>
      </c>
      <c r="AF17">
        <v>-8.9999999999999993E-3</v>
      </c>
      <c r="AG17">
        <v>0.01</v>
      </c>
      <c r="AH17">
        <v>0.21</v>
      </c>
      <c r="AI17">
        <v>0.27</v>
      </c>
    </row>
    <row r="18" spans="1:35" x14ac:dyDescent="0.25">
      <c r="A18" t="s">
        <v>1854</v>
      </c>
      <c r="B18" t="s">
        <v>31</v>
      </c>
      <c r="C18" s="25">
        <v>43705.954189814816</v>
      </c>
      <c r="D18" s="741" t="s">
        <v>969</v>
      </c>
      <c r="E18" s="741">
        <f t="array" ref="E18">SUMPRODUCT(IF(AMP2_2[[#This Row],[Dim 1_1]:[T 8]]-$F$4:$AI$4&lt;0,1,0)+IF($F$5:$AI$5-AMP2_2[[#This Row],[Dim 1_1]:[T 8]]&lt;0,1,0),IF(ISNUMBER(AMP2_2[[#This Row],[Dim 1_1]:[T 8]])=TRUE,1,0))</f>
        <v>0</v>
      </c>
      <c r="H18">
        <v>155.613</v>
      </c>
      <c r="I18">
        <v>155.464</v>
      </c>
      <c r="J18">
        <v>168.727</v>
      </c>
      <c r="K18">
        <v>168.76599999999999</v>
      </c>
      <c r="L18">
        <v>155.84700000000001</v>
      </c>
      <c r="M18">
        <v>155.625</v>
      </c>
      <c r="N18">
        <v>27.388000000000002</v>
      </c>
      <c r="O18">
        <v>27.632999999999999</v>
      </c>
      <c r="R18">
        <v>17.291</v>
      </c>
      <c r="S18">
        <v>16.594000000000001</v>
      </c>
      <c r="T18">
        <v>36.128999999999998</v>
      </c>
      <c r="U18">
        <v>37.96</v>
      </c>
      <c r="W18">
        <v>0.16800000000000001</v>
      </c>
      <c r="X18">
        <v>-0.23799999999999999</v>
      </c>
      <c r="Z18">
        <v>0.16500000000000001</v>
      </c>
      <c r="AA18">
        <v>-1.0999999999999999E-2</v>
      </c>
      <c r="AB18">
        <v>-7.1999999999999995E-2</v>
      </c>
      <c r="AC18">
        <v>-0.23799999999999999</v>
      </c>
      <c r="AD18">
        <v>0.16800000000000001</v>
      </c>
      <c r="AE18">
        <v>-0.186</v>
      </c>
      <c r="AF18">
        <v>0.16500000000000001</v>
      </c>
      <c r="AG18">
        <v>0.13100000000000001</v>
      </c>
      <c r="AH18">
        <v>-1.0999999999999999E-2</v>
      </c>
      <c r="AI18">
        <v>1.6E-2</v>
      </c>
    </row>
    <row r="19" spans="1:35" x14ac:dyDescent="0.25">
      <c r="A19" t="s">
        <v>1855</v>
      </c>
      <c r="B19" t="s">
        <v>32</v>
      </c>
      <c r="C19" s="25">
        <v>43706.018888888888</v>
      </c>
      <c r="D19" s="741" t="s">
        <v>969</v>
      </c>
      <c r="E19" s="741">
        <f t="array" ref="E19">SUMPRODUCT(IF(AMP2_2[[#This Row],[Dim 1_1]:[T 8]]-$F$4:$AI$4&lt;0,1,0)+IF($F$5:$AI$5-AMP2_2[[#This Row],[Dim 1_1]:[T 8]]&lt;0,1,0),IF(ISNUMBER(AMP2_2[[#This Row],[Dim 1_1]:[T 8]])=TRUE,1,0))</f>
        <v>0</v>
      </c>
      <c r="F19">
        <v>41.5</v>
      </c>
      <c r="G19">
        <v>41.466000000000001</v>
      </c>
      <c r="H19">
        <v>155.749</v>
      </c>
      <c r="I19">
        <v>155.91399999999999</v>
      </c>
      <c r="L19">
        <v>155.739</v>
      </c>
      <c r="M19">
        <v>155.68799999999999</v>
      </c>
      <c r="N19">
        <v>27.512</v>
      </c>
      <c r="O19">
        <v>27.61</v>
      </c>
      <c r="R19">
        <v>17.216999999999999</v>
      </c>
      <c r="S19">
        <v>16.946000000000002</v>
      </c>
      <c r="T19">
        <v>33.869999999999997</v>
      </c>
      <c r="U19">
        <v>34.401000000000003</v>
      </c>
      <c r="W19">
        <v>0.61499999999999999</v>
      </c>
      <c r="X19">
        <v>0.378</v>
      </c>
      <c r="Z19">
        <v>0.32400000000000001</v>
      </c>
      <c r="AA19">
        <v>0.10100000000000001</v>
      </c>
      <c r="AB19">
        <v>0.378</v>
      </c>
      <c r="AC19">
        <v>0.40699999999999997</v>
      </c>
      <c r="AD19">
        <v>0.41499999999999998</v>
      </c>
      <c r="AE19">
        <v>0.61499999999999999</v>
      </c>
      <c r="AF19">
        <v>0.10100000000000001</v>
      </c>
      <c r="AG19">
        <v>0.104</v>
      </c>
      <c r="AH19">
        <v>0.31</v>
      </c>
      <c r="AI19">
        <v>0.32400000000000001</v>
      </c>
    </row>
    <row r="20" spans="1:35" x14ac:dyDescent="0.25">
      <c r="A20" t="s">
        <v>1856</v>
      </c>
      <c r="B20" t="s">
        <v>31</v>
      </c>
      <c r="C20" s="25">
        <v>43706.020891203705</v>
      </c>
      <c r="D20" s="741" t="s">
        <v>969</v>
      </c>
      <c r="E20" s="741">
        <f t="array" ref="E20">SUMPRODUCT(IF(AMP2_2[[#This Row],[Dim 1_1]:[T 8]]-$F$4:$AI$4&lt;0,1,0)+IF($F$5:$AI$5-AMP2_2[[#This Row],[Dim 1_1]:[T 8]]&lt;0,1,0),IF(ISNUMBER(AMP2_2[[#This Row],[Dim 1_1]:[T 8]])=TRUE,1,0))</f>
        <v>1</v>
      </c>
      <c r="H20">
        <v>155.54</v>
      </c>
      <c r="I20">
        <v>155.45599999999999</v>
      </c>
      <c r="J20">
        <v>168.73500000000001</v>
      </c>
      <c r="K20">
        <v>168.78200000000001</v>
      </c>
      <c r="L20">
        <v>155.78899999999999</v>
      </c>
      <c r="M20">
        <v>155.565</v>
      </c>
      <c r="N20">
        <v>27.451000000000001</v>
      </c>
      <c r="O20">
        <v>27.666</v>
      </c>
      <c r="R20">
        <v>17.242999999999999</v>
      </c>
      <c r="S20">
        <v>16.536999999999999</v>
      </c>
      <c r="T20">
        <v>37.988</v>
      </c>
      <c r="U20">
        <v>38.869999999999997</v>
      </c>
      <c r="W20">
        <v>0.193</v>
      </c>
      <c r="X20">
        <v>-0.156</v>
      </c>
      <c r="Z20">
        <v>0.31900000000000001</v>
      </c>
      <c r="AA20">
        <v>7.6999999999999999E-2</v>
      </c>
      <c r="AB20">
        <v>1.9E-2</v>
      </c>
      <c r="AC20">
        <v>-0.156</v>
      </c>
      <c r="AD20">
        <v>0.193</v>
      </c>
      <c r="AE20">
        <v>-7.2999999999999995E-2</v>
      </c>
      <c r="AF20">
        <v>0.31900000000000001</v>
      </c>
      <c r="AG20">
        <v>0.30599999999999999</v>
      </c>
      <c r="AH20">
        <v>7.6999999999999999E-2</v>
      </c>
      <c r="AI20">
        <v>9.4E-2</v>
      </c>
    </row>
    <row r="21" spans="1:35" x14ac:dyDescent="0.25">
      <c r="A21" t="s">
        <v>2196</v>
      </c>
      <c r="B21" t="s">
        <v>32</v>
      </c>
      <c r="C21" s="25">
        <v>43706.331412037034</v>
      </c>
      <c r="D21" s="741" t="s">
        <v>969</v>
      </c>
      <c r="E21" s="741">
        <f t="array" ref="E21">SUMPRODUCT(IF(AMP2_2[[#This Row],[Dim 1_1]:[T 8]]-$F$4:$AI$4&lt;0,1,0)+IF($F$5:$AI$5-AMP2_2[[#This Row],[Dim 1_1]:[T 8]]&lt;0,1,0),IF(ISNUMBER(AMP2_2[[#This Row],[Dim 1_1]:[T 8]])=TRUE,1,0))</f>
        <v>0</v>
      </c>
      <c r="F21">
        <v>41.360999999999997</v>
      </c>
      <c r="G21">
        <v>41.384</v>
      </c>
      <c r="H21">
        <v>155.84700000000001</v>
      </c>
      <c r="I21">
        <v>156.04599999999999</v>
      </c>
      <c r="L21">
        <v>155.74700000000001</v>
      </c>
      <c r="M21">
        <v>155.78299999999999</v>
      </c>
      <c r="N21">
        <v>27.518000000000001</v>
      </c>
      <c r="O21">
        <v>27.513999999999999</v>
      </c>
      <c r="R21">
        <v>17.184000000000001</v>
      </c>
      <c r="S21">
        <v>17.120999999999999</v>
      </c>
      <c r="T21">
        <v>33.948999999999998</v>
      </c>
      <c r="U21">
        <v>34.177999999999997</v>
      </c>
      <c r="W21">
        <v>0.32300000000000001</v>
      </c>
      <c r="X21">
        <v>0.19800000000000001</v>
      </c>
      <c r="Z21">
        <v>0.245</v>
      </c>
      <c r="AA21">
        <v>0.16300000000000001</v>
      </c>
      <c r="AB21">
        <v>0.29599999999999999</v>
      </c>
      <c r="AC21">
        <v>0.32300000000000001</v>
      </c>
      <c r="AD21">
        <v>0.19800000000000001</v>
      </c>
      <c r="AE21">
        <v>0.3</v>
      </c>
      <c r="AF21">
        <v>0.16300000000000001</v>
      </c>
      <c r="AG21">
        <v>0.19800000000000001</v>
      </c>
      <c r="AH21">
        <v>0.20399999999999999</v>
      </c>
      <c r="AI21">
        <v>0.245</v>
      </c>
    </row>
    <row r="22" spans="1:35" x14ac:dyDescent="0.25">
      <c r="A22" t="s">
        <v>2197</v>
      </c>
      <c r="B22" t="s">
        <v>31</v>
      </c>
      <c r="C22" s="25">
        <v>43706.333680555559</v>
      </c>
      <c r="D22" s="741" t="s">
        <v>969</v>
      </c>
      <c r="E22" s="741">
        <f t="array" ref="E22">SUMPRODUCT(IF(AMP2_2[[#This Row],[Dim 1_1]:[T 8]]-$F$4:$AI$4&lt;0,1,0)+IF($F$5:$AI$5-AMP2_2[[#This Row],[Dim 1_1]:[T 8]]&lt;0,1,0),IF(ISNUMBER(AMP2_2[[#This Row],[Dim 1_1]:[T 8]])=TRUE,1,0))</f>
        <v>0</v>
      </c>
      <c r="H22">
        <v>155.56899999999999</v>
      </c>
      <c r="I22">
        <v>155.41900000000001</v>
      </c>
      <c r="J22">
        <v>168.53399999999999</v>
      </c>
      <c r="K22">
        <v>168.518</v>
      </c>
      <c r="L22">
        <v>155.79499999999999</v>
      </c>
      <c r="M22">
        <v>155.517</v>
      </c>
      <c r="N22">
        <v>27.396000000000001</v>
      </c>
      <c r="O22">
        <v>27.675999999999998</v>
      </c>
      <c r="R22">
        <v>17.233000000000001</v>
      </c>
      <c r="S22">
        <v>16.587</v>
      </c>
      <c r="T22">
        <v>37.162999999999997</v>
      </c>
      <c r="U22">
        <v>38.28</v>
      </c>
      <c r="W22">
        <v>0.13100000000000001</v>
      </c>
      <c r="X22">
        <v>-0.13100000000000001</v>
      </c>
      <c r="Z22">
        <v>0.30399999999999999</v>
      </c>
      <c r="AA22">
        <v>-2.1999999999999999E-2</v>
      </c>
      <c r="AB22">
        <v>3.7999999999999999E-2</v>
      </c>
      <c r="AC22">
        <v>-0.13100000000000001</v>
      </c>
      <c r="AD22">
        <v>0.13100000000000001</v>
      </c>
      <c r="AE22">
        <v>-0.114</v>
      </c>
      <c r="AF22">
        <v>0.30399999999999999</v>
      </c>
      <c r="AG22">
        <v>0.3</v>
      </c>
      <c r="AH22">
        <v>-2.1999999999999999E-2</v>
      </c>
      <c r="AI22">
        <v>-1E-3</v>
      </c>
    </row>
    <row r="23" spans="1:35" x14ac:dyDescent="0.25">
      <c r="A23" t="s">
        <v>2198</v>
      </c>
      <c r="B23" t="s">
        <v>32</v>
      </c>
      <c r="C23" s="25">
        <v>43706.475347222222</v>
      </c>
      <c r="D23" s="741" t="s">
        <v>969</v>
      </c>
      <c r="E23" s="741">
        <f t="array" ref="E23">SUMPRODUCT(IF(AMP2_2[[#This Row],[Dim 1_1]:[T 8]]-$F$4:$AI$4&lt;0,1,0)+IF($F$5:$AI$5-AMP2_2[[#This Row],[Dim 1_1]:[T 8]]&lt;0,1,0),IF(ISNUMBER(AMP2_2[[#This Row],[Dim 1_1]:[T 8]])=TRUE,1,0))</f>
        <v>0</v>
      </c>
      <c r="F23">
        <v>41.415999999999997</v>
      </c>
      <c r="G23">
        <v>41.195</v>
      </c>
      <c r="H23">
        <v>155.846</v>
      </c>
      <c r="I23">
        <v>156.03200000000001</v>
      </c>
      <c r="L23">
        <v>155.75200000000001</v>
      </c>
      <c r="M23">
        <v>155.75299999999999</v>
      </c>
      <c r="N23">
        <v>27.481000000000002</v>
      </c>
      <c r="O23">
        <v>27.564</v>
      </c>
      <c r="R23">
        <v>17.187000000000001</v>
      </c>
      <c r="S23">
        <v>16.893999999999998</v>
      </c>
      <c r="T23">
        <v>33.914999999999999</v>
      </c>
      <c r="U23">
        <v>34.311</v>
      </c>
      <c r="W23">
        <v>0.48299999999999998</v>
      </c>
      <c r="X23">
        <v>0.28799999999999998</v>
      </c>
      <c r="Z23">
        <v>0.35799999999999998</v>
      </c>
      <c r="AA23">
        <v>0.154</v>
      </c>
      <c r="AB23">
        <v>0.28799999999999998</v>
      </c>
      <c r="AC23">
        <v>0.32</v>
      </c>
      <c r="AD23">
        <v>0.32900000000000001</v>
      </c>
      <c r="AE23">
        <v>0.48299999999999998</v>
      </c>
      <c r="AF23">
        <v>0.154</v>
      </c>
      <c r="AG23">
        <v>0.17399999999999999</v>
      </c>
      <c r="AH23">
        <v>0.32600000000000001</v>
      </c>
      <c r="AI23">
        <v>0.35799999999999998</v>
      </c>
    </row>
    <row r="24" spans="1:35" x14ac:dyDescent="0.25">
      <c r="A24" t="s">
        <v>2199</v>
      </c>
      <c r="B24" t="s">
        <v>31</v>
      </c>
      <c r="C24" s="25">
        <v>43706.477418981478</v>
      </c>
      <c r="D24" s="741" t="s">
        <v>969</v>
      </c>
      <c r="E24" s="741">
        <f t="array" ref="E24">SUMPRODUCT(IF(AMP2_2[[#This Row],[Dim 1_1]:[T 8]]-$F$4:$AI$4&lt;0,1,0)+IF($F$5:$AI$5-AMP2_2[[#This Row],[Dim 1_1]:[T 8]]&lt;0,1,0),IF(ISNUMBER(AMP2_2[[#This Row],[Dim 1_1]:[T 8]])=TRUE,1,0))</f>
        <v>0</v>
      </c>
      <c r="H24">
        <v>155.596</v>
      </c>
      <c r="I24">
        <v>155.44900000000001</v>
      </c>
      <c r="J24">
        <v>168.67500000000001</v>
      </c>
      <c r="K24">
        <v>168.54499999999999</v>
      </c>
      <c r="L24">
        <v>155.79300000000001</v>
      </c>
      <c r="M24">
        <v>155.53899999999999</v>
      </c>
      <c r="N24">
        <v>27.416</v>
      </c>
      <c r="O24">
        <v>27.677</v>
      </c>
      <c r="R24">
        <v>17.257999999999999</v>
      </c>
      <c r="S24">
        <v>16.625</v>
      </c>
      <c r="T24">
        <v>37.774999999999999</v>
      </c>
      <c r="U24">
        <v>38.261000000000003</v>
      </c>
      <c r="W24">
        <v>0.13200000000000001</v>
      </c>
      <c r="X24">
        <v>-0.17100000000000001</v>
      </c>
      <c r="Z24">
        <v>0.245</v>
      </c>
      <c r="AA24">
        <v>-3.0000000000000001E-3</v>
      </c>
      <c r="AB24">
        <v>-6.0000000000000001E-3</v>
      </c>
      <c r="AC24">
        <v>-0.17100000000000001</v>
      </c>
      <c r="AD24">
        <v>0.13200000000000001</v>
      </c>
      <c r="AE24">
        <v>-8.7999999999999995E-2</v>
      </c>
      <c r="AF24">
        <v>0.245</v>
      </c>
      <c r="AG24">
        <v>0.23200000000000001</v>
      </c>
      <c r="AH24">
        <v>-3.0000000000000001E-3</v>
      </c>
      <c r="AI24">
        <v>0.01</v>
      </c>
    </row>
    <row r="25" spans="1:35" x14ac:dyDescent="0.25">
      <c r="A25" t="s">
        <v>2264</v>
      </c>
      <c r="B25" t="s">
        <v>32</v>
      </c>
      <c r="C25" s="25">
        <v>43706.598541666666</v>
      </c>
      <c r="D25" s="741" t="s">
        <v>2238</v>
      </c>
      <c r="E25" s="741">
        <f t="array" ref="E25">SUMPRODUCT(IF(AMP2_2[[#This Row],[Dim 1_1]:[T 8]]-$F$4:$AI$4&lt;0,1,0)+IF($F$5:$AI$5-AMP2_2[[#This Row],[Dim 1_1]:[T 8]]&lt;0,1,0),IF(ISNUMBER(AMP2_2[[#This Row],[Dim 1_1]:[T 8]])=TRUE,1,0))</f>
        <v>0</v>
      </c>
      <c r="F25">
        <v>41.381</v>
      </c>
      <c r="G25">
        <v>41.356000000000002</v>
      </c>
      <c r="H25">
        <v>155.88399999999999</v>
      </c>
      <c r="I25">
        <v>156.023</v>
      </c>
      <c r="L25">
        <v>155.821</v>
      </c>
      <c r="M25">
        <v>155.761</v>
      </c>
      <c r="N25">
        <v>27.436</v>
      </c>
      <c r="O25">
        <v>27.562999999999999</v>
      </c>
      <c r="R25">
        <v>17.2</v>
      </c>
      <c r="S25">
        <v>16.994</v>
      </c>
      <c r="T25">
        <v>33.771999999999998</v>
      </c>
      <c r="U25">
        <v>34.396000000000001</v>
      </c>
      <c r="W25">
        <v>0.309</v>
      </c>
      <c r="X25">
        <v>0.23899999999999999</v>
      </c>
      <c r="Z25">
        <v>0.26900000000000002</v>
      </c>
      <c r="AA25">
        <v>4.4999999999999998E-2</v>
      </c>
      <c r="AB25">
        <v>0.23899999999999999</v>
      </c>
      <c r="AC25">
        <v>0.251</v>
      </c>
      <c r="AD25">
        <v>0.30199999999999999</v>
      </c>
      <c r="AE25">
        <v>0.309</v>
      </c>
      <c r="AF25">
        <v>4.4999999999999998E-2</v>
      </c>
      <c r="AG25">
        <v>5.8000000000000003E-2</v>
      </c>
      <c r="AH25">
        <v>0.246</v>
      </c>
      <c r="AI25">
        <v>0.26900000000000002</v>
      </c>
    </row>
    <row r="26" spans="1:35" x14ac:dyDescent="0.25">
      <c r="A26" t="s">
        <v>2265</v>
      </c>
      <c r="B26" t="s">
        <v>31</v>
      </c>
      <c r="C26" s="25">
        <v>43706.60056712963</v>
      </c>
      <c r="D26" s="741" t="s">
        <v>2238</v>
      </c>
      <c r="E26" s="741">
        <f t="array" ref="E26">SUMPRODUCT(IF(AMP2_2[[#This Row],[Dim 1_1]:[T 8]]-$F$4:$AI$4&lt;0,1,0)+IF($F$5:$AI$5-AMP2_2[[#This Row],[Dim 1_1]:[T 8]]&lt;0,1,0),IF(ISNUMBER(AMP2_2[[#This Row],[Dim 1_1]:[T 8]])=TRUE,1,0))</f>
        <v>0</v>
      </c>
      <c r="H26">
        <v>155.655</v>
      </c>
      <c r="I26">
        <v>155.54</v>
      </c>
      <c r="J26">
        <v>168.69499999999999</v>
      </c>
      <c r="K26">
        <v>168.583</v>
      </c>
      <c r="L26">
        <v>155.84399999999999</v>
      </c>
      <c r="M26">
        <v>155.643</v>
      </c>
      <c r="N26">
        <v>27.391999999999999</v>
      </c>
      <c r="O26">
        <v>27.605</v>
      </c>
      <c r="R26">
        <v>17.244</v>
      </c>
      <c r="S26">
        <v>16.571999999999999</v>
      </c>
      <c r="T26">
        <v>37.716999999999999</v>
      </c>
      <c r="U26">
        <v>38.043999999999997</v>
      </c>
      <c r="W26">
        <v>0.16900000000000001</v>
      </c>
      <c r="X26">
        <v>-0.217</v>
      </c>
      <c r="Z26">
        <v>0.24399999999999999</v>
      </c>
      <c r="AA26">
        <v>5.0999999999999997E-2</v>
      </c>
      <c r="AB26">
        <v>-4.2000000000000003E-2</v>
      </c>
      <c r="AC26">
        <v>-0.217</v>
      </c>
      <c r="AD26">
        <v>0.16900000000000001</v>
      </c>
      <c r="AE26">
        <v>-0.126</v>
      </c>
      <c r="AF26">
        <v>0.24399999999999999</v>
      </c>
      <c r="AG26">
        <v>0.23799999999999999</v>
      </c>
      <c r="AH26">
        <v>5.0999999999999997E-2</v>
      </c>
      <c r="AI26">
        <v>8.4000000000000005E-2</v>
      </c>
    </row>
    <row r="27" spans="1:35" x14ac:dyDescent="0.25">
      <c r="A27" t="s">
        <v>2266</v>
      </c>
      <c r="B27" t="s">
        <v>32</v>
      </c>
      <c r="C27" s="25">
        <v>43706.705925925926</v>
      </c>
      <c r="D27" s="741" t="s">
        <v>2238</v>
      </c>
      <c r="E27" s="741">
        <f t="array" ref="E27">SUMPRODUCT(IF(AMP2_2[[#This Row],[Dim 1_1]:[T 8]]-$F$4:$AI$4&lt;0,1,0)+IF($F$5:$AI$5-AMP2_2[[#This Row],[Dim 1_1]:[T 8]]&lt;0,1,0),IF(ISNUMBER(AMP2_2[[#This Row],[Dim 1_1]:[T 8]])=TRUE,1,0))</f>
        <v>0</v>
      </c>
      <c r="F27">
        <v>41.399000000000001</v>
      </c>
      <c r="G27">
        <v>41.183999999999997</v>
      </c>
      <c r="H27">
        <v>155.863</v>
      </c>
      <c r="I27">
        <v>156.06700000000001</v>
      </c>
      <c r="L27">
        <v>155.756</v>
      </c>
      <c r="M27">
        <v>155.774</v>
      </c>
      <c r="N27">
        <v>27.459</v>
      </c>
      <c r="O27">
        <v>27.524999999999999</v>
      </c>
      <c r="R27">
        <v>17.202999999999999</v>
      </c>
      <c r="S27">
        <v>17.029</v>
      </c>
      <c r="T27">
        <v>33.856999999999999</v>
      </c>
      <c r="U27">
        <v>34.11</v>
      </c>
      <c r="W27">
        <v>0.32400000000000001</v>
      </c>
      <c r="X27">
        <v>0.28799999999999998</v>
      </c>
      <c r="Z27">
        <v>0.28399999999999997</v>
      </c>
      <c r="AA27">
        <v>7.6999999999999999E-2</v>
      </c>
      <c r="AB27">
        <v>0.28799999999999998</v>
      </c>
      <c r="AC27">
        <v>0.318</v>
      </c>
      <c r="AD27">
        <v>0.30599999999999999</v>
      </c>
      <c r="AE27">
        <v>0.32400000000000001</v>
      </c>
      <c r="AF27">
        <v>7.6999999999999999E-2</v>
      </c>
      <c r="AG27">
        <v>9.9000000000000005E-2</v>
      </c>
      <c r="AH27">
        <v>0.26400000000000001</v>
      </c>
      <c r="AI27">
        <v>0.28399999999999997</v>
      </c>
    </row>
    <row r="28" spans="1:35" x14ac:dyDescent="0.25">
      <c r="A28" t="s">
        <v>2267</v>
      </c>
      <c r="B28" t="s">
        <v>31</v>
      </c>
      <c r="C28" s="25">
        <v>43706.708020833335</v>
      </c>
      <c r="D28" s="741" t="s">
        <v>2238</v>
      </c>
      <c r="E28" s="741">
        <f t="array" ref="E28">SUMPRODUCT(IF(AMP2_2[[#This Row],[Dim 1_1]:[T 8]]-$F$4:$AI$4&lt;0,1,0)+IF($F$5:$AI$5-AMP2_2[[#This Row],[Dim 1_1]:[T 8]]&lt;0,1,0),IF(ISNUMBER(AMP2_2[[#This Row],[Dim 1_1]:[T 8]])=TRUE,1,0))</f>
        <v>0</v>
      </c>
      <c r="H28">
        <v>155.68</v>
      </c>
      <c r="I28">
        <v>155.51900000000001</v>
      </c>
      <c r="J28">
        <v>168.74</v>
      </c>
      <c r="K28">
        <v>168.75299999999999</v>
      </c>
      <c r="L28">
        <v>155.85900000000001</v>
      </c>
      <c r="M28">
        <v>155.589</v>
      </c>
      <c r="N28">
        <v>27.359000000000002</v>
      </c>
      <c r="O28">
        <v>27.632000000000001</v>
      </c>
      <c r="R28">
        <v>17.251999999999999</v>
      </c>
      <c r="S28">
        <v>16.57</v>
      </c>
      <c r="T28">
        <v>37.844999999999999</v>
      </c>
      <c r="U28">
        <v>37.706000000000003</v>
      </c>
      <c r="W28">
        <v>0.13800000000000001</v>
      </c>
      <c r="X28">
        <v>-0.252</v>
      </c>
      <c r="Z28">
        <v>0.129</v>
      </c>
      <c r="AA28">
        <v>-4.2999999999999997E-2</v>
      </c>
      <c r="AB28">
        <v>-0.113</v>
      </c>
      <c r="AC28">
        <v>-0.252</v>
      </c>
      <c r="AD28">
        <v>0.13800000000000001</v>
      </c>
      <c r="AE28">
        <v>-0.122</v>
      </c>
      <c r="AF28">
        <v>0.129</v>
      </c>
      <c r="AG28">
        <v>0.11799999999999999</v>
      </c>
      <c r="AH28">
        <v>-4.2999999999999997E-2</v>
      </c>
      <c r="AI28">
        <v>-3.1E-2</v>
      </c>
    </row>
    <row r="29" spans="1:35" x14ac:dyDescent="0.25">
      <c r="A29" t="s">
        <v>2268</v>
      </c>
      <c r="B29" t="s">
        <v>32</v>
      </c>
      <c r="C29" s="25">
        <v>43706.768599537034</v>
      </c>
      <c r="D29" s="741" t="s">
        <v>2238</v>
      </c>
      <c r="E29" s="741">
        <f t="array" ref="E29">SUMPRODUCT(IF(AMP2_2[[#This Row],[Dim 1_1]:[T 8]]-$F$4:$AI$4&lt;0,1,0)+IF($F$5:$AI$5-AMP2_2[[#This Row],[Dim 1_1]:[T 8]]&lt;0,1,0),IF(ISNUMBER(AMP2_2[[#This Row],[Dim 1_1]:[T 8]])=TRUE,1,0))</f>
        <v>0</v>
      </c>
      <c r="F29">
        <v>41.414000000000001</v>
      </c>
      <c r="G29">
        <v>41.429000000000002</v>
      </c>
      <c r="H29">
        <v>155.85599999999999</v>
      </c>
      <c r="I29">
        <v>156.084</v>
      </c>
      <c r="L29">
        <v>155.78800000000001</v>
      </c>
      <c r="M29">
        <v>155.83799999999999</v>
      </c>
      <c r="N29">
        <v>27.449000000000002</v>
      </c>
      <c r="O29">
        <v>27.492000000000001</v>
      </c>
      <c r="R29">
        <v>17.22</v>
      </c>
      <c r="S29">
        <v>17.030999999999999</v>
      </c>
      <c r="T29">
        <v>33.863</v>
      </c>
      <c r="U29">
        <v>34.421999999999997</v>
      </c>
      <c r="W29">
        <v>0.42199999999999999</v>
      </c>
      <c r="X29">
        <v>0.26700000000000002</v>
      </c>
      <c r="Z29">
        <v>0.34499999999999997</v>
      </c>
      <c r="AA29">
        <v>0.106</v>
      </c>
      <c r="AB29">
        <v>0.26700000000000002</v>
      </c>
      <c r="AC29">
        <v>0.28199999999999997</v>
      </c>
      <c r="AD29">
        <v>0.33200000000000002</v>
      </c>
      <c r="AE29">
        <v>0.42199999999999999</v>
      </c>
      <c r="AF29">
        <v>0.106</v>
      </c>
      <c r="AG29">
        <v>0.14099999999999999</v>
      </c>
      <c r="AH29">
        <v>0.32400000000000001</v>
      </c>
      <c r="AI29">
        <v>0.34499999999999997</v>
      </c>
    </row>
    <row r="30" spans="1:35" x14ac:dyDescent="0.25">
      <c r="A30" t="s">
        <v>2269</v>
      </c>
      <c r="B30" t="s">
        <v>31</v>
      </c>
      <c r="C30" s="25">
        <v>43706.770821759259</v>
      </c>
      <c r="D30" s="741" t="s">
        <v>2238</v>
      </c>
      <c r="E30" s="741">
        <f t="array" ref="E30">SUMPRODUCT(IF(AMP2_2[[#This Row],[Dim 1_1]:[T 8]]-$F$4:$AI$4&lt;0,1,0)+IF($F$5:$AI$5-AMP2_2[[#This Row],[Dim 1_1]:[T 8]]&lt;0,1,0),IF(ISNUMBER(AMP2_2[[#This Row],[Dim 1_1]:[T 8]])=TRUE,1,0))</f>
        <v>0</v>
      </c>
      <c r="H30">
        <v>155.63800000000001</v>
      </c>
      <c r="I30">
        <v>155.471</v>
      </c>
      <c r="J30">
        <v>168.672</v>
      </c>
      <c r="K30">
        <v>168.71</v>
      </c>
      <c r="L30">
        <v>155.839</v>
      </c>
      <c r="M30">
        <v>155.54499999999999</v>
      </c>
      <c r="N30">
        <v>27.428000000000001</v>
      </c>
      <c r="O30">
        <v>27.704000000000001</v>
      </c>
      <c r="R30">
        <v>17.219000000000001</v>
      </c>
      <c r="S30">
        <v>16.576000000000001</v>
      </c>
      <c r="T30">
        <v>37.659999999999997</v>
      </c>
      <c r="U30">
        <v>38.015999999999998</v>
      </c>
      <c r="W30">
        <v>0.161</v>
      </c>
      <c r="X30">
        <v>-0.17799999999999999</v>
      </c>
      <c r="Z30">
        <v>0.23699999999999999</v>
      </c>
      <c r="AA30">
        <v>0.01</v>
      </c>
      <c r="AB30">
        <v>-1.2E-2</v>
      </c>
      <c r="AC30">
        <v>-0.17799999999999999</v>
      </c>
      <c r="AD30">
        <v>0.161</v>
      </c>
      <c r="AE30">
        <v>-6.8000000000000005E-2</v>
      </c>
      <c r="AF30">
        <v>0.23699999999999999</v>
      </c>
      <c r="AG30">
        <v>0.216</v>
      </c>
      <c r="AH30">
        <v>0.01</v>
      </c>
      <c r="AI30">
        <v>1.7000000000000001E-2</v>
      </c>
    </row>
    <row r="31" spans="1:35" x14ac:dyDescent="0.25">
      <c r="A31" t="s">
        <v>2270</v>
      </c>
      <c r="B31" t="s">
        <v>32</v>
      </c>
      <c r="C31" s="25">
        <v>43706.942858796298</v>
      </c>
      <c r="D31" s="741" t="s">
        <v>2238</v>
      </c>
      <c r="E31" s="741">
        <f t="array" ref="E31">SUMPRODUCT(IF(AMP2_2[[#This Row],[Dim 1_1]:[T 8]]-$F$4:$AI$4&lt;0,1,0)+IF($F$5:$AI$5-AMP2_2[[#This Row],[Dim 1_1]:[T 8]]&lt;0,1,0),IF(ISNUMBER(AMP2_2[[#This Row],[Dim 1_1]:[T 8]])=TRUE,1,0))</f>
        <v>1</v>
      </c>
      <c r="F31">
        <v>41.360999999999997</v>
      </c>
      <c r="G31">
        <v>41.875999999999998</v>
      </c>
      <c r="H31">
        <v>155.93799999999999</v>
      </c>
      <c r="I31">
        <v>156.137</v>
      </c>
      <c r="L31">
        <v>155.756</v>
      </c>
      <c r="M31">
        <v>155.77000000000001</v>
      </c>
      <c r="N31">
        <v>27.463000000000001</v>
      </c>
      <c r="O31">
        <v>27.542000000000002</v>
      </c>
      <c r="R31">
        <v>17.218</v>
      </c>
      <c r="S31">
        <v>17.061</v>
      </c>
      <c r="T31">
        <v>33.402999999999999</v>
      </c>
      <c r="U31">
        <v>34.837000000000003</v>
      </c>
      <c r="W31">
        <v>0.58899999999999997</v>
      </c>
      <c r="X31">
        <v>0.29799999999999999</v>
      </c>
      <c r="Z31">
        <v>0.47399999999999998</v>
      </c>
      <c r="AA31">
        <v>0.216</v>
      </c>
      <c r="AB31">
        <v>0.29799999999999999</v>
      </c>
      <c r="AC31">
        <v>0.32600000000000001</v>
      </c>
      <c r="AD31">
        <v>0.379</v>
      </c>
      <c r="AE31">
        <v>0.58899999999999997</v>
      </c>
      <c r="AF31">
        <v>0.216</v>
      </c>
      <c r="AG31">
        <v>0.246</v>
      </c>
      <c r="AH31">
        <v>0.437</v>
      </c>
      <c r="AI31">
        <v>0.47399999999999998</v>
      </c>
    </row>
    <row r="32" spans="1:35" x14ac:dyDescent="0.25">
      <c r="A32" t="s">
        <v>2271</v>
      </c>
      <c r="B32" t="s">
        <v>31</v>
      </c>
      <c r="C32" s="25">
        <v>43706.945428240739</v>
      </c>
      <c r="D32" s="741" t="s">
        <v>2238</v>
      </c>
      <c r="E32" s="741">
        <f t="array" ref="E32">SUMPRODUCT(IF(AMP2_2[[#This Row],[Dim 1_1]:[T 8]]-$F$4:$AI$4&lt;0,1,0)+IF($F$5:$AI$5-AMP2_2[[#This Row],[Dim 1_1]:[T 8]]&lt;0,1,0),IF(ISNUMBER(AMP2_2[[#This Row],[Dim 1_1]:[T 8]])=TRUE,1,0))</f>
        <v>0</v>
      </c>
      <c r="H32">
        <v>155.77000000000001</v>
      </c>
      <c r="I32">
        <v>155.61600000000001</v>
      </c>
      <c r="J32">
        <v>168.666</v>
      </c>
      <c r="K32">
        <v>168.71600000000001</v>
      </c>
      <c r="L32">
        <v>155.88800000000001</v>
      </c>
      <c r="M32">
        <v>155.57</v>
      </c>
      <c r="N32">
        <v>27.35</v>
      </c>
      <c r="O32">
        <v>27.640999999999998</v>
      </c>
      <c r="R32">
        <v>17.271000000000001</v>
      </c>
      <c r="S32">
        <v>16.63</v>
      </c>
      <c r="T32">
        <v>36.911999999999999</v>
      </c>
      <c r="U32">
        <v>37.343000000000004</v>
      </c>
      <c r="W32">
        <v>8.3000000000000004E-2</v>
      </c>
      <c r="X32">
        <v>-0.313</v>
      </c>
      <c r="Z32">
        <v>0.16500000000000001</v>
      </c>
      <c r="AA32">
        <v>-0.21299999999999999</v>
      </c>
      <c r="AB32">
        <v>-0.04</v>
      </c>
      <c r="AC32">
        <v>-0.21299999999999999</v>
      </c>
      <c r="AD32">
        <v>8.3000000000000004E-2</v>
      </c>
      <c r="AE32">
        <v>-0.313</v>
      </c>
      <c r="AF32">
        <v>0.16500000000000001</v>
      </c>
      <c r="AG32">
        <v>0.14099999999999999</v>
      </c>
      <c r="AH32">
        <v>-0.14000000000000001</v>
      </c>
      <c r="AI32">
        <v>-0.21299999999999999</v>
      </c>
    </row>
    <row r="33" spans="1:35" x14ac:dyDescent="0.25">
      <c r="A33" t="s">
        <v>2272</v>
      </c>
      <c r="B33" t="s">
        <v>32</v>
      </c>
      <c r="C33" s="25">
        <v>43707.025138888886</v>
      </c>
      <c r="D33" s="741" t="s">
        <v>2238</v>
      </c>
      <c r="E33" s="741">
        <f t="array" ref="E33">SUMPRODUCT(IF(AMP2_2[[#This Row],[Dim 1_1]:[T 8]]-$F$4:$AI$4&lt;0,1,0)+IF($F$5:$AI$5-AMP2_2[[#This Row],[Dim 1_1]:[T 8]]&lt;0,1,0),IF(ISNUMBER(AMP2_2[[#This Row],[Dim 1_1]:[T 8]])=TRUE,1,0))</f>
        <v>0</v>
      </c>
      <c r="F33">
        <v>41.42</v>
      </c>
      <c r="G33">
        <v>41.390999999999998</v>
      </c>
      <c r="H33">
        <v>155.98599999999999</v>
      </c>
      <c r="I33">
        <v>156.167</v>
      </c>
      <c r="L33">
        <v>155.79499999999999</v>
      </c>
      <c r="M33">
        <v>155.77099999999999</v>
      </c>
      <c r="N33">
        <v>27.443999999999999</v>
      </c>
      <c r="O33">
        <v>27.58</v>
      </c>
      <c r="R33">
        <v>17.227</v>
      </c>
      <c r="S33">
        <v>17.126999999999999</v>
      </c>
      <c r="T33">
        <v>34.042999999999999</v>
      </c>
      <c r="U33">
        <v>34.274000000000001</v>
      </c>
      <c r="W33">
        <v>0.46</v>
      </c>
      <c r="X33">
        <v>0.308</v>
      </c>
      <c r="Z33">
        <v>0.39</v>
      </c>
      <c r="AA33">
        <v>0.22</v>
      </c>
      <c r="AB33">
        <v>0.308</v>
      </c>
      <c r="AC33">
        <v>0.32800000000000001</v>
      </c>
      <c r="AD33">
        <v>0.32700000000000001</v>
      </c>
      <c r="AE33">
        <v>0.46</v>
      </c>
      <c r="AF33">
        <v>0.22</v>
      </c>
      <c r="AG33">
        <v>0.24199999999999999</v>
      </c>
      <c r="AH33">
        <v>0.34899999999999998</v>
      </c>
      <c r="AI33">
        <v>0.39</v>
      </c>
    </row>
    <row r="34" spans="1:35" x14ac:dyDescent="0.25">
      <c r="A34" t="s">
        <v>2273</v>
      </c>
      <c r="B34" t="s">
        <v>31</v>
      </c>
      <c r="C34" s="25">
        <v>43707.027199074073</v>
      </c>
      <c r="D34" s="741" t="s">
        <v>2238</v>
      </c>
      <c r="E34" s="741">
        <f t="array" ref="E34">SUMPRODUCT(IF(AMP2_2[[#This Row],[Dim 1_1]:[T 8]]-$F$4:$AI$4&lt;0,1,0)+IF($F$5:$AI$5-AMP2_2[[#This Row],[Dim 1_1]:[T 8]]&lt;0,1,0),IF(ISNUMBER(AMP2_2[[#This Row],[Dim 1_1]:[T 8]])=TRUE,1,0))</f>
        <v>0</v>
      </c>
      <c r="H34">
        <v>155.63999999999999</v>
      </c>
      <c r="I34">
        <v>155.499</v>
      </c>
      <c r="J34">
        <v>168.67699999999999</v>
      </c>
      <c r="K34">
        <v>168.58600000000001</v>
      </c>
      <c r="L34">
        <v>155.816</v>
      </c>
      <c r="M34">
        <v>155.553</v>
      </c>
      <c r="N34">
        <v>27.443000000000001</v>
      </c>
      <c r="O34">
        <v>27.678999999999998</v>
      </c>
      <c r="R34">
        <v>17.234000000000002</v>
      </c>
      <c r="S34">
        <v>16.681999999999999</v>
      </c>
      <c r="T34">
        <v>37.860999999999997</v>
      </c>
      <c r="U34">
        <v>37.835999999999999</v>
      </c>
      <c r="W34">
        <v>0.113</v>
      </c>
      <c r="X34">
        <v>-0.15</v>
      </c>
      <c r="Z34">
        <v>0.254</v>
      </c>
      <c r="AA34">
        <v>-5.0999999999999997E-2</v>
      </c>
      <c r="AB34">
        <v>1.7999999999999999E-2</v>
      </c>
      <c r="AC34">
        <v>-0.15</v>
      </c>
      <c r="AD34">
        <v>0.113</v>
      </c>
      <c r="AE34">
        <v>-6.3E-2</v>
      </c>
      <c r="AF34">
        <v>0.254</v>
      </c>
      <c r="AG34">
        <v>0.23799999999999999</v>
      </c>
      <c r="AH34">
        <v>-5.0999999999999997E-2</v>
      </c>
      <c r="AI34">
        <v>-2.8000000000000001E-2</v>
      </c>
    </row>
    <row r="35" spans="1:35" x14ac:dyDescent="0.25">
      <c r="A35" t="s">
        <v>2274</v>
      </c>
      <c r="B35" t="s">
        <v>32</v>
      </c>
      <c r="C35" s="25">
        <v>43707.299849537034</v>
      </c>
      <c r="D35" s="741" t="s">
        <v>2238</v>
      </c>
      <c r="E35" s="741">
        <f t="array" ref="E35">SUMPRODUCT(IF(AMP2_2[[#This Row],[Dim 1_1]:[T 8]]-$F$4:$AI$4&lt;0,1,0)+IF($F$5:$AI$5-AMP2_2[[#This Row],[Dim 1_1]:[T 8]]&lt;0,1,0),IF(ISNUMBER(AMP2_2[[#This Row],[Dim 1_1]:[T 8]])=TRUE,1,0))</f>
        <v>0</v>
      </c>
      <c r="F35">
        <v>41.223999999999997</v>
      </c>
      <c r="G35">
        <v>41.194000000000003</v>
      </c>
      <c r="H35">
        <v>156.06100000000001</v>
      </c>
      <c r="I35">
        <v>156.27099999999999</v>
      </c>
      <c r="L35">
        <v>155.86799999999999</v>
      </c>
      <c r="M35">
        <v>155.91300000000001</v>
      </c>
      <c r="N35">
        <v>27.338999999999999</v>
      </c>
      <c r="O35">
        <v>27.370999999999999</v>
      </c>
      <c r="R35">
        <v>17.236000000000001</v>
      </c>
      <c r="S35">
        <v>16.896999999999998</v>
      </c>
      <c r="T35">
        <v>33.859000000000002</v>
      </c>
      <c r="U35">
        <v>34.198999999999998</v>
      </c>
      <c r="W35">
        <v>0.33900000000000002</v>
      </c>
      <c r="X35">
        <v>0.108</v>
      </c>
      <c r="Z35">
        <v>0.46</v>
      </c>
      <c r="AA35">
        <v>5.5E-2</v>
      </c>
      <c r="AB35">
        <v>0.108</v>
      </c>
      <c r="AC35">
        <v>0.13700000000000001</v>
      </c>
      <c r="AD35">
        <v>0.28699999999999998</v>
      </c>
      <c r="AE35">
        <v>0.33900000000000002</v>
      </c>
      <c r="AF35">
        <v>5.5E-2</v>
      </c>
      <c r="AG35">
        <v>7.9000000000000001E-2</v>
      </c>
      <c r="AH35">
        <v>0.437</v>
      </c>
      <c r="AI35">
        <v>0.46</v>
      </c>
    </row>
    <row r="36" spans="1:35" x14ac:dyDescent="0.25">
      <c r="A36" t="s">
        <v>2275</v>
      </c>
      <c r="B36" t="s">
        <v>31</v>
      </c>
      <c r="C36" s="25">
        <v>43707.303831018522</v>
      </c>
      <c r="D36" s="741" t="s">
        <v>2238</v>
      </c>
      <c r="E36" s="741">
        <f t="array" ref="E36">SUMPRODUCT(IF(AMP2_2[[#This Row],[Dim 1_1]:[T 8]]-$F$4:$AI$4&lt;0,1,0)+IF($F$5:$AI$5-AMP2_2[[#This Row],[Dim 1_1]:[T 8]]&lt;0,1,0),IF(ISNUMBER(AMP2_2[[#This Row],[Dim 1_1]:[T 8]])=TRUE,1,0))</f>
        <v>0</v>
      </c>
      <c r="H36">
        <v>155.75700000000001</v>
      </c>
      <c r="I36">
        <v>155.57300000000001</v>
      </c>
      <c r="J36">
        <v>168.61199999999999</v>
      </c>
      <c r="K36">
        <v>168.989</v>
      </c>
      <c r="L36">
        <v>155.94999999999999</v>
      </c>
      <c r="M36">
        <v>155.679</v>
      </c>
      <c r="N36">
        <v>27.303000000000001</v>
      </c>
      <c r="O36">
        <v>27.567</v>
      </c>
      <c r="R36">
        <v>17.257999999999999</v>
      </c>
      <c r="S36">
        <v>16.597999999999999</v>
      </c>
      <c r="T36">
        <v>36.875</v>
      </c>
      <c r="U36">
        <v>39.08</v>
      </c>
      <c r="W36">
        <v>7.0999999999999994E-2</v>
      </c>
      <c r="X36">
        <v>-0.35</v>
      </c>
      <c r="Z36">
        <v>2.9000000000000001E-2</v>
      </c>
      <c r="AA36">
        <v>-0.13200000000000001</v>
      </c>
      <c r="AB36">
        <v>-0.17199999999999999</v>
      </c>
      <c r="AC36">
        <v>-0.35</v>
      </c>
      <c r="AD36">
        <v>7.0999999999999994E-2</v>
      </c>
      <c r="AE36">
        <v>-0.25900000000000001</v>
      </c>
      <c r="AF36">
        <v>2.9000000000000001E-2</v>
      </c>
      <c r="AG36">
        <v>2.5000000000000001E-2</v>
      </c>
      <c r="AH36">
        <v>-0.13200000000000001</v>
      </c>
      <c r="AI36">
        <v>-8.5000000000000006E-2</v>
      </c>
    </row>
    <row r="37" spans="1:35" x14ac:dyDescent="0.25">
      <c r="A37" t="s">
        <v>2276</v>
      </c>
      <c r="B37" t="s">
        <v>32</v>
      </c>
      <c r="C37" s="25">
        <v>43707.40047453704</v>
      </c>
      <c r="D37" s="741" t="s">
        <v>2238</v>
      </c>
      <c r="E37" s="741">
        <f t="array" ref="E37">SUMPRODUCT(IF(AMP2_2[[#This Row],[Dim 1_1]:[T 8]]-$F$4:$AI$4&lt;0,1,0)+IF($F$5:$AI$5-AMP2_2[[#This Row],[Dim 1_1]:[T 8]]&lt;0,1,0),IF(ISNUMBER(AMP2_2[[#This Row],[Dim 1_1]:[T 8]])=TRUE,1,0))</f>
        <v>0</v>
      </c>
      <c r="F37">
        <v>41.52</v>
      </c>
      <c r="G37">
        <v>41.372999999999998</v>
      </c>
      <c r="H37">
        <v>156.02099999999999</v>
      </c>
      <c r="I37">
        <v>156.10599999999999</v>
      </c>
      <c r="L37">
        <v>155.79599999999999</v>
      </c>
      <c r="M37">
        <v>155.71899999999999</v>
      </c>
      <c r="N37">
        <v>27.414000000000001</v>
      </c>
      <c r="O37">
        <v>27.562000000000001</v>
      </c>
      <c r="R37">
        <v>17.213000000000001</v>
      </c>
      <c r="S37">
        <v>16.943999999999999</v>
      </c>
      <c r="T37">
        <v>33.933999999999997</v>
      </c>
      <c r="U37">
        <v>34.393000000000001</v>
      </c>
      <c r="W37">
        <v>0.627</v>
      </c>
      <c r="X37">
        <v>0.3</v>
      </c>
      <c r="Z37">
        <v>0.46600000000000003</v>
      </c>
      <c r="AA37">
        <v>0.155</v>
      </c>
      <c r="AB37">
        <v>0.3</v>
      </c>
      <c r="AC37">
        <v>0.32800000000000001</v>
      </c>
      <c r="AD37">
        <v>0.40200000000000002</v>
      </c>
      <c r="AE37">
        <v>0.627</v>
      </c>
      <c r="AF37">
        <v>0.155</v>
      </c>
      <c r="AG37">
        <v>0.20599999999999999</v>
      </c>
      <c r="AH37">
        <v>0.432</v>
      </c>
      <c r="AI37">
        <v>0.46600000000000003</v>
      </c>
    </row>
    <row r="38" spans="1:35" x14ac:dyDescent="0.25">
      <c r="A38" t="s">
        <v>2277</v>
      </c>
      <c r="B38" t="s">
        <v>31</v>
      </c>
      <c r="C38" s="25">
        <v>43707.402731481481</v>
      </c>
      <c r="D38" s="741" t="s">
        <v>2238</v>
      </c>
      <c r="E38" s="741">
        <f t="array" ref="E38">SUMPRODUCT(IF(AMP2_2[[#This Row],[Dim 1_1]:[T 8]]-$F$4:$AI$4&lt;0,1,0)+IF($F$5:$AI$5-AMP2_2[[#This Row],[Dim 1_1]:[T 8]]&lt;0,1,0),IF(ISNUMBER(AMP2_2[[#This Row],[Dim 1_1]:[T 8]])=TRUE,1,0))</f>
        <v>0</v>
      </c>
      <c r="H38">
        <v>155.654</v>
      </c>
      <c r="I38">
        <v>155.541</v>
      </c>
      <c r="J38">
        <v>168.79</v>
      </c>
      <c r="K38">
        <v>168.965</v>
      </c>
      <c r="L38">
        <v>155.84299999999999</v>
      </c>
      <c r="M38">
        <v>155.626</v>
      </c>
      <c r="N38">
        <v>27.363</v>
      </c>
      <c r="O38">
        <v>27.599</v>
      </c>
      <c r="R38">
        <v>17.245000000000001</v>
      </c>
      <c r="S38">
        <v>16.564</v>
      </c>
      <c r="T38">
        <v>39.049999999999997</v>
      </c>
      <c r="U38">
        <v>39.859000000000002</v>
      </c>
      <c r="W38">
        <v>0.17899999999999999</v>
      </c>
      <c r="X38">
        <v>-0.154</v>
      </c>
      <c r="Z38">
        <v>0.30299999999999999</v>
      </c>
      <c r="AA38">
        <v>7.3999999999999996E-2</v>
      </c>
      <c r="AB38">
        <v>0.01</v>
      </c>
      <c r="AC38">
        <v>-0.154</v>
      </c>
      <c r="AD38">
        <v>0.17899999999999999</v>
      </c>
      <c r="AE38">
        <v>-3.9E-2</v>
      </c>
      <c r="AF38">
        <v>0.30299999999999999</v>
      </c>
      <c r="AG38">
        <v>0.3</v>
      </c>
      <c r="AH38">
        <v>7.3999999999999996E-2</v>
      </c>
      <c r="AI38">
        <v>0.11600000000000001</v>
      </c>
    </row>
    <row r="39" spans="1:35" x14ac:dyDescent="0.25">
      <c r="A39" t="s">
        <v>2440</v>
      </c>
      <c r="B39" t="s">
        <v>32</v>
      </c>
      <c r="C39" s="25">
        <v>43707.508321759262</v>
      </c>
      <c r="D39" s="741" t="s">
        <v>2238</v>
      </c>
      <c r="E39" s="741">
        <f t="array" ref="E39">SUMPRODUCT(IF(AMP2_2[[#This Row],[Dim 1_1]:[T 8]]-$F$4:$AI$4&lt;0,1,0)+IF($F$5:$AI$5-AMP2_2[[#This Row],[Dim 1_1]:[T 8]]&lt;0,1,0),IF(ISNUMBER(AMP2_2[[#This Row],[Dim 1_1]:[T 8]])=TRUE,1,0))</f>
        <v>0</v>
      </c>
      <c r="F39">
        <v>41.448999999999998</v>
      </c>
      <c r="G39">
        <v>40.991999999999997</v>
      </c>
      <c r="H39">
        <v>156.023</v>
      </c>
      <c r="I39">
        <v>156.15799999999999</v>
      </c>
      <c r="L39">
        <v>155.864</v>
      </c>
      <c r="M39">
        <v>155.792</v>
      </c>
      <c r="N39">
        <v>27.376999999999999</v>
      </c>
      <c r="O39">
        <v>27.5</v>
      </c>
      <c r="R39">
        <v>17.221</v>
      </c>
      <c r="S39">
        <v>16.882999999999999</v>
      </c>
      <c r="T39">
        <v>33.843000000000004</v>
      </c>
      <c r="U39">
        <v>34.322000000000003</v>
      </c>
      <c r="W39">
        <v>0.438</v>
      </c>
      <c r="X39">
        <v>0.20499999999999999</v>
      </c>
      <c r="Z39">
        <v>0.46</v>
      </c>
      <c r="AA39">
        <v>0.09</v>
      </c>
      <c r="AB39">
        <v>0.20499999999999999</v>
      </c>
      <c r="AC39">
        <v>0.23499999999999999</v>
      </c>
      <c r="AD39">
        <v>0.38400000000000001</v>
      </c>
      <c r="AE39">
        <v>0.438</v>
      </c>
      <c r="AF39">
        <v>0.09</v>
      </c>
      <c r="AG39">
        <v>0.127</v>
      </c>
      <c r="AH39">
        <v>0.43099999999999999</v>
      </c>
      <c r="AI39">
        <v>0.46</v>
      </c>
    </row>
    <row r="40" spans="1:35" x14ac:dyDescent="0.25">
      <c r="A40" t="s">
        <v>2441</v>
      </c>
      <c r="B40" t="s">
        <v>31</v>
      </c>
      <c r="C40" s="25">
        <v>43707.510497685187</v>
      </c>
      <c r="D40" s="741" t="s">
        <v>2238</v>
      </c>
      <c r="E40" s="741">
        <f t="array" ref="E40">SUMPRODUCT(IF(AMP2_2[[#This Row],[Dim 1_1]:[T 8]]-$F$4:$AI$4&lt;0,1,0)+IF($F$5:$AI$5-AMP2_2[[#This Row],[Dim 1_1]:[T 8]]&lt;0,1,0),IF(ISNUMBER(AMP2_2[[#This Row],[Dim 1_1]:[T 8]])=TRUE,1,0))</f>
        <v>0</v>
      </c>
      <c r="H40">
        <v>155.77500000000001</v>
      </c>
      <c r="I40">
        <v>155.66800000000001</v>
      </c>
      <c r="J40">
        <v>168.8</v>
      </c>
      <c r="K40">
        <v>169.08199999999999</v>
      </c>
      <c r="L40">
        <v>155.983</v>
      </c>
      <c r="M40">
        <v>155.76499999999999</v>
      </c>
      <c r="N40">
        <v>27.236999999999998</v>
      </c>
      <c r="O40">
        <v>27.440999999999999</v>
      </c>
      <c r="R40">
        <v>17.236999999999998</v>
      </c>
      <c r="S40">
        <v>16.562000000000001</v>
      </c>
      <c r="T40">
        <v>36.235999999999997</v>
      </c>
      <c r="U40">
        <v>38.524000000000001</v>
      </c>
      <c r="W40">
        <v>0.113</v>
      </c>
      <c r="X40">
        <v>-0.28399999999999997</v>
      </c>
      <c r="Z40">
        <v>0.27300000000000002</v>
      </c>
      <c r="AA40">
        <v>7.6999999999999999E-2</v>
      </c>
      <c r="AB40">
        <v>-0.115</v>
      </c>
      <c r="AC40">
        <v>-0.28399999999999997</v>
      </c>
      <c r="AD40">
        <v>0.113</v>
      </c>
      <c r="AE40">
        <v>-0.26700000000000002</v>
      </c>
      <c r="AF40">
        <v>0.27300000000000002</v>
      </c>
      <c r="AG40">
        <v>0.26600000000000001</v>
      </c>
      <c r="AH40">
        <v>7.6999999999999999E-2</v>
      </c>
      <c r="AI40">
        <v>0.108</v>
      </c>
    </row>
    <row r="41" spans="1:35" x14ac:dyDescent="0.25">
      <c r="A41" t="s">
        <v>2442</v>
      </c>
      <c r="B41" t="s">
        <v>32</v>
      </c>
      <c r="C41" s="25">
        <v>43708.298067129632</v>
      </c>
      <c r="D41" s="741" t="s">
        <v>2238</v>
      </c>
      <c r="E41" s="741">
        <f t="array" ref="E41">SUMPRODUCT(IF(AMP2_2[[#This Row],[Dim 1_1]:[T 8]]-$F$4:$AI$4&lt;0,1,0)+IF($F$5:$AI$5-AMP2_2[[#This Row],[Dim 1_1]:[T 8]]&lt;0,1,0),IF(ISNUMBER(AMP2_2[[#This Row],[Dim 1_1]:[T 8]])=TRUE,1,0))</f>
        <v>0</v>
      </c>
      <c r="F41">
        <v>41.222000000000001</v>
      </c>
      <c r="G41">
        <v>41.152000000000001</v>
      </c>
      <c r="H41">
        <v>155.99100000000001</v>
      </c>
      <c r="I41">
        <v>156.143</v>
      </c>
      <c r="L41">
        <v>155.86099999999999</v>
      </c>
      <c r="M41">
        <v>155.83199999999999</v>
      </c>
      <c r="N41">
        <v>27.382000000000001</v>
      </c>
      <c r="O41">
        <v>27.463000000000001</v>
      </c>
      <c r="R41">
        <v>17.234000000000002</v>
      </c>
      <c r="S41">
        <v>16.943999999999999</v>
      </c>
      <c r="T41">
        <v>33.923000000000002</v>
      </c>
      <c r="U41">
        <v>34.338000000000001</v>
      </c>
      <c r="W41">
        <v>0.46700000000000003</v>
      </c>
      <c r="X41">
        <v>0.19400000000000001</v>
      </c>
      <c r="Z41">
        <v>0.40100000000000002</v>
      </c>
      <c r="AA41">
        <v>4.0000000000000001E-3</v>
      </c>
      <c r="AB41">
        <v>0.19400000000000001</v>
      </c>
      <c r="AC41">
        <v>0.20599999999999999</v>
      </c>
      <c r="AD41">
        <v>0.38</v>
      </c>
      <c r="AE41">
        <v>0.46700000000000003</v>
      </c>
      <c r="AF41">
        <v>4.0000000000000001E-3</v>
      </c>
      <c r="AG41">
        <v>2.5000000000000001E-2</v>
      </c>
      <c r="AH41">
        <v>0.371</v>
      </c>
      <c r="AI41">
        <v>0.40100000000000002</v>
      </c>
    </row>
    <row r="42" spans="1:35" x14ac:dyDescent="0.25">
      <c r="A42" t="s">
        <v>2443</v>
      </c>
      <c r="B42" t="s">
        <v>31</v>
      </c>
      <c r="C42" s="25">
        <v>43708.300532407404</v>
      </c>
      <c r="D42" s="741" t="s">
        <v>2238</v>
      </c>
      <c r="E42" s="741">
        <f t="array" ref="E42">SUMPRODUCT(IF(AMP2_2[[#This Row],[Dim 1_1]:[T 8]]-$F$4:$AI$4&lt;0,1,0)+IF($F$5:$AI$5-AMP2_2[[#This Row],[Dim 1_1]:[T 8]]&lt;0,1,0),IF(ISNUMBER(AMP2_2[[#This Row],[Dim 1_1]:[T 8]])=TRUE,1,0))</f>
        <v>0</v>
      </c>
      <c r="H42">
        <v>155.69300000000001</v>
      </c>
      <c r="I42">
        <v>155.60400000000001</v>
      </c>
      <c r="J42">
        <v>168.61</v>
      </c>
      <c r="K42">
        <v>168.685</v>
      </c>
      <c r="L42">
        <v>155.96600000000001</v>
      </c>
      <c r="M42">
        <v>155.75800000000001</v>
      </c>
      <c r="N42">
        <v>27.215</v>
      </c>
      <c r="O42">
        <v>27.49</v>
      </c>
      <c r="R42">
        <v>17.245000000000001</v>
      </c>
      <c r="S42">
        <v>16.585999999999999</v>
      </c>
      <c r="T42">
        <v>38.662999999999997</v>
      </c>
      <c r="U42">
        <v>40.332000000000001</v>
      </c>
      <c r="W42">
        <v>6.2E-2</v>
      </c>
      <c r="X42">
        <v>-0.28599999999999998</v>
      </c>
      <c r="Z42">
        <v>0.22600000000000001</v>
      </c>
      <c r="AA42">
        <v>1.0999999999999999E-2</v>
      </c>
      <c r="AB42">
        <v>-0.124</v>
      </c>
      <c r="AC42">
        <v>-0.28599999999999998</v>
      </c>
      <c r="AD42">
        <v>6.2E-2</v>
      </c>
      <c r="AE42">
        <v>-0.255</v>
      </c>
      <c r="AF42">
        <v>0.22600000000000001</v>
      </c>
      <c r="AG42">
        <v>0.218</v>
      </c>
      <c r="AH42">
        <v>1.0999999999999999E-2</v>
      </c>
      <c r="AI42">
        <v>2.9000000000000001E-2</v>
      </c>
    </row>
    <row r="43" spans="1:35" x14ac:dyDescent="0.25">
      <c r="A43" t="s">
        <v>2444</v>
      </c>
      <c r="B43" t="s">
        <v>32</v>
      </c>
      <c r="C43" s="25">
        <v>43708.382152777776</v>
      </c>
      <c r="D43" s="741" t="s">
        <v>2238</v>
      </c>
      <c r="E43" s="741">
        <f t="array" ref="E43">SUMPRODUCT(IF(AMP2_2[[#This Row],[Dim 1_1]:[T 8]]-$F$4:$AI$4&lt;0,1,0)+IF($F$5:$AI$5-AMP2_2[[#This Row],[Dim 1_1]:[T 8]]&lt;0,1,0),IF(ISNUMBER(AMP2_2[[#This Row],[Dim 1_1]:[T 8]])=TRUE,1,0))</f>
        <v>0</v>
      </c>
      <c r="F43">
        <v>41.274999999999999</v>
      </c>
      <c r="G43">
        <v>41.575000000000003</v>
      </c>
      <c r="H43">
        <v>155.99799999999999</v>
      </c>
      <c r="I43">
        <v>156.19300000000001</v>
      </c>
      <c r="L43">
        <v>155.90899999999999</v>
      </c>
      <c r="M43">
        <v>155.83699999999999</v>
      </c>
      <c r="N43">
        <v>27.244</v>
      </c>
      <c r="O43">
        <v>27.411000000000001</v>
      </c>
      <c r="R43">
        <v>17.207999999999998</v>
      </c>
      <c r="S43">
        <v>16.946999999999999</v>
      </c>
      <c r="T43">
        <v>33.679000000000002</v>
      </c>
      <c r="U43">
        <v>34.499000000000002</v>
      </c>
      <c r="W43">
        <v>0.39800000000000002</v>
      </c>
      <c r="X43">
        <v>0.14000000000000001</v>
      </c>
      <c r="Z43">
        <v>0.51700000000000002</v>
      </c>
      <c r="AA43">
        <v>-2.7E-2</v>
      </c>
      <c r="AB43">
        <v>0.14000000000000001</v>
      </c>
      <c r="AC43">
        <v>0.17699999999999999</v>
      </c>
      <c r="AD43">
        <v>0.34899999999999998</v>
      </c>
      <c r="AE43">
        <v>0.39800000000000002</v>
      </c>
      <c r="AF43">
        <v>-2.7E-2</v>
      </c>
      <c r="AG43">
        <v>6.8000000000000005E-2</v>
      </c>
      <c r="AH43">
        <v>0.33600000000000002</v>
      </c>
      <c r="AI43">
        <v>0.51700000000000002</v>
      </c>
    </row>
    <row r="44" spans="1:35" x14ac:dyDescent="0.25">
      <c r="A44" t="s">
        <v>2445</v>
      </c>
      <c r="B44" t="s">
        <v>31</v>
      </c>
      <c r="C44" s="25">
        <v>43708.384351851855</v>
      </c>
      <c r="D44" s="741" t="s">
        <v>2238</v>
      </c>
      <c r="E44" s="741">
        <f t="array" ref="E44">SUMPRODUCT(IF(AMP2_2[[#This Row],[Dim 1_1]:[T 8]]-$F$4:$AI$4&lt;0,1,0)+IF($F$5:$AI$5-AMP2_2[[#This Row],[Dim 1_1]:[T 8]]&lt;0,1,0),IF(ISNUMBER(AMP2_2[[#This Row],[Dim 1_1]:[T 8]])=TRUE,1,0))</f>
        <v>0</v>
      </c>
      <c r="H44">
        <v>155.869</v>
      </c>
      <c r="I44">
        <v>155.655</v>
      </c>
      <c r="J44">
        <v>168.726</v>
      </c>
      <c r="K44">
        <v>169.351</v>
      </c>
      <c r="L44">
        <v>155.97200000000001</v>
      </c>
      <c r="M44">
        <v>155.685</v>
      </c>
      <c r="N44">
        <v>27.259</v>
      </c>
      <c r="O44">
        <v>27.51</v>
      </c>
      <c r="R44">
        <v>17.265999999999998</v>
      </c>
      <c r="S44">
        <v>16.585999999999999</v>
      </c>
      <c r="T44">
        <v>33.006999999999998</v>
      </c>
      <c r="U44">
        <v>34.393000000000001</v>
      </c>
      <c r="W44">
        <v>6.0999999999999999E-2</v>
      </c>
      <c r="X44">
        <v>-0.374</v>
      </c>
      <c r="Z44">
        <v>-5.5E-2</v>
      </c>
      <c r="AA44">
        <v>-0.152</v>
      </c>
      <c r="AB44">
        <v>-0.192</v>
      </c>
      <c r="AC44">
        <v>-0.374</v>
      </c>
      <c r="AD44">
        <v>6.0999999999999999E-2</v>
      </c>
      <c r="AE44">
        <v>-0.30199999999999999</v>
      </c>
      <c r="AF44">
        <v>-5.5E-2</v>
      </c>
      <c r="AG44">
        <v>-7.8E-2</v>
      </c>
      <c r="AH44">
        <v>-0.152</v>
      </c>
      <c r="AI44">
        <v>-0.14699999999999999</v>
      </c>
    </row>
    <row r="45" spans="1:35" x14ac:dyDescent="0.25">
      <c r="A45" t="s">
        <v>2446</v>
      </c>
      <c r="B45" t="s">
        <v>32</v>
      </c>
      <c r="C45" s="25">
        <v>43708.439583333333</v>
      </c>
      <c r="D45" s="741" t="s">
        <v>2238</v>
      </c>
      <c r="E45" s="741">
        <f t="array" ref="E45">SUMPRODUCT(IF(AMP2_2[[#This Row],[Dim 1_1]:[T 8]]-$F$4:$AI$4&lt;0,1,0)+IF($F$5:$AI$5-AMP2_2[[#This Row],[Dim 1_1]:[T 8]]&lt;0,1,0),IF(ISNUMBER(AMP2_2[[#This Row],[Dim 1_1]:[T 8]])=TRUE,1,0))</f>
        <v>0</v>
      </c>
      <c r="F45">
        <v>41.283999999999999</v>
      </c>
      <c r="G45">
        <v>41.375</v>
      </c>
      <c r="H45">
        <v>155.852</v>
      </c>
      <c r="I45">
        <v>156.04300000000001</v>
      </c>
      <c r="L45">
        <v>155.797</v>
      </c>
      <c r="M45">
        <v>155.80500000000001</v>
      </c>
      <c r="N45">
        <v>27.437000000000001</v>
      </c>
      <c r="O45">
        <v>27.55</v>
      </c>
      <c r="R45">
        <v>17.23</v>
      </c>
      <c r="S45">
        <v>16.963000000000001</v>
      </c>
      <c r="T45">
        <v>33.679000000000002</v>
      </c>
      <c r="U45">
        <v>34.529000000000003</v>
      </c>
      <c r="W45">
        <v>0.50600000000000001</v>
      </c>
      <c r="X45">
        <v>0.27400000000000002</v>
      </c>
      <c r="Z45">
        <v>0.38500000000000001</v>
      </c>
      <c r="AA45">
        <v>0.11799999999999999</v>
      </c>
      <c r="AB45">
        <v>0.27400000000000002</v>
      </c>
      <c r="AC45">
        <v>0.28399999999999997</v>
      </c>
      <c r="AD45">
        <v>0.41599999999999998</v>
      </c>
      <c r="AE45">
        <v>0.50600000000000001</v>
      </c>
      <c r="AF45">
        <v>0.11799999999999999</v>
      </c>
      <c r="AG45">
        <v>0.16</v>
      </c>
      <c r="AH45">
        <v>0.38500000000000001</v>
      </c>
      <c r="AI45">
        <v>0.36299999999999999</v>
      </c>
    </row>
    <row r="46" spans="1:35" x14ac:dyDescent="0.25">
      <c r="A46" t="s">
        <v>2447</v>
      </c>
      <c r="B46" t="s">
        <v>31</v>
      </c>
      <c r="C46" s="25">
        <v>43708.442129629628</v>
      </c>
      <c r="D46" s="741" t="s">
        <v>2238</v>
      </c>
      <c r="E46" s="741">
        <f t="array" ref="E46">SUMPRODUCT(IF(AMP2_2[[#This Row],[Dim 1_1]:[T 8]]-$F$4:$AI$4&lt;0,1,0)+IF($F$5:$AI$5-AMP2_2[[#This Row],[Dim 1_1]:[T 8]]&lt;0,1,0),IF(ISNUMBER(AMP2_2[[#This Row],[Dim 1_1]:[T 8]])=TRUE,1,0))</f>
        <v>0</v>
      </c>
      <c r="H46">
        <v>155.63200000000001</v>
      </c>
      <c r="I46">
        <v>155.523</v>
      </c>
      <c r="J46">
        <v>168.57499999999999</v>
      </c>
      <c r="K46">
        <v>168.85400000000001</v>
      </c>
      <c r="L46">
        <v>155.84</v>
      </c>
      <c r="M46">
        <v>155.66900000000001</v>
      </c>
      <c r="N46">
        <v>27.456</v>
      </c>
      <c r="O46">
        <v>27.625</v>
      </c>
      <c r="R46">
        <v>17.239000000000001</v>
      </c>
      <c r="S46">
        <v>16.741</v>
      </c>
      <c r="T46">
        <v>37.847000000000001</v>
      </c>
      <c r="U46">
        <v>39.398000000000003</v>
      </c>
      <c r="W46">
        <v>4.1000000000000002E-2</v>
      </c>
      <c r="X46">
        <v>-0.17199999999999999</v>
      </c>
      <c r="Z46">
        <v>0.26900000000000002</v>
      </c>
      <c r="AA46">
        <v>-0.124</v>
      </c>
      <c r="AB46">
        <v>2.5000000000000001E-2</v>
      </c>
      <c r="AC46">
        <v>-0.14299999999999999</v>
      </c>
      <c r="AD46">
        <v>4.1000000000000002E-2</v>
      </c>
      <c r="AE46">
        <v>-0.17199999999999999</v>
      </c>
      <c r="AF46">
        <v>0.26700000000000002</v>
      </c>
      <c r="AG46">
        <v>0.26900000000000002</v>
      </c>
      <c r="AH46">
        <v>-0.11899999999999999</v>
      </c>
      <c r="AI46">
        <v>-0.124</v>
      </c>
    </row>
    <row r="47" spans="1:35" x14ac:dyDescent="0.25">
      <c r="A47" t="s">
        <v>2448</v>
      </c>
      <c r="B47" t="s">
        <v>32</v>
      </c>
      <c r="C47" s="25">
        <v>43708.468136574076</v>
      </c>
      <c r="D47" s="741" t="s">
        <v>2238</v>
      </c>
      <c r="E47" s="741">
        <f t="array" ref="E47">SUMPRODUCT(IF(AMP2_2[[#This Row],[Dim 1_1]:[T 8]]-$F$4:$AI$4&lt;0,1,0)+IF($F$5:$AI$5-AMP2_2[[#This Row],[Dim 1_1]:[T 8]]&lt;0,1,0),IF(ISNUMBER(AMP2_2[[#This Row],[Dim 1_1]:[T 8]])=TRUE,1,0))</f>
        <v>0</v>
      </c>
      <c r="F47">
        <v>41.341000000000001</v>
      </c>
      <c r="G47">
        <v>41.347000000000001</v>
      </c>
      <c r="H47">
        <v>155.96199999999999</v>
      </c>
      <c r="I47">
        <v>156.14599999999999</v>
      </c>
      <c r="L47">
        <v>155.91399999999999</v>
      </c>
      <c r="M47">
        <v>155.898</v>
      </c>
      <c r="N47">
        <v>27.294</v>
      </c>
      <c r="O47">
        <v>27.401</v>
      </c>
      <c r="R47">
        <v>17.222999999999999</v>
      </c>
      <c r="S47">
        <v>16.904</v>
      </c>
      <c r="T47">
        <v>33.823</v>
      </c>
      <c r="U47">
        <v>34.567999999999998</v>
      </c>
      <c r="W47">
        <v>0.33200000000000002</v>
      </c>
      <c r="X47">
        <v>9.9000000000000005E-2</v>
      </c>
      <c r="Z47">
        <v>0.36</v>
      </c>
      <c r="AA47">
        <v>-3.3000000000000002E-2</v>
      </c>
      <c r="AB47">
        <v>9.9000000000000005E-2</v>
      </c>
      <c r="AC47">
        <v>0.14199999999999999</v>
      </c>
      <c r="AD47">
        <v>0.31</v>
      </c>
      <c r="AE47">
        <v>0.33200000000000002</v>
      </c>
      <c r="AF47">
        <v>-3.3000000000000002E-2</v>
      </c>
      <c r="AG47">
        <v>-2.7E-2</v>
      </c>
      <c r="AH47">
        <v>0.33800000000000002</v>
      </c>
      <c r="AI47">
        <v>0.36</v>
      </c>
    </row>
    <row r="48" spans="1:35" x14ac:dyDescent="0.25">
      <c r="A48" t="s">
        <v>2449</v>
      </c>
      <c r="B48" t="s">
        <v>31</v>
      </c>
      <c r="C48" s="25">
        <v>43708.474016203705</v>
      </c>
      <c r="D48" s="741" t="s">
        <v>2238</v>
      </c>
      <c r="E48" s="741">
        <f t="array" ref="E48">SUMPRODUCT(IF(AMP2_2[[#This Row],[Dim 1_1]:[T 8]]-$F$4:$AI$4&lt;0,1,0)+IF($F$5:$AI$5-AMP2_2[[#This Row],[Dim 1_1]:[T 8]]&lt;0,1,0),IF(ISNUMBER(AMP2_2[[#This Row],[Dim 1_1]:[T 8]])=TRUE,1,0))</f>
        <v>0</v>
      </c>
      <c r="H48">
        <v>155.77000000000001</v>
      </c>
      <c r="I48">
        <v>155.62299999999999</v>
      </c>
      <c r="J48">
        <v>168.72399999999999</v>
      </c>
      <c r="K48">
        <v>168.87700000000001</v>
      </c>
      <c r="L48">
        <v>155.95599999999999</v>
      </c>
      <c r="M48">
        <v>155.703</v>
      </c>
      <c r="N48">
        <v>27.282</v>
      </c>
      <c r="O48">
        <v>27.539000000000001</v>
      </c>
      <c r="R48">
        <v>17.260000000000002</v>
      </c>
      <c r="S48">
        <v>16.585999999999999</v>
      </c>
      <c r="T48">
        <v>38.14</v>
      </c>
      <c r="U48">
        <v>38.634</v>
      </c>
      <c r="W48">
        <v>0.10100000000000001</v>
      </c>
      <c r="X48">
        <v>-0.29199999999999998</v>
      </c>
      <c r="Z48">
        <v>0.13100000000000001</v>
      </c>
      <c r="AA48">
        <v>-3.4000000000000002E-2</v>
      </c>
      <c r="AB48">
        <v>-0.11799999999999999</v>
      </c>
      <c r="AC48">
        <v>-0.29199999999999998</v>
      </c>
      <c r="AD48">
        <v>0.10100000000000001</v>
      </c>
      <c r="AE48">
        <v>-0.254</v>
      </c>
      <c r="AF48">
        <v>0.13100000000000001</v>
      </c>
      <c r="AG48">
        <v>0.121</v>
      </c>
      <c r="AH48">
        <v>-3.4000000000000002E-2</v>
      </c>
      <c r="AI48">
        <v>1E-3</v>
      </c>
    </row>
    <row r="49" spans="1:35" x14ac:dyDescent="0.25">
      <c r="A49" t="s">
        <v>2450</v>
      </c>
      <c r="B49" t="s">
        <v>32</v>
      </c>
      <c r="C49" s="25">
        <v>43708.527071759258</v>
      </c>
      <c r="D49" s="741" t="s">
        <v>2238</v>
      </c>
      <c r="E49" s="741">
        <f t="array" ref="E49">SUMPRODUCT(IF(AMP2_2[[#This Row],[Dim 1_1]:[T 8]]-$F$4:$AI$4&lt;0,1,0)+IF($F$5:$AI$5-AMP2_2[[#This Row],[Dim 1_1]:[T 8]]&lt;0,1,0),IF(ISNUMBER(AMP2_2[[#This Row],[Dim 1_1]:[T 8]])=TRUE,1,0))</f>
        <v>0</v>
      </c>
      <c r="F49">
        <v>41.366</v>
      </c>
      <c r="G49">
        <v>41.325000000000003</v>
      </c>
      <c r="H49">
        <v>155.98599999999999</v>
      </c>
      <c r="I49">
        <v>156.15600000000001</v>
      </c>
      <c r="L49">
        <v>155.91300000000001</v>
      </c>
      <c r="M49">
        <v>155.874</v>
      </c>
      <c r="N49">
        <v>27.263000000000002</v>
      </c>
      <c r="O49">
        <v>27.274000000000001</v>
      </c>
      <c r="R49">
        <v>17.254999999999999</v>
      </c>
      <c r="S49">
        <v>16.969000000000001</v>
      </c>
      <c r="T49">
        <v>33.853000000000002</v>
      </c>
      <c r="U49">
        <v>34.356999999999999</v>
      </c>
      <c r="W49">
        <v>0.376</v>
      </c>
      <c r="X49">
        <v>7.0999999999999994E-2</v>
      </c>
      <c r="Z49">
        <v>0.30099999999999999</v>
      </c>
      <c r="AA49">
        <v>-0.14699999999999999</v>
      </c>
      <c r="AB49">
        <v>7.0999999999999994E-2</v>
      </c>
      <c r="AC49">
        <v>0.11</v>
      </c>
      <c r="AD49">
        <v>0.33900000000000002</v>
      </c>
      <c r="AE49">
        <v>0.376</v>
      </c>
      <c r="AF49">
        <v>-0.14699999999999999</v>
      </c>
      <c r="AG49">
        <v>-0.129</v>
      </c>
      <c r="AH49">
        <v>0.29399999999999998</v>
      </c>
      <c r="AI49">
        <v>0.30099999999999999</v>
      </c>
    </row>
    <row r="50" spans="1:35" x14ac:dyDescent="0.25">
      <c r="A50" t="s">
        <v>2451</v>
      </c>
      <c r="B50" t="s">
        <v>31</v>
      </c>
      <c r="C50" s="25">
        <v>43708.535416666666</v>
      </c>
      <c r="D50" s="741" t="s">
        <v>2238</v>
      </c>
      <c r="E50" s="741">
        <f t="array" ref="E50">SUMPRODUCT(IF(AMP2_2[[#This Row],[Dim 1_1]:[T 8]]-$F$4:$AI$4&lt;0,1,0)+IF($F$5:$AI$5-AMP2_2[[#This Row],[Dim 1_1]:[T 8]]&lt;0,1,0),IF(ISNUMBER(AMP2_2[[#This Row],[Dim 1_1]:[T 8]])=TRUE,1,0))</f>
        <v>1</v>
      </c>
      <c r="H50">
        <v>155.79400000000001</v>
      </c>
      <c r="I50">
        <v>155.601</v>
      </c>
      <c r="J50">
        <v>168.80199999999999</v>
      </c>
      <c r="K50">
        <v>168.898</v>
      </c>
      <c r="L50">
        <v>156.05600000000001</v>
      </c>
      <c r="M50">
        <v>155.886</v>
      </c>
      <c r="N50">
        <v>27.193000000000001</v>
      </c>
      <c r="O50">
        <v>27.446000000000002</v>
      </c>
      <c r="R50">
        <v>17.164000000000001</v>
      </c>
      <c r="S50">
        <v>16.413</v>
      </c>
      <c r="T50">
        <v>39.987000000000002</v>
      </c>
      <c r="U50">
        <v>40.473999999999997</v>
      </c>
      <c r="W50">
        <v>5.5E-2</v>
      </c>
      <c r="X50">
        <v>-0.36799999999999999</v>
      </c>
      <c r="Z50">
        <v>6.2E-2</v>
      </c>
      <c r="AA50">
        <v>-3.7999999999999999E-2</v>
      </c>
      <c r="AB50">
        <v>-0.22</v>
      </c>
      <c r="AC50">
        <v>-0.36799999999999999</v>
      </c>
      <c r="AD50">
        <v>5.5E-2</v>
      </c>
      <c r="AE50">
        <v>-0.254</v>
      </c>
      <c r="AF50">
        <v>6.2E-2</v>
      </c>
      <c r="AG50">
        <v>4.4999999999999998E-2</v>
      </c>
      <c r="AH50">
        <v>-3.7999999999999999E-2</v>
      </c>
      <c r="AI50">
        <v>2E-3</v>
      </c>
    </row>
    <row r="51" spans="1:35" x14ac:dyDescent="0.25">
      <c r="A51" t="s">
        <v>2452</v>
      </c>
      <c r="B51" t="s">
        <v>32</v>
      </c>
      <c r="C51" s="25">
        <v>43708.567719907405</v>
      </c>
      <c r="D51" s="741" t="s">
        <v>2238</v>
      </c>
      <c r="E51" s="741">
        <f t="array" ref="E51">SUMPRODUCT(IF(AMP2_2[[#This Row],[Dim 1_1]:[T 8]]-$F$4:$AI$4&lt;0,1,0)+IF($F$5:$AI$5-AMP2_2[[#This Row],[Dim 1_1]:[T 8]]&lt;0,1,0),IF(ISNUMBER(AMP2_2[[#This Row],[Dim 1_1]:[T 8]])=TRUE,1,0))</f>
        <v>0</v>
      </c>
      <c r="F51">
        <v>41.444000000000003</v>
      </c>
      <c r="G51">
        <v>41.427999999999997</v>
      </c>
      <c r="H51">
        <v>155.91499999999999</v>
      </c>
      <c r="I51">
        <v>156.154</v>
      </c>
      <c r="L51">
        <v>155.88900000000001</v>
      </c>
      <c r="M51">
        <v>155.93799999999999</v>
      </c>
      <c r="N51">
        <v>27.381</v>
      </c>
      <c r="O51">
        <v>27.388000000000002</v>
      </c>
      <c r="R51">
        <v>17.219000000000001</v>
      </c>
      <c r="S51">
        <v>17.053999999999998</v>
      </c>
      <c r="T51">
        <v>33.695999999999998</v>
      </c>
      <c r="U51">
        <v>34.670999999999999</v>
      </c>
      <c r="W51">
        <v>0.255</v>
      </c>
      <c r="X51">
        <v>0.17899999999999999</v>
      </c>
      <c r="Z51">
        <v>0.192</v>
      </c>
      <c r="AA51">
        <v>-8.9999999999999993E-3</v>
      </c>
      <c r="AB51">
        <v>0.17899999999999999</v>
      </c>
      <c r="AC51">
        <v>0.20599999999999999</v>
      </c>
      <c r="AD51">
        <v>0.218</v>
      </c>
      <c r="AE51">
        <v>0.255</v>
      </c>
      <c r="AF51">
        <v>-8.9999999999999993E-3</v>
      </c>
      <c r="AG51">
        <v>-2E-3</v>
      </c>
      <c r="AH51">
        <v>0.19</v>
      </c>
      <c r="AI51">
        <v>0.192</v>
      </c>
    </row>
    <row r="52" spans="1:35" x14ac:dyDescent="0.25">
      <c r="A52" t="s">
        <v>2453</v>
      </c>
      <c r="B52" t="s">
        <v>31</v>
      </c>
      <c r="C52" s="25">
        <v>43708.570173611108</v>
      </c>
      <c r="D52" s="741" t="s">
        <v>2238</v>
      </c>
      <c r="E52" s="741">
        <f t="array" ref="E52">SUMPRODUCT(IF(AMP2_2[[#This Row],[Dim 1_1]:[T 8]]-$F$4:$AI$4&lt;0,1,0)+IF($F$5:$AI$5-AMP2_2[[#This Row],[Dim 1_1]:[T 8]]&lt;0,1,0),IF(ISNUMBER(AMP2_2[[#This Row],[Dim 1_1]:[T 8]])=TRUE,1,0))</f>
        <v>2</v>
      </c>
      <c r="H52">
        <v>155.70599999999999</v>
      </c>
      <c r="I52">
        <v>155.517</v>
      </c>
      <c r="J52">
        <v>168.83</v>
      </c>
      <c r="K52">
        <v>169.434</v>
      </c>
      <c r="L52">
        <v>155.88499999999999</v>
      </c>
      <c r="M52">
        <v>155.60599999999999</v>
      </c>
      <c r="N52">
        <v>27.353000000000002</v>
      </c>
      <c r="O52">
        <v>27.632999999999999</v>
      </c>
      <c r="R52">
        <v>17.263999999999999</v>
      </c>
      <c r="S52">
        <v>16.538</v>
      </c>
      <c r="T52">
        <v>38.186</v>
      </c>
      <c r="U52">
        <v>39.057000000000002</v>
      </c>
      <c r="W52">
        <v>0.11</v>
      </c>
      <c r="X52">
        <v>-0.26600000000000001</v>
      </c>
      <c r="Z52">
        <v>9.2999999999999999E-2</v>
      </c>
      <c r="AA52">
        <v>-6.3E-2</v>
      </c>
      <c r="AB52">
        <v>-9.5000000000000001E-2</v>
      </c>
      <c r="AC52">
        <v>-0.26600000000000001</v>
      </c>
      <c r="AD52">
        <v>0.11</v>
      </c>
      <c r="AE52">
        <v>-0.17899999999999999</v>
      </c>
      <c r="AF52">
        <v>9.2999999999999999E-2</v>
      </c>
      <c r="AG52">
        <v>8.7999999999999995E-2</v>
      </c>
      <c r="AH52">
        <v>-6.3E-2</v>
      </c>
      <c r="AI52">
        <v>-4.7E-2</v>
      </c>
    </row>
  </sheetData>
  <mergeCells count="1">
    <mergeCell ref="E1:E2"/>
  </mergeCells>
  <conditionalFormatting sqref="A6:XFD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30" priority="10"/>
  </conditionalFormatting>
  <conditionalFormatting sqref="F6:S7 V6:AI7">
    <cfRule type="cellIs" dxfId="229" priority="5" stopIfTrue="1" operator="notBetween">
      <formula>0.35</formula>
      <formula>-0.35</formula>
    </cfRule>
    <cfRule type="cellIs" dxfId="228" priority="6" operator="notBetween">
      <formula>0.2</formula>
      <formula>-0.2</formula>
    </cfRule>
  </conditionalFormatting>
  <conditionalFormatting sqref="E1 E3:E1048576">
    <cfRule type="cellIs" dxfId="227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226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25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00B050"/>
  </sheetPr>
  <dimension ref="A1:AI37"/>
  <sheetViews>
    <sheetView workbookViewId="0">
      <pane xSplit="2" ySplit="8" topLeftCell="N9" activePane="bottomRight" state="frozenSplit"/>
      <selection pane="topRight" activeCell="C1" sqref="C1"/>
      <selection pane="bottomLeft" activeCell="A9" sqref="A9"/>
      <selection pane="bottomRight" activeCell="S9" sqref="S9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MIN(AMP2_6[Date])</f>
        <v>43705.754374999997</v>
      </c>
      <c r="D1" s="310"/>
      <c r="E1" s="794" t="s">
        <v>40</v>
      </c>
      <c r="F1" s="2">
        <f>IFERROR(AVERAGEIFS(AMP2_6[[#All],[Dim 1_1]],AMP2_6[[#All],[Blade Part Number]],$B1,AMP2_6[[#All],[Date]],"&gt;"&amp;$A$1,AMP2_6[[#All],[Date]],"&lt;"&amp;$A$2),"")</f>
        <v>41.572214285714288</v>
      </c>
      <c r="G1" s="2">
        <f>IFERROR(AVERAGEIFS(AMP2_6[[#All],[Dim 1_2]],AMP2_6[[#All],[Blade Part Number]],$B1,AMP2_6[[#All],[Date]],"&gt;"&amp;$A$1,AMP2_6[[#All],[Date]],"&lt;"&amp;$A$2),"")</f>
        <v>41.299928571428566</v>
      </c>
      <c r="H1" s="2">
        <f>IFERROR(AVERAGEIFS(AMP2_6[[#All],[Dim 2_1]],AMP2_6[[#All],[Blade Part Number]],$B1,AMP2_6[[#All],[Date]],"&gt;"&amp;$A$1,AMP2_6[[#All],[Date]],"&lt;"&amp;$A$2),"")</f>
        <v>155.55135714285714</v>
      </c>
      <c r="I1" s="2">
        <f>IFERROR(AVERAGEIFS(AMP2_6[[#All],[Dim 2_2]],AMP2_6[[#All],[Blade Part Number]],$B1,AMP2_6[[#All],[Date]],"&gt;"&amp;$A$1,AMP2_6[[#All],[Date]],"&lt;"&amp;$A$2),"")</f>
        <v>155.71457142857142</v>
      </c>
      <c r="J1" s="2" t="str">
        <f>IFERROR(AVERAGEIFS(AMP2_6[[#All],[Dim 3_1]],AMP2_6[[#All],[Blade Part Number]],$B1,AMP2_6[[#All],[Date]],"&gt;"&amp;$A$1,AMP2_6[[#All],[Date]],"&lt;"&amp;$A$2),"")</f>
        <v/>
      </c>
      <c r="K1" s="2" t="str">
        <f>IFERROR(AVERAGEIFS(AMP2_6[[#All],[Dim 3_2]],AMP2_6[[#All],[Blade Part Number]],$B1,AMP2_6[[#All],[Date]],"&gt;"&amp;$A$1,AMP2_6[[#All],[Date]],"&lt;"&amp;$A$2),"")</f>
        <v/>
      </c>
      <c r="L1" s="2">
        <f>IFERROR(AVERAGEIFS(AMP2_6[[#All],[Dim 4_1]],AMP2_6[[#All],[Blade Part Number]],$B1,AMP2_6[[#All],[Date]],"&gt;"&amp;$A$1,AMP2_6[[#All],[Date]],"&lt;"&amp;$A$2),"")</f>
        <v>155.8604285714286</v>
      </c>
      <c r="M1" s="2">
        <f>IFERROR(AVERAGEIFS(AMP2_6[[#All],[Dim 4_2]],AMP2_6[[#All],[Blade Part Number]],$B1,AMP2_6[[#All],[Date]],"&gt;"&amp;$A$1,AMP2_6[[#All],[Date]],"&lt;"&amp;$A$2),"")</f>
        <v>155.71342857142858</v>
      </c>
      <c r="N1" s="2">
        <f>IFERROR(AVERAGEIFS(AMP2_6[[#All],[Dim 5_1]],AMP2_6[[#All],[Blade Part Number]],$B1,AMP2_6[[#All],[Date]],"&gt;"&amp;$A$1,AMP2_6[[#All],[Date]],"&lt;"&amp;$A$2),"")</f>
        <v>27.330285714285715</v>
      </c>
      <c r="O1" s="2">
        <f>IFERROR(AVERAGEIFS(AMP2_6[[#All],[Dim 5_2]],AMP2_6[[#All],[Blade Part Number]],$B1,AMP2_6[[#All],[Date]],"&gt;"&amp;$A$1,AMP2_6[[#All],[Date]],"&lt;"&amp;$A$2),"")</f>
        <v>27.558428571428571</v>
      </c>
      <c r="P1" s="2" t="str">
        <f>IFERROR(AVERAGEIFS(AMP2_6[[#All],[Dim 6]],AMP2_6[[#All],[Blade Part Number]],$B1,AMP2_6[[#All],[Date]],"&gt;"&amp;$A$1,AMP2_6[[#All],[Date]],"&lt;"&amp;$A$2),"")</f>
        <v/>
      </c>
      <c r="Q1" s="2" t="str">
        <f>IFERROR(AVERAGEIFS(AMP2_6[[#All],[Dim 7]],AMP2_6[[#All],[Blade Part Number]],$B1,AMP2_6[[#All],[Date]],"&gt;"&amp;$A$1,AMP2_6[[#All],[Date]],"&lt;"&amp;$A$2),"")</f>
        <v/>
      </c>
      <c r="R1" s="2">
        <f>IFERROR(AVERAGEIFS(AMP2_6[[#All],[Dim 9_1]],AMP2_6[[#All],[Blade Part Number]],$B1,AMP2_6[[#All],[Date]],"&gt;"&amp;$A$1,AMP2_6[[#All],[Date]],"&lt;"&amp;$A$2),"")</f>
        <v>17.106500000000004</v>
      </c>
      <c r="S1" s="2">
        <f>IFERROR(AVERAGEIFS(AMP2_6[[#All],[Dim 9_2]],AMP2_6[[#All],[Blade Part Number]],$B1,AMP2_6[[#All],[Date]],"&gt;"&amp;$A$1,AMP2_6[[#All],[Date]],"&lt;"&amp;$A$2),"")</f>
        <v>16.968428571428571</v>
      </c>
      <c r="T1" s="2">
        <f>IFERROR(AVERAGEIFS(AMP2_6[[#All],[Dim 10_1]],AMP2_6[[#All],[Blade Part Number]],$B1,AMP2_6[[#All],[Date]],"&gt;"&amp;$A$1,AMP2_6[[#All],[Date]],"&lt;"&amp;$A$2),"")</f>
        <v>35.134928571428574</v>
      </c>
      <c r="U1" s="2">
        <f>IFERROR(AVERAGEIFS(AMP2_6[[#All],[Dim 10_2]],AMP2_6[[#All],[Blade Part Number]],$B1,AMP2_6[[#All],[Date]],"&gt;"&amp;$A$1,AMP2_6[[#All],[Date]],"&lt;"&amp;$A$2),"")</f>
        <v>35.852785714285723</v>
      </c>
      <c r="V1" s="2" t="str">
        <f>IFERROR(AVERAGEIFS(AMP2_6[[#All],[Dim 11]],AMP2_6[[#All],[Blade Part Number]],$B1,AMP2_6[[#All],[Date]],"&gt;"&amp;$A$1,AMP2_6[[#All],[Date]],"&lt;"&amp;$A$2),"")</f>
        <v/>
      </c>
      <c r="W1" s="2">
        <f>IFERROR(AVERAGEIFS(AMP2_6[[#All],[Dim 11 Max]],AMP2_6[[#All],[Blade Part Number]],$B1,AMP2_6[[#All],[Date]],"&gt;"&amp;$A$1,AMP2_6[[#All],[Date]],"&lt;"&amp;$A$2),"")</f>
        <v>0.16942857142857143</v>
      </c>
      <c r="X1" s="2">
        <f>IFERROR(AVERAGEIFS(AMP2_6[[#All],[Dim 11 Min]],AMP2_6[[#All],[Blade Part Number]],$B1,AMP2_6[[#All],[Date]],"&gt;"&amp;$A$1,AMP2_6[[#All],[Date]],"&lt;"&amp;$A$2),"")</f>
        <v>3.9999999999999983E-3</v>
      </c>
      <c r="Y1" s="2" t="str">
        <f>IFERROR(AVERAGEIFS(AMP2_6[[#All],[Dim 12]],AMP2_6[[#All],[Blade Part Number]],$B1,AMP2_6[[#All],[Date]],"&gt;"&amp;$A$1,AMP2_6[[#All],[Date]],"&lt;"&amp;$A$2),"")</f>
        <v/>
      </c>
      <c r="Z1" s="2">
        <f>IFERROR(AVERAGEIFS(AMP2_6[[#All],[Dim 12 Max]],AMP2_6[[#All],[Blade Part Number]],$B1,AMP2_6[[#All],[Date]],"&gt;"&amp;$A$1,AMP2_6[[#All],[Date]],"&lt;"&amp;$A$2),"")</f>
        <v>0.43421428571428577</v>
      </c>
      <c r="AA1" s="2">
        <f>IFERROR(AVERAGEIFS(AMP2_6[[#All],[Dim 12 Min]],AMP2_6[[#All],[Blade Part Number]],$B1,AMP2_6[[#All],[Date]],"&gt;"&amp;$A$1,AMP2_6[[#All],[Date]],"&lt;"&amp;$A$2),"")</f>
        <v>0.16864285714285715</v>
      </c>
      <c r="AB1" s="2">
        <f>IFERROR(AVERAGEIFS(AMP2_6[[#All],[T 1]],AMP2_6[[#All],[Blade Part Number]],$B1,AMP2_6[[#All],[Date]],"&gt;"&amp;$A$1,AMP2_6[[#All],[Date]],"&lt;"&amp;$A$2),"")</f>
        <v>4.2714285714285719E-2</v>
      </c>
      <c r="AC1" s="2">
        <f>IFERROR(AVERAGEIFS(AMP2_6[[#All],[T 2]],AMP2_6[[#All],[Blade Part Number]],$B1,AMP2_6[[#All],[Date]],"&gt;"&amp;$A$1,AMP2_6[[#All],[Date]],"&lt;"&amp;$A$2),"")</f>
        <v>4.7857142857142846E-3</v>
      </c>
      <c r="AD1" s="2">
        <f>IFERROR(AVERAGEIFS(AMP2_6[[#All],[T 3]],AMP2_6[[#All],[Blade Part Number]],$B1,AMP2_6[[#All],[Date]],"&gt;"&amp;$A$1,AMP2_6[[#All],[Date]],"&lt;"&amp;$A$2),"")</f>
        <v>0.15078571428571427</v>
      </c>
      <c r="AE1" s="2">
        <f>IFERROR(AVERAGEIFS(AMP2_6[[#All],[T 4]],AMP2_6[[#All],[Blade Part Number]],$B1,AMP2_6[[#All],[Date]],"&gt;"&amp;$A$1,AMP2_6[[#All],[Date]],"&lt;"&amp;$A$2),"")</f>
        <v>0.11707142857142859</v>
      </c>
      <c r="AF1" s="2">
        <f>IFERROR(AVERAGEIFS(AMP2_6[[#All],[T 5]],AMP2_6[[#All],[Blade Part Number]],$B1,AMP2_6[[#All],[Date]],"&gt;"&amp;$A$1,AMP2_6[[#All],[Date]],"&lt;"&amp;$A$2),"")</f>
        <v>0.21071428571428569</v>
      </c>
      <c r="AG1" s="2">
        <f>IFERROR(AVERAGEIFS(AMP2_6[[#All],[T 6]],AMP2_6[[#All],[Blade Part Number]],$B1,AMP2_6[[#All],[Date]],"&gt;"&amp;$A$1,AMP2_6[[#All],[Date]],"&lt;"&amp;$A$2),"")</f>
        <v>0.16864285714285715</v>
      </c>
      <c r="AH1" s="2">
        <f>IFERROR(AVERAGEIFS(AMP2_6[[#All],[T 7]],AMP2_6[[#All],[Blade Part Number]],$B1,AMP2_6[[#All],[Date]],"&gt;"&amp;$A$1,AMP2_6[[#All],[Date]],"&lt;"&amp;$A$2),"")</f>
        <v>0.42935714285714288</v>
      </c>
      <c r="AI1" s="2">
        <f>IFERROR(AVERAGEIFS(AMP2_6[[#All],[T 8]],AMP2_6[[#All],[Blade Part Number]],$B1,AMP2_6[[#All],[Date]],"&gt;"&amp;$A$1,AMP2_6[[#All],[Date]],"&lt;"&amp;$A$2),"")</f>
        <v>0.42214285714285715</v>
      </c>
    </row>
    <row r="2" spans="1:35" x14ac:dyDescent="0.25">
      <c r="A2" s="1">
        <f>'Offset Solver'!E31</f>
        <v>73050</v>
      </c>
      <c r="B2" s="12" t="s">
        <v>31</v>
      </c>
      <c r="C2" s="25">
        <f>MAX(AMP2_6[Date])</f>
        <v>43708.30667824074</v>
      </c>
      <c r="D2" s="310"/>
      <c r="E2" s="794"/>
      <c r="F2" s="2" t="str">
        <f>IFERROR(AVERAGEIFS(AMP2_6[[#All],[Dim 1_1]],AMP2_6[[#All],[Blade Part Number]],$B2,AMP2_6[[#All],[Date]],"&gt;"&amp;$A$1,AMP2_6[[#All],[Date]],"&lt;"&amp;$A$2),"")</f>
        <v/>
      </c>
      <c r="G2" s="2" t="str">
        <f>IFERROR(AVERAGEIFS(AMP2_6[[#All],[Dim 1_2]],AMP2_6[[#All],[Blade Part Number]],$B2,AMP2_6[[#All],[Date]],"&gt;"&amp;$A$1,AMP2_6[[#All],[Date]],"&lt;"&amp;$A$2),"")</f>
        <v/>
      </c>
      <c r="H2" s="2">
        <f>IFERROR(AVERAGEIFS(AMP2_6[[#All],[Dim 2_1]],AMP2_6[[#All],[Blade Part Number]],$B2,AMP2_6[[#All],[Date]],"&gt;"&amp;$A$1,AMP2_6[[#All],[Date]],"&lt;"&amp;$A$2),"")</f>
        <v>155.85642857142858</v>
      </c>
      <c r="I2" s="2">
        <f>IFERROR(AVERAGEIFS(AMP2_6[[#All],[Dim 2_2]],AMP2_6[[#All],[Blade Part Number]],$B2,AMP2_6[[#All],[Date]],"&gt;"&amp;$A$1,AMP2_6[[#All],[Date]],"&lt;"&amp;$A$2),"")</f>
        <v>155.80285714285716</v>
      </c>
      <c r="J2" s="2">
        <f>IFERROR(AVERAGEIFS(AMP2_6[[#All],[Dim 3_1]],AMP2_6[[#All],[Blade Part Number]],$B2,AMP2_6[[#All],[Date]],"&gt;"&amp;$A$1,AMP2_6[[#All],[Date]],"&lt;"&amp;$A$2),"")</f>
        <v>169.22628571428569</v>
      </c>
      <c r="K2" s="2">
        <f>IFERROR(AVERAGEIFS(AMP2_6[[#All],[Dim 3_2]],AMP2_6[[#All],[Blade Part Number]],$B2,AMP2_6[[#All],[Date]],"&gt;"&amp;$A$1,AMP2_6[[#All],[Date]],"&lt;"&amp;$A$2),"")</f>
        <v>168.70971428571428</v>
      </c>
      <c r="L2" s="2">
        <f>IFERROR(AVERAGEIFS(AMP2_6[[#All],[Dim 4_1]],AMP2_6[[#All],[Blade Part Number]],$B2,AMP2_6[[#All],[Date]],"&gt;"&amp;$A$1,AMP2_6[[#All],[Date]],"&lt;"&amp;$A$2),"")</f>
        <v>155.86071428571427</v>
      </c>
      <c r="M2" s="2">
        <f>IFERROR(AVERAGEIFS(AMP2_6[[#All],[Dim 4_2]],AMP2_6[[#All],[Blade Part Number]],$B2,AMP2_6[[#All],[Date]],"&gt;"&amp;$A$1,AMP2_6[[#All],[Date]],"&lt;"&amp;$A$2),"")</f>
        <v>155.71314285714286</v>
      </c>
      <c r="N2" s="2">
        <f>IFERROR(AVERAGEIFS(AMP2_6[[#All],[Dim 5_1]],AMP2_6[[#All],[Blade Part Number]],$B2,AMP2_6[[#All],[Date]],"&gt;"&amp;$A$1,AMP2_6[[#All],[Date]],"&lt;"&amp;$A$2),"")</f>
        <v>27.340357142857137</v>
      </c>
      <c r="O2" s="2">
        <f>IFERROR(AVERAGEIFS(AMP2_6[[#All],[Dim 5_2]],AMP2_6[[#All],[Blade Part Number]],$B2,AMP2_6[[#All],[Date]],"&gt;"&amp;$A$1,AMP2_6[[#All],[Date]],"&lt;"&amp;$A$2),"")</f>
        <v>27.451714285714285</v>
      </c>
      <c r="P2" s="2" t="str">
        <f>IFERROR(AVERAGEIFS(AMP2_6[[#All],[Dim 6]],AMP2_6[[#All],[Blade Part Number]],$B2,AMP2_6[[#All],[Date]],"&gt;"&amp;$A$1,AMP2_6[[#All],[Date]],"&lt;"&amp;$A$2),"")</f>
        <v/>
      </c>
      <c r="Q2" s="2" t="str">
        <f>IFERROR(AVERAGEIFS(AMP2_6[[#All],[Dim 7]],AMP2_6[[#All],[Blade Part Number]],$B2,AMP2_6[[#All],[Date]],"&gt;"&amp;$A$1,AMP2_6[[#All],[Date]],"&lt;"&amp;$A$2),"")</f>
        <v/>
      </c>
      <c r="R2" s="2">
        <f>IFERROR(AVERAGEIFS(AMP2_6[[#All],[Dim 9_1]],AMP2_6[[#All],[Blade Part Number]],$B2,AMP2_6[[#All],[Date]],"&gt;"&amp;$A$1,AMP2_6[[#All],[Date]],"&lt;"&amp;$A$2),"")</f>
        <v>17.076142857142855</v>
      </c>
      <c r="S2" s="2">
        <f>IFERROR(AVERAGEIFS(AMP2_6[[#All],[Dim 9_2]],AMP2_6[[#All],[Blade Part Number]],$B2,AMP2_6[[#All],[Date]],"&gt;"&amp;$A$1,AMP2_6[[#All],[Date]],"&lt;"&amp;$A$2),"")</f>
        <v>17.354571428571429</v>
      </c>
      <c r="T2" s="2">
        <f>IFERROR(AVERAGEIFS(AMP2_6[[#All],[Dim 10_1]],AMP2_6[[#All],[Blade Part Number]],$B2,AMP2_6[[#All],[Date]],"&gt;"&amp;$A$1,AMP2_6[[#All],[Date]],"&lt;"&amp;$A$2),"")</f>
        <v>35.969928571428561</v>
      </c>
      <c r="U2" s="2">
        <f>IFERROR(AVERAGEIFS(AMP2_6[[#All],[Dim 10_2]],AMP2_6[[#All],[Blade Part Number]],$B2,AMP2_6[[#All],[Date]],"&gt;"&amp;$A$1,AMP2_6[[#All],[Date]],"&lt;"&amp;$A$2),"")</f>
        <v>36.886928571428584</v>
      </c>
      <c r="V2" s="2" t="str">
        <f>IFERROR(AVERAGEIFS(AMP2_6[[#All],[Dim 11]],AMP2_6[[#All],[Blade Part Number]],$B2,AMP2_6[[#All],[Date]],"&gt;"&amp;$A$1,AMP2_6[[#All],[Date]],"&lt;"&amp;$A$2),"")</f>
        <v/>
      </c>
      <c r="W2" s="2">
        <f>IFERROR(AVERAGEIFS(AMP2_6[[#All],[Dim 11 Max]],AMP2_6[[#All],[Blade Part Number]],$B2,AMP2_6[[#All],[Date]],"&gt;"&amp;$A$1,AMP2_6[[#All],[Date]],"&lt;"&amp;$A$2),"")</f>
        <v>-0.11214285714285714</v>
      </c>
      <c r="X2" s="2">
        <f>IFERROR(AVERAGEIFS(AMP2_6[[#All],[Dim 11 Min]],AMP2_6[[#All],[Blade Part Number]],$B2,AMP2_6[[#All],[Date]],"&gt;"&amp;$A$1,AMP2_6[[#All],[Date]],"&lt;"&amp;$A$2),"")</f>
        <v>-0.35685714285714282</v>
      </c>
      <c r="Y2" s="2" t="str">
        <f>IFERROR(AVERAGEIFS(AMP2_6[[#All],[Dim 12]],AMP2_6[[#All],[Blade Part Number]],$B2,AMP2_6[[#All],[Date]],"&gt;"&amp;$A$1,AMP2_6[[#All],[Date]],"&lt;"&amp;$A$2),"")</f>
        <v/>
      </c>
      <c r="Z2" s="2">
        <f>IFERROR(AVERAGEIFS(AMP2_6[[#All],[Dim 12 Max]],AMP2_6[[#All],[Blade Part Number]],$B2,AMP2_6[[#All],[Date]],"&gt;"&amp;$A$1,AMP2_6[[#All],[Date]],"&lt;"&amp;$A$2),"")</f>
        <v>6.9642857142857145E-2</v>
      </c>
      <c r="AA2" s="2">
        <f>IFERROR(AVERAGEIFS(AMP2_6[[#All],[Dim 12 Min]],AMP2_6[[#All],[Blade Part Number]],$B2,AMP2_6[[#All],[Date]],"&gt;"&amp;$A$1,AMP2_6[[#All],[Date]],"&lt;"&amp;$A$2),"")</f>
        <v>-0.15221428571428572</v>
      </c>
      <c r="AB2" s="2">
        <f>IFERROR(AVERAGEIFS(AMP2_6[[#All],[T 1]],AMP2_6[[#All],[Blade Part Number]],$B2,AMP2_6[[#All],[Date]],"&gt;"&amp;$A$1,AMP2_6[[#All],[Date]],"&lt;"&amp;$A$2),"")</f>
        <v>-0.11828571428571429</v>
      </c>
      <c r="AC2" s="2">
        <f>IFERROR(AVERAGEIFS(AMP2_6[[#All],[T 2]],AMP2_6[[#All],[Blade Part Number]],$B2,AMP2_6[[#All],[Date]],"&gt;"&amp;$A$1,AMP2_6[[#All],[Date]],"&lt;"&amp;$A$2),"")</f>
        <v>-0.11678571428571427</v>
      </c>
      <c r="AD2" s="2">
        <f>IFERROR(AVERAGEIFS(AMP2_6[[#All],[T 3]],AMP2_6[[#All],[Blade Part Number]],$B2,AMP2_6[[#All],[Date]],"&gt;"&amp;$A$1,AMP2_6[[#All],[Date]],"&lt;"&amp;$A$2),"")</f>
        <v>-0.3327857142857143</v>
      </c>
      <c r="AE2" s="2">
        <f>IFERROR(AVERAGEIFS(AMP2_6[[#All],[T 4]],AMP2_6[[#All],[Blade Part Number]],$B2,AMP2_6[[#All],[Date]],"&gt;"&amp;$A$1,AMP2_6[[#All],[Date]],"&lt;"&amp;$A$2),"")</f>
        <v>-0.34299999999999997</v>
      </c>
      <c r="AF2" s="2">
        <f>IFERROR(AVERAGEIFS(AMP2_6[[#All],[T 5]],AMP2_6[[#All],[Blade Part Number]],$B2,AMP2_6[[#All],[Date]],"&gt;"&amp;$A$1,AMP2_6[[#All],[Date]],"&lt;"&amp;$A$2),"")</f>
        <v>6.9642857142857145E-2</v>
      </c>
      <c r="AG2" s="2">
        <f>IFERROR(AVERAGEIFS(AMP2_6[[#All],[T 6]],AMP2_6[[#All],[Blade Part Number]],$B2,AMP2_6[[#All],[Date]],"&gt;"&amp;$A$1,AMP2_6[[#All],[Date]],"&lt;"&amp;$A$2),"")</f>
        <v>5.9928571428571428E-2</v>
      </c>
      <c r="AH2" s="2">
        <f>IFERROR(AVERAGEIFS(AMP2_6[[#All],[T 7]],AMP2_6[[#All],[Blade Part Number]],$B2,AMP2_6[[#All],[Date]],"&gt;"&amp;$A$1,AMP2_6[[#All],[Date]],"&lt;"&amp;$A$2),"")</f>
        <v>-0.14385714285714288</v>
      </c>
      <c r="AI2" s="2">
        <f>IFERROR(AVERAGEIFS(AMP2_6[[#All],[T 8]],AMP2_6[[#All],[Blade Part Number]],$B2,AMP2_6[[#All],[Date]],"&gt;"&amp;$A$1,AMP2_6[[#All],[Date]],"&lt;"&amp;$A$2),"")</f>
        <v>-0.14307142857142857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0.27221428571429129</v>
      </c>
      <c r="G6" s="11">
        <f t="shared" si="0"/>
        <v>-7.1428571430942611E-5</v>
      </c>
      <c r="H6" s="11">
        <f t="shared" si="0"/>
        <v>-0.24864285714286893</v>
      </c>
      <c r="I6" s="11">
        <f t="shared" si="0"/>
        <v>-8.5428571428593614E-2</v>
      </c>
      <c r="J6" s="11" t="str">
        <f t="shared" si="0"/>
        <v/>
      </c>
      <c r="K6" s="11" t="str">
        <f t="shared" si="0"/>
        <v/>
      </c>
      <c r="L6" s="11">
        <f t="shared" si="0"/>
        <v>6.0428571428587929E-2</v>
      </c>
      <c r="M6" s="11">
        <f t="shared" si="0"/>
        <v>-8.6571428571431852E-2</v>
      </c>
      <c r="N6" s="11">
        <f t="shared" si="0"/>
        <v>-6.9714285714283619E-2</v>
      </c>
      <c r="O6" s="11">
        <f t="shared" si="0"/>
        <v>0.1584285714285727</v>
      </c>
      <c r="P6" s="11" t="str">
        <f t="shared" si="0"/>
        <v/>
      </c>
      <c r="Q6" s="11" t="str">
        <f t="shared" si="0"/>
        <v/>
      </c>
      <c r="R6" s="11">
        <f t="shared" si="0"/>
        <v>-0.14349999999999596</v>
      </c>
      <c r="S6" s="11">
        <f t="shared" si="0"/>
        <v>-0.28157142857142858</v>
      </c>
      <c r="T6" s="11">
        <f t="shared" si="0"/>
        <v>3.1349285714285742</v>
      </c>
      <c r="U6" s="11">
        <f t="shared" si="0"/>
        <v>3.8527857142857229</v>
      </c>
      <c r="V6" s="11" t="str">
        <f t="shared" si="0"/>
        <v/>
      </c>
      <c r="W6" s="11">
        <f t="shared" si="0"/>
        <v>0.16942857142857143</v>
      </c>
      <c r="X6" s="11">
        <f t="shared" si="0"/>
        <v>3.9999999999999983E-3</v>
      </c>
      <c r="Y6" s="11" t="str">
        <f t="shared" si="0"/>
        <v/>
      </c>
      <c r="Z6" s="11">
        <f t="shared" si="0"/>
        <v>0.43421428571428577</v>
      </c>
      <c r="AA6" s="11">
        <f t="shared" si="0"/>
        <v>0.16864285714285715</v>
      </c>
      <c r="AB6" s="11">
        <f t="shared" si="0"/>
        <v>4.2714285714285719E-2</v>
      </c>
      <c r="AC6" s="11">
        <f t="shared" si="0"/>
        <v>4.7857142857142846E-3</v>
      </c>
      <c r="AD6" s="11">
        <f t="shared" si="0"/>
        <v>0.15078571428571427</v>
      </c>
      <c r="AE6" s="11">
        <f t="shared" si="0"/>
        <v>0.11707142857142859</v>
      </c>
      <c r="AF6" s="11">
        <f t="shared" si="0"/>
        <v>0.21071428571428569</v>
      </c>
      <c r="AG6" s="11">
        <f t="shared" si="0"/>
        <v>0.16864285714285715</v>
      </c>
      <c r="AH6" s="11">
        <f t="shared" si="0"/>
        <v>0.42935714285714288</v>
      </c>
      <c r="AI6" s="11">
        <f t="shared" si="0"/>
        <v>0.42214285714285715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5.642857142856883E-2</v>
      </c>
      <c r="I7" s="11">
        <f t="shared" si="1"/>
        <v>2.8571428571524393E-3</v>
      </c>
      <c r="J7" s="11">
        <f t="shared" si="1"/>
        <v>0.52628571428570581</v>
      </c>
      <c r="K7" s="11">
        <f t="shared" si="1"/>
        <v>9.7142857142955563E-3</v>
      </c>
      <c r="L7" s="11">
        <f t="shared" si="1"/>
        <v>6.0714285714254856E-2</v>
      </c>
      <c r="M7" s="11">
        <f t="shared" si="1"/>
        <v>-8.6857142857155623E-2</v>
      </c>
      <c r="N7" s="11">
        <f t="shared" si="1"/>
        <v>-5.9642857142861772E-2</v>
      </c>
      <c r="O7" s="11">
        <f t="shared" si="1"/>
        <v>5.171428571428649E-2</v>
      </c>
      <c r="P7" s="11" t="str">
        <f t="shared" si="1"/>
        <v/>
      </c>
      <c r="Q7" s="11" t="str">
        <f t="shared" si="1"/>
        <v/>
      </c>
      <c r="R7" s="11">
        <f t="shared" si="1"/>
        <v>-0.17385714285714471</v>
      </c>
      <c r="S7" s="11">
        <f t="shared" si="1"/>
        <v>0.10457142857142898</v>
      </c>
      <c r="T7" s="11">
        <f t="shared" si="1"/>
        <v>3.9699285714285608</v>
      </c>
      <c r="U7" s="11">
        <f t="shared" si="1"/>
        <v>4.8869285714285837</v>
      </c>
      <c r="V7" s="11" t="str">
        <f t="shared" si="1"/>
        <v/>
      </c>
      <c r="W7" s="11">
        <f t="shared" si="1"/>
        <v>-0.11214285714285714</v>
      </c>
      <c r="X7" s="11">
        <f t="shared" si="1"/>
        <v>-0.35685714285714282</v>
      </c>
      <c r="Y7" s="11" t="str">
        <f t="shared" si="1"/>
        <v/>
      </c>
      <c r="Z7" s="11">
        <f t="shared" si="1"/>
        <v>6.9642857142857145E-2</v>
      </c>
      <c r="AA7" s="11">
        <f t="shared" si="1"/>
        <v>-0.15221428571428572</v>
      </c>
      <c r="AB7" s="11">
        <f t="shared" si="1"/>
        <v>-0.11828571428571429</v>
      </c>
      <c r="AC7" s="11">
        <f t="shared" si="1"/>
        <v>-0.11678571428571427</v>
      </c>
      <c r="AD7" s="11">
        <f t="shared" si="1"/>
        <v>-0.3327857142857143</v>
      </c>
      <c r="AE7" s="11">
        <f t="shared" si="1"/>
        <v>-0.34299999999999997</v>
      </c>
      <c r="AF7" s="11">
        <f t="shared" si="1"/>
        <v>6.9642857142857145E-2</v>
      </c>
      <c r="AG7" s="11">
        <f t="shared" si="1"/>
        <v>5.9928571428571428E-2</v>
      </c>
      <c r="AH7" s="11">
        <f t="shared" si="1"/>
        <v>-0.14385714285714288</v>
      </c>
      <c r="AI7" s="11">
        <f t="shared" si="1"/>
        <v>-0.14307142857142857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1857</v>
      </c>
      <c r="B9" t="s">
        <v>32</v>
      </c>
      <c r="C9" s="25">
        <v>43705.754374999997</v>
      </c>
      <c r="D9" s="741" t="s">
        <v>969</v>
      </c>
      <c r="E9" s="741">
        <f t="array" ref="E9">SUMPRODUCT(IF(AMP2_6[[#This Row],[Dim 1_1]:[T 8]]-$F$4:$AI$4&lt;0,1,0)+IF($F$5:$AI$5-AMP2_6[[#This Row],[Dim 1_1]:[T 8]]&lt;0,1,0),IF(ISNUMBER(AMP2_6[[#This Row],[Dim 1_1]:[T 8]])=TRUE,1,0))</f>
        <v>0</v>
      </c>
      <c r="F9">
        <v>41.735999999999997</v>
      </c>
      <c r="G9">
        <v>41.448</v>
      </c>
      <c r="H9">
        <v>155.45599999999999</v>
      </c>
      <c r="I9">
        <v>155.637</v>
      </c>
      <c r="L9">
        <v>155.786</v>
      </c>
      <c r="M9">
        <v>155.65</v>
      </c>
      <c r="N9">
        <v>27.422999999999998</v>
      </c>
      <c r="O9">
        <v>27.635000000000002</v>
      </c>
      <c r="R9">
        <v>17.105</v>
      </c>
      <c r="S9">
        <v>17.061</v>
      </c>
      <c r="T9">
        <v>35.052</v>
      </c>
      <c r="U9">
        <v>35.802999999999997</v>
      </c>
      <c r="W9">
        <v>7.0999999999999994E-2</v>
      </c>
      <c r="X9">
        <v>2.9000000000000001E-2</v>
      </c>
      <c r="Z9">
        <v>0.36499999999999999</v>
      </c>
      <c r="AA9">
        <v>0.24199999999999999</v>
      </c>
      <c r="AB9">
        <v>7.0999999999999994E-2</v>
      </c>
      <c r="AC9">
        <v>3.2000000000000001E-2</v>
      </c>
      <c r="AD9">
        <v>2.9000000000000001E-2</v>
      </c>
      <c r="AE9">
        <v>5.8999999999999997E-2</v>
      </c>
      <c r="AF9">
        <v>0.28499999999999998</v>
      </c>
      <c r="AG9">
        <v>0.24199999999999999</v>
      </c>
      <c r="AH9">
        <v>0.36499999999999999</v>
      </c>
      <c r="AI9">
        <v>0.34</v>
      </c>
    </row>
    <row r="10" spans="1:35" x14ac:dyDescent="0.25">
      <c r="A10" t="s">
        <v>1858</v>
      </c>
      <c r="B10" t="s">
        <v>31</v>
      </c>
      <c r="C10" s="25">
        <v>43705.755902777775</v>
      </c>
      <c r="D10" s="741" t="s">
        <v>969</v>
      </c>
      <c r="E10" s="741">
        <f t="array" ref="E10">SUMPRODUCT(IF(AMP2_6[[#This Row],[Dim 1_1]:[T 8]]-$F$4:$AI$4&lt;0,1,0)+IF($F$5:$AI$5-AMP2_6[[#This Row],[Dim 1_1]:[T 8]]&lt;0,1,0),IF(ISNUMBER(AMP2_6[[#This Row],[Dim 1_1]:[T 8]])=TRUE,1,0))</f>
        <v>0</v>
      </c>
      <c r="H10">
        <v>155.749</v>
      </c>
      <c r="I10">
        <v>155.70400000000001</v>
      </c>
      <c r="J10">
        <v>169.24799999999999</v>
      </c>
      <c r="K10">
        <v>168.70699999999999</v>
      </c>
      <c r="L10">
        <v>155.75200000000001</v>
      </c>
      <c r="M10">
        <v>155.60300000000001</v>
      </c>
      <c r="N10">
        <v>27.434000000000001</v>
      </c>
      <c r="O10">
        <v>27.568999999999999</v>
      </c>
      <c r="R10">
        <v>17.071999999999999</v>
      </c>
      <c r="S10">
        <v>17.382999999999999</v>
      </c>
      <c r="T10">
        <v>36.886000000000003</v>
      </c>
      <c r="U10">
        <v>36.816000000000003</v>
      </c>
      <c r="W10">
        <v>2.5999999999999999E-2</v>
      </c>
      <c r="X10">
        <v>-0.17499999999999999</v>
      </c>
      <c r="Z10">
        <v>0.216</v>
      </c>
      <c r="AA10">
        <v>-5.0000000000000001E-3</v>
      </c>
      <c r="AB10">
        <v>2.5999999999999999E-2</v>
      </c>
      <c r="AC10">
        <v>1.7999999999999999E-2</v>
      </c>
      <c r="AD10">
        <v>-0.17499999999999999</v>
      </c>
      <c r="AE10">
        <v>-0.13500000000000001</v>
      </c>
      <c r="AF10">
        <v>0.216</v>
      </c>
      <c r="AG10">
        <v>0.21299999999999999</v>
      </c>
      <c r="AH10">
        <v>1E-3</v>
      </c>
      <c r="AI10">
        <v>-5.0000000000000001E-3</v>
      </c>
    </row>
    <row r="11" spans="1:35" x14ac:dyDescent="0.25">
      <c r="A11" t="s">
        <v>1859</v>
      </c>
      <c r="B11" t="s">
        <v>32</v>
      </c>
      <c r="C11" s="25">
        <v>43705.83353009259</v>
      </c>
      <c r="D11" s="741" t="s">
        <v>969</v>
      </c>
      <c r="E11" s="741">
        <f t="array" ref="E11">SUMPRODUCT(IF(AMP2_6[[#This Row],[Dim 1_1]:[T 8]]-$F$4:$AI$4&lt;0,1,0)+IF($F$5:$AI$5-AMP2_6[[#This Row],[Dim 1_1]:[T 8]]&lt;0,1,0),IF(ISNUMBER(AMP2_6[[#This Row],[Dim 1_1]:[T 8]])=TRUE,1,0))</f>
        <v>0</v>
      </c>
      <c r="F11">
        <v>41.789000000000001</v>
      </c>
      <c r="G11">
        <v>41.493000000000002</v>
      </c>
      <c r="H11">
        <v>155.42699999999999</v>
      </c>
      <c r="I11">
        <v>155.607</v>
      </c>
      <c r="L11">
        <v>155.80600000000001</v>
      </c>
      <c r="M11">
        <v>155.61199999999999</v>
      </c>
      <c r="N11">
        <v>27.407</v>
      </c>
      <c r="O11">
        <v>27.661000000000001</v>
      </c>
      <c r="R11">
        <v>17.103000000000002</v>
      </c>
      <c r="S11">
        <v>17.082999999999998</v>
      </c>
      <c r="T11">
        <v>34.701000000000001</v>
      </c>
      <c r="U11">
        <v>35.936999999999998</v>
      </c>
      <c r="W11">
        <v>5.3999999999999999E-2</v>
      </c>
      <c r="X11">
        <v>6.0000000000000001E-3</v>
      </c>
      <c r="Z11">
        <v>0.27900000000000003</v>
      </c>
      <c r="AA11">
        <v>0.17</v>
      </c>
      <c r="AB11">
        <v>5.3999999999999999E-2</v>
      </c>
      <c r="AC11">
        <v>1.4E-2</v>
      </c>
      <c r="AD11">
        <v>1.0999999999999999E-2</v>
      </c>
      <c r="AE11">
        <v>6.0000000000000001E-3</v>
      </c>
      <c r="AF11">
        <v>0.21199999999999999</v>
      </c>
      <c r="AG11">
        <v>0.17</v>
      </c>
      <c r="AH11">
        <v>0.27900000000000003</v>
      </c>
      <c r="AI11">
        <v>0.25900000000000001</v>
      </c>
    </row>
    <row r="12" spans="1:35" x14ac:dyDescent="0.25">
      <c r="A12" t="s">
        <v>1860</v>
      </c>
      <c r="B12" t="s">
        <v>31</v>
      </c>
      <c r="C12" s="25">
        <v>43705.835034722222</v>
      </c>
      <c r="D12" s="741" t="s">
        <v>969</v>
      </c>
      <c r="E12" s="741">
        <f t="array" ref="E12">SUMPRODUCT(IF(AMP2_6[[#This Row],[Dim 1_1]:[T 8]]-$F$4:$AI$4&lt;0,1,0)+IF($F$5:$AI$5-AMP2_6[[#This Row],[Dim 1_1]:[T 8]]&lt;0,1,0),IF(ISNUMBER(AMP2_6[[#This Row],[Dim 1_1]:[T 8]])=TRUE,1,0))</f>
        <v>1</v>
      </c>
      <c r="H12">
        <v>155.83600000000001</v>
      </c>
      <c r="I12">
        <v>155.79</v>
      </c>
      <c r="J12">
        <v>169.41</v>
      </c>
      <c r="K12">
        <v>168.84200000000001</v>
      </c>
      <c r="L12">
        <v>155.83199999999999</v>
      </c>
      <c r="M12">
        <v>155.69200000000001</v>
      </c>
      <c r="N12">
        <v>27.402999999999999</v>
      </c>
      <c r="O12">
        <v>27.498000000000001</v>
      </c>
      <c r="R12">
        <v>17.085999999999999</v>
      </c>
      <c r="S12">
        <v>17.332999999999998</v>
      </c>
      <c r="T12">
        <v>36.139000000000003</v>
      </c>
      <c r="U12">
        <v>36.231999999999999</v>
      </c>
      <c r="W12">
        <v>-3.5999999999999997E-2</v>
      </c>
      <c r="X12">
        <v>-0.19500000000000001</v>
      </c>
      <c r="Z12">
        <v>0.104</v>
      </c>
      <c r="AA12">
        <v>-7.0999999999999994E-2</v>
      </c>
      <c r="AB12">
        <v>-3.5999999999999997E-2</v>
      </c>
      <c r="AC12">
        <v>-4.2000000000000003E-2</v>
      </c>
      <c r="AD12">
        <v>-0.19500000000000001</v>
      </c>
      <c r="AE12">
        <v>-0.19400000000000001</v>
      </c>
      <c r="AF12">
        <v>0.104</v>
      </c>
      <c r="AG12">
        <v>8.6999999999999994E-2</v>
      </c>
      <c r="AH12">
        <v>-6.0999999999999999E-2</v>
      </c>
      <c r="AI12">
        <v>-7.0999999999999994E-2</v>
      </c>
    </row>
    <row r="13" spans="1:35" x14ac:dyDescent="0.25">
      <c r="A13" t="s">
        <v>1861</v>
      </c>
      <c r="B13" t="s">
        <v>32</v>
      </c>
      <c r="C13" s="25">
        <v>43705.955995370372</v>
      </c>
      <c r="D13" s="741" t="s">
        <v>969</v>
      </c>
      <c r="E13" s="741">
        <f t="array" ref="E13">SUMPRODUCT(IF(AMP2_6[[#This Row],[Dim 1_1]:[T 8]]-$F$4:$AI$4&lt;0,1,0)+IF($F$5:$AI$5-AMP2_6[[#This Row],[Dim 1_1]:[T 8]]&lt;0,1,0),IF(ISNUMBER(AMP2_6[[#This Row],[Dim 1_1]:[T 8]])=TRUE,1,0))</f>
        <v>0</v>
      </c>
      <c r="F13">
        <v>41.581000000000003</v>
      </c>
      <c r="G13">
        <v>41.087000000000003</v>
      </c>
      <c r="H13">
        <v>155.45699999999999</v>
      </c>
      <c r="I13">
        <v>155.63200000000001</v>
      </c>
      <c r="L13">
        <v>155.81800000000001</v>
      </c>
      <c r="M13">
        <v>155.708</v>
      </c>
      <c r="N13">
        <v>27.401</v>
      </c>
      <c r="O13">
        <v>27.605</v>
      </c>
      <c r="R13">
        <v>17.11</v>
      </c>
      <c r="S13">
        <v>16.991</v>
      </c>
      <c r="T13">
        <v>34.618000000000002</v>
      </c>
      <c r="U13">
        <v>36.067999999999998</v>
      </c>
      <c r="W13">
        <v>0.128</v>
      </c>
      <c r="X13">
        <v>2.7E-2</v>
      </c>
      <c r="Z13">
        <v>0.36199999999999999</v>
      </c>
      <c r="AA13">
        <v>0.16400000000000001</v>
      </c>
      <c r="AB13">
        <v>6.7000000000000004E-2</v>
      </c>
      <c r="AC13">
        <v>2.7E-2</v>
      </c>
      <c r="AD13">
        <v>0.128</v>
      </c>
      <c r="AE13">
        <v>0.121</v>
      </c>
      <c r="AF13">
        <v>0.19900000000000001</v>
      </c>
      <c r="AG13">
        <v>0.16400000000000001</v>
      </c>
      <c r="AH13">
        <v>0.36199999999999999</v>
      </c>
      <c r="AI13">
        <v>0.35799999999999998</v>
      </c>
    </row>
    <row r="14" spans="1:35" x14ac:dyDescent="0.25">
      <c r="A14" t="s">
        <v>1862</v>
      </c>
      <c r="B14" t="s">
        <v>31</v>
      </c>
      <c r="C14" s="25">
        <v>43705.95784722222</v>
      </c>
      <c r="D14" s="741" t="s">
        <v>969</v>
      </c>
      <c r="E14" s="741">
        <f t="array" ref="E14">SUMPRODUCT(IF(AMP2_6[[#This Row],[Dim 1_1]:[T 8]]-$F$4:$AI$4&lt;0,1,0)+IF($F$5:$AI$5-AMP2_6[[#This Row],[Dim 1_1]:[T 8]]&lt;0,1,0),IF(ISNUMBER(AMP2_6[[#This Row],[Dim 1_1]:[T 8]])=TRUE,1,0))</f>
        <v>0</v>
      </c>
      <c r="H14">
        <v>155.79499999999999</v>
      </c>
      <c r="I14">
        <v>155.732</v>
      </c>
      <c r="J14">
        <v>169.21199999999999</v>
      </c>
      <c r="K14">
        <v>168.81899999999999</v>
      </c>
      <c r="L14">
        <v>155.81100000000001</v>
      </c>
      <c r="M14">
        <v>155.643</v>
      </c>
      <c r="N14">
        <v>27.382999999999999</v>
      </c>
      <c r="O14">
        <v>27.553999999999998</v>
      </c>
      <c r="R14">
        <v>17.074000000000002</v>
      </c>
      <c r="S14">
        <v>17.393999999999998</v>
      </c>
      <c r="T14">
        <v>38.494999999999997</v>
      </c>
      <c r="U14">
        <v>39.466999999999999</v>
      </c>
      <c r="W14">
        <v>-0.11899999999999999</v>
      </c>
      <c r="X14">
        <v>-0.34499999999999997</v>
      </c>
      <c r="Z14">
        <v>0.03</v>
      </c>
      <c r="AA14">
        <v>-0.182</v>
      </c>
      <c r="AB14">
        <v>-0.12</v>
      </c>
      <c r="AC14">
        <v>-0.11899999999999999</v>
      </c>
      <c r="AD14">
        <v>-0.33</v>
      </c>
      <c r="AE14">
        <v>-0.34499999999999997</v>
      </c>
      <c r="AF14">
        <v>0.03</v>
      </c>
      <c r="AG14">
        <v>2.9000000000000001E-2</v>
      </c>
      <c r="AH14">
        <v>-0.182</v>
      </c>
      <c r="AI14">
        <v>-0.16800000000000001</v>
      </c>
    </row>
    <row r="15" spans="1:35" x14ac:dyDescent="0.25">
      <c r="A15" t="s">
        <v>1863</v>
      </c>
      <c r="B15" t="s">
        <v>32</v>
      </c>
      <c r="C15" s="25">
        <v>43706.023159722223</v>
      </c>
      <c r="D15" s="741" t="s">
        <v>969</v>
      </c>
      <c r="E15" s="741">
        <f t="array" ref="E15">SUMPRODUCT(IF(AMP2_6[[#This Row],[Dim 1_1]:[T 8]]-$F$4:$AI$4&lt;0,1,0)+IF($F$5:$AI$5-AMP2_6[[#This Row],[Dim 1_1]:[T 8]]&lt;0,1,0),IF(ISNUMBER(AMP2_6[[#This Row],[Dim 1_1]:[T 8]])=TRUE,1,0))</f>
        <v>0</v>
      </c>
      <c r="F15">
        <v>41.584000000000003</v>
      </c>
      <c r="G15">
        <v>41.457000000000001</v>
      </c>
      <c r="H15">
        <v>155.44800000000001</v>
      </c>
      <c r="I15">
        <v>155.58699999999999</v>
      </c>
      <c r="L15">
        <v>155.78700000000001</v>
      </c>
      <c r="M15">
        <v>155.63</v>
      </c>
      <c r="N15">
        <v>27.414000000000001</v>
      </c>
      <c r="O15">
        <v>27.635999999999999</v>
      </c>
      <c r="R15">
        <v>17.096</v>
      </c>
      <c r="S15">
        <v>16.969000000000001</v>
      </c>
      <c r="T15">
        <v>35.075000000000003</v>
      </c>
      <c r="U15">
        <v>35.82</v>
      </c>
      <c r="W15">
        <v>0.23400000000000001</v>
      </c>
      <c r="X15">
        <v>5.8999999999999997E-2</v>
      </c>
      <c r="Z15">
        <v>0.41699999999999998</v>
      </c>
      <c r="AA15">
        <v>0.19800000000000001</v>
      </c>
      <c r="AB15">
        <v>8.2000000000000003E-2</v>
      </c>
      <c r="AC15">
        <v>5.8999999999999997E-2</v>
      </c>
      <c r="AD15">
        <v>0.06</v>
      </c>
      <c r="AE15">
        <v>0.23400000000000001</v>
      </c>
      <c r="AF15">
        <v>0.24299999999999999</v>
      </c>
      <c r="AG15">
        <v>0.19800000000000001</v>
      </c>
      <c r="AH15">
        <v>0.41699999999999998</v>
      </c>
      <c r="AI15">
        <v>0.39300000000000002</v>
      </c>
    </row>
    <row r="16" spans="1:35" x14ac:dyDescent="0.25">
      <c r="A16" t="s">
        <v>1864</v>
      </c>
      <c r="B16" t="s">
        <v>31</v>
      </c>
      <c r="C16" s="25">
        <v>43706.025775462964</v>
      </c>
      <c r="D16" s="741" t="s">
        <v>969</v>
      </c>
      <c r="E16" s="741">
        <f t="array" ref="E16">SUMPRODUCT(IF(AMP2_6[[#This Row],[Dim 1_1]:[T 8]]-$F$4:$AI$4&lt;0,1,0)+IF($F$5:$AI$5-AMP2_6[[#This Row],[Dim 1_1]:[T 8]]&lt;0,1,0),IF(ISNUMBER(AMP2_6[[#This Row],[Dim 1_1]:[T 8]])=TRUE,1,0))</f>
        <v>0</v>
      </c>
      <c r="H16">
        <v>155.821</v>
      </c>
      <c r="I16">
        <v>155.77000000000001</v>
      </c>
      <c r="J16">
        <v>169.166</v>
      </c>
      <c r="K16">
        <v>168.59800000000001</v>
      </c>
      <c r="L16">
        <v>155.83199999999999</v>
      </c>
      <c r="M16">
        <v>155.66499999999999</v>
      </c>
      <c r="N16">
        <v>27.35</v>
      </c>
      <c r="O16">
        <v>27.460999999999999</v>
      </c>
      <c r="R16">
        <v>17.082000000000001</v>
      </c>
      <c r="S16">
        <v>17.353000000000002</v>
      </c>
      <c r="T16">
        <v>37.009</v>
      </c>
      <c r="U16">
        <v>36.539000000000001</v>
      </c>
      <c r="W16">
        <v>-7.3999999999999996E-2</v>
      </c>
      <c r="X16">
        <v>-0.253</v>
      </c>
      <c r="Z16">
        <v>0.16500000000000001</v>
      </c>
      <c r="AA16">
        <v>-1.9E-2</v>
      </c>
      <c r="AB16">
        <v>-7.3999999999999996E-2</v>
      </c>
      <c r="AC16">
        <v>-7.6999999999999999E-2</v>
      </c>
      <c r="AD16">
        <v>-0.253</v>
      </c>
      <c r="AE16">
        <v>-0.23300000000000001</v>
      </c>
      <c r="AF16">
        <v>0.16500000000000001</v>
      </c>
      <c r="AG16">
        <v>0.14699999999999999</v>
      </c>
      <c r="AH16">
        <v>6.0000000000000001E-3</v>
      </c>
      <c r="AI16">
        <v>-1.9E-2</v>
      </c>
    </row>
    <row r="17" spans="1:35" x14ac:dyDescent="0.25">
      <c r="A17" t="s">
        <v>1865</v>
      </c>
      <c r="B17" t="s">
        <v>32</v>
      </c>
      <c r="C17" s="25">
        <v>43706.030416666668</v>
      </c>
      <c r="D17" s="741" t="s">
        <v>969</v>
      </c>
      <c r="E17" s="741">
        <f t="array" ref="E17">SUMPRODUCT(IF(AMP2_6[[#This Row],[Dim 1_1]:[T 8]]-$F$4:$AI$4&lt;0,1,0)+IF($F$5:$AI$5-AMP2_6[[#This Row],[Dim 1_1]:[T 8]]&lt;0,1,0),IF(ISNUMBER(AMP2_6[[#This Row],[Dim 1_1]:[T 8]])=TRUE,1,0))</f>
        <v>0</v>
      </c>
      <c r="F17">
        <v>41.540999999999997</v>
      </c>
      <c r="G17">
        <v>41.423999999999999</v>
      </c>
      <c r="H17">
        <v>155.44300000000001</v>
      </c>
      <c r="I17">
        <v>155.57900000000001</v>
      </c>
      <c r="L17">
        <v>155.774</v>
      </c>
      <c r="M17">
        <v>155.66</v>
      </c>
      <c r="N17">
        <v>27.437999999999999</v>
      </c>
      <c r="O17">
        <v>27.631</v>
      </c>
      <c r="R17">
        <v>17.100000000000001</v>
      </c>
      <c r="S17">
        <v>17.021999999999998</v>
      </c>
      <c r="T17">
        <v>35.277999999999999</v>
      </c>
      <c r="U17">
        <v>35.893999999999998</v>
      </c>
      <c r="W17">
        <v>9.2999999999999999E-2</v>
      </c>
      <c r="X17">
        <v>4.4999999999999998E-2</v>
      </c>
      <c r="Z17">
        <v>0.35799999999999998</v>
      </c>
      <c r="AA17">
        <v>0.221</v>
      </c>
      <c r="AB17">
        <v>8.8999999999999996E-2</v>
      </c>
      <c r="AC17">
        <v>4.4999999999999998E-2</v>
      </c>
      <c r="AD17">
        <v>9.2999999999999999E-2</v>
      </c>
      <c r="AE17">
        <v>7.8E-2</v>
      </c>
      <c r="AF17">
        <v>0.252</v>
      </c>
      <c r="AG17">
        <v>0.221</v>
      </c>
      <c r="AH17">
        <v>0.35799999999999998</v>
      </c>
      <c r="AI17">
        <v>0.35399999999999998</v>
      </c>
    </row>
    <row r="18" spans="1:35" x14ac:dyDescent="0.25">
      <c r="A18" t="s">
        <v>1866</v>
      </c>
      <c r="B18" t="s">
        <v>31</v>
      </c>
      <c r="C18" s="25">
        <v>43706.031967592593</v>
      </c>
      <c r="D18" s="741" t="s">
        <v>969</v>
      </c>
      <c r="E18" s="741">
        <f t="array" ref="E18">SUMPRODUCT(IF(AMP2_6[[#This Row],[Dim 1_1]:[T 8]]-$F$4:$AI$4&lt;0,1,0)+IF($F$5:$AI$5-AMP2_6[[#This Row],[Dim 1_1]:[T 8]]&lt;0,1,0),IF(ISNUMBER(AMP2_6[[#This Row],[Dim 1_1]:[T 8]])=TRUE,1,0))</f>
        <v>0</v>
      </c>
      <c r="H18">
        <v>155.864</v>
      </c>
      <c r="I18">
        <v>155.81100000000001</v>
      </c>
      <c r="J18">
        <v>169.16499999999999</v>
      </c>
      <c r="K18">
        <v>168.572</v>
      </c>
      <c r="L18">
        <v>155.87299999999999</v>
      </c>
      <c r="M18">
        <v>155.71700000000001</v>
      </c>
      <c r="N18">
        <v>27.314</v>
      </c>
      <c r="O18">
        <v>27.411999999999999</v>
      </c>
      <c r="R18">
        <v>17.071999999999999</v>
      </c>
      <c r="S18">
        <v>17.353000000000002</v>
      </c>
      <c r="T18">
        <v>37.676000000000002</v>
      </c>
      <c r="U18">
        <v>37.329000000000001</v>
      </c>
      <c r="W18">
        <v>-0.10299999999999999</v>
      </c>
      <c r="X18">
        <v>-0.34699999999999998</v>
      </c>
      <c r="Z18">
        <v>0.113</v>
      </c>
      <c r="AA18">
        <v>-9.2999999999999999E-2</v>
      </c>
      <c r="AB18">
        <v>-0.13900000000000001</v>
      </c>
      <c r="AC18">
        <v>-0.10299999999999999</v>
      </c>
      <c r="AD18">
        <v>-0.34699999999999998</v>
      </c>
      <c r="AE18">
        <v>-0.30499999999999999</v>
      </c>
      <c r="AF18">
        <v>0.113</v>
      </c>
      <c r="AG18">
        <v>0.1</v>
      </c>
      <c r="AH18">
        <v>-7.8E-2</v>
      </c>
      <c r="AI18">
        <v>-9.2999999999999999E-2</v>
      </c>
    </row>
    <row r="19" spans="1:35" x14ac:dyDescent="0.25">
      <c r="A19" t="s">
        <v>2200</v>
      </c>
      <c r="B19" t="s">
        <v>32</v>
      </c>
      <c r="C19" s="25">
        <v>43706.335833333331</v>
      </c>
      <c r="D19" s="741" t="s">
        <v>969</v>
      </c>
      <c r="E19" s="741">
        <f t="array" ref="E19">SUMPRODUCT(IF(AMP2_6[[#This Row],[Dim 1_1]:[T 8]]-$F$4:$AI$4&lt;0,1,0)+IF($F$5:$AI$5-AMP2_6[[#This Row],[Dim 1_1]:[T 8]]&lt;0,1,0),IF(ISNUMBER(AMP2_6[[#This Row],[Dim 1_1]:[T 8]])=TRUE,1,0))</f>
        <v>0</v>
      </c>
      <c r="F19">
        <v>41.441000000000003</v>
      </c>
      <c r="G19">
        <v>41.158000000000001</v>
      </c>
      <c r="H19">
        <v>155.56700000000001</v>
      </c>
      <c r="I19">
        <v>155.77099999999999</v>
      </c>
      <c r="L19">
        <v>155.87200000000001</v>
      </c>
      <c r="M19">
        <v>155.74600000000001</v>
      </c>
      <c r="N19">
        <v>27.294</v>
      </c>
      <c r="O19">
        <v>27.52</v>
      </c>
      <c r="R19">
        <v>17.116</v>
      </c>
      <c r="S19">
        <v>17.003</v>
      </c>
      <c r="T19">
        <v>35.155999999999999</v>
      </c>
      <c r="U19">
        <v>35.89</v>
      </c>
      <c r="W19">
        <v>5.1999999999999998E-2</v>
      </c>
      <c r="X19">
        <v>-3.9E-2</v>
      </c>
      <c r="Z19">
        <v>0.46</v>
      </c>
      <c r="AA19">
        <v>0.27400000000000002</v>
      </c>
      <c r="AB19">
        <v>8.0000000000000002E-3</v>
      </c>
      <c r="AC19">
        <v>-3.9E-2</v>
      </c>
      <c r="AD19">
        <v>5.1999999999999998E-2</v>
      </c>
      <c r="AE19">
        <v>-1.6E-2</v>
      </c>
      <c r="AF19">
        <v>0.30299999999999999</v>
      </c>
      <c r="AG19">
        <v>0.27400000000000002</v>
      </c>
      <c r="AH19">
        <v>0.432</v>
      </c>
      <c r="AI19">
        <v>0.46</v>
      </c>
    </row>
    <row r="20" spans="1:35" x14ac:dyDescent="0.25">
      <c r="A20" t="s">
        <v>2201</v>
      </c>
      <c r="B20" t="s">
        <v>31</v>
      </c>
      <c r="C20" s="25">
        <v>43706.33797453704</v>
      </c>
      <c r="D20" s="741" t="s">
        <v>969</v>
      </c>
      <c r="E20" s="741">
        <f t="array" ref="E20">SUMPRODUCT(IF(AMP2_6[[#This Row],[Dim 1_1]:[T 8]]-$F$4:$AI$4&lt;0,1,0)+IF($F$5:$AI$5-AMP2_6[[#This Row],[Dim 1_1]:[T 8]]&lt;0,1,0),IF(ISNUMBER(AMP2_6[[#This Row],[Dim 1_1]:[T 8]])=TRUE,1,0))</f>
        <v>0</v>
      </c>
      <c r="H20">
        <v>155.791</v>
      </c>
      <c r="I20">
        <v>155.68700000000001</v>
      </c>
      <c r="J20">
        <v>169.02500000000001</v>
      </c>
      <c r="K20">
        <v>168.548</v>
      </c>
      <c r="L20">
        <v>155.809</v>
      </c>
      <c r="M20">
        <v>155.65799999999999</v>
      </c>
      <c r="N20">
        <v>27.385000000000002</v>
      </c>
      <c r="O20">
        <v>27.501999999999999</v>
      </c>
      <c r="R20">
        <v>17.085000000000001</v>
      </c>
      <c r="S20">
        <v>17.446999999999999</v>
      </c>
      <c r="T20">
        <v>35.951000000000001</v>
      </c>
      <c r="U20">
        <v>37.335000000000001</v>
      </c>
      <c r="W20">
        <v>-4.2999999999999997E-2</v>
      </c>
      <c r="X20">
        <v>-0.26200000000000001</v>
      </c>
      <c r="Z20">
        <v>0.122</v>
      </c>
      <c r="AA20">
        <v>-0.126</v>
      </c>
      <c r="AB20">
        <v>-4.3999999999999997E-2</v>
      </c>
      <c r="AC20">
        <v>-4.2999999999999997E-2</v>
      </c>
      <c r="AD20">
        <v>-0.26200000000000001</v>
      </c>
      <c r="AE20">
        <v>-0.22500000000000001</v>
      </c>
      <c r="AF20">
        <v>0.122</v>
      </c>
      <c r="AG20">
        <v>0.111</v>
      </c>
      <c r="AH20">
        <v>-0.126</v>
      </c>
      <c r="AI20">
        <v>-0.11600000000000001</v>
      </c>
    </row>
    <row r="21" spans="1:35" x14ac:dyDescent="0.25">
      <c r="A21" t="s">
        <v>2278</v>
      </c>
      <c r="B21" t="s">
        <v>32</v>
      </c>
      <c r="C21" s="25">
        <v>43706.602650462963</v>
      </c>
      <c r="D21" s="741" t="s">
        <v>2238</v>
      </c>
      <c r="E21" s="741">
        <f t="array" ref="E21">SUMPRODUCT(IF(AMP2_6[[#This Row],[Dim 1_1]:[T 8]]-$F$4:$AI$4&lt;0,1,0)+IF($F$5:$AI$5-AMP2_6[[#This Row],[Dim 1_1]:[T 8]]&lt;0,1,0),IF(ISNUMBER(AMP2_6[[#This Row],[Dim 1_1]:[T 8]])=TRUE,1,0))</f>
        <v>0</v>
      </c>
      <c r="F21">
        <v>41.725000000000001</v>
      </c>
      <c r="G21">
        <v>41.648000000000003</v>
      </c>
      <c r="H21">
        <v>155.56100000000001</v>
      </c>
      <c r="I21">
        <v>155.696</v>
      </c>
      <c r="L21">
        <v>155.82400000000001</v>
      </c>
      <c r="M21">
        <v>155.64400000000001</v>
      </c>
      <c r="N21">
        <v>27.347999999999999</v>
      </c>
      <c r="O21">
        <v>27.632999999999999</v>
      </c>
      <c r="R21">
        <v>17.087</v>
      </c>
      <c r="S21">
        <v>16.97</v>
      </c>
      <c r="T21">
        <v>35.591999999999999</v>
      </c>
      <c r="U21">
        <v>35.371000000000002</v>
      </c>
      <c r="W21">
        <v>9.8000000000000004E-2</v>
      </c>
      <c r="X21">
        <v>0.06</v>
      </c>
      <c r="Z21">
        <v>0.35799999999999998</v>
      </c>
      <c r="AA21">
        <v>0.184</v>
      </c>
      <c r="AB21">
        <v>8.6999999999999994E-2</v>
      </c>
      <c r="AC21">
        <v>0.06</v>
      </c>
      <c r="AD21">
        <v>9.6000000000000002E-2</v>
      </c>
      <c r="AE21">
        <v>9.8000000000000004E-2</v>
      </c>
      <c r="AF21">
        <v>0.23200000000000001</v>
      </c>
      <c r="AG21">
        <v>0.184</v>
      </c>
      <c r="AH21">
        <v>0.35799999999999998</v>
      </c>
      <c r="AI21">
        <v>0.32500000000000001</v>
      </c>
    </row>
    <row r="22" spans="1:35" x14ac:dyDescent="0.25">
      <c r="A22" t="s">
        <v>2279</v>
      </c>
      <c r="B22" t="s">
        <v>31</v>
      </c>
      <c r="C22" s="25">
        <v>43706.604826388888</v>
      </c>
      <c r="D22" s="741" t="s">
        <v>2238</v>
      </c>
      <c r="E22" s="741">
        <f t="array" ref="E22">SUMPRODUCT(IF(AMP2_6[[#This Row],[Dim 1_1]:[T 8]]-$F$4:$AI$4&lt;0,1,0)+IF($F$5:$AI$5-AMP2_6[[#This Row],[Dim 1_1]:[T 8]]&lt;0,1,0),IF(ISNUMBER(AMP2_6[[#This Row],[Dim 1_1]:[T 8]])=TRUE,1,0))</f>
        <v>0</v>
      </c>
      <c r="H22">
        <v>155.779</v>
      </c>
      <c r="I22">
        <v>155.83099999999999</v>
      </c>
      <c r="J22">
        <v>169.292</v>
      </c>
      <c r="K22">
        <v>168.69800000000001</v>
      </c>
      <c r="L22">
        <v>155.80099999999999</v>
      </c>
      <c r="M22">
        <v>155.76499999999999</v>
      </c>
      <c r="N22">
        <v>27.402000000000001</v>
      </c>
      <c r="O22">
        <v>27.413</v>
      </c>
      <c r="R22">
        <v>17.074999999999999</v>
      </c>
      <c r="S22">
        <v>17.346</v>
      </c>
      <c r="T22">
        <v>35.872</v>
      </c>
      <c r="U22">
        <v>37.933999999999997</v>
      </c>
      <c r="W22">
        <v>-8.3000000000000004E-2</v>
      </c>
      <c r="X22">
        <v>-0.30099999999999999</v>
      </c>
      <c r="Z22">
        <v>0.124</v>
      </c>
      <c r="AA22">
        <v>-6.4000000000000001E-2</v>
      </c>
      <c r="AB22">
        <v>-0.104</v>
      </c>
      <c r="AC22">
        <v>-8.3000000000000004E-2</v>
      </c>
      <c r="AD22">
        <v>-0.28899999999999998</v>
      </c>
      <c r="AE22">
        <v>-0.30099999999999999</v>
      </c>
      <c r="AF22">
        <v>0.124</v>
      </c>
      <c r="AG22">
        <v>0.12</v>
      </c>
      <c r="AH22">
        <v>-6.4000000000000001E-2</v>
      </c>
      <c r="AI22">
        <v>-3.3000000000000002E-2</v>
      </c>
    </row>
    <row r="23" spans="1:35" x14ac:dyDescent="0.25">
      <c r="A23" t="s">
        <v>2280</v>
      </c>
      <c r="B23" t="s">
        <v>32</v>
      </c>
      <c r="C23" s="25">
        <v>43706.710069444445</v>
      </c>
      <c r="D23" s="741" t="s">
        <v>2238</v>
      </c>
      <c r="E23" s="741">
        <f t="array" ref="E23">SUMPRODUCT(IF(AMP2_6[[#This Row],[Dim 1_1]:[T 8]]-$F$4:$AI$4&lt;0,1,0)+IF($F$5:$AI$5-AMP2_6[[#This Row],[Dim 1_1]:[T 8]]&lt;0,1,0),IF(ISNUMBER(AMP2_6[[#This Row],[Dim 1_1]:[T 8]])=TRUE,1,0))</f>
        <v>0</v>
      </c>
      <c r="F23">
        <v>41.564999999999998</v>
      </c>
      <c r="G23">
        <v>41.122999999999998</v>
      </c>
      <c r="H23">
        <v>155.63</v>
      </c>
      <c r="I23">
        <v>155.83199999999999</v>
      </c>
      <c r="L23">
        <v>155.905</v>
      </c>
      <c r="M23">
        <v>155.761</v>
      </c>
      <c r="N23">
        <v>27.311</v>
      </c>
      <c r="O23">
        <v>27.54</v>
      </c>
      <c r="R23">
        <v>17.119</v>
      </c>
      <c r="S23">
        <v>17</v>
      </c>
      <c r="T23">
        <v>35.203000000000003</v>
      </c>
      <c r="U23">
        <v>35.811</v>
      </c>
      <c r="W23">
        <v>9.1999999999999998E-2</v>
      </c>
      <c r="X23">
        <v>-2.1999999999999999E-2</v>
      </c>
      <c r="Z23">
        <v>0.376</v>
      </c>
      <c r="AA23">
        <v>0.122</v>
      </c>
      <c r="AB23">
        <v>2.7E-2</v>
      </c>
      <c r="AC23">
        <v>-2.1999999999999999E-2</v>
      </c>
      <c r="AD23">
        <v>9.1999999999999998E-2</v>
      </c>
      <c r="AE23">
        <v>2.5999999999999999E-2</v>
      </c>
      <c r="AF23">
        <v>0.17</v>
      </c>
      <c r="AG23">
        <v>0.122</v>
      </c>
      <c r="AH23">
        <v>0.376</v>
      </c>
      <c r="AI23">
        <v>0.35199999999999998</v>
      </c>
    </row>
    <row r="24" spans="1:35" x14ac:dyDescent="0.25">
      <c r="A24" t="s">
        <v>2281</v>
      </c>
      <c r="B24" t="s">
        <v>31</v>
      </c>
      <c r="C24" s="25">
        <v>43706.712129629632</v>
      </c>
      <c r="D24" s="741" t="s">
        <v>2238</v>
      </c>
      <c r="E24" s="741">
        <f t="array" ref="E24">SUMPRODUCT(IF(AMP2_6[[#This Row],[Dim 1_1]:[T 8]]-$F$4:$AI$4&lt;0,1,0)+IF($F$5:$AI$5-AMP2_6[[#This Row],[Dim 1_1]:[T 8]]&lt;0,1,0),IF(ISNUMBER(AMP2_6[[#This Row],[Dim 1_1]:[T 8]])=TRUE,1,0))</f>
        <v>0</v>
      </c>
      <c r="H24">
        <v>155.863</v>
      </c>
      <c r="I24">
        <v>155.78</v>
      </c>
      <c r="J24">
        <v>169.26300000000001</v>
      </c>
      <c r="K24">
        <v>168.654</v>
      </c>
      <c r="L24">
        <v>155.88</v>
      </c>
      <c r="M24">
        <v>155.714</v>
      </c>
      <c r="N24">
        <v>27.289000000000001</v>
      </c>
      <c r="O24">
        <v>27.431999999999999</v>
      </c>
      <c r="R24">
        <v>17.071999999999999</v>
      </c>
      <c r="S24">
        <v>17.241</v>
      </c>
      <c r="T24">
        <v>35.680999999999997</v>
      </c>
      <c r="U24">
        <v>38.406999999999996</v>
      </c>
      <c r="W24">
        <v>-0.122</v>
      </c>
      <c r="X24">
        <v>-0.23</v>
      </c>
      <c r="Z24">
        <v>0.128</v>
      </c>
      <c r="AA24">
        <v>4.3999999999999997E-2</v>
      </c>
      <c r="AB24">
        <v>-0.122</v>
      </c>
      <c r="AC24">
        <v>-0.13900000000000001</v>
      </c>
      <c r="AD24">
        <v>-0.215</v>
      </c>
      <c r="AE24">
        <v>-0.23</v>
      </c>
      <c r="AF24">
        <v>0.128</v>
      </c>
      <c r="AG24">
        <v>0.11600000000000001</v>
      </c>
      <c r="AH24">
        <v>0.06</v>
      </c>
      <c r="AI24">
        <v>4.3999999999999997E-2</v>
      </c>
    </row>
    <row r="25" spans="1:35" x14ac:dyDescent="0.25">
      <c r="A25" t="s">
        <v>2282</v>
      </c>
      <c r="B25" t="s">
        <v>32</v>
      </c>
      <c r="C25" s="25">
        <v>43706.772905092592</v>
      </c>
      <c r="D25" s="741" t="s">
        <v>2238</v>
      </c>
      <c r="E25" s="741">
        <f t="array" ref="E25">SUMPRODUCT(IF(AMP2_6[[#This Row],[Dim 1_1]:[T 8]]-$F$4:$AI$4&lt;0,1,0)+IF($F$5:$AI$5-AMP2_6[[#This Row],[Dim 1_1]:[T 8]]&lt;0,1,0),IF(ISNUMBER(AMP2_6[[#This Row],[Dim 1_1]:[T 8]])=TRUE,1,0))</f>
        <v>0</v>
      </c>
      <c r="F25">
        <v>41.445999999999998</v>
      </c>
      <c r="G25">
        <v>40.988</v>
      </c>
      <c r="H25">
        <v>155.613</v>
      </c>
      <c r="I25">
        <v>155.79599999999999</v>
      </c>
      <c r="L25">
        <v>155.91800000000001</v>
      </c>
      <c r="M25">
        <v>155.80600000000001</v>
      </c>
      <c r="N25">
        <v>27.294</v>
      </c>
      <c r="O25">
        <v>27.486999999999998</v>
      </c>
      <c r="R25">
        <v>17.114000000000001</v>
      </c>
      <c r="S25">
        <v>16.925000000000001</v>
      </c>
      <c r="T25">
        <v>34.978999999999999</v>
      </c>
      <c r="U25">
        <v>36.064</v>
      </c>
      <c r="W25">
        <v>0.182</v>
      </c>
      <c r="X25">
        <v>6.0000000000000001E-3</v>
      </c>
      <c r="Z25">
        <v>0.501</v>
      </c>
      <c r="AA25">
        <v>0.20100000000000001</v>
      </c>
      <c r="AB25">
        <v>4.5999999999999999E-2</v>
      </c>
      <c r="AC25">
        <v>6.0000000000000001E-3</v>
      </c>
      <c r="AD25">
        <v>0.182</v>
      </c>
      <c r="AE25">
        <v>0.17899999999999999</v>
      </c>
      <c r="AF25">
        <v>0.23499999999999999</v>
      </c>
      <c r="AG25">
        <v>0.20100000000000001</v>
      </c>
      <c r="AH25">
        <v>0.501</v>
      </c>
      <c r="AI25">
        <v>0.495</v>
      </c>
    </row>
    <row r="26" spans="1:35" x14ac:dyDescent="0.25">
      <c r="A26" t="s">
        <v>2283</v>
      </c>
      <c r="B26" t="s">
        <v>31</v>
      </c>
      <c r="C26" s="25">
        <v>43706.774953703702</v>
      </c>
      <c r="D26" s="741" t="s">
        <v>2238</v>
      </c>
      <c r="E26" s="741">
        <f t="array" ref="E26">SUMPRODUCT(IF(AMP2_6[[#This Row],[Dim 1_1]:[T 8]]-$F$4:$AI$4&lt;0,1,0)+IF($F$5:$AI$5-AMP2_6[[#This Row],[Dim 1_1]:[T 8]]&lt;0,1,0),IF(ISNUMBER(AMP2_6[[#This Row],[Dim 1_1]:[T 8]])=TRUE,1,0))</f>
        <v>0</v>
      </c>
      <c r="H26">
        <v>155.86799999999999</v>
      </c>
      <c r="I26">
        <v>155.77500000000001</v>
      </c>
      <c r="J26">
        <v>169.21</v>
      </c>
      <c r="K26">
        <v>168.66399999999999</v>
      </c>
      <c r="L26">
        <v>155.869</v>
      </c>
      <c r="M26">
        <v>155.66300000000001</v>
      </c>
      <c r="N26">
        <v>27.355</v>
      </c>
      <c r="O26">
        <v>27.523</v>
      </c>
      <c r="R26">
        <v>17.076000000000001</v>
      </c>
      <c r="S26">
        <v>17.484000000000002</v>
      </c>
      <c r="T26">
        <v>37.176000000000002</v>
      </c>
      <c r="U26">
        <v>37.884999999999998</v>
      </c>
      <c r="W26">
        <v>-8.1000000000000003E-2</v>
      </c>
      <c r="X26">
        <v>-0.38800000000000001</v>
      </c>
      <c r="Z26">
        <v>8.4000000000000005E-2</v>
      </c>
      <c r="AA26">
        <v>-0.22</v>
      </c>
      <c r="AB26">
        <v>-9.4E-2</v>
      </c>
      <c r="AC26">
        <v>-8.1000000000000003E-2</v>
      </c>
      <c r="AD26">
        <v>-0.38800000000000001</v>
      </c>
      <c r="AE26">
        <v>-0.33400000000000002</v>
      </c>
      <c r="AF26">
        <v>8.4000000000000005E-2</v>
      </c>
      <c r="AG26">
        <v>7.2999999999999995E-2</v>
      </c>
      <c r="AH26">
        <v>-0.22</v>
      </c>
      <c r="AI26">
        <v>-0.217</v>
      </c>
    </row>
    <row r="27" spans="1:35" x14ac:dyDescent="0.25">
      <c r="A27" t="s">
        <v>2284</v>
      </c>
      <c r="B27" t="s">
        <v>32</v>
      </c>
      <c r="C27" s="25">
        <v>43706.947812500002</v>
      </c>
      <c r="D27" s="741" t="s">
        <v>2238</v>
      </c>
      <c r="E27" s="741">
        <f t="array" ref="E27">SUMPRODUCT(IF(AMP2_6[[#This Row],[Dim 1_1]:[T 8]]-$F$4:$AI$4&lt;0,1,0)+IF($F$5:$AI$5-AMP2_6[[#This Row],[Dim 1_1]:[T 8]]&lt;0,1,0),IF(ISNUMBER(AMP2_6[[#This Row],[Dim 1_1]:[T 8]])=TRUE,1,0))</f>
        <v>0</v>
      </c>
      <c r="F27">
        <v>41.594000000000001</v>
      </c>
      <c r="G27">
        <v>41.38</v>
      </c>
      <c r="H27">
        <v>155.608</v>
      </c>
      <c r="I27">
        <v>155.82499999999999</v>
      </c>
      <c r="L27">
        <v>155.88999999999999</v>
      </c>
      <c r="M27">
        <v>155.78100000000001</v>
      </c>
      <c r="N27">
        <v>27.32</v>
      </c>
      <c r="O27">
        <v>27.474</v>
      </c>
      <c r="R27">
        <v>17.119</v>
      </c>
      <c r="S27">
        <v>16.861000000000001</v>
      </c>
      <c r="T27">
        <v>35.338000000000001</v>
      </c>
      <c r="U27">
        <v>35.773000000000003</v>
      </c>
      <c r="W27">
        <v>0.26800000000000002</v>
      </c>
      <c r="X27">
        <v>-3.7999999999999999E-2</v>
      </c>
      <c r="Z27">
        <v>0.48799999999999999</v>
      </c>
      <c r="AA27">
        <v>1.0999999999999999E-2</v>
      </c>
      <c r="AB27">
        <v>0</v>
      </c>
      <c r="AC27">
        <v>-3.7999999999999999E-2</v>
      </c>
      <c r="AD27">
        <v>0.26800000000000002</v>
      </c>
      <c r="AE27">
        <v>0.123</v>
      </c>
      <c r="AF27">
        <v>6.8000000000000005E-2</v>
      </c>
      <c r="AG27">
        <v>1.0999999999999999E-2</v>
      </c>
      <c r="AH27">
        <v>0.48799999999999999</v>
      </c>
      <c r="AI27">
        <v>0.47099999999999997</v>
      </c>
    </row>
    <row r="28" spans="1:35" x14ac:dyDescent="0.25">
      <c r="A28" t="s">
        <v>2285</v>
      </c>
      <c r="B28" t="s">
        <v>31</v>
      </c>
      <c r="C28" s="25">
        <v>43706.949884259258</v>
      </c>
      <c r="D28" s="741" t="s">
        <v>2238</v>
      </c>
      <c r="E28" s="741">
        <f t="array" ref="E28">SUMPRODUCT(IF(AMP2_6[[#This Row],[Dim 1_1]:[T 8]]-$F$4:$AI$4&lt;0,1,0)+IF($F$5:$AI$5-AMP2_6[[#This Row],[Dim 1_1]:[T 8]]&lt;0,1,0),IF(ISNUMBER(AMP2_6[[#This Row],[Dim 1_1]:[T 8]])=TRUE,1,0))</f>
        <v>0</v>
      </c>
      <c r="H28">
        <v>155.99799999999999</v>
      </c>
      <c r="I28">
        <v>155.90899999999999</v>
      </c>
      <c r="J28">
        <v>169.27</v>
      </c>
      <c r="K28">
        <v>168.87299999999999</v>
      </c>
      <c r="L28">
        <v>155.92400000000001</v>
      </c>
      <c r="M28">
        <v>155.608</v>
      </c>
      <c r="N28">
        <v>27.245000000000001</v>
      </c>
      <c r="O28">
        <v>27.396999999999998</v>
      </c>
      <c r="R28">
        <v>17.100999999999999</v>
      </c>
      <c r="S28">
        <v>17.402999999999999</v>
      </c>
      <c r="T28">
        <v>33.139000000000003</v>
      </c>
      <c r="U28">
        <v>33.658000000000001</v>
      </c>
      <c r="W28">
        <v>-0.28399999999999997</v>
      </c>
      <c r="X28">
        <v>-0.52100000000000002</v>
      </c>
      <c r="Z28">
        <v>-0.11600000000000001</v>
      </c>
      <c r="AA28">
        <v>-0.3</v>
      </c>
      <c r="AB28">
        <v>-0.28399999999999997</v>
      </c>
      <c r="AC28">
        <v>-0.3</v>
      </c>
      <c r="AD28">
        <v>-0.46899999999999997</v>
      </c>
      <c r="AE28">
        <v>-0.52100000000000002</v>
      </c>
      <c r="AF28">
        <v>-0.11600000000000001</v>
      </c>
      <c r="AG28">
        <v>-0.124</v>
      </c>
      <c r="AH28">
        <v>-0.3</v>
      </c>
      <c r="AI28">
        <v>-0.28000000000000003</v>
      </c>
    </row>
    <row r="29" spans="1:35" x14ac:dyDescent="0.25">
      <c r="A29" t="s">
        <v>2286</v>
      </c>
      <c r="B29" t="s">
        <v>32</v>
      </c>
      <c r="C29" s="25">
        <v>43707.02925925926</v>
      </c>
      <c r="D29" s="741" t="s">
        <v>2238</v>
      </c>
      <c r="E29" s="741">
        <f t="array" ref="E29">SUMPRODUCT(IF(AMP2_6[[#This Row],[Dim 1_1]:[T 8]]-$F$4:$AI$4&lt;0,1,0)+IF($F$5:$AI$5-AMP2_6[[#This Row],[Dim 1_1]:[T 8]]&lt;0,1,0),IF(ISNUMBER(AMP2_6[[#This Row],[Dim 1_1]:[T 8]])=TRUE,1,0))</f>
        <v>0</v>
      </c>
      <c r="F29">
        <v>41.572000000000003</v>
      </c>
      <c r="G29">
        <v>41.27</v>
      </c>
      <c r="H29">
        <v>155.5</v>
      </c>
      <c r="I29">
        <v>155.661</v>
      </c>
      <c r="L29">
        <v>155.822</v>
      </c>
      <c r="M29">
        <v>155.691</v>
      </c>
      <c r="N29">
        <v>27.344999999999999</v>
      </c>
      <c r="O29">
        <v>27.597000000000001</v>
      </c>
      <c r="R29">
        <v>17.11</v>
      </c>
      <c r="S29">
        <v>16.978999999999999</v>
      </c>
      <c r="T29">
        <v>35.113999999999997</v>
      </c>
      <c r="U29">
        <v>35.966000000000001</v>
      </c>
      <c r="W29">
        <v>0.14399999999999999</v>
      </c>
      <c r="X29">
        <v>3.5000000000000003E-2</v>
      </c>
      <c r="Z29">
        <v>0.435</v>
      </c>
      <c r="AA29">
        <v>0.19700000000000001</v>
      </c>
      <c r="AB29">
        <v>8.3000000000000004E-2</v>
      </c>
      <c r="AC29">
        <v>3.5000000000000003E-2</v>
      </c>
      <c r="AD29">
        <v>0.14399999999999999</v>
      </c>
      <c r="AE29">
        <v>3.5000000000000003E-2</v>
      </c>
      <c r="AF29">
        <v>0.25</v>
      </c>
      <c r="AG29">
        <v>0.19700000000000001</v>
      </c>
      <c r="AH29">
        <v>0.434</v>
      </c>
      <c r="AI29">
        <v>0.435</v>
      </c>
    </row>
    <row r="30" spans="1:35" x14ac:dyDescent="0.25">
      <c r="A30" t="s">
        <v>2287</v>
      </c>
      <c r="B30" t="s">
        <v>31</v>
      </c>
      <c r="C30" s="25">
        <v>43707.031550925924</v>
      </c>
      <c r="D30" s="741" t="s">
        <v>2238</v>
      </c>
      <c r="E30" s="741">
        <f t="array" ref="E30">SUMPRODUCT(IF(AMP2_6[[#This Row],[Dim 1_1]:[T 8]]-$F$4:$AI$4&lt;0,1,0)+IF($F$5:$AI$5-AMP2_6[[#This Row],[Dim 1_1]:[T 8]]&lt;0,1,0),IF(ISNUMBER(AMP2_6[[#This Row],[Dim 1_1]:[T 8]])=TRUE,1,0))</f>
        <v>0</v>
      </c>
      <c r="H30">
        <v>155.81</v>
      </c>
      <c r="I30">
        <v>155.74100000000001</v>
      </c>
      <c r="J30">
        <v>169.19399999999999</v>
      </c>
      <c r="K30">
        <v>168.709</v>
      </c>
      <c r="L30">
        <v>155.84100000000001</v>
      </c>
      <c r="M30">
        <v>155.68299999999999</v>
      </c>
      <c r="N30">
        <v>27.352</v>
      </c>
      <c r="O30">
        <v>27.474</v>
      </c>
      <c r="R30">
        <v>17.045999999999999</v>
      </c>
      <c r="S30">
        <v>17.385000000000002</v>
      </c>
      <c r="T30">
        <v>37.049999999999997</v>
      </c>
      <c r="U30">
        <v>37.04</v>
      </c>
      <c r="W30">
        <v>-8.7999999999999995E-2</v>
      </c>
      <c r="X30">
        <v>-0.35399999999999998</v>
      </c>
      <c r="Z30">
        <v>0.113</v>
      </c>
      <c r="AA30">
        <v>2.1999999999999999E-2</v>
      </c>
      <c r="AB30">
        <v>-8.7999999999999995E-2</v>
      </c>
      <c r="AC30">
        <v>-9.5000000000000001E-2</v>
      </c>
      <c r="AD30">
        <v>-0.27800000000000002</v>
      </c>
      <c r="AE30">
        <v>-0.35399999999999998</v>
      </c>
      <c r="AF30">
        <v>0.113</v>
      </c>
      <c r="AG30">
        <v>0.104</v>
      </c>
      <c r="AH30">
        <v>6.5000000000000002E-2</v>
      </c>
      <c r="AI30">
        <v>2.1999999999999999E-2</v>
      </c>
    </row>
    <row r="31" spans="1:35" x14ac:dyDescent="0.25">
      <c r="A31" t="s">
        <v>2288</v>
      </c>
      <c r="B31" t="s">
        <v>32</v>
      </c>
      <c r="C31" s="25">
        <v>43707.306759259256</v>
      </c>
      <c r="D31" s="741" t="s">
        <v>2238</v>
      </c>
      <c r="E31" s="741">
        <f t="array" ref="E31">SUMPRODUCT(IF(AMP2_6[[#This Row],[Dim 1_1]:[T 8]]-$F$4:$AI$4&lt;0,1,0)+IF($F$5:$AI$5-AMP2_6[[#This Row],[Dim 1_1]:[T 8]]&lt;0,1,0),IF(ISNUMBER(AMP2_6[[#This Row],[Dim 1_1]:[T 8]])=TRUE,1,0))</f>
        <v>0</v>
      </c>
      <c r="F31">
        <v>41.334000000000003</v>
      </c>
      <c r="G31">
        <v>41.104999999999997</v>
      </c>
      <c r="H31">
        <v>155.745</v>
      </c>
      <c r="I31">
        <v>155.94399999999999</v>
      </c>
      <c r="L31">
        <v>156.006</v>
      </c>
      <c r="M31">
        <v>155.85599999999999</v>
      </c>
      <c r="N31">
        <v>27.213999999999999</v>
      </c>
      <c r="O31">
        <v>27.459</v>
      </c>
      <c r="R31">
        <v>17.128</v>
      </c>
      <c r="S31">
        <v>16.911999999999999</v>
      </c>
      <c r="T31">
        <v>35.259</v>
      </c>
      <c r="U31">
        <v>35.734000000000002</v>
      </c>
      <c r="W31">
        <v>0.13300000000000001</v>
      </c>
      <c r="X31">
        <v>-0.106</v>
      </c>
      <c r="Z31">
        <v>0.47099999999999997</v>
      </c>
      <c r="AA31">
        <v>8.5000000000000006E-2</v>
      </c>
      <c r="AB31">
        <v>-0.08</v>
      </c>
      <c r="AC31">
        <v>-0.106</v>
      </c>
      <c r="AD31">
        <v>0.13300000000000001</v>
      </c>
      <c r="AE31">
        <v>-3.5999999999999997E-2</v>
      </c>
      <c r="AF31">
        <v>0.11799999999999999</v>
      </c>
      <c r="AG31">
        <v>8.5000000000000006E-2</v>
      </c>
      <c r="AH31">
        <v>0.47099999999999997</v>
      </c>
      <c r="AI31">
        <v>0.46200000000000002</v>
      </c>
    </row>
    <row r="32" spans="1:35" x14ac:dyDescent="0.25">
      <c r="A32" t="s">
        <v>2289</v>
      </c>
      <c r="B32" t="s">
        <v>31</v>
      </c>
      <c r="C32" s="25">
        <v>43707.309201388889</v>
      </c>
      <c r="D32" s="741" t="s">
        <v>2238</v>
      </c>
      <c r="E32" s="741">
        <f t="array" ref="E32">SUMPRODUCT(IF(AMP2_6[[#This Row],[Dim 1_1]:[T 8]]-$F$4:$AI$4&lt;0,1,0)+IF($F$5:$AI$5-AMP2_6[[#This Row],[Dim 1_1]:[T 8]]&lt;0,1,0),IF(ISNUMBER(AMP2_6[[#This Row],[Dim 1_1]:[T 8]])=TRUE,1,0))</f>
        <v>0</v>
      </c>
      <c r="H32">
        <v>156.02600000000001</v>
      </c>
      <c r="I32">
        <v>155.88499999999999</v>
      </c>
      <c r="J32">
        <v>169.155</v>
      </c>
      <c r="K32">
        <v>168.54599999999999</v>
      </c>
      <c r="L32">
        <v>156.02699999999999</v>
      </c>
      <c r="M32">
        <v>155.81200000000001</v>
      </c>
      <c r="N32">
        <v>27.201000000000001</v>
      </c>
      <c r="O32">
        <v>27.372</v>
      </c>
      <c r="R32">
        <v>17.068000000000001</v>
      </c>
      <c r="S32">
        <v>17.257999999999999</v>
      </c>
      <c r="T32">
        <v>33.270000000000003</v>
      </c>
      <c r="U32">
        <v>34.152999999999999</v>
      </c>
      <c r="W32">
        <v>-0.252</v>
      </c>
      <c r="X32">
        <v>-0.34699999999999998</v>
      </c>
      <c r="Z32">
        <v>-4.3999999999999997E-2</v>
      </c>
      <c r="AA32">
        <v>-9.2999999999999999E-2</v>
      </c>
      <c r="AB32">
        <v>-0.26200000000000001</v>
      </c>
      <c r="AC32">
        <v>-0.252</v>
      </c>
      <c r="AD32">
        <v>-0.314</v>
      </c>
      <c r="AE32">
        <v>-0.34699999999999998</v>
      </c>
      <c r="AF32">
        <v>-4.3999999999999997E-2</v>
      </c>
      <c r="AG32">
        <v>-0.06</v>
      </c>
      <c r="AH32">
        <v>-9.0999999999999998E-2</v>
      </c>
      <c r="AI32">
        <v>-9.2999999999999999E-2</v>
      </c>
    </row>
    <row r="33" spans="1:35" x14ac:dyDescent="0.25">
      <c r="A33" t="s">
        <v>2290</v>
      </c>
      <c r="B33" t="s">
        <v>32</v>
      </c>
      <c r="C33" s="25">
        <v>43707.405081018522</v>
      </c>
      <c r="D33" s="741" t="s">
        <v>2238</v>
      </c>
      <c r="E33" s="741">
        <f t="array" ref="E33">SUMPRODUCT(IF(AMP2_6[[#This Row],[Dim 1_1]:[T 8]]-$F$4:$AI$4&lt;0,1,0)+IF($F$5:$AI$5-AMP2_6[[#This Row],[Dim 1_1]:[T 8]]&lt;0,1,0),IF(ISNUMBER(AMP2_6[[#This Row],[Dim 1_1]:[T 8]])=TRUE,1,0))</f>
        <v>0</v>
      </c>
      <c r="F33">
        <v>41.473999999999997</v>
      </c>
      <c r="G33">
        <v>41.16</v>
      </c>
      <c r="H33">
        <v>155.64500000000001</v>
      </c>
      <c r="I33">
        <v>155.881</v>
      </c>
      <c r="L33">
        <v>155.94999999999999</v>
      </c>
      <c r="M33">
        <v>155.84700000000001</v>
      </c>
      <c r="N33">
        <v>27.16</v>
      </c>
      <c r="O33">
        <v>27.248999999999999</v>
      </c>
      <c r="R33">
        <v>17.085999999999999</v>
      </c>
      <c r="S33">
        <v>16.866</v>
      </c>
      <c r="T33">
        <v>35.119999999999997</v>
      </c>
      <c r="U33">
        <v>36.015999999999998</v>
      </c>
      <c r="W33">
        <v>0.11600000000000001</v>
      </c>
      <c r="X33">
        <v>-0.13300000000000001</v>
      </c>
      <c r="Z33">
        <v>0.55700000000000005</v>
      </c>
      <c r="AA33">
        <v>0.14199999999999999</v>
      </c>
      <c r="AB33">
        <v>-9.7000000000000003E-2</v>
      </c>
      <c r="AC33">
        <v>-0.13300000000000001</v>
      </c>
      <c r="AD33">
        <v>0.11600000000000001</v>
      </c>
      <c r="AE33">
        <v>6.6000000000000003E-2</v>
      </c>
      <c r="AF33">
        <v>0.182</v>
      </c>
      <c r="AG33">
        <v>0.14199999999999999</v>
      </c>
      <c r="AH33">
        <v>0.51800000000000002</v>
      </c>
      <c r="AI33">
        <v>0.55700000000000005</v>
      </c>
    </row>
    <row r="34" spans="1:35" x14ac:dyDescent="0.25">
      <c r="A34" t="s">
        <v>2291</v>
      </c>
      <c r="B34" t="s">
        <v>31</v>
      </c>
      <c r="C34" s="25">
        <v>43707.407326388886</v>
      </c>
      <c r="D34" s="741" t="s">
        <v>2238</v>
      </c>
      <c r="E34" s="741">
        <f t="array" ref="E34">SUMPRODUCT(IF(AMP2_6[[#This Row],[Dim 1_1]:[T 8]]-$F$4:$AI$4&lt;0,1,0)+IF($F$5:$AI$5-AMP2_6[[#This Row],[Dim 1_1]:[T 8]]&lt;0,1,0),IF(ISNUMBER(AMP2_6[[#This Row],[Dim 1_1]:[T 8]])=TRUE,1,0))</f>
        <v>0</v>
      </c>
      <c r="H34">
        <v>155.89099999999999</v>
      </c>
      <c r="I34">
        <v>155.80799999999999</v>
      </c>
      <c r="J34">
        <v>169.197</v>
      </c>
      <c r="K34">
        <v>168.797</v>
      </c>
      <c r="L34">
        <v>155.953</v>
      </c>
      <c r="M34">
        <v>155.85599999999999</v>
      </c>
      <c r="N34">
        <v>27.274000000000001</v>
      </c>
      <c r="O34">
        <v>27.440999999999999</v>
      </c>
      <c r="R34">
        <v>17.077000000000002</v>
      </c>
      <c r="S34">
        <v>17.242000000000001</v>
      </c>
      <c r="T34">
        <v>35.637999999999998</v>
      </c>
      <c r="U34">
        <v>37.569000000000003</v>
      </c>
      <c r="W34">
        <v>-0.13900000000000001</v>
      </c>
      <c r="X34">
        <v>-0.255</v>
      </c>
      <c r="Z34">
        <v>1.0999999999999999E-2</v>
      </c>
      <c r="AA34">
        <v>-9.2999999999999999E-2</v>
      </c>
      <c r="AB34">
        <v>-0.14299999999999999</v>
      </c>
      <c r="AC34">
        <v>-0.13900000000000001</v>
      </c>
      <c r="AD34">
        <v>-0.221</v>
      </c>
      <c r="AE34">
        <v>-0.255</v>
      </c>
      <c r="AF34">
        <v>1.0999999999999999E-2</v>
      </c>
      <c r="AG34">
        <v>3.0000000000000001E-3</v>
      </c>
      <c r="AH34">
        <v>-9.2999999999999999E-2</v>
      </c>
      <c r="AI34">
        <v>-4.3999999999999997E-2</v>
      </c>
    </row>
    <row r="35" spans="1:35" x14ac:dyDescent="0.25">
      <c r="A35" t="s">
        <v>2454</v>
      </c>
      <c r="B35" t="s">
        <v>32</v>
      </c>
      <c r="C35" s="25">
        <v>43708.303530092591</v>
      </c>
      <c r="D35" s="741" t="s">
        <v>2238</v>
      </c>
      <c r="E35" s="741">
        <f t="array" ref="E35">SUMPRODUCT(IF(AMP2_6[[#This Row],[Dim 1_1]:[T 8]]-$F$4:$AI$4&lt;0,1,0)+IF($F$5:$AI$5-AMP2_6[[#This Row],[Dim 1_1]:[T 8]]&lt;0,1,0),IF(ISNUMBER(AMP2_6[[#This Row],[Dim 1_1]:[T 8]])=TRUE,1,0))</f>
        <v>2</v>
      </c>
      <c r="F35">
        <v>41.628999999999998</v>
      </c>
      <c r="G35">
        <v>41.457999999999998</v>
      </c>
      <c r="H35">
        <v>155.619</v>
      </c>
      <c r="I35">
        <v>155.55600000000001</v>
      </c>
      <c r="L35">
        <v>155.88800000000001</v>
      </c>
      <c r="M35">
        <v>155.596</v>
      </c>
      <c r="N35">
        <v>27.254999999999999</v>
      </c>
      <c r="O35">
        <v>27.690999999999999</v>
      </c>
      <c r="R35">
        <v>17.097999999999999</v>
      </c>
      <c r="S35">
        <v>16.916</v>
      </c>
      <c r="T35">
        <v>35.404000000000003</v>
      </c>
      <c r="U35">
        <v>35.792000000000002</v>
      </c>
      <c r="W35">
        <v>0.70699999999999996</v>
      </c>
      <c r="X35">
        <v>0.127</v>
      </c>
      <c r="Z35">
        <v>0.65200000000000002</v>
      </c>
      <c r="AA35">
        <v>0.15</v>
      </c>
      <c r="AB35">
        <v>0.161</v>
      </c>
      <c r="AC35">
        <v>0.127</v>
      </c>
      <c r="AD35">
        <v>0.70699999999999996</v>
      </c>
      <c r="AE35">
        <v>0.66600000000000004</v>
      </c>
      <c r="AF35">
        <v>0.20100000000000001</v>
      </c>
      <c r="AG35">
        <v>0.15</v>
      </c>
      <c r="AH35">
        <v>0.65200000000000002</v>
      </c>
      <c r="AI35">
        <v>0.64900000000000002</v>
      </c>
    </row>
    <row r="36" spans="1:35" x14ac:dyDescent="0.25">
      <c r="A36" t="s">
        <v>2455</v>
      </c>
      <c r="B36" t="s">
        <v>31</v>
      </c>
      <c r="C36" s="25">
        <v>43708.30667824074</v>
      </c>
      <c r="D36" s="741" t="s">
        <v>2238</v>
      </c>
      <c r="E36" s="741">
        <f t="array" ref="E36">SUMPRODUCT(IF(AMP2_6[[#This Row],[Dim 1_1]:[T 8]]-$F$4:$AI$4&lt;0,1,0)+IF($F$5:$AI$5-AMP2_6[[#This Row],[Dim 1_1]:[T 8]]&lt;0,1,0),IF(ISNUMBER(AMP2_6[[#This Row],[Dim 1_1]:[T 8]])=TRUE,1,0))</f>
        <v>6</v>
      </c>
      <c r="H36">
        <v>155.899</v>
      </c>
      <c r="I36">
        <v>156.017</v>
      </c>
      <c r="J36">
        <v>169.36099999999999</v>
      </c>
      <c r="K36">
        <v>168.90899999999999</v>
      </c>
      <c r="L36">
        <v>155.846</v>
      </c>
      <c r="M36">
        <v>155.905</v>
      </c>
      <c r="N36">
        <v>27.378</v>
      </c>
      <c r="O36">
        <v>27.276</v>
      </c>
      <c r="R36">
        <v>17.079999999999998</v>
      </c>
      <c r="S36">
        <v>17.341999999999999</v>
      </c>
      <c r="T36">
        <v>33.597000000000001</v>
      </c>
      <c r="U36">
        <v>36.052999999999997</v>
      </c>
      <c r="W36">
        <v>-0.17199999999999999</v>
      </c>
      <c r="X36">
        <v>-1.0229999999999999</v>
      </c>
      <c r="Z36">
        <v>-7.4999999999999997E-2</v>
      </c>
      <c r="AA36">
        <v>-0.93100000000000005</v>
      </c>
      <c r="AB36">
        <v>-0.17199999999999999</v>
      </c>
      <c r="AC36">
        <v>-0.18</v>
      </c>
      <c r="AD36">
        <v>-0.92300000000000004</v>
      </c>
      <c r="AE36">
        <v>-1.0229999999999999</v>
      </c>
      <c r="AF36">
        <v>-7.4999999999999997E-2</v>
      </c>
      <c r="AG36">
        <v>-0.08</v>
      </c>
      <c r="AH36">
        <v>-0.93100000000000005</v>
      </c>
      <c r="AI36">
        <v>-0.93</v>
      </c>
    </row>
    <row r="37" spans="1:35" x14ac:dyDescent="0.25">
      <c r="D37" s="725"/>
      <c r="E37" s="725"/>
    </row>
  </sheetData>
  <mergeCells count="1">
    <mergeCell ref="E1:E2"/>
  </mergeCells>
  <conditionalFormatting sqref="A6:XFD8 B10:D17 B19:D36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24" priority="10"/>
  </conditionalFormatting>
  <conditionalFormatting sqref="F6:S7 V6:AI7">
    <cfRule type="cellIs" dxfId="223" priority="5" stopIfTrue="1" operator="notBetween">
      <formula>0.35</formula>
      <formula>-0.35</formula>
    </cfRule>
    <cfRule type="cellIs" dxfId="222" priority="6" operator="notBetween">
      <formula>0.2</formula>
      <formula>-0.2</formula>
    </cfRule>
  </conditionalFormatting>
  <conditionalFormatting sqref="E1 E3:E1048576">
    <cfRule type="cellIs" dxfId="221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220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19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00B050"/>
  </sheetPr>
  <dimension ref="A1:AI10"/>
  <sheetViews>
    <sheetView workbookViewId="0"/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MIN(AMP2_8[Date])</f>
        <v>0</v>
      </c>
      <c r="D1" s="310"/>
      <c r="E1" s="794" t="s">
        <v>40</v>
      </c>
      <c r="F1" s="2" t="str">
        <f>IFERROR(AVERAGEIFS(AMP2_8[[#All],[Dim 1_1]],AMP2_8[[#All],[Blade Part Number]],$B1,AMP2_8[[#All],[Date]],"&gt;"&amp;$A$1,AMP2_8[[#All],[Date]],"&lt;"&amp;$A$2),"")</f>
        <v/>
      </c>
      <c r="G1" s="2" t="str">
        <f>IFERROR(AVERAGEIFS(AMP2_8[[#All],[Dim 1_2]],AMP2_8[[#All],[Blade Part Number]],$B1,AMP2_8[[#All],[Date]],"&gt;"&amp;$A$1,AMP2_8[[#All],[Date]],"&lt;"&amp;$A$2),"")</f>
        <v/>
      </c>
      <c r="H1" s="2" t="str">
        <f>IFERROR(AVERAGEIFS(AMP2_8[[#All],[Dim 2_1]],AMP2_8[[#All],[Blade Part Number]],$B1,AMP2_8[[#All],[Date]],"&gt;"&amp;$A$1,AMP2_8[[#All],[Date]],"&lt;"&amp;$A$2),"")</f>
        <v/>
      </c>
      <c r="I1" s="2" t="str">
        <f>IFERROR(AVERAGEIFS(AMP2_8[[#All],[Dim 2_2]],AMP2_8[[#All],[Blade Part Number]],$B1,AMP2_8[[#All],[Date]],"&gt;"&amp;$A$1,AMP2_8[[#All],[Date]],"&lt;"&amp;$A$2),"")</f>
        <v/>
      </c>
      <c r="J1" s="2" t="str">
        <f>IFERROR(AVERAGEIFS(AMP2_8[[#All],[Dim 3_1]],AMP2_8[[#All],[Blade Part Number]],$B1,AMP2_8[[#All],[Date]],"&gt;"&amp;$A$1,AMP2_8[[#All],[Date]],"&lt;"&amp;$A$2),"")</f>
        <v/>
      </c>
      <c r="K1" s="2" t="str">
        <f>IFERROR(AVERAGEIFS(AMP2_8[[#All],[Dim 3_2]],AMP2_8[[#All],[Blade Part Number]],$B1,AMP2_8[[#All],[Date]],"&gt;"&amp;$A$1,AMP2_8[[#All],[Date]],"&lt;"&amp;$A$2),"")</f>
        <v/>
      </c>
      <c r="L1" s="2" t="str">
        <f>IFERROR(AVERAGEIFS(AMP2_8[[#All],[Dim 4_1]],AMP2_8[[#All],[Blade Part Number]],$B1,AMP2_8[[#All],[Date]],"&gt;"&amp;$A$1,AMP2_8[[#All],[Date]],"&lt;"&amp;$A$2),"")</f>
        <v/>
      </c>
      <c r="M1" s="2" t="str">
        <f>IFERROR(AVERAGEIFS(AMP2_8[[#All],[Dim 4_2]],AMP2_8[[#All],[Blade Part Number]],$B1,AMP2_8[[#All],[Date]],"&gt;"&amp;$A$1,AMP2_8[[#All],[Date]],"&lt;"&amp;$A$2),"")</f>
        <v/>
      </c>
      <c r="N1" s="2" t="str">
        <f>IFERROR(AVERAGEIFS(AMP2_8[[#All],[Dim 5_1]],AMP2_8[[#All],[Blade Part Number]],$B1,AMP2_8[[#All],[Date]],"&gt;"&amp;$A$1,AMP2_8[[#All],[Date]],"&lt;"&amp;$A$2),"")</f>
        <v/>
      </c>
      <c r="O1" s="2" t="str">
        <f>IFERROR(AVERAGEIFS(AMP2_8[[#All],[Dim 5_2]],AMP2_8[[#All],[Blade Part Number]],$B1,AMP2_8[[#All],[Date]],"&gt;"&amp;$A$1,AMP2_8[[#All],[Date]],"&lt;"&amp;$A$2),"")</f>
        <v/>
      </c>
      <c r="P1" s="2" t="str">
        <f>IFERROR(AVERAGEIFS(AMP2_8[[#All],[Dim 6]],AMP2_8[[#All],[Blade Part Number]],$B1,AMP2_8[[#All],[Date]],"&gt;"&amp;$A$1,AMP2_8[[#All],[Date]],"&lt;"&amp;$A$2),"")</f>
        <v/>
      </c>
      <c r="Q1" s="2" t="str">
        <f>IFERROR(AVERAGEIFS(AMP2_8[[#All],[Dim 7]],AMP2_8[[#All],[Blade Part Number]],$B1,AMP2_8[[#All],[Date]],"&gt;"&amp;$A$1,AMP2_8[[#All],[Date]],"&lt;"&amp;$A$2),"")</f>
        <v/>
      </c>
      <c r="R1" s="2" t="str">
        <f>IFERROR(AVERAGEIFS(AMP2_8[[#All],[Dim 9_1]],AMP2_8[[#All],[Blade Part Number]],$B1,AMP2_8[[#All],[Date]],"&gt;"&amp;$A$1,AMP2_8[[#All],[Date]],"&lt;"&amp;$A$2),"")</f>
        <v/>
      </c>
      <c r="S1" s="2" t="str">
        <f>IFERROR(AVERAGEIFS(AMP2_8[[#All],[Dim 9_2]],AMP2_8[[#All],[Blade Part Number]],$B1,AMP2_8[[#All],[Date]],"&gt;"&amp;$A$1,AMP2_8[[#All],[Date]],"&lt;"&amp;$A$2),"")</f>
        <v/>
      </c>
      <c r="T1" s="2" t="str">
        <f>IFERROR(AVERAGEIFS(AMP2_8[[#All],[Dim 10_1]],AMP2_8[[#All],[Blade Part Number]],$B1,AMP2_8[[#All],[Date]],"&gt;"&amp;$A$1,AMP2_8[[#All],[Date]],"&lt;"&amp;$A$2),"")</f>
        <v/>
      </c>
      <c r="U1" s="2" t="str">
        <f>IFERROR(AVERAGEIFS(AMP2_8[[#All],[Dim 10_2]],AMP2_8[[#All],[Blade Part Number]],$B1,AMP2_8[[#All],[Date]],"&gt;"&amp;$A$1,AMP2_8[[#All],[Date]],"&lt;"&amp;$A$2),"")</f>
        <v/>
      </c>
      <c r="V1" s="2" t="str">
        <f>IFERROR(AVERAGEIFS(AMP2_8[[#All],[Dim 11]],AMP2_8[[#All],[Blade Part Number]],$B1,AMP2_8[[#All],[Date]],"&gt;"&amp;$A$1,AMP2_8[[#All],[Date]],"&lt;"&amp;$A$2),"")</f>
        <v/>
      </c>
      <c r="W1" s="2" t="str">
        <f>IFERROR(AVERAGEIFS(AMP2_8[[#All],[Dim 11 Max]],AMP2_8[[#All],[Blade Part Number]],$B1,AMP2_8[[#All],[Date]],"&gt;"&amp;$A$1,AMP2_8[[#All],[Date]],"&lt;"&amp;$A$2),"")</f>
        <v/>
      </c>
      <c r="X1" s="2" t="str">
        <f>IFERROR(AVERAGEIFS(AMP2_8[[#All],[Dim 11 Min]],AMP2_8[[#All],[Blade Part Number]],$B1,AMP2_8[[#All],[Date]],"&gt;"&amp;$A$1,AMP2_8[[#All],[Date]],"&lt;"&amp;$A$2),"")</f>
        <v/>
      </c>
      <c r="Y1" s="2" t="str">
        <f>IFERROR(AVERAGEIFS(AMP2_8[[#All],[Dim 12]],AMP2_8[[#All],[Blade Part Number]],$B1,AMP2_8[[#All],[Date]],"&gt;"&amp;$A$1,AMP2_8[[#All],[Date]],"&lt;"&amp;$A$2),"")</f>
        <v/>
      </c>
      <c r="Z1" s="2" t="str">
        <f>IFERROR(AVERAGEIFS(AMP2_8[[#All],[Dim 12 Max]],AMP2_8[[#All],[Blade Part Number]],$B1,AMP2_8[[#All],[Date]],"&gt;"&amp;$A$1,AMP2_8[[#All],[Date]],"&lt;"&amp;$A$2),"")</f>
        <v/>
      </c>
      <c r="AA1" s="2" t="str">
        <f>IFERROR(AVERAGEIFS(AMP2_8[[#All],[Dim 12 Min]],AMP2_8[[#All],[Blade Part Number]],$B1,AMP2_8[[#All],[Date]],"&gt;"&amp;$A$1,AMP2_8[[#All],[Date]],"&lt;"&amp;$A$2),"")</f>
        <v/>
      </c>
      <c r="AB1" s="2" t="str">
        <f>IFERROR(AVERAGEIFS(AMP2_8[[#All],[T 1]],AMP2_8[[#All],[Blade Part Number]],$B1,AMP2_8[[#All],[Date]],"&gt;"&amp;$A$1,AMP2_8[[#All],[Date]],"&lt;"&amp;$A$2),"")</f>
        <v/>
      </c>
      <c r="AC1" s="2" t="str">
        <f>IFERROR(AVERAGEIFS(AMP2_8[[#All],[T 2]],AMP2_8[[#All],[Blade Part Number]],$B1,AMP2_8[[#All],[Date]],"&gt;"&amp;$A$1,AMP2_8[[#All],[Date]],"&lt;"&amp;$A$2),"")</f>
        <v/>
      </c>
      <c r="AD1" s="2" t="str">
        <f>IFERROR(AVERAGEIFS(AMP2_8[[#All],[T 3]],AMP2_8[[#All],[Blade Part Number]],$B1,AMP2_8[[#All],[Date]],"&gt;"&amp;$A$1,AMP2_8[[#All],[Date]],"&lt;"&amp;$A$2),"")</f>
        <v/>
      </c>
      <c r="AE1" s="2" t="str">
        <f>IFERROR(AVERAGEIFS(AMP2_8[[#All],[T 4]],AMP2_8[[#All],[Blade Part Number]],$B1,AMP2_8[[#All],[Date]],"&gt;"&amp;$A$1,AMP2_8[[#All],[Date]],"&lt;"&amp;$A$2),"")</f>
        <v/>
      </c>
      <c r="AF1" s="2" t="str">
        <f>IFERROR(AVERAGEIFS(AMP2_8[[#All],[T 5]],AMP2_8[[#All],[Blade Part Number]],$B1,AMP2_8[[#All],[Date]],"&gt;"&amp;$A$1,AMP2_8[[#All],[Date]],"&lt;"&amp;$A$2),"")</f>
        <v/>
      </c>
      <c r="AG1" s="2" t="str">
        <f>IFERROR(AVERAGEIFS(AMP2_8[[#All],[T 6]],AMP2_8[[#All],[Blade Part Number]],$B1,AMP2_8[[#All],[Date]],"&gt;"&amp;$A$1,AMP2_8[[#All],[Date]],"&lt;"&amp;$A$2),"")</f>
        <v/>
      </c>
      <c r="AH1" s="2" t="str">
        <f>IFERROR(AVERAGEIFS(AMP2_8[[#All],[T 7]],AMP2_8[[#All],[Blade Part Number]],$B1,AMP2_8[[#All],[Date]],"&gt;"&amp;$A$1,AMP2_8[[#All],[Date]],"&lt;"&amp;$A$2),"")</f>
        <v/>
      </c>
      <c r="AI1" s="2" t="str">
        <f>IFERROR(AVERAGEIFS(AMP2_8[[#All],[T 8]],AMP2_8[[#All],[Blade Part Number]],$B1,AMP2_8[[#All],[Date]],"&gt;"&amp;$A$1,AMP2_8[[#All],[Date]],"&lt;"&amp;$A$2),"")</f>
        <v/>
      </c>
    </row>
    <row r="2" spans="1:35" x14ac:dyDescent="0.25">
      <c r="A2" s="1">
        <f>'Offset Solver'!E31</f>
        <v>73050</v>
      </c>
      <c r="B2" s="12" t="s">
        <v>31</v>
      </c>
      <c r="C2" s="25">
        <f>MAX(AMP2_8[Date])</f>
        <v>0</v>
      </c>
      <c r="D2" s="310"/>
      <c r="E2" s="794"/>
      <c r="F2" s="2" t="str">
        <f>IFERROR(AVERAGEIFS(AMP2_8[[#All],[Dim 1_1]],AMP2_8[[#All],[Blade Part Number]],$B2,AMP2_8[[#All],[Date]],"&gt;"&amp;$A$1,AMP2_8[[#All],[Date]],"&lt;"&amp;$A$2),"")</f>
        <v/>
      </c>
      <c r="G2" s="2" t="str">
        <f>IFERROR(AVERAGEIFS(AMP2_8[[#All],[Dim 1_2]],AMP2_8[[#All],[Blade Part Number]],$B2,AMP2_8[[#All],[Date]],"&gt;"&amp;$A$1,AMP2_8[[#All],[Date]],"&lt;"&amp;$A$2),"")</f>
        <v/>
      </c>
      <c r="H2" s="2" t="str">
        <f>IFERROR(AVERAGEIFS(AMP2_8[[#All],[Dim 2_1]],AMP2_8[[#All],[Blade Part Number]],$B2,AMP2_8[[#All],[Date]],"&gt;"&amp;$A$1,AMP2_8[[#All],[Date]],"&lt;"&amp;$A$2),"")</f>
        <v/>
      </c>
      <c r="I2" s="2" t="str">
        <f>IFERROR(AVERAGEIFS(AMP2_8[[#All],[Dim 2_2]],AMP2_8[[#All],[Blade Part Number]],$B2,AMP2_8[[#All],[Date]],"&gt;"&amp;$A$1,AMP2_8[[#All],[Date]],"&lt;"&amp;$A$2),"")</f>
        <v/>
      </c>
      <c r="J2" s="2" t="str">
        <f>IFERROR(AVERAGEIFS(AMP2_8[[#All],[Dim 3_1]],AMP2_8[[#All],[Blade Part Number]],$B2,AMP2_8[[#All],[Date]],"&gt;"&amp;$A$1,AMP2_8[[#All],[Date]],"&lt;"&amp;$A$2),"")</f>
        <v/>
      </c>
      <c r="K2" s="2" t="str">
        <f>IFERROR(AVERAGEIFS(AMP2_8[[#All],[Dim 3_2]],AMP2_8[[#All],[Blade Part Number]],$B2,AMP2_8[[#All],[Date]],"&gt;"&amp;$A$1,AMP2_8[[#All],[Date]],"&lt;"&amp;$A$2),"")</f>
        <v/>
      </c>
      <c r="L2" s="2" t="str">
        <f>IFERROR(AVERAGEIFS(AMP2_8[[#All],[Dim 4_1]],AMP2_8[[#All],[Blade Part Number]],$B2,AMP2_8[[#All],[Date]],"&gt;"&amp;$A$1,AMP2_8[[#All],[Date]],"&lt;"&amp;$A$2),"")</f>
        <v/>
      </c>
      <c r="M2" s="2" t="str">
        <f>IFERROR(AVERAGEIFS(AMP2_8[[#All],[Dim 4_2]],AMP2_8[[#All],[Blade Part Number]],$B2,AMP2_8[[#All],[Date]],"&gt;"&amp;$A$1,AMP2_8[[#All],[Date]],"&lt;"&amp;$A$2),"")</f>
        <v/>
      </c>
      <c r="N2" s="2" t="str">
        <f>IFERROR(AVERAGEIFS(AMP2_8[[#All],[Dim 5_1]],AMP2_8[[#All],[Blade Part Number]],$B2,AMP2_8[[#All],[Date]],"&gt;"&amp;$A$1,AMP2_8[[#All],[Date]],"&lt;"&amp;$A$2),"")</f>
        <v/>
      </c>
      <c r="O2" s="2" t="str">
        <f>IFERROR(AVERAGEIFS(AMP2_8[[#All],[Dim 5_2]],AMP2_8[[#All],[Blade Part Number]],$B2,AMP2_8[[#All],[Date]],"&gt;"&amp;$A$1,AMP2_8[[#All],[Date]],"&lt;"&amp;$A$2),"")</f>
        <v/>
      </c>
      <c r="P2" s="2" t="str">
        <f>IFERROR(AVERAGEIFS(AMP2_8[[#All],[Dim 6]],AMP2_8[[#All],[Blade Part Number]],$B2,AMP2_8[[#All],[Date]],"&gt;"&amp;$A$1,AMP2_8[[#All],[Date]],"&lt;"&amp;$A$2),"")</f>
        <v/>
      </c>
      <c r="Q2" s="2" t="str">
        <f>IFERROR(AVERAGEIFS(AMP2_8[[#All],[Dim 7]],AMP2_8[[#All],[Blade Part Number]],$B2,AMP2_8[[#All],[Date]],"&gt;"&amp;$A$1,AMP2_8[[#All],[Date]],"&lt;"&amp;$A$2),"")</f>
        <v/>
      </c>
      <c r="R2" s="2" t="str">
        <f>IFERROR(AVERAGEIFS(AMP2_8[[#All],[Dim 9_1]],AMP2_8[[#All],[Blade Part Number]],$B2,AMP2_8[[#All],[Date]],"&gt;"&amp;$A$1,AMP2_8[[#All],[Date]],"&lt;"&amp;$A$2),"")</f>
        <v/>
      </c>
      <c r="S2" s="2" t="str">
        <f>IFERROR(AVERAGEIFS(AMP2_8[[#All],[Dim 9_2]],AMP2_8[[#All],[Blade Part Number]],$B2,AMP2_8[[#All],[Date]],"&gt;"&amp;$A$1,AMP2_8[[#All],[Date]],"&lt;"&amp;$A$2),"")</f>
        <v/>
      </c>
      <c r="T2" s="2" t="str">
        <f>IFERROR(AVERAGEIFS(AMP2_8[[#All],[Dim 10_1]],AMP2_8[[#All],[Blade Part Number]],$B2,AMP2_8[[#All],[Date]],"&gt;"&amp;$A$1,AMP2_8[[#All],[Date]],"&lt;"&amp;$A$2),"")</f>
        <v/>
      </c>
      <c r="U2" s="2" t="str">
        <f>IFERROR(AVERAGEIFS(AMP2_8[[#All],[Dim 10_2]],AMP2_8[[#All],[Blade Part Number]],$B2,AMP2_8[[#All],[Date]],"&gt;"&amp;$A$1,AMP2_8[[#All],[Date]],"&lt;"&amp;$A$2),"")</f>
        <v/>
      </c>
      <c r="V2" s="2" t="str">
        <f>IFERROR(AVERAGEIFS(AMP2_8[[#All],[Dim 11]],AMP2_8[[#All],[Blade Part Number]],$B2,AMP2_8[[#All],[Date]],"&gt;"&amp;$A$1,AMP2_8[[#All],[Date]],"&lt;"&amp;$A$2),"")</f>
        <v/>
      </c>
      <c r="W2" s="2" t="str">
        <f>IFERROR(AVERAGEIFS(AMP2_8[[#All],[Dim 11 Max]],AMP2_8[[#All],[Blade Part Number]],$B2,AMP2_8[[#All],[Date]],"&gt;"&amp;$A$1,AMP2_8[[#All],[Date]],"&lt;"&amp;$A$2),"")</f>
        <v/>
      </c>
      <c r="X2" s="2" t="str">
        <f>IFERROR(AVERAGEIFS(AMP2_8[[#All],[Dim 11 Min]],AMP2_8[[#All],[Blade Part Number]],$B2,AMP2_8[[#All],[Date]],"&gt;"&amp;$A$1,AMP2_8[[#All],[Date]],"&lt;"&amp;$A$2),"")</f>
        <v/>
      </c>
      <c r="Y2" s="2" t="str">
        <f>IFERROR(AVERAGEIFS(AMP2_8[[#All],[Dim 12]],AMP2_8[[#All],[Blade Part Number]],$B2,AMP2_8[[#All],[Date]],"&gt;"&amp;$A$1,AMP2_8[[#All],[Date]],"&lt;"&amp;$A$2),"")</f>
        <v/>
      </c>
      <c r="Z2" s="2" t="str">
        <f>IFERROR(AVERAGEIFS(AMP2_8[[#All],[Dim 12 Max]],AMP2_8[[#All],[Blade Part Number]],$B2,AMP2_8[[#All],[Date]],"&gt;"&amp;$A$1,AMP2_8[[#All],[Date]],"&lt;"&amp;$A$2),"")</f>
        <v/>
      </c>
      <c r="AA2" s="2" t="str">
        <f>IFERROR(AVERAGEIFS(AMP2_8[[#All],[Dim 12 Min]],AMP2_8[[#All],[Blade Part Number]],$B2,AMP2_8[[#All],[Date]],"&gt;"&amp;$A$1,AMP2_8[[#All],[Date]],"&lt;"&amp;$A$2),"")</f>
        <v/>
      </c>
      <c r="AB2" s="2" t="str">
        <f>IFERROR(AVERAGEIFS(AMP2_8[[#All],[T 1]],AMP2_8[[#All],[Blade Part Number]],$B2,AMP2_8[[#All],[Date]],"&gt;"&amp;$A$1,AMP2_8[[#All],[Date]],"&lt;"&amp;$A$2),"")</f>
        <v/>
      </c>
      <c r="AC2" s="2" t="str">
        <f>IFERROR(AVERAGEIFS(AMP2_8[[#All],[T 2]],AMP2_8[[#All],[Blade Part Number]],$B2,AMP2_8[[#All],[Date]],"&gt;"&amp;$A$1,AMP2_8[[#All],[Date]],"&lt;"&amp;$A$2),"")</f>
        <v/>
      </c>
      <c r="AD2" s="2" t="str">
        <f>IFERROR(AVERAGEIFS(AMP2_8[[#All],[T 3]],AMP2_8[[#All],[Blade Part Number]],$B2,AMP2_8[[#All],[Date]],"&gt;"&amp;$A$1,AMP2_8[[#All],[Date]],"&lt;"&amp;$A$2),"")</f>
        <v/>
      </c>
      <c r="AE2" s="2" t="str">
        <f>IFERROR(AVERAGEIFS(AMP2_8[[#All],[T 4]],AMP2_8[[#All],[Blade Part Number]],$B2,AMP2_8[[#All],[Date]],"&gt;"&amp;$A$1,AMP2_8[[#All],[Date]],"&lt;"&amp;$A$2),"")</f>
        <v/>
      </c>
      <c r="AF2" s="2" t="str">
        <f>IFERROR(AVERAGEIFS(AMP2_8[[#All],[T 5]],AMP2_8[[#All],[Blade Part Number]],$B2,AMP2_8[[#All],[Date]],"&gt;"&amp;$A$1,AMP2_8[[#All],[Date]],"&lt;"&amp;$A$2),"")</f>
        <v/>
      </c>
      <c r="AG2" s="2" t="str">
        <f>IFERROR(AVERAGEIFS(AMP2_8[[#All],[T 6]],AMP2_8[[#All],[Blade Part Number]],$B2,AMP2_8[[#All],[Date]],"&gt;"&amp;$A$1,AMP2_8[[#All],[Date]],"&lt;"&amp;$A$2),"")</f>
        <v/>
      </c>
      <c r="AH2" s="2" t="str">
        <f>IFERROR(AVERAGEIFS(AMP2_8[[#All],[T 7]],AMP2_8[[#All],[Blade Part Number]],$B2,AMP2_8[[#All],[Date]],"&gt;"&amp;$A$1,AMP2_8[[#All],[Date]],"&lt;"&amp;$A$2),"")</f>
        <v/>
      </c>
      <c r="AI2" s="2" t="str">
        <f>IFERROR(AVERAGEIFS(AMP2_8[[#All],[T 8]],AMP2_8[[#All],[Blade Part Number]],$B2,AMP2_8[[#All],[Date]],"&gt;"&amp;$A$1,AMP2_8[[#All],[Date]],"&lt;"&amp;$A$2),"")</f>
        <v/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 t="str">
        <f t="shared" ref="F6:AI6" si="0">IFERROR(F1-F3,"")</f>
        <v/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11" t="str">
        <f t="shared" si="0"/>
        <v/>
      </c>
      <c r="S6" s="11" t="str">
        <f t="shared" si="0"/>
        <v/>
      </c>
      <c r="T6" s="11" t="str">
        <f t="shared" si="0"/>
        <v/>
      </c>
      <c r="U6" s="11" t="str">
        <f t="shared" si="0"/>
        <v/>
      </c>
      <c r="V6" s="11" t="str">
        <f t="shared" si="0"/>
        <v/>
      </c>
      <c r="W6" s="11" t="str">
        <f t="shared" si="0"/>
        <v/>
      </c>
      <c r="X6" s="11" t="str">
        <f t="shared" si="0"/>
        <v/>
      </c>
      <c r="Y6" s="11" t="str">
        <f t="shared" si="0"/>
        <v/>
      </c>
      <c r="Z6" s="11" t="str">
        <f t="shared" si="0"/>
        <v/>
      </c>
      <c r="AA6" s="11" t="str">
        <f t="shared" si="0"/>
        <v/>
      </c>
      <c r="AB6" s="11" t="str">
        <f t="shared" si="0"/>
        <v/>
      </c>
      <c r="AC6" s="11" t="str">
        <f t="shared" si="0"/>
        <v/>
      </c>
      <c r="AD6" s="11" t="str">
        <f t="shared" si="0"/>
        <v/>
      </c>
      <c r="AE6" s="11" t="str">
        <f t="shared" si="0"/>
        <v/>
      </c>
      <c r="AF6" s="11" t="str">
        <f t="shared" si="0"/>
        <v/>
      </c>
      <c r="AG6" s="11" t="str">
        <f t="shared" si="0"/>
        <v/>
      </c>
      <c r="AH6" s="11" t="str">
        <f t="shared" si="0"/>
        <v/>
      </c>
      <c r="AI6" s="11" t="str">
        <f t="shared" si="0"/>
        <v/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 t="str">
        <f t="shared" si="1"/>
        <v/>
      </c>
      <c r="I7" s="11" t="str">
        <f t="shared" si="1"/>
        <v/>
      </c>
      <c r="J7" s="11" t="str">
        <f t="shared" si="1"/>
        <v/>
      </c>
      <c r="K7" s="11" t="str">
        <f t="shared" si="1"/>
        <v/>
      </c>
      <c r="L7" s="11" t="str">
        <f t="shared" si="1"/>
        <v/>
      </c>
      <c r="M7" s="11" t="str">
        <f t="shared" si="1"/>
        <v/>
      </c>
      <c r="N7" s="11" t="str">
        <f t="shared" si="1"/>
        <v/>
      </c>
      <c r="O7" s="11" t="str">
        <f t="shared" si="1"/>
        <v/>
      </c>
      <c r="P7" s="11" t="str">
        <f t="shared" si="1"/>
        <v/>
      </c>
      <c r="Q7" s="11" t="str">
        <f t="shared" si="1"/>
        <v/>
      </c>
      <c r="R7" s="11" t="str">
        <f t="shared" si="1"/>
        <v/>
      </c>
      <c r="S7" s="11" t="str">
        <f t="shared" si="1"/>
        <v/>
      </c>
      <c r="T7" s="11" t="str">
        <f t="shared" si="1"/>
        <v/>
      </c>
      <c r="U7" s="11" t="str">
        <f t="shared" si="1"/>
        <v/>
      </c>
      <c r="V7" s="11" t="str">
        <f t="shared" si="1"/>
        <v/>
      </c>
      <c r="W7" s="11" t="str">
        <f t="shared" si="1"/>
        <v/>
      </c>
      <c r="X7" s="11" t="str">
        <f t="shared" si="1"/>
        <v/>
      </c>
      <c r="Y7" s="11" t="str">
        <f t="shared" si="1"/>
        <v/>
      </c>
      <c r="Z7" s="11" t="str">
        <f t="shared" si="1"/>
        <v/>
      </c>
      <c r="AA7" s="11" t="str">
        <f t="shared" si="1"/>
        <v/>
      </c>
      <c r="AB7" s="11" t="str">
        <f t="shared" si="1"/>
        <v/>
      </c>
      <c r="AC7" s="11" t="str">
        <f t="shared" si="1"/>
        <v/>
      </c>
      <c r="AD7" s="11" t="str">
        <f t="shared" si="1"/>
        <v/>
      </c>
      <c r="AE7" s="11" t="str">
        <f t="shared" si="1"/>
        <v/>
      </c>
      <c r="AF7" s="11" t="str">
        <f t="shared" si="1"/>
        <v/>
      </c>
      <c r="AG7" s="11" t="str">
        <f t="shared" si="1"/>
        <v/>
      </c>
      <c r="AH7" s="11" t="str">
        <f t="shared" si="1"/>
        <v/>
      </c>
      <c r="AI7" s="11" t="str">
        <f t="shared" si="1"/>
        <v/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D9" s="741"/>
      <c r="E9" s="741"/>
    </row>
    <row r="10" spans="1:35" x14ac:dyDescent="0.25">
      <c r="D10" s="716"/>
      <c r="E10" s="716"/>
    </row>
  </sheetData>
  <mergeCells count="1">
    <mergeCell ref="E1:E2"/>
  </mergeCells>
  <conditionalFormatting sqref="AJ8:XFD8">
    <cfRule type="notContainsBlanks" priority="16" stopIfTrue="1">
      <formula>LEN(TRIM(AJ8))&gt;0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E1 E3:E1048576">
    <cfRule type="cellIs" dxfId="218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17" priority="10"/>
  </conditionalFormatting>
  <conditionalFormatting sqref="F6:S7 V6:AI7">
    <cfRule type="cellIs" dxfId="216" priority="5" stopIfTrue="1" operator="notBetween">
      <formula>0.35</formula>
      <formula>-0.35</formula>
    </cfRule>
    <cfRule type="cellIs" dxfId="215" priority="6" operator="notBetween">
      <formula>0.2</formula>
      <formula>-0.2</formula>
    </cfRule>
  </conditionalFormatting>
  <conditionalFormatting sqref="T6:U7">
    <cfRule type="cellIs" dxfId="214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13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>
    <tabColor rgb="FF00B050"/>
  </sheetPr>
  <dimension ref="A1:AI220"/>
  <sheetViews>
    <sheetView workbookViewId="0">
      <pane xSplit="2" ySplit="8" topLeftCell="AF285" activePane="bottomRight" state="frozenSplit"/>
      <selection pane="topRight" activeCell="C1" sqref="C1"/>
      <selection pane="bottomLeft" activeCell="A9" sqref="A9"/>
      <selection pane="bottomRight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MIN(AMP3_2[Date])</f>
        <v>43698.515601851854</v>
      </c>
      <c r="D1" s="310"/>
      <c r="E1" s="794" t="s">
        <v>40</v>
      </c>
      <c r="F1" s="2">
        <f>IFERROR(AVERAGEIFS(AMP3_2[[#All],[Dim 1_1]],AMP3_2[[#All],[Blade Part Number]],$B1,AMP3_2[[#All],[Date]],"&gt;"&amp;$A$1,AMP3_2[[#All],[Date]],"&lt;"&amp;$A$2),"")</f>
        <v>41.21554166666666</v>
      </c>
      <c r="G1" s="2">
        <f>IFERROR(AVERAGEIFS(AMP3_2[[#All],[Dim 1_2]],AMP3_2[[#All],[Blade Part Number]],$B1,AMP3_2[[#All],[Date]],"&gt;"&amp;$A$1,AMP3_2[[#All],[Date]],"&lt;"&amp;$A$2),"")</f>
        <v>41.36952777777779</v>
      </c>
      <c r="H1" s="2">
        <f>IFERROR(AVERAGEIFS(AMP3_2[[#All],[Dim 2_1]],AMP3_2[[#All],[Blade Part Number]],$B1,AMP3_2[[#All],[Date]],"&gt;"&amp;$A$1,AMP3_2[[#All],[Date]],"&lt;"&amp;$A$2),"")</f>
        <v>155.78851388888893</v>
      </c>
      <c r="I1" s="2">
        <f>IFERROR(AVERAGEIFS(AMP3_2[[#All],[Dim 2_2]],AMP3_2[[#All],[Blade Part Number]],$B1,AMP3_2[[#All],[Date]],"&gt;"&amp;$A$1,AMP3_2[[#All],[Date]],"&lt;"&amp;$A$2),"")</f>
        <v>155.78558333333334</v>
      </c>
      <c r="J1" s="2" t="str">
        <f>IFERROR(AVERAGEIFS(AMP3_2[[#All],[Dim 3_1]],AMP3_2[[#All],[Blade Part Number]],$B1,AMP3_2[[#All],[Date]],"&gt;"&amp;$A$1,AMP3_2[[#All],[Date]],"&lt;"&amp;$A$2),"")</f>
        <v/>
      </c>
      <c r="K1" s="2" t="str">
        <f>IFERROR(AVERAGEIFS(AMP3_2[[#All],[Dim 3_2]],AMP3_2[[#All],[Blade Part Number]],$B1,AMP3_2[[#All],[Date]],"&gt;"&amp;$A$1,AMP3_2[[#All],[Date]],"&lt;"&amp;$A$2),"")</f>
        <v/>
      </c>
      <c r="L1" s="2">
        <f>IFERROR(AVERAGEIFS(AMP3_2[[#All],[Dim 4_1]],AMP3_2[[#All],[Blade Part Number]],$B1,AMP3_2[[#All],[Date]],"&gt;"&amp;$A$1,AMP3_2[[#All],[Date]],"&lt;"&amp;$A$2),"")</f>
        <v>155.83552777777788</v>
      </c>
      <c r="M1" s="2">
        <f>IFERROR(AVERAGEIFS(AMP3_2[[#All],[Dim 4_2]],AMP3_2[[#All],[Blade Part Number]],$B1,AMP3_2[[#All],[Date]],"&gt;"&amp;$A$1,AMP3_2[[#All],[Date]],"&lt;"&amp;$A$2),"")</f>
        <v>155.61836111111117</v>
      </c>
      <c r="N1" s="2">
        <f>IFERROR(AVERAGEIFS(AMP3_2[[#All],[Dim 5_1]],AMP3_2[[#All],[Blade Part Number]],$B1,AMP3_2[[#All],[Date]],"&gt;"&amp;$A$1,AMP3_2[[#All],[Date]],"&lt;"&amp;$A$2),"")</f>
        <v>27.373208333333327</v>
      </c>
      <c r="O1" s="2">
        <f>IFERROR(AVERAGEIFS(AMP3_2[[#All],[Dim 5_2]],AMP3_2[[#All],[Blade Part Number]],$B1,AMP3_2[[#All],[Date]],"&gt;"&amp;$A$1,AMP3_2[[#All],[Date]],"&lt;"&amp;$A$2),"")</f>
        <v>27.488972222222216</v>
      </c>
      <c r="P1" s="2" t="str">
        <f>IFERROR(AVERAGEIFS(AMP3_2[[#All],[Dim 6]],AMP3_2[[#All],[Blade Part Number]],$B1,AMP3_2[[#All],[Date]],"&gt;"&amp;$A$1,AMP3_2[[#All],[Date]],"&lt;"&amp;$A$2),"")</f>
        <v/>
      </c>
      <c r="Q1" s="2" t="str">
        <f>IFERROR(AVERAGEIFS(AMP3_2[[#All],[Dim 7]],AMP3_2[[#All],[Blade Part Number]],$B1,AMP3_2[[#All],[Date]],"&gt;"&amp;$A$1,AMP3_2[[#All],[Date]],"&lt;"&amp;$A$2),"")</f>
        <v/>
      </c>
      <c r="R1" s="2">
        <f>IFERROR(AVERAGEIFS(AMP3_2[[#All],[Dim 9_1]],AMP3_2[[#All],[Blade Part Number]],$B1,AMP3_2[[#All],[Date]],"&gt;"&amp;$A$1,AMP3_2[[#All],[Date]],"&lt;"&amp;$A$2),"")</f>
        <v>17.271625</v>
      </c>
      <c r="S1" s="2">
        <f>IFERROR(AVERAGEIFS(AMP3_2[[#All],[Dim 9_2]],AMP3_2[[#All],[Blade Part Number]],$B1,AMP3_2[[#All],[Date]],"&gt;"&amp;$A$1,AMP3_2[[#All],[Date]],"&lt;"&amp;$A$2),"")</f>
        <v>17.312319444444441</v>
      </c>
      <c r="T1" s="2">
        <f>IFERROR(AVERAGEIFS(AMP3_2[[#All],[Dim 10_1]],AMP3_2[[#All],[Blade Part Number]],$B1,AMP3_2[[#All],[Date]],"&gt;"&amp;$A$1,AMP3_2[[#All],[Date]],"&lt;"&amp;$A$2),"")</f>
        <v>34.100722222222231</v>
      </c>
      <c r="U1" s="2">
        <f>IFERROR(AVERAGEIFS(AMP3_2[[#All],[Dim 10_2]],AMP3_2[[#All],[Blade Part Number]],$B1,AMP3_2[[#All],[Date]],"&gt;"&amp;$A$1,AMP3_2[[#All],[Date]],"&lt;"&amp;$A$2),"")</f>
        <v>34.645555555555553</v>
      </c>
      <c r="V1" s="2" t="str">
        <f>IFERROR(AVERAGEIFS(AMP3_2[[#All],[Dim 11]],AMP3_2[[#All],[Blade Part Number]],$B1,AMP3_2[[#All],[Date]],"&gt;"&amp;$A$1,AMP3_2[[#All],[Date]],"&lt;"&amp;$A$2),"")</f>
        <v/>
      </c>
      <c r="W1" s="2">
        <f>IFERROR(AVERAGEIFS(AMP3_2[[#All],[Dim 11 Max]],AMP3_2[[#All],[Blade Part Number]],$B1,AMP3_2[[#All],[Date]],"&gt;"&amp;$A$1,AMP3_2[[#All],[Date]],"&lt;"&amp;$A$2),"")</f>
        <v>0.10458333333333331</v>
      </c>
      <c r="X1" s="2">
        <f>IFERROR(AVERAGEIFS(AMP3_2[[#All],[Dim 11 Min]],AMP3_2[[#All],[Blade Part Number]],$B1,AMP3_2[[#All],[Date]],"&gt;"&amp;$A$1,AMP3_2[[#All],[Date]],"&lt;"&amp;$A$2),"")</f>
        <v>-0.1325416666666667</v>
      </c>
      <c r="Y1" s="2" t="str">
        <f>IFERROR(AVERAGEIFS(AMP3_2[[#All],[Dim 12]],AMP3_2[[#All],[Blade Part Number]],$B1,AMP3_2[[#All],[Date]],"&gt;"&amp;$A$1,AMP3_2[[#All],[Date]],"&lt;"&amp;$A$2),"")</f>
        <v/>
      </c>
      <c r="Z1" s="2">
        <f>IFERROR(AVERAGEIFS(AMP3_2[[#All],[Dim 12 Max]],AMP3_2[[#All],[Blade Part Number]],$B1,AMP3_2[[#All],[Date]],"&gt;"&amp;$A$1,AMP3_2[[#All],[Date]],"&lt;"&amp;$A$2),"")</f>
        <v>6.5180555555555547E-2</v>
      </c>
      <c r="AA1" s="2">
        <f>IFERROR(AVERAGEIFS(AMP3_2[[#All],[Dim 12 Min]],AMP3_2[[#All],[Blade Part Number]],$B1,AMP3_2[[#All],[Date]],"&gt;"&amp;$A$1,AMP3_2[[#All],[Date]],"&lt;"&amp;$A$2),"")</f>
        <v>-0.11468055555555558</v>
      </c>
      <c r="AB1" s="2">
        <f>IFERROR(AVERAGEIFS(AMP3_2[[#All],[T 1]],AMP3_2[[#All],[Blade Part Number]],$B1,AMP3_2[[#All],[Date]],"&gt;"&amp;$A$1,AMP3_2[[#All],[Date]],"&lt;"&amp;$A$2),"")</f>
        <v>3.8833333333333338E-2</v>
      </c>
      <c r="AC1" s="2">
        <f>IFERROR(AVERAGEIFS(AMP3_2[[#All],[T 2]],AMP3_2[[#All],[Blade Part Number]],$B1,AMP3_2[[#All],[Date]],"&gt;"&amp;$A$1,AMP3_2[[#All],[Date]],"&lt;"&amp;$A$2),"")</f>
        <v>3.7347222222222226E-2</v>
      </c>
      <c r="AD1" s="2">
        <f>IFERROR(AVERAGEIFS(AMP3_2[[#All],[T 3]],AMP3_2[[#All],[Blade Part Number]],$B1,AMP3_2[[#All],[Date]],"&gt;"&amp;$A$1,AMP3_2[[#All],[Date]],"&lt;"&amp;$A$2),"")</f>
        <v>8.7027777777777759E-2</v>
      </c>
      <c r="AE1" s="2">
        <f>IFERROR(AVERAGEIFS(AMP3_2[[#All],[T 4]],AMP3_2[[#All],[Blade Part Number]],$B1,AMP3_2[[#All],[Date]],"&gt;"&amp;$A$1,AMP3_2[[#All],[Date]],"&lt;"&amp;$A$2),"")</f>
        <v>-0.12993055555555555</v>
      </c>
      <c r="AF1" s="2">
        <f>IFERROR(AVERAGEIFS(AMP3_2[[#All],[T 5]],AMP3_2[[#All],[Blade Part Number]],$B1,AMP3_2[[#All],[Date]],"&gt;"&amp;$A$1,AMP3_2[[#All],[Date]],"&lt;"&amp;$A$2),"")</f>
        <v>1.370833333333334E-2</v>
      </c>
      <c r="AG1" s="2">
        <f>IFERROR(AVERAGEIFS(AMP3_2[[#All],[T 6]],AMP3_2[[#All],[Blade Part Number]],$B1,AMP3_2[[#All],[Date]],"&gt;"&amp;$A$1,AMP3_2[[#All],[Date]],"&lt;"&amp;$A$2),"")</f>
        <v>-1.1638888888888886E-2</v>
      </c>
      <c r="AH1" s="2">
        <f>IFERROR(AVERAGEIFS(AMP3_2[[#All],[T 7]],AMP3_2[[#All],[Blade Part Number]],$B1,AMP3_2[[#All],[Date]],"&gt;"&amp;$A$1,AMP3_2[[#All],[Date]],"&lt;"&amp;$A$2),"")</f>
        <v>-0.10234722222222221</v>
      </c>
      <c r="AI1" s="2">
        <f>IFERROR(AVERAGEIFS(AMP3_2[[#All],[T 8]],AMP3_2[[#All],[Blade Part Number]],$B1,AMP3_2[[#All],[Date]],"&gt;"&amp;$A$1,AMP3_2[[#All],[Date]],"&lt;"&amp;$A$2),"")</f>
        <v>4.172222222222223E-2</v>
      </c>
    </row>
    <row r="2" spans="1:35" x14ac:dyDescent="0.25">
      <c r="A2" s="1">
        <f>'Offset Solver'!E31</f>
        <v>73050</v>
      </c>
      <c r="B2" s="12" t="s">
        <v>31</v>
      </c>
      <c r="C2" s="25">
        <f>MAX(AMP3_2[Date])</f>
        <v>43712.327291666668</v>
      </c>
      <c r="D2" s="310"/>
      <c r="E2" s="794"/>
      <c r="F2" s="2" t="str">
        <f>IFERROR(AVERAGEIFS(AMP3_2[[#All],[Dim 1_1]],AMP3_2[[#All],[Blade Part Number]],$B2,AMP3_2[[#All],[Date]],"&gt;"&amp;$A$1,AMP3_2[[#All],[Date]],"&lt;"&amp;$A$2),"")</f>
        <v/>
      </c>
      <c r="G2" s="2" t="str">
        <f>IFERROR(AVERAGEIFS(AMP3_2[[#All],[Dim 1_2]],AMP3_2[[#All],[Blade Part Number]],$B2,AMP3_2[[#All],[Date]],"&gt;"&amp;$A$1,AMP3_2[[#All],[Date]],"&lt;"&amp;$A$2),"")</f>
        <v/>
      </c>
      <c r="H2" s="2">
        <f>IFERROR(AVERAGEIFS(AMP3_2[[#All],[Dim 2_1]],AMP3_2[[#All],[Blade Part Number]],$B2,AMP3_2[[#All],[Date]],"&gt;"&amp;$A$1,AMP3_2[[#All],[Date]],"&lt;"&amp;$A$2),"")</f>
        <v>155.74295890410963</v>
      </c>
      <c r="I2" s="2">
        <f>IFERROR(AVERAGEIFS(AMP3_2[[#All],[Dim 2_2]],AMP3_2[[#All],[Blade Part Number]],$B2,AMP3_2[[#All],[Date]],"&gt;"&amp;$A$1,AMP3_2[[#All],[Date]],"&lt;"&amp;$A$2),"")</f>
        <v>155.72058904109593</v>
      </c>
      <c r="J2" s="2">
        <f>IFERROR(AVERAGEIFS(AMP3_2[[#All],[Dim 3_1]],AMP3_2[[#All],[Blade Part Number]],$B2,AMP3_2[[#All],[Date]],"&gt;"&amp;$A$1,AMP3_2[[#All],[Date]],"&lt;"&amp;$A$2),"")</f>
        <v>168.59195890410967</v>
      </c>
      <c r="K2" s="2">
        <f>IFERROR(AVERAGEIFS(AMP3_2[[#All],[Dim 3_2]],AMP3_2[[#All],[Blade Part Number]],$B2,AMP3_2[[#All],[Date]],"&gt;"&amp;$A$1,AMP3_2[[#All],[Date]],"&lt;"&amp;$A$2),"")</f>
        <v>168.69578082191782</v>
      </c>
      <c r="L2" s="2">
        <f>IFERROR(AVERAGEIFS(AMP3_2[[#All],[Dim 4_1]],AMP3_2[[#All],[Blade Part Number]],$B2,AMP3_2[[#All],[Date]],"&gt;"&amp;$A$1,AMP3_2[[#All],[Date]],"&lt;"&amp;$A$2),"")</f>
        <v>155.81595890410958</v>
      </c>
      <c r="M2" s="2">
        <f>IFERROR(AVERAGEIFS(AMP3_2[[#All],[Dim 4_2]],AMP3_2[[#All],[Blade Part Number]],$B2,AMP3_2[[#All],[Date]],"&gt;"&amp;$A$1,AMP3_2[[#All],[Date]],"&lt;"&amp;$A$2),"")</f>
        <v>155.63764383561642</v>
      </c>
      <c r="N2" s="2">
        <f>IFERROR(AVERAGEIFS(AMP3_2[[#All],[Dim 5_1]],AMP3_2[[#All],[Blade Part Number]],$B2,AMP3_2[[#All],[Date]],"&gt;"&amp;$A$1,AMP3_2[[#All],[Date]],"&lt;"&amp;$A$2),"")</f>
        <v>27.421986301369859</v>
      </c>
      <c r="O2" s="2">
        <f>IFERROR(AVERAGEIFS(AMP3_2[[#All],[Dim 5_2]],AMP3_2[[#All],[Blade Part Number]],$B2,AMP3_2[[#All],[Date]],"&gt;"&amp;$A$1,AMP3_2[[#All],[Date]],"&lt;"&amp;$A$2),"")</f>
        <v>27.639068493150685</v>
      </c>
      <c r="P2" s="2" t="str">
        <f>IFERROR(AVERAGEIFS(AMP3_2[[#All],[Dim 6]],AMP3_2[[#All],[Blade Part Number]],$B2,AMP3_2[[#All],[Date]],"&gt;"&amp;$A$1,AMP3_2[[#All],[Date]],"&lt;"&amp;$A$2),"")</f>
        <v/>
      </c>
      <c r="Q2" s="2" t="str">
        <f>IFERROR(AVERAGEIFS(AMP3_2[[#All],[Dim 7]],AMP3_2[[#All],[Blade Part Number]],$B2,AMP3_2[[#All],[Date]],"&gt;"&amp;$A$1,AMP3_2[[#All],[Date]],"&lt;"&amp;$A$2),"")</f>
        <v/>
      </c>
      <c r="R2" s="2">
        <f>IFERROR(AVERAGEIFS(AMP3_2[[#All],[Dim 9_1]],AMP3_2[[#All],[Blade Part Number]],$B2,AMP3_2[[#All],[Date]],"&gt;"&amp;$A$1,AMP3_2[[#All],[Date]],"&lt;"&amp;$A$2),"")</f>
        <v>17.239068493150679</v>
      </c>
      <c r="S2" s="2">
        <f>IFERROR(AVERAGEIFS(AMP3_2[[#All],[Dim 9_2]],AMP3_2[[#All],[Blade Part Number]],$B2,AMP3_2[[#All],[Date]],"&gt;"&amp;$A$1,AMP3_2[[#All],[Date]],"&lt;"&amp;$A$2),"")</f>
        <v>17.244397260273963</v>
      </c>
      <c r="T2" s="2">
        <f>IFERROR(AVERAGEIFS(AMP3_2[[#All],[Dim 10_1]],AMP3_2[[#All],[Blade Part Number]],$B2,AMP3_2[[#All],[Date]],"&gt;"&amp;$A$1,AMP3_2[[#All],[Date]],"&lt;"&amp;$A$2),"")</f>
        <v>37.109301369863019</v>
      </c>
      <c r="U2" s="2">
        <f>IFERROR(AVERAGEIFS(AMP3_2[[#All],[Dim 10_2]],AMP3_2[[#All],[Blade Part Number]],$B2,AMP3_2[[#All],[Date]],"&gt;"&amp;$A$1,AMP3_2[[#All],[Date]],"&lt;"&amp;$A$2),"")</f>
        <v>37.947493150684942</v>
      </c>
      <c r="V2" s="2" t="str">
        <f>IFERROR(AVERAGEIFS(AMP3_2[[#All],[Dim 11]],AMP3_2[[#All],[Blade Part Number]],$B2,AMP3_2[[#All],[Date]],"&gt;"&amp;$A$1,AMP3_2[[#All],[Date]],"&lt;"&amp;$A$2),"")</f>
        <v/>
      </c>
      <c r="W2" s="2">
        <f>IFERROR(AVERAGEIFS(AMP3_2[[#All],[Dim 11 Max]],AMP3_2[[#All],[Blade Part Number]],$B2,AMP3_2[[#All],[Date]],"&gt;"&amp;$A$1,AMP3_2[[#All],[Date]],"&lt;"&amp;$A$2),"")</f>
        <v>0.12631506849315066</v>
      </c>
      <c r="X2" s="2">
        <f>IFERROR(AVERAGEIFS(AMP3_2[[#All],[Dim 11 Min]],AMP3_2[[#All],[Blade Part Number]],$B2,AMP3_2[[#All],[Date]],"&gt;"&amp;$A$1,AMP3_2[[#All],[Date]],"&lt;"&amp;$A$2),"")</f>
        <v>-8.0260273972602728E-2</v>
      </c>
      <c r="Y2" s="2" t="str">
        <f>IFERROR(AVERAGEIFS(AMP3_2[[#All],[Dim 12]],AMP3_2[[#All],[Blade Part Number]],$B2,AMP3_2[[#All],[Date]],"&gt;"&amp;$A$1,AMP3_2[[#All],[Date]],"&lt;"&amp;$A$2),"")</f>
        <v/>
      </c>
      <c r="Z2" s="2">
        <f>IFERROR(AVERAGEIFS(AMP3_2[[#All],[Dim 12 Max]],AMP3_2[[#All],[Blade Part Number]],$B2,AMP3_2[[#All],[Date]],"&gt;"&amp;$A$1,AMP3_2[[#All],[Date]],"&lt;"&amp;$A$2),"")</f>
        <v>0.15224657534246569</v>
      </c>
      <c r="AA2" s="2">
        <f>IFERROR(AVERAGEIFS(AMP3_2[[#All],[Dim 12 Min]],AMP3_2[[#All],[Blade Part Number]],$B2,AMP3_2[[#All],[Date]],"&gt;"&amp;$A$1,AMP3_2[[#All],[Date]],"&lt;"&amp;$A$2),"")</f>
        <v>3.7547945205479473E-2</v>
      </c>
      <c r="AB2" s="2">
        <f>IFERROR(AVERAGEIFS(AMP3_2[[#All],[T 1]],AMP3_2[[#All],[Blade Part Number]],$B2,AMP3_2[[#All],[Date]],"&gt;"&amp;$A$1,AMP3_2[[#All],[Date]],"&lt;"&amp;$A$2),"")</f>
        <v>-7.0520547945205486E-2</v>
      </c>
      <c r="AC2" s="2">
        <f>IFERROR(AVERAGEIFS(AMP3_2[[#All],[T 2]],AMP3_2[[#All],[Blade Part Number]],$B2,AMP3_2[[#All],[Date]],"&gt;"&amp;$A$1,AMP3_2[[#All],[Date]],"&lt;"&amp;$A$2),"")</f>
        <v>8.6684931506849347E-2</v>
      </c>
      <c r="AD2" s="2">
        <f>IFERROR(AVERAGEIFS(AMP3_2[[#All],[T 3]],AMP3_2[[#All],[Blade Part Number]],$B2,AMP3_2[[#All],[Date]],"&gt;"&amp;$A$1,AMP3_2[[#All],[Date]],"&lt;"&amp;$A$2),"")</f>
        <v>-1.1424657534246579E-2</v>
      </c>
      <c r="AE2" s="2">
        <f>IFERROR(AVERAGEIFS(AMP3_2[[#All],[T 4]],AMP3_2[[#All],[Blade Part Number]],$B2,AMP3_2[[#All],[Date]],"&gt;"&amp;$A$1,AMP3_2[[#All],[Date]],"&lt;"&amp;$A$2),"")</f>
        <v>0.10906849315068498</v>
      </c>
      <c r="AF2" s="2">
        <f>IFERROR(AVERAGEIFS(AMP3_2[[#All],[T 5]],AMP3_2[[#All],[Blade Part Number]],$B2,AMP3_2[[#All],[Date]],"&gt;"&amp;$A$1,AMP3_2[[#All],[Date]],"&lt;"&amp;$A$2),"")</f>
        <v>0.13431506849315059</v>
      </c>
      <c r="AG2" s="2">
        <f>IFERROR(AVERAGEIFS(AMP3_2[[#All],[T 6]],AMP3_2[[#All],[Blade Part Number]],$B2,AMP3_2[[#All],[Date]],"&gt;"&amp;$A$1,AMP3_2[[#All],[Date]],"&lt;"&amp;$A$2),"")</f>
        <v>5.634246575342465E-2</v>
      </c>
      <c r="AH2" s="2">
        <f>IFERROR(AVERAGEIFS(AMP3_2[[#All],[T 7]],AMP3_2[[#All],[Blade Part Number]],$B2,AMP3_2[[#All],[Date]],"&gt;"&amp;$A$1,AMP3_2[[#All],[Date]],"&lt;"&amp;$A$2),"")</f>
        <v>9.1520547945205463E-2</v>
      </c>
      <c r="AI2" s="2">
        <f>IFERROR(AVERAGEIFS(AMP3_2[[#All],[T 8]],AMP3_2[[#All],[Blade Part Number]],$B2,AMP3_2[[#All],[Date]],"&gt;"&amp;$A$1,AMP3_2[[#All],[Date]],"&lt;"&amp;$A$2),"")</f>
        <v>0.11575342465753428</v>
      </c>
    </row>
    <row r="3" spans="1:35" x14ac:dyDescent="0.25">
      <c r="E3" s="438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438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438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-8.4458333333337521E-2</v>
      </c>
      <c r="G6" s="11">
        <f t="shared" si="0"/>
        <v>6.9527777777793176E-2</v>
      </c>
      <c r="H6" s="11">
        <f t="shared" si="0"/>
        <v>-1.1486111111082664E-2</v>
      </c>
      <c r="I6" s="11">
        <f t="shared" si="0"/>
        <v>-1.4416666666676292E-2</v>
      </c>
      <c r="J6" s="11" t="str">
        <f t="shared" si="0"/>
        <v/>
      </c>
      <c r="K6" s="11" t="str">
        <f t="shared" si="0"/>
        <v/>
      </c>
      <c r="L6" s="11">
        <f t="shared" si="0"/>
        <v>3.5527777777872416E-2</v>
      </c>
      <c r="M6" s="11">
        <f t="shared" si="0"/>
        <v>-0.18163888888884117</v>
      </c>
      <c r="N6" s="11">
        <f t="shared" si="0"/>
        <v>-2.6791666666671432E-2</v>
      </c>
      <c r="O6" s="11">
        <f t="shared" si="0"/>
        <v>8.8972222222217567E-2</v>
      </c>
      <c r="P6" s="11" t="str">
        <f t="shared" si="0"/>
        <v/>
      </c>
      <c r="Q6" s="11" t="str">
        <f t="shared" si="0"/>
        <v/>
      </c>
      <c r="R6" s="11">
        <f t="shared" si="0"/>
        <v>2.1625000000000227E-2</v>
      </c>
      <c r="S6" s="11">
        <f t="shared" si="0"/>
        <v>6.2319444444440819E-2</v>
      </c>
      <c r="T6" s="11">
        <f t="shared" si="0"/>
        <v>2.100722222222231</v>
      </c>
      <c r="U6" s="11">
        <f t="shared" si="0"/>
        <v>2.6455555555555534</v>
      </c>
      <c r="V6" s="11" t="str">
        <f t="shared" si="0"/>
        <v/>
      </c>
      <c r="W6" s="11">
        <f t="shared" si="0"/>
        <v>0.10458333333333331</v>
      </c>
      <c r="X6" s="11">
        <f t="shared" si="0"/>
        <v>-0.1325416666666667</v>
      </c>
      <c r="Y6" s="11" t="str">
        <f t="shared" si="0"/>
        <v/>
      </c>
      <c r="Z6" s="11">
        <f t="shared" si="0"/>
        <v>6.5180555555555547E-2</v>
      </c>
      <c r="AA6" s="11">
        <f t="shared" si="0"/>
        <v>-0.11468055555555558</v>
      </c>
      <c r="AB6" s="406">
        <f t="shared" si="0"/>
        <v>3.8833333333333338E-2</v>
      </c>
      <c r="AC6" s="406">
        <f t="shared" si="0"/>
        <v>3.7347222222222226E-2</v>
      </c>
      <c r="AD6" s="407">
        <f t="shared" si="0"/>
        <v>8.7027777777777759E-2</v>
      </c>
      <c r="AE6" s="407">
        <f t="shared" si="0"/>
        <v>-0.12993055555555555</v>
      </c>
      <c r="AF6" s="406">
        <f t="shared" si="0"/>
        <v>1.370833333333334E-2</v>
      </c>
      <c r="AG6" s="406">
        <f t="shared" si="0"/>
        <v>-1.1638888888888886E-2</v>
      </c>
      <c r="AH6" s="407">
        <f t="shared" si="0"/>
        <v>-0.10234722222222221</v>
      </c>
      <c r="AI6" s="407">
        <f t="shared" si="0"/>
        <v>4.172222222222223E-2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-5.7041095890383531E-2</v>
      </c>
      <c r="I7" s="11">
        <f t="shared" si="1"/>
        <v>-7.9410958904077233E-2</v>
      </c>
      <c r="J7" s="11">
        <f t="shared" si="1"/>
        <v>-0.10804109589031441</v>
      </c>
      <c r="K7" s="11">
        <f t="shared" si="1"/>
        <v>-4.2191780821667635E-3</v>
      </c>
      <c r="L7" s="11">
        <f t="shared" si="1"/>
        <v>1.5958904109567129E-2</v>
      </c>
      <c r="M7" s="11">
        <f t="shared" si="1"/>
        <v>-0.16235616438359557</v>
      </c>
      <c r="N7" s="11">
        <f t="shared" si="1"/>
        <v>2.1986301369860684E-2</v>
      </c>
      <c r="O7" s="11">
        <f t="shared" si="1"/>
        <v>0.23906849315068612</v>
      </c>
      <c r="P7" s="11" t="str">
        <f t="shared" si="1"/>
        <v/>
      </c>
      <c r="Q7" s="11" t="str">
        <f t="shared" si="1"/>
        <v/>
      </c>
      <c r="R7" s="11">
        <f t="shared" si="1"/>
        <v>-1.0931506849320982E-2</v>
      </c>
      <c r="S7" s="11">
        <f t="shared" si="1"/>
        <v>-5.6027397260365319E-3</v>
      </c>
      <c r="T7" s="11">
        <f t="shared" si="1"/>
        <v>5.1093013698630187</v>
      </c>
      <c r="U7" s="11">
        <f t="shared" si="1"/>
        <v>5.9474931506849416</v>
      </c>
      <c r="V7" s="11" t="str">
        <f t="shared" si="1"/>
        <v/>
      </c>
      <c r="W7" s="11">
        <f t="shared" si="1"/>
        <v>0.12631506849315066</v>
      </c>
      <c r="X7" s="11">
        <f t="shared" si="1"/>
        <v>-8.0260273972602728E-2</v>
      </c>
      <c r="Y7" s="11" t="str">
        <f t="shared" si="1"/>
        <v/>
      </c>
      <c r="Z7" s="11">
        <f t="shared" si="1"/>
        <v>0.15224657534246569</v>
      </c>
      <c r="AA7" s="11">
        <f t="shared" si="1"/>
        <v>3.7547945205479473E-2</v>
      </c>
      <c r="AB7" s="407">
        <f t="shared" si="1"/>
        <v>-7.0520547945205486E-2</v>
      </c>
      <c r="AC7" s="407">
        <f t="shared" si="1"/>
        <v>8.6684931506849347E-2</v>
      </c>
      <c r="AD7" s="406">
        <f t="shared" si="1"/>
        <v>-1.1424657534246579E-2</v>
      </c>
      <c r="AE7" s="406">
        <f t="shared" si="1"/>
        <v>0.10906849315068498</v>
      </c>
      <c r="AF7" s="407">
        <f t="shared" si="1"/>
        <v>0.13431506849315059</v>
      </c>
      <c r="AG7" s="407">
        <f t="shared" si="1"/>
        <v>5.634246575342465E-2</v>
      </c>
      <c r="AH7" s="406">
        <f t="shared" si="1"/>
        <v>9.1520547945205463E-2</v>
      </c>
      <c r="AI7" s="406">
        <f t="shared" si="1"/>
        <v>0.11575342465753428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970</v>
      </c>
      <c r="B9" t="s">
        <v>32</v>
      </c>
      <c r="C9" s="25">
        <v>43698.515601851854</v>
      </c>
      <c r="D9" s="741" t="s">
        <v>969</v>
      </c>
      <c r="E9" s="741">
        <f t="array" ref="E9">SUMPRODUCT(IF(AMP3_2[[#This Row],[Dim 1_1]:[T 8]]-$F$4:$AI$4&lt;0,1,0)+IF($F$5:$AI$5-AMP3_2[[#This Row],[Dim 1_1]:[T 8]]&lt;0,1,0),IF(ISNUMBER(AMP3_2[[#This Row],[Dim 1_1]:[T 8]])=TRUE,1,0))</f>
        <v>0</v>
      </c>
      <c r="F9">
        <v>41.039000000000001</v>
      </c>
      <c r="G9">
        <v>41.295999999999999</v>
      </c>
      <c r="H9">
        <v>155.76400000000001</v>
      </c>
      <c r="I9">
        <v>155.755</v>
      </c>
      <c r="L9">
        <v>155.88900000000001</v>
      </c>
      <c r="M9">
        <v>155.68199999999999</v>
      </c>
      <c r="N9">
        <v>27.280999999999999</v>
      </c>
      <c r="O9">
        <v>27.399000000000001</v>
      </c>
      <c r="R9">
        <v>17.344999999999999</v>
      </c>
      <c r="S9">
        <v>17.190000000000001</v>
      </c>
      <c r="T9">
        <v>34.036999999999999</v>
      </c>
      <c r="U9">
        <v>35.204000000000001</v>
      </c>
      <c r="W9">
        <v>0.17399999999999999</v>
      </c>
      <c r="X9">
        <v>-6.0999999999999999E-2</v>
      </c>
      <c r="Z9">
        <v>0.122</v>
      </c>
      <c r="AA9">
        <v>-0.123</v>
      </c>
      <c r="AB9">
        <v>-6.0999999999999999E-2</v>
      </c>
      <c r="AC9">
        <v>-5.0999999999999997E-2</v>
      </c>
      <c r="AD9">
        <v>0.17399999999999999</v>
      </c>
      <c r="AE9">
        <v>-5.1999999999999998E-2</v>
      </c>
      <c r="AF9">
        <v>-0.02</v>
      </c>
      <c r="AG9">
        <v>-6.3E-2</v>
      </c>
      <c r="AH9">
        <v>-0.123</v>
      </c>
      <c r="AI9">
        <v>0.122</v>
      </c>
    </row>
    <row r="10" spans="1:35" x14ac:dyDescent="0.25">
      <c r="A10" t="s">
        <v>971</v>
      </c>
      <c r="B10" t="s">
        <v>31</v>
      </c>
      <c r="C10" s="25">
        <v>43698.517638888887</v>
      </c>
      <c r="D10" s="741" t="s">
        <v>969</v>
      </c>
      <c r="E10" s="741">
        <f t="array" ref="E10">SUMPRODUCT(IF(AMP3_2[[#This Row],[Dim 1_1]:[T 8]]-$F$4:$AI$4&lt;0,1,0)+IF($F$5:$AI$5-AMP3_2[[#This Row],[Dim 1_1]:[T 8]]&lt;0,1,0),IF(ISNUMBER(AMP3_2[[#This Row],[Dim 1_1]:[T 8]])=TRUE,1,0))</f>
        <v>0</v>
      </c>
      <c r="H10">
        <v>155.76599999999999</v>
      </c>
      <c r="I10">
        <v>155.73699999999999</v>
      </c>
      <c r="J10">
        <v>168.495</v>
      </c>
      <c r="K10">
        <v>168.61500000000001</v>
      </c>
      <c r="L10">
        <v>155.92400000000001</v>
      </c>
      <c r="M10">
        <v>155.66499999999999</v>
      </c>
      <c r="N10">
        <v>27.318999999999999</v>
      </c>
      <c r="O10">
        <v>27.611000000000001</v>
      </c>
      <c r="R10">
        <v>17.245999999999999</v>
      </c>
      <c r="S10">
        <v>17.3</v>
      </c>
      <c r="T10">
        <v>36.859000000000002</v>
      </c>
      <c r="U10">
        <v>37.389000000000003</v>
      </c>
      <c r="W10">
        <v>-2E-3</v>
      </c>
      <c r="X10">
        <v>-0.214</v>
      </c>
      <c r="Z10">
        <v>0.22500000000000001</v>
      </c>
      <c r="AA10">
        <v>0.123</v>
      </c>
      <c r="AB10">
        <v>-0.19400000000000001</v>
      </c>
      <c r="AC10">
        <v>-0.02</v>
      </c>
      <c r="AD10">
        <v>-0.214</v>
      </c>
      <c r="AE10">
        <v>-2E-3</v>
      </c>
      <c r="AF10">
        <v>0.22500000000000001</v>
      </c>
      <c r="AG10">
        <v>0.13700000000000001</v>
      </c>
      <c r="AH10">
        <v>0.14799999999999999</v>
      </c>
      <c r="AI10">
        <v>0.123</v>
      </c>
    </row>
    <row r="11" spans="1:35" x14ac:dyDescent="0.25">
      <c r="A11" t="s">
        <v>972</v>
      </c>
      <c r="B11" t="s">
        <v>32</v>
      </c>
      <c r="C11" s="25">
        <v>43698.620428240742</v>
      </c>
      <c r="D11" s="741" t="s">
        <v>969</v>
      </c>
      <c r="E11" s="741">
        <f t="array" ref="E11">SUMPRODUCT(IF(AMP3_2[[#This Row],[Dim 1_1]:[T 8]]-$F$4:$AI$4&lt;0,1,0)+IF($F$5:$AI$5-AMP3_2[[#This Row],[Dim 1_1]:[T 8]]&lt;0,1,0),IF(ISNUMBER(AMP3_2[[#This Row],[Dim 1_1]:[T 8]])=TRUE,1,0))</f>
        <v>0</v>
      </c>
      <c r="F11">
        <v>41.140999999999998</v>
      </c>
      <c r="G11">
        <v>41.365000000000002</v>
      </c>
      <c r="H11">
        <v>155.49799999999999</v>
      </c>
      <c r="I11">
        <v>155.517</v>
      </c>
      <c r="L11">
        <v>155.619</v>
      </c>
      <c r="M11">
        <v>155.34800000000001</v>
      </c>
      <c r="N11">
        <v>27.58</v>
      </c>
      <c r="O11">
        <v>27.686</v>
      </c>
      <c r="R11">
        <v>17.349</v>
      </c>
      <c r="S11">
        <v>17.524000000000001</v>
      </c>
      <c r="T11">
        <v>34.021000000000001</v>
      </c>
      <c r="U11">
        <v>34.701000000000001</v>
      </c>
      <c r="W11">
        <v>0.192</v>
      </c>
      <c r="X11">
        <v>-0.109</v>
      </c>
      <c r="Z11">
        <v>0.193</v>
      </c>
      <c r="AA11">
        <v>-0.20300000000000001</v>
      </c>
      <c r="AB11">
        <v>0.192</v>
      </c>
      <c r="AC11">
        <v>0.188</v>
      </c>
      <c r="AD11">
        <v>1.2999999999999999E-2</v>
      </c>
      <c r="AE11">
        <v>-0.109</v>
      </c>
      <c r="AF11">
        <v>0.193</v>
      </c>
      <c r="AG11">
        <v>0.17799999999999999</v>
      </c>
      <c r="AH11">
        <v>-0.20300000000000001</v>
      </c>
      <c r="AI11">
        <v>-2.5000000000000001E-2</v>
      </c>
    </row>
    <row r="12" spans="1:35" x14ac:dyDescent="0.25">
      <c r="A12" t="s">
        <v>973</v>
      </c>
      <c r="B12" t="s">
        <v>31</v>
      </c>
      <c r="C12" s="25">
        <v>43698.622511574074</v>
      </c>
      <c r="D12" s="741" t="s">
        <v>969</v>
      </c>
      <c r="E12" s="741">
        <f t="array" ref="E12">SUMPRODUCT(IF(AMP3_2[[#This Row],[Dim 1_1]:[T 8]]-$F$4:$AI$4&lt;0,1,0)+IF($F$5:$AI$5-AMP3_2[[#This Row],[Dim 1_1]:[T 8]]&lt;0,1,0),IF(ISNUMBER(AMP3_2[[#This Row],[Dim 1_1]:[T 8]])=TRUE,1,0))</f>
        <v>0</v>
      </c>
      <c r="H12">
        <v>155.49</v>
      </c>
      <c r="I12">
        <v>155.488</v>
      </c>
      <c r="J12">
        <v>168.29</v>
      </c>
      <c r="K12">
        <v>168.416</v>
      </c>
      <c r="L12">
        <v>155.613</v>
      </c>
      <c r="M12">
        <v>155.40899999999999</v>
      </c>
      <c r="N12">
        <v>27.614000000000001</v>
      </c>
      <c r="O12">
        <v>27.765000000000001</v>
      </c>
      <c r="R12">
        <v>17.245000000000001</v>
      </c>
      <c r="S12">
        <v>17.222999999999999</v>
      </c>
      <c r="T12">
        <v>36.344000000000001</v>
      </c>
      <c r="U12">
        <v>37.151000000000003</v>
      </c>
      <c r="W12">
        <v>0.28899999999999998</v>
      </c>
      <c r="X12">
        <v>7.0000000000000007E-2</v>
      </c>
      <c r="Z12">
        <v>0.41899999999999998</v>
      </c>
      <c r="AA12">
        <v>0.33100000000000002</v>
      </c>
      <c r="AB12">
        <v>7.0000000000000007E-2</v>
      </c>
      <c r="AC12">
        <v>0.20100000000000001</v>
      </c>
      <c r="AD12">
        <v>0.107</v>
      </c>
      <c r="AE12">
        <v>0.28899999999999998</v>
      </c>
      <c r="AF12">
        <v>0.39600000000000002</v>
      </c>
      <c r="AG12">
        <v>0.33100000000000002</v>
      </c>
      <c r="AH12">
        <v>0.34300000000000003</v>
      </c>
      <c r="AI12">
        <v>0.41899999999999998</v>
      </c>
    </row>
    <row r="13" spans="1:35" x14ac:dyDescent="0.25">
      <c r="A13" t="s">
        <v>974</v>
      </c>
      <c r="B13" t="s">
        <v>32</v>
      </c>
      <c r="C13" s="25">
        <v>43698.778726851851</v>
      </c>
      <c r="D13" s="741" t="s">
        <v>969</v>
      </c>
      <c r="E13" s="741">
        <f t="array" ref="E13">SUMPRODUCT(IF(AMP3_2[[#This Row],[Dim 1_1]:[T 8]]-$F$4:$AI$4&lt;0,1,0)+IF($F$5:$AI$5-AMP3_2[[#This Row],[Dim 1_1]:[T 8]]&lt;0,1,0),IF(ISNUMBER(AMP3_2[[#This Row],[Dim 1_1]:[T 8]])=TRUE,1,0))</f>
        <v>0</v>
      </c>
      <c r="F13">
        <v>41.292999999999999</v>
      </c>
      <c r="G13">
        <v>41.429000000000002</v>
      </c>
      <c r="H13">
        <v>155.51</v>
      </c>
      <c r="I13">
        <v>155.52699999999999</v>
      </c>
      <c r="L13">
        <v>155.608</v>
      </c>
      <c r="M13">
        <v>155.351</v>
      </c>
      <c r="N13">
        <v>27.611000000000001</v>
      </c>
      <c r="O13">
        <v>27.699000000000002</v>
      </c>
      <c r="R13">
        <v>17.350000000000001</v>
      </c>
      <c r="S13">
        <v>17.533999999999999</v>
      </c>
      <c r="T13">
        <v>34.079000000000001</v>
      </c>
      <c r="U13">
        <v>34.509</v>
      </c>
      <c r="W13">
        <v>0.22</v>
      </c>
      <c r="X13">
        <v>-0.20799999999999999</v>
      </c>
      <c r="Z13">
        <v>8.8999999999999996E-2</v>
      </c>
      <c r="AA13">
        <v>-0.29199999999999998</v>
      </c>
      <c r="AB13">
        <v>0.22</v>
      </c>
      <c r="AC13">
        <v>0.20599999999999999</v>
      </c>
      <c r="AD13">
        <v>8.0000000000000002E-3</v>
      </c>
      <c r="AE13">
        <v>-0.20799999999999999</v>
      </c>
      <c r="AF13">
        <v>5.0999999999999997E-2</v>
      </c>
      <c r="AG13">
        <v>8.8999999999999996E-2</v>
      </c>
      <c r="AH13">
        <v>-0.29199999999999998</v>
      </c>
      <c r="AI13">
        <v>-9.6000000000000002E-2</v>
      </c>
    </row>
    <row r="14" spans="1:35" x14ac:dyDescent="0.25">
      <c r="A14" t="s">
        <v>975</v>
      </c>
      <c r="B14" t="s">
        <v>31</v>
      </c>
      <c r="C14" s="25">
        <v>43698.784594907411</v>
      </c>
      <c r="D14" s="741" t="s">
        <v>969</v>
      </c>
      <c r="E14" s="741">
        <f t="array" ref="E14">SUMPRODUCT(IF(AMP3_2[[#This Row],[Dim 1_1]:[T 8]]-$F$4:$AI$4&lt;0,1,0)+IF($F$5:$AI$5-AMP3_2[[#This Row],[Dim 1_1]:[T 8]]&lt;0,1,0),IF(ISNUMBER(AMP3_2[[#This Row],[Dim 1_1]:[T 8]])=TRUE,1,0))</f>
        <v>0</v>
      </c>
      <c r="H14">
        <v>155.553</v>
      </c>
      <c r="I14">
        <v>155.58600000000001</v>
      </c>
      <c r="J14">
        <v>168.44300000000001</v>
      </c>
      <c r="K14">
        <v>168.541</v>
      </c>
      <c r="L14">
        <v>155.666</v>
      </c>
      <c r="M14">
        <v>155.53299999999999</v>
      </c>
      <c r="N14">
        <v>27.518999999999998</v>
      </c>
      <c r="O14">
        <v>27.655000000000001</v>
      </c>
      <c r="R14">
        <v>17.265999999999998</v>
      </c>
      <c r="S14">
        <v>17.187999999999999</v>
      </c>
      <c r="T14">
        <v>35.890999999999998</v>
      </c>
      <c r="U14">
        <v>38.286000000000001</v>
      </c>
      <c r="W14">
        <v>0.17599999999999999</v>
      </c>
      <c r="X14">
        <v>-4.2000000000000003E-2</v>
      </c>
      <c r="Z14">
        <v>0.36599999999999999</v>
      </c>
      <c r="AA14">
        <v>0.27600000000000002</v>
      </c>
      <c r="AB14">
        <v>-4.2000000000000003E-2</v>
      </c>
      <c r="AC14">
        <v>0.113</v>
      </c>
      <c r="AD14">
        <v>1.7999999999999999E-2</v>
      </c>
      <c r="AE14">
        <v>0.17599999999999999</v>
      </c>
      <c r="AF14">
        <v>0.34200000000000003</v>
      </c>
      <c r="AG14">
        <v>0.27600000000000002</v>
      </c>
      <c r="AH14">
        <v>0.28599999999999998</v>
      </c>
      <c r="AI14">
        <v>0.36599999999999999</v>
      </c>
    </row>
    <row r="15" spans="1:35" x14ac:dyDescent="0.25">
      <c r="A15" t="s">
        <v>976</v>
      </c>
      <c r="B15" t="s">
        <v>32</v>
      </c>
      <c r="C15" s="25">
        <v>43698.835682870369</v>
      </c>
      <c r="D15" s="741" t="s">
        <v>969</v>
      </c>
      <c r="E15" s="741">
        <f t="array" ref="E15">SUMPRODUCT(IF(AMP3_2[[#This Row],[Dim 1_1]:[T 8]]-$F$4:$AI$4&lt;0,1,0)+IF($F$5:$AI$5-AMP3_2[[#This Row],[Dim 1_1]:[T 8]]&lt;0,1,0),IF(ISNUMBER(AMP3_2[[#This Row],[Dim 1_1]:[T 8]])=TRUE,1,0))</f>
        <v>0</v>
      </c>
      <c r="F15">
        <v>41.12</v>
      </c>
      <c r="G15">
        <v>41.521999999999998</v>
      </c>
      <c r="H15">
        <v>155.54300000000001</v>
      </c>
      <c r="I15">
        <v>155.578</v>
      </c>
      <c r="L15">
        <v>155.661</v>
      </c>
      <c r="M15">
        <v>155.43100000000001</v>
      </c>
      <c r="N15">
        <v>27.492999999999999</v>
      </c>
      <c r="O15">
        <v>27.593</v>
      </c>
      <c r="R15">
        <v>17.350000000000001</v>
      </c>
      <c r="S15">
        <v>17.484999999999999</v>
      </c>
      <c r="T15">
        <v>34.302</v>
      </c>
      <c r="U15">
        <v>34.667999999999999</v>
      </c>
      <c r="W15">
        <v>9.4E-2</v>
      </c>
      <c r="X15">
        <v>-0.22700000000000001</v>
      </c>
      <c r="Z15">
        <v>0.11899999999999999</v>
      </c>
      <c r="AA15">
        <v>-0.20200000000000001</v>
      </c>
      <c r="AB15">
        <v>9.0999999999999998E-2</v>
      </c>
      <c r="AC15">
        <v>9.4E-2</v>
      </c>
      <c r="AD15">
        <v>-1.0999999999999999E-2</v>
      </c>
      <c r="AE15">
        <v>-0.22700000000000001</v>
      </c>
      <c r="AF15">
        <v>0.11899999999999999</v>
      </c>
      <c r="AG15">
        <v>9.9000000000000005E-2</v>
      </c>
      <c r="AH15">
        <v>-0.20200000000000001</v>
      </c>
      <c r="AI15">
        <v>-4.2000000000000003E-2</v>
      </c>
    </row>
    <row r="16" spans="1:35" x14ac:dyDescent="0.25">
      <c r="A16" t="s">
        <v>977</v>
      </c>
      <c r="B16" t="s">
        <v>31</v>
      </c>
      <c r="C16" s="25">
        <v>43698.837731481479</v>
      </c>
      <c r="D16" s="741" t="s">
        <v>969</v>
      </c>
      <c r="E16" s="741">
        <f t="array" ref="E16">SUMPRODUCT(IF(AMP3_2[[#This Row],[Dim 1_1]:[T 8]]-$F$4:$AI$4&lt;0,1,0)+IF($F$5:$AI$5-AMP3_2[[#This Row],[Dim 1_1]:[T 8]]&lt;0,1,0),IF(ISNUMBER(AMP3_2[[#This Row],[Dim 1_1]:[T 8]])=TRUE,1,0))</f>
        <v>0</v>
      </c>
      <c r="H16">
        <v>155.57900000000001</v>
      </c>
      <c r="I16">
        <v>155.58500000000001</v>
      </c>
      <c r="J16">
        <v>168.262</v>
      </c>
      <c r="K16">
        <v>168.41</v>
      </c>
      <c r="L16">
        <v>155.702</v>
      </c>
      <c r="M16">
        <v>155.53800000000001</v>
      </c>
      <c r="N16">
        <v>27.52</v>
      </c>
      <c r="O16">
        <v>27.677</v>
      </c>
      <c r="R16">
        <v>17.242999999999999</v>
      </c>
      <c r="S16">
        <v>17.157</v>
      </c>
      <c r="T16">
        <v>34.878999999999998</v>
      </c>
      <c r="U16">
        <v>36.631999999999998</v>
      </c>
      <c r="W16">
        <v>0.16500000000000001</v>
      </c>
      <c r="X16">
        <v>-1.7000000000000001E-2</v>
      </c>
      <c r="Z16">
        <v>0.33700000000000002</v>
      </c>
      <c r="AA16">
        <v>0.218</v>
      </c>
      <c r="AB16">
        <v>-1.7000000000000001E-2</v>
      </c>
      <c r="AC16">
        <v>0.129</v>
      </c>
      <c r="AD16">
        <v>6.7000000000000004E-2</v>
      </c>
      <c r="AE16">
        <v>0.16500000000000001</v>
      </c>
      <c r="AF16">
        <v>0.28299999999999997</v>
      </c>
      <c r="AG16">
        <v>0.218</v>
      </c>
      <c r="AH16">
        <v>0.26700000000000002</v>
      </c>
      <c r="AI16">
        <v>0.33700000000000002</v>
      </c>
    </row>
    <row r="17" spans="1:35" x14ac:dyDescent="0.25">
      <c r="A17" t="s">
        <v>978</v>
      </c>
      <c r="B17" t="s">
        <v>32</v>
      </c>
      <c r="C17" s="25">
        <v>43698.884699074071</v>
      </c>
      <c r="D17" s="741" t="s">
        <v>969</v>
      </c>
      <c r="E17" s="741">
        <f t="array" ref="E17">SUMPRODUCT(IF(AMP3_2[[#This Row],[Dim 1_1]:[T 8]]-$F$4:$AI$4&lt;0,1,0)+IF($F$5:$AI$5-AMP3_2[[#This Row],[Dim 1_1]:[T 8]]&lt;0,1,0),IF(ISNUMBER(AMP3_2[[#This Row],[Dim 1_1]:[T 8]])=TRUE,1,0))</f>
        <v>0</v>
      </c>
      <c r="F17">
        <v>41.134</v>
      </c>
      <c r="G17">
        <v>41.375</v>
      </c>
      <c r="H17">
        <v>155.65</v>
      </c>
      <c r="I17">
        <v>155.631</v>
      </c>
      <c r="L17">
        <v>155.739</v>
      </c>
      <c r="M17">
        <v>155.483</v>
      </c>
      <c r="N17">
        <v>27.509</v>
      </c>
      <c r="O17">
        <v>27.626000000000001</v>
      </c>
      <c r="R17">
        <v>17.361999999999998</v>
      </c>
      <c r="S17">
        <v>17.469000000000001</v>
      </c>
      <c r="T17">
        <v>34.079000000000001</v>
      </c>
      <c r="U17">
        <v>34.588000000000001</v>
      </c>
      <c r="W17">
        <v>8.5999999999999993E-2</v>
      </c>
      <c r="X17">
        <v>-0.17199999999999999</v>
      </c>
      <c r="Z17">
        <v>2.8000000000000001E-2</v>
      </c>
      <c r="AA17">
        <v>-0.20499999999999999</v>
      </c>
      <c r="AB17">
        <v>8.5000000000000006E-2</v>
      </c>
      <c r="AC17">
        <v>8.5999999999999993E-2</v>
      </c>
      <c r="AD17">
        <v>4.2999999999999997E-2</v>
      </c>
      <c r="AE17">
        <v>-0.17199999999999999</v>
      </c>
      <c r="AF17">
        <v>2.8000000000000001E-2</v>
      </c>
      <c r="AG17">
        <v>-2E-3</v>
      </c>
      <c r="AH17">
        <v>-0.20499999999999999</v>
      </c>
      <c r="AI17">
        <v>-9.7000000000000003E-2</v>
      </c>
    </row>
    <row r="18" spans="1:35" x14ac:dyDescent="0.25">
      <c r="A18" t="s">
        <v>979</v>
      </c>
      <c r="B18" t="s">
        <v>31</v>
      </c>
      <c r="C18" s="25">
        <v>43698.886712962965</v>
      </c>
      <c r="D18" s="741" t="s">
        <v>969</v>
      </c>
      <c r="E18" s="741">
        <f t="array" ref="E18">SUMPRODUCT(IF(AMP3_2[[#This Row],[Dim 1_1]:[T 8]]-$F$4:$AI$4&lt;0,1,0)+IF($F$5:$AI$5-AMP3_2[[#This Row],[Dim 1_1]:[T 8]]&lt;0,1,0),IF(ISNUMBER(AMP3_2[[#This Row],[Dim 1_1]:[T 8]])=TRUE,1,0))</f>
        <v>0</v>
      </c>
      <c r="H18">
        <v>155.58000000000001</v>
      </c>
      <c r="I18">
        <v>155.61099999999999</v>
      </c>
      <c r="J18">
        <v>168.40600000000001</v>
      </c>
      <c r="K18">
        <v>168.583</v>
      </c>
      <c r="L18">
        <v>155.667</v>
      </c>
      <c r="M18">
        <v>155.49</v>
      </c>
      <c r="N18">
        <v>27.504000000000001</v>
      </c>
      <c r="O18">
        <v>27.66</v>
      </c>
      <c r="R18">
        <v>17.268000000000001</v>
      </c>
      <c r="S18">
        <v>17.277999999999999</v>
      </c>
      <c r="T18">
        <v>37.189</v>
      </c>
      <c r="U18">
        <v>37.838000000000001</v>
      </c>
      <c r="W18">
        <v>8.5000000000000006E-2</v>
      </c>
      <c r="X18">
        <v>-0.107</v>
      </c>
      <c r="Z18">
        <v>0.315</v>
      </c>
      <c r="AA18">
        <v>0.19600000000000001</v>
      </c>
      <c r="AB18">
        <v>-0.107</v>
      </c>
      <c r="AC18">
        <v>5.8000000000000003E-2</v>
      </c>
      <c r="AD18">
        <v>1E-3</v>
      </c>
      <c r="AE18">
        <v>8.5000000000000006E-2</v>
      </c>
      <c r="AF18">
        <v>0.26800000000000002</v>
      </c>
      <c r="AG18">
        <v>0.19600000000000001</v>
      </c>
      <c r="AH18">
        <v>0.25600000000000001</v>
      </c>
      <c r="AI18">
        <v>0.315</v>
      </c>
    </row>
    <row r="19" spans="1:35" x14ac:dyDescent="0.25">
      <c r="A19" t="s">
        <v>980</v>
      </c>
      <c r="B19" t="s">
        <v>32</v>
      </c>
      <c r="C19" s="25">
        <v>43698.980138888888</v>
      </c>
      <c r="D19" s="741" t="s">
        <v>969</v>
      </c>
      <c r="E19" s="424">
        <f t="array" ref="E19">SUMPRODUCT(IF(AMP3_2[[#This Row],[Dim 1_1]:[T 8]]-$F$4:$AI$4&lt;0,1,0)+IF($F$5:$AI$5-AMP3_2[[#This Row],[Dim 1_1]:[T 8]]&lt;0,1,0),IF(ISNUMBER(AMP3_2[[#This Row],[Dim 1_1]:[T 8]])=TRUE,1,0))</f>
        <v>0</v>
      </c>
      <c r="F19">
        <v>41.165999999999997</v>
      </c>
      <c r="G19">
        <v>41.323</v>
      </c>
      <c r="H19">
        <v>155.59399999999999</v>
      </c>
      <c r="I19">
        <v>155.554</v>
      </c>
      <c r="L19">
        <v>155.66999999999999</v>
      </c>
      <c r="M19">
        <v>155.34299999999999</v>
      </c>
      <c r="N19">
        <v>27.510999999999999</v>
      </c>
      <c r="O19">
        <v>27.677</v>
      </c>
      <c r="R19">
        <v>17.346</v>
      </c>
      <c r="S19">
        <v>17.478999999999999</v>
      </c>
      <c r="T19">
        <v>34.045000000000002</v>
      </c>
      <c r="U19">
        <v>34.534999999999997</v>
      </c>
      <c r="W19">
        <v>0.27</v>
      </c>
      <c r="X19">
        <v>5.3999999999999999E-2</v>
      </c>
      <c r="Z19">
        <v>4.2000000000000003E-2</v>
      </c>
      <c r="AA19">
        <v>-0.156</v>
      </c>
      <c r="AB19">
        <v>0.223</v>
      </c>
      <c r="AC19">
        <v>0.21299999999999999</v>
      </c>
      <c r="AD19">
        <v>0.27</v>
      </c>
      <c r="AE19">
        <v>5.3999999999999999E-2</v>
      </c>
      <c r="AF19">
        <v>4.2000000000000003E-2</v>
      </c>
      <c r="AG19">
        <v>1E-3</v>
      </c>
      <c r="AH19">
        <v>-0.156</v>
      </c>
      <c r="AI19">
        <v>-1.2E-2</v>
      </c>
    </row>
    <row r="20" spans="1:35" x14ac:dyDescent="0.25">
      <c r="A20" t="s">
        <v>981</v>
      </c>
      <c r="B20" t="s">
        <v>31</v>
      </c>
      <c r="C20" s="25">
        <v>43698.982210648152</v>
      </c>
      <c r="D20" s="741" t="s">
        <v>969</v>
      </c>
      <c r="E20" s="424">
        <f t="array" ref="E20">SUMPRODUCT(IF(AMP3_2[[#This Row],[Dim 1_1]:[T 8]]-$F$4:$AI$4&lt;0,1,0)+IF($F$5:$AI$5-AMP3_2[[#This Row],[Dim 1_1]:[T 8]]&lt;0,1,0),IF(ISNUMBER(AMP3_2[[#This Row],[Dim 1_1]:[T 8]])=TRUE,1,0))</f>
        <v>0</v>
      </c>
      <c r="H20">
        <v>155.56700000000001</v>
      </c>
      <c r="I20">
        <v>155.63999999999999</v>
      </c>
      <c r="J20">
        <v>168.45099999999999</v>
      </c>
      <c r="K20">
        <v>168.572</v>
      </c>
      <c r="L20">
        <v>155.68199999999999</v>
      </c>
      <c r="M20">
        <v>155.53899999999999</v>
      </c>
      <c r="N20">
        <v>27.532</v>
      </c>
      <c r="O20">
        <v>27.673999999999999</v>
      </c>
      <c r="R20">
        <v>17.224</v>
      </c>
      <c r="S20">
        <v>17.344000000000001</v>
      </c>
      <c r="T20">
        <v>38.506999999999998</v>
      </c>
      <c r="U20">
        <v>38.564</v>
      </c>
      <c r="W20">
        <v>0.113</v>
      </c>
      <c r="X20">
        <v>-0.253</v>
      </c>
      <c r="Z20">
        <v>0.216</v>
      </c>
      <c r="AA20">
        <v>-0.114</v>
      </c>
      <c r="AB20">
        <v>-3.4000000000000002E-2</v>
      </c>
      <c r="AC20">
        <v>0.113</v>
      </c>
      <c r="AD20">
        <v>-0.253</v>
      </c>
      <c r="AE20">
        <v>-0.105</v>
      </c>
      <c r="AF20">
        <v>0.216</v>
      </c>
      <c r="AG20">
        <v>0.127</v>
      </c>
      <c r="AH20">
        <v>-0.114</v>
      </c>
      <c r="AI20">
        <v>-6.2E-2</v>
      </c>
    </row>
    <row r="21" spans="1:35" x14ac:dyDescent="0.25">
      <c r="A21" t="s">
        <v>1169</v>
      </c>
      <c r="B21" t="s">
        <v>32</v>
      </c>
      <c r="C21" s="25">
        <v>43700.468773148146</v>
      </c>
      <c r="D21" s="741" t="s">
        <v>969</v>
      </c>
      <c r="E21" s="424">
        <f t="array" ref="E21">SUMPRODUCT(IF(AMP3_2[[#This Row],[Dim 1_1]:[T 8]]-$F$4:$AI$4&lt;0,1,0)+IF($F$5:$AI$5-AMP3_2[[#This Row],[Dim 1_1]:[T 8]]&lt;0,1,0),IF(ISNUMBER(AMP3_2[[#This Row],[Dim 1_1]:[T 8]])=TRUE,1,0))</f>
        <v>0</v>
      </c>
      <c r="F21">
        <v>41.277000000000001</v>
      </c>
      <c r="G21">
        <v>41.475999999999999</v>
      </c>
      <c r="H21">
        <v>155.46100000000001</v>
      </c>
      <c r="I21">
        <v>155.51300000000001</v>
      </c>
      <c r="L21">
        <v>155.583</v>
      </c>
      <c r="M21">
        <v>155.33699999999999</v>
      </c>
      <c r="N21">
        <v>27.603999999999999</v>
      </c>
      <c r="O21">
        <v>27.690999999999999</v>
      </c>
      <c r="R21">
        <v>17.337</v>
      </c>
      <c r="S21">
        <v>17.396000000000001</v>
      </c>
      <c r="T21">
        <v>34.363999999999997</v>
      </c>
      <c r="U21">
        <v>34.863</v>
      </c>
      <c r="W21">
        <v>0.27500000000000002</v>
      </c>
      <c r="X21">
        <v>3.0000000000000001E-3</v>
      </c>
      <c r="Z21">
        <v>0.28000000000000003</v>
      </c>
      <c r="AA21">
        <v>3.1E-2</v>
      </c>
      <c r="AB21">
        <v>0.27500000000000002</v>
      </c>
      <c r="AC21">
        <v>0.26600000000000001</v>
      </c>
      <c r="AD21">
        <v>0.21</v>
      </c>
      <c r="AE21">
        <v>3.0000000000000001E-3</v>
      </c>
      <c r="AF21">
        <v>0.28000000000000003</v>
      </c>
      <c r="AG21">
        <v>0.26400000000000001</v>
      </c>
      <c r="AH21">
        <v>3.1E-2</v>
      </c>
      <c r="AI21">
        <v>0.19</v>
      </c>
    </row>
    <row r="22" spans="1:35" x14ac:dyDescent="0.25">
      <c r="A22" t="s">
        <v>1170</v>
      </c>
      <c r="B22" t="s">
        <v>31</v>
      </c>
      <c r="C22" s="25">
        <v>43700.470462962963</v>
      </c>
      <c r="D22" s="741" t="s">
        <v>969</v>
      </c>
      <c r="E22" s="424">
        <f t="array" ref="E22">SUMPRODUCT(IF(AMP3_2[[#This Row],[Dim 1_1]:[T 8]]-$F$4:$AI$4&lt;0,1,0)+IF($F$5:$AI$5-AMP3_2[[#This Row],[Dim 1_1]:[T 8]]&lt;0,1,0),IF(ISNUMBER(AMP3_2[[#This Row],[Dim 1_1]:[T 8]])=TRUE,1,0))</f>
        <v>0</v>
      </c>
      <c r="H22">
        <v>155.29300000000001</v>
      </c>
      <c r="I22">
        <v>155.29400000000001</v>
      </c>
      <c r="J22">
        <v>168.21899999999999</v>
      </c>
      <c r="K22">
        <v>168.26300000000001</v>
      </c>
      <c r="L22">
        <v>155.43100000000001</v>
      </c>
      <c r="M22">
        <v>155.214</v>
      </c>
      <c r="N22">
        <v>27.782</v>
      </c>
      <c r="O22">
        <v>27.954000000000001</v>
      </c>
      <c r="R22">
        <v>17.268000000000001</v>
      </c>
      <c r="S22">
        <v>17.452999999999999</v>
      </c>
      <c r="T22">
        <v>36.926000000000002</v>
      </c>
      <c r="U22">
        <v>37.505000000000003</v>
      </c>
      <c r="W22">
        <v>0.47499999999999998</v>
      </c>
      <c r="X22">
        <v>0.27700000000000002</v>
      </c>
      <c r="Z22">
        <v>0.53800000000000003</v>
      </c>
      <c r="AA22">
        <v>0.32200000000000001</v>
      </c>
      <c r="AB22">
        <v>0.317</v>
      </c>
      <c r="AC22">
        <v>0.47499999999999998</v>
      </c>
      <c r="AD22">
        <v>0.27700000000000002</v>
      </c>
      <c r="AE22">
        <v>0.47399999999999998</v>
      </c>
      <c r="AF22">
        <v>0.53800000000000003</v>
      </c>
      <c r="AG22">
        <v>0.46200000000000002</v>
      </c>
      <c r="AH22">
        <v>0.32200000000000001</v>
      </c>
      <c r="AI22">
        <v>0.438</v>
      </c>
    </row>
    <row r="23" spans="1:35" x14ac:dyDescent="0.25">
      <c r="A23" t="s">
        <v>1287</v>
      </c>
      <c r="B23" t="s">
        <v>32</v>
      </c>
      <c r="C23" s="25">
        <v>43700.559930555559</v>
      </c>
      <c r="D23" s="741" t="s">
        <v>969</v>
      </c>
      <c r="E23" s="424">
        <f t="array" ref="E23">SUMPRODUCT(IF(AMP3_2[[#This Row],[Dim 1_1]:[T 8]]-$F$4:$AI$4&lt;0,1,0)+IF($F$5:$AI$5-AMP3_2[[#This Row],[Dim 1_1]:[T 8]]&lt;0,1,0),IF(ISNUMBER(AMP3_2[[#This Row],[Dim 1_1]:[T 8]])=TRUE,1,0))</f>
        <v>0</v>
      </c>
      <c r="F23">
        <v>41.484999999999999</v>
      </c>
      <c r="G23">
        <v>41.612000000000002</v>
      </c>
      <c r="H23">
        <v>155.49799999999999</v>
      </c>
      <c r="I23">
        <v>155.56299999999999</v>
      </c>
      <c r="L23">
        <v>155.643</v>
      </c>
      <c r="M23">
        <v>155.43899999999999</v>
      </c>
      <c r="N23">
        <v>27.550999999999998</v>
      </c>
      <c r="O23">
        <v>27.594000000000001</v>
      </c>
      <c r="R23">
        <v>17.347999999999999</v>
      </c>
      <c r="S23">
        <v>17.478000000000002</v>
      </c>
      <c r="T23">
        <v>33.993000000000002</v>
      </c>
      <c r="U23">
        <v>34.506</v>
      </c>
      <c r="W23">
        <v>0.09</v>
      </c>
      <c r="X23">
        <v>-0.23599999999999999</v>
      </c>
      <c r="Z23">
        <v>0.126</v>
      </c>
      <c r="AA23">
        <v>-0.19800000000000001</v>
      </c>
      <c r="AB23">
        <v>0.09</v>
      </c>
      <c r="AC23">
        <v>8.5999999999999993E-2</v>
      </c>
      <c r="AD23">
        <v>-3.2000000000000001E-2</v>
      </c>
      <c r="AE23">
        <v>-0.23599999999999999</v>
      </c>
      <c r="AF23">
        <v>0.126</v>
      </c>
      <c r="AG23">
        <v>0.123</v>
      </c>
      <c r="AH23">
        <v>-0.19800000000000001</v>
      </c>
      <c r="AI23">
        <v>-2.9000000000000001E-2</v>
      </c>
    </row>
    <row r="24" spans="1:35" x14ac:dyDescent="0.25">
      <c r="A24" t="s">
        <v>1288</v>
      </c>
      <c r="B24" t="s">
        <v>31</v>
      </c>
      <c r="C24" s="25">
        <v>43700.561550925922</v>
      </c>
      <c r="D24" s="741" t="s">
        <v>969</v>
      </c>
      <c r="E24" s="424">
        <f t="array" ref="E24">SUMPRODUCT(IF(AMP3_2[[#This Row],[Dim 1_1]:[T 8]]-$F$4:$AI$4&lt;0,1,0)+IF($F$5:$AI$5-AMP3_2[[#This Row],[Dim 1_1]:[T 8]]&lt;0,1,0),IF(ISNUMBER(AMP3_2[[#This Row],[Dim 1_1]:[T 8]])=TRUE,1,0))</f>
        <v>0</v>
      </c>
      <c r="H24">
        <v>155.34100000000001</v>
      </c>
      <c r="I24">
        <v>155.35400000000001</v>
      </c>
      <c r="J24">
        <v>168.577</v>
      </c>
      <c r="K24">
        <v>168.661</v>
      </c>
      <c r="L24">
        <v>155.553</v>
      </c>
      <c r="M24">
        <v>155.339</v>
      </c>
      <c r="N24">
        <v>27.651</v>
      </c>
      <c r="O24">
        <v>27.83</v>
      </c>
      <c r="R24">
        <v>17.253</v>
      </c>
      <c r="S24">
        <v>17.207999999999998</v>
      </c>
      <c r="T24">
        <v>39.354999999999997</v>
      </c>
      <c r="U24">
        <v>41.195</v>
      </c>
      <c r="W24">
        <v>0.54200000000000004</v>
      </c>
      <c r="X24">
        <v>0.20799999999999999</v>
      </c>
      <c r="Z24">
        <v>0.53</v>
      </c>
      <c r="AA24">
        <v>0.39300000000000002</v>
      </c>
      <c r="AB24">
        <v>0.20799999999999999</v>
      </c>
      <c r="AC24">
        <v>0.38200000000000001</v>
      </c>
      <c r="AD24">
        <v>0.32400000000000001</v>
      </c>
      <c r="AE24">
        <v>0.54200000000000004</v>
      </c>
      <c r="AF24">
        <v>0.46600000000000003</v>
      </c>
      <c r="AG24">
        <v>0.39300000000000002</v>
      </c>
      <c r="AH24">
        <v>0.439</v>
      </c>
      <c r="AI24">
        <v>0.53</v>
      </c>
    </row>
    <row r="25" spans="1:35" x14ac:dyDescent="0.25">
      <c r="A25" t="s">
        <v>1289</v>
      </c>
      <c r="B25" t="s">
        <v>32</v>
      </c>
      <c r="C25" s="25">
        <v>43700.678703703707</v>
      </c>
      <c r="D25" s="741" t="s">
        <v>969</v>
      </c>
      <c r="E25" s="424">
        <f t="array" ref="E25">SUMPRODUCT(IF(AMP3_2[[#This Row],[Dim 1_1]:[T 8]]-$F$4:$AI$4&lt;0,1,0)+IF($F$5:$AI$5-AMP3_2[[#This Row],[Dim 1_1]:[T 8]]&lt;0,1,0),IF(ISNUMBER(AMP3_2[[#This Row],[Dim 1_1]:[T 8]])=TRUE,1,0))</f>
        <v>0</v>
      </c>
      <c r="F25">
        <v>41.414000000000001</v>
      </c>
      <c r="G25">
        <v>41.792000000000002</v>
      </c>
      <c r="H25">
        <v>155.53899999999999</v>
      </c>
      <c r="I25">
        <v>155.56299999999999</v>
      </c>
      <c r="L25">
        <v>155.63900000000001</v>
      </c>
      <c r="M25">
        <v>155.41200000000001</v>
      </c>
      <c r="N25">
        <v>27.56</v>
      </c>
      <c r="O25">
        <v>27.628</v>
      </c>
      <c r="R25">
        <v>17.331</v>
      </c>
      <c r="S25">
        <v>17.407</v>
      </c>
      <c r="T25">
        <v>33.981000000000002</v>
      </c>
      <c r="U25">
        <v>34.649000000000001</v>
      </c>
      <c r="W25">
        <v>0.186</v>
      </c>
      <c r="X25">
        <v>-8.6999999999999994E-2</v>
      </c>
      <c r="Z25">
        <v>0.11799999999999999</v>
      </c>
      <c r="AA25">
        <v>-0.14199999999999999</v>
      </c>
      <c r="AB25">
        <v>0.14199999999999999</v>
      </c>
      <c r="AC25">
        <v>0.186</v>
      </c>
      <c r="AD25">
        <v>0.115</v>
      </c>
      <c r="AE25">
        <v>-8.6999999999999994E-2</v>
      </c>
      <c r="AF25">
        <v>0.11799999999999999</v>
      </c>
      <c r="AG25">
        <v>9.6000000000000002E-2</v>
      </c>
      <c r="AH25">
        <v>-0.14199999999999999</v>
      </c>
      <c r="AI25">
        <v>1.7000000000000001E-2</v>
      </c>
    </row>
    <row r="26" spans="1:35" x14ac:dyDescent="0.25">
      <c r="A26" t="s">
        <v>1290</v>
      </c>
      <c r="B26" t="s">
        <v>31</v>
      </c>
      <c r="C26" s="25">
        <v>43700.682928240742</v>
      </c>
      <c r="D26" s="741" t="s">
        <v>969</v>
      </c>
      <c r="E26" s="424">
        <f t="array" ref="E26">SUMPRODUCT(IF(AMP3_2[[#This Row],[Dim 1_1]:[T 8]]-$F$4:$AI$4&lt;0,1,0)+IF($F$5:$AI$5-AMP3_2[[#This Row],[Dim 1_1]:[T 8]]&lt;0,1,0),IF(ISNUMBER(AMP3_2[[#This Row],[Dim 1_1]:[T 8]])=TRUE,1,0))</f>
        <v>0</v>
      </c>
      <c r="H26">
        <v>155.392</v>
      </c>
      <c r="I26">
        <v>155.417</v>
      </c>
      <c r="J26">
        <v>168.50299999999999</v>
      </c>
      <c r="K26">
        <v>168.58099999999999</v>
      </c>
      <c r="L26">
        <v>155.535</v>
      </c>
      <c r="M26">
        <v>155.358</v>
      </c>
      <c r="N26">
        <v>27.672000000000001</v>
      </c>
      <c r="O26">
        <v>27.818000000000001</v>
      </c>
      <c r="R26">
        <v>17.265000000000001</v>
      </c>
      <c r="S26">
        <v>17.341000000000001</v>
      </c>
      <c r="T26">
        <v>37.655999999999999</v>
      </c>
      <c r="U26">
        <v>37.856000000000002</v>
      </c>
      <c r="W26">
        <v>0.32500000000000001</v>
      </c>
      <c r="X26">
        <v>0.11600000000000001</v>
      </c>
      <c r="Z26">
        <v>0.377</v>
      </c>
      <c r="AA26">
        <v>0.2</v>
      </c>
      <c r="AB26">
        <v>0.14399999999999999</v>
      </c>
      <c r="AC26">
        <v>0.316</v>
      </c>
      <c r="AD26">
        <v>0.11600000000000001</v>
      </c>
      <c r="AE26">
        <v>0.32500000000000001</v>
      </c>
      <c r="AF26">
        <v>0.377</v>
      </c>
      <c r="AG26">
        <v>0.30099999999999999</v>
      </c>
      <c r="AH26">
        <v>0.2</v>
      </c>
      <c r="AI26">
        <v>0.26700000000000002</v>
      </c>
    </row>
    <row r="27" spans="1:35" x14ac:dyDescent="0.25">
      <c r="A27" t="s">
        <v>1291</v>
      </c>
      <c r="B27" t="s">
        <v>32</v>
      </c>
      <c r="C27" s="25">
        <v>43700.708391203705</v>
      </c>
      <c r="D27" s="741" t="s">
        <v>969</v>
      </c>
      <c r="E27" s="424">
        <f t="array" ref="E27">SUMPRODUCT(IF(AMP3_2[[#This Row],[Dim 1_1]:[T 8]]-$F$4:$AI$4&lt;0,1,0)+IF($F$5:$AI$5-AMP3_2[[#This Row],[Dim 1_1]:[T 8]]&lt;0,1,0),IF(ISNUMBER(AMP3_2[[#This Row],[Dim 1_1]:[T 8]])=TRUE,1,0))</f>
        <v>0</v>
      </c>
      <c r="F27">
        <v>41.238999999999997</v>
      </c>
      <c r="G27">
        <v>41.372999999999998</v>
      </c>
      <c r="H27">
        <v>155.61099999999999</v>
      </c>
      <c r="I27">
        <v>155.624</v>
      </c>
      <c r="L27">
        <v>155.72</v>
      </c>
      <c r="M27">
        <v>155.46100000000001</v>
      </c>
      <c r="N27">
        <v>27.466000000000001</v>
      </c>
      <c r="O27">
        <v>27.561</v>
      </c>
      <c r="R27">
        <v>17.356999999999999</v>
      </c>
      <c r="S27">
        <v>17.395</v>
      </c>
      <c r="T27">
        <v>34.097999999999999</v>
      </c>
      <c r="U27">
        <v>34.506</v>
      </c>
      <c r="W27">
        <v>0.127</v>
      </c>
      <c r="X27">
        <v>-0.123</v>
      </c>
      <c r="Z27">
        <v>7.0999999999999994E-2</v>
      </c>
      <c r="AA27">
        <v>-0.114</v>
      </c>
      <c r="AB27">
        <v>0.114</v>
      </c>
      <c r="AC27">
        <v>7.9000000000000001E-2</v>
      </c>
      <c r="AD27">
        <v>0.127</v>
      </c>
      <c r="AE27">
        <v>-0.123</v>
      </c>
      <c r="AF27">
        <v>7.0999999999999994E-2</v>
      </c>
      <c r="AG27">
        <v>5.2999999999999999E-2</v>
      </c>
      <c r="AH27">
        <v>-0.114</v>
      </c>
      <c r="AI27">
        <v>1.7000000000000001E-2</v>
      </c>
    </row>
    <row r="28" spans="1:35" x14ac:dyDescent="0.25">
      <c r="A28" t="s">
        <v>1292</v>
      </c>
      <c r="B28" t="s">
        <v>31</v>
      </c>
      <c r="C28" s="25">
        <v>43700.714166666665</v>
      </c>
      <c r="D28" s="741" t="s">
        <v>969</v>
      </c>
      <c r="E28" s="424">
        <f t="array" ref="E28">SUMPRODUCT(IF(AMP3_2[[#This Row],[Dim 1_1]:[T 8]]-$F$4:$AI$4&lt;0,1,0)+IF($F$5:$AI$5-AMP3_2[[#This Row],[Dim 1_1]:[T 8]]&lt;0,1,0),IF(ISNUMBER(AMP3_2[[#This Row],[Dim 1_1]:[T 8]])=TRUE,1,0))</f>
        <v>0</v>
      </c>
      <c r="H28">
        <v>155.46899999999999</v>
      </c>
      <c r="I28">
        <v>155.46899999999999</v>
      </c>
      <c r="J28">
        <v>168.399</v>
      </c>
      <c r="K28">
        <v>168.55</v>
      </c>
      <c r="L28">
        <v>155.63800000000001</v>
      </c>
      <c r="M28">
        <v>155.43899999999999</v>
      </c>
      <c r="N28">
        <v>27.577000000000002</v>
      </c>
      <c r="O28">
        <v>27.757000000000001</v>
      </c>
      <c r="R28">
        <v>17.228999999999999</v>
      </c>
      <c r="S28">
        <v>17.271000000000001</v>
      </c>
      <c r="T28">
        <v>36.609000000000002</v>
      </c>
      <c r="U28">
        <v>37.567</v>
      </c>
      <c r="W28">
        <v>0.35399999999999998</v>
      </c>
      <c r="X28">
        <v>7.9000000000000001E-2</v>
      </c>
      <c r="Z28">
        <v>0.33300000000000002</v>
      </c>
      <c r="AA28">
        <v>0.23799999999999999</v>
      </c>
      <c r="AB28">
        <v>7.9000000000000001E-2</v>
      </c>
      <c r="AC28">
        <v>0.25600000000000001</v>
      </c>
      <c r="AD28">
        <v>0.2</v>
      </c>
      <c r="AE28">
        <v>0.35399999999999998</v>
      </c>
      <c r="AF28">
        <v>0.30599999999999999</v>
      </c>
      <c r="AG28">
        <v>0.23799999999999999</v>
      </c>
      <c r="AH28">
        <v>0.33300000000000002</v>
      </c>
      <c r="AI28">
        <v>0.31</v>
      </c>
    </row>
    <row r="29" spans="1:35" x14ac:dyDescent="0.25">
      <c r="A29" t="s">
        <v>1293</v>
      </c>
      <c r="B29" t="s">
        <v>32</v>
      </c>
      <c r="C29" s="25">
        <v>43701.329629629632</v>
      </c>
      <c r="D29" s="741" t="s">
        <v>969</v>
      </c>
      <c r="E29" s="424">
        <f t="array" ref="E29">SUMPRODUCT(IF(AMP3_2[[#This Row],[Dim 1_1]:[T 8]]-$F$4:$AI$4&lt;0,1,0)+IF($F$5:$AI$5-AMP3_2[[#This Row],[Dim 1_1]:[T 8]]&lt;0,1,0),IF(ISNUMBER(AMP3_2[[#This Row],[Dim 1_1]:[T 8]])=TRUE,1,0))</f>
        <v>0</v>
      </c>
      <c r="F29">
        <v>41.4</v>
      </c>
      <c r="G29">
        <v>41.683</v>
      </c>
      <c r="H29">
        <v>155.60400000000001</v>
      </c>
      <c r="I29">
        <v>155.61199999999999</v>
      </c>
      <c r="L29">
        <v>155.71700000000001</v>
      </c>
      <c r="M29">
        <v>155.46899999999999</v>
      </c>
      <c r="N29">
        <v>27.489000000000001</v>
      </c>
      <c r="O29">
        <v>27.571999999999999</v>
      </c>
      <c r="R29">
        <v>17.356000000000002</v>
      </c>
      <c r="S29">
        <v>17.396999999999998</v>
      </c>
      <c r="T29">
        <v>34.283000000000001</v>
      </c>
      <c r="U29">
        <v>34.734999999999999</v>
      </c>
      <c r="W29">
        <v>0.17599999999999999</v>
      </c>
      <c r="X29">
        <v>-5.5E-2</v>
      </c>
      <c r="Z29">
        <v>4.7E-2</v>
      </c>
      <c r="AA29">
        <v>-7.5999999999999998E-2</v>
      </c>
      <c r="AB29">
        <v>0.108</v>
      </c>
      <c r="AC29">
        <v>0.12</v>
      </c>
      <c r="AD29">
        <v>0.17599999999999999</v>
      </c>
      <c r="AE29">
        <v>-5.5E-2</v>
      </c>
      <c r="AF29">
        <v>4.7E-2</v>
      </c>
      <c r="AG29">
        <v>2.5000000000000001E-2</v>
      </c>
      <c r="AH29">
        <v>-7.5999999999999998E-2</v>
      </c>
      <c r="AI29">
        <v>0.04</v>
      </c>
    </row>
    <row r="30" spans="1:35" x14ac:dyDescent="0.25">
      <c r="A30" t="s">
        <v>1294</v>
      </c>
      <c r="B30" t="s">
        <v>31</v>
      </c>
      <c r="C30" s="25">
        <v>43701.34138888889</v>
      </c>
      <c r="D30" s="741" t="s">
        <v>969</v>
      </c>
      <c r="E30" s="424">
        <f t="array" ref="E30">SUMPRODUCT(IF(AMP3_2[[#This Row],[Dim 1_1]:[T 8]]-$F$4:$AI$4&lt;0,1,0)+IF($F$5:$AI$5-AMP3_2[[#This Row],[Dim 1_1]:[T 8]]&lt;0,1,0),IF(ISNUMBER(AMP3_2[[#This Row],[Dim 1_1]:[T 8]])=TRUE,1,0))</f>
        <v>0</v>
      </c>
      <c r="H30">
        <v>155.47</v>
      </c>
      <c r="I30">
        <v>155.48500000000001</v>
      </c>
      <c r="J30">
        <v>168.565</v>
      </c>
      <c r="K30">
        <v>168.63300000000001</v>
      </c>
      <c r="L30">
        <v>155.59700000000001</v>
      </c>
      <c r="M30">
        <v>155.405</v>
      </c>
      <c r="N30">
        <v>27.594999999999999</v>
      </c>
      <c r="O30">
        <v>27.771999999999998</v>
      </c>
      <c r="R30">
        <v>17.245000000000001</v>
      </c>
      <c r="S30">
        <v>17.259</v>
      </c>
      <c r="T30">
        <v>38.368000000000002</v>
      </c>
      <c r="U30">
        <v>38.871000000000002</v>
      </c>
      <c r="W30">
        <v>0.29799999999999999</v>
      </c>
      <c r="X30">
        <v>0.09</v>
      </c>
      <c r="Z30">
        <v>0.38</v>
      </c>
      <c r="AA30">
        <v>0.29899999999999999</v>
      </c>
      <c r="AB30">
        <v>0.09</v>
      </c>
      <c r="AC30">
        <v>0.26500000000000001</v>
      </c>
      <c r="AD30">
        <v>0.184</v>
      </c>
      <c r="AE30">
        <v>0.29799999999999999</v>
      </c>
      <c r="AF30">
        <v>0.38</v>
      </c>
      <c r="AG30">
        <v>0.29899999999999999</v>
      </c>
      <c r="AH30">
        <v>0.32700000000000001</v>
      </c>
      <c r="AI30">
        <v>0.377</v>
      </c>
    </row>
    <row r="31" spans="1:35" x14ac:dyDescent="0.25">
      <c r="A31" t="s">
        <v>1295</v>
      </c>
      <c r="B31" t="s">
        <v>32</v>
      </c>
      <c r="C31" s="25">
        <v>43701.413206018522</v>
      </c>
      <c r="D31" s="741" t="s">
        <v>969</v>
      </c>
      <c r="E31" s="424">
        <f t="array" ref="E31">SUMPRODUCT(IF(AMP3_2[[#This Row],[Dim 1_1]:[T 8]]-$F$4:$AI$4&lt;0,1,0)+IF($F$5:$AI$5-AMP3_2[[#This Row],[Dim 1_1]:[T 8]]&lt;0,1,0),IF(ISNUMBER(AMP3_2[[#This Row],[Dim 1_1]:[T 8]])=TRUE,1,0))</f>
        <v>0</v>
      </c>
      <c r="F31">
        <v>41.235999999999997</v>
      </c>
      <c r="G31">
        <v>41.494999999999997</v>
      </c>
      <c r="H31">
        <v>155.64400000000001</v>
      </c>
      <c r="I31">
        <v>155.64599999999999</v>
      </c>
      <c r="L31">
        <v>155.75</v>
      </c>
      <c r="M31">
        <v>155.50700000000001</v>
      </c>
      <c r="N31">
        <v>27.446999999999999</v>
      </c>
      <c r="O31">
        <v>27.521999999999998</v>
      </c>
      <c r="R31">
        <v>17.337</v>
      </c>
      <c r="S31">
        <v>17.312999999999999</v>
      </c>
      <c r="T31">
        <v>33.991</v>
      </c>
      <c r="U31">
        <v>35.119999999999997</v>
      </c>
      <c r="W31">
        <v>0.17499999999999999</v>
      </c>
      <c r="X31">
        <v>9.9000000000000005E-2</v>
      </c>
      <c r="Z31">
        <v>9.5000000000000001E-2</v>
      </c>
      <c r="AA31">
        <v>-2.1999999999999999E-2</v>
      </c>
      <c r="AB31">
        <v>9.9000000000000005E-2</v>
      </c>
      <c r="AC31">
        <v>0.121</v>
      </c>
      <c r="AD31">
        <v>0.16400000000000001</v>
      </c>
      <c r="AE31">
        <v>0.17499999999999999</v>
      </c>
      <c r="AF31">
        <v>0.08</v>
      </c>
      <c r="AG31">
        <v>6.3E-2</v>
      </c>
      <c r="AH31">
        <v>-2.1999999999999999E-2</v>
      </c>
      <c r="AI31">
        <v>9.5000000000000001E-2</v>
      </c>
    </row>
    <row r="32" spans="1:35" x14ac:dyDescent="0.25">
      <c r="A32" t="s">
        <v>1296</v>
      </c>
      <c r="B32" t="s">
        <v>31</v>
      </c>
      <c r="C32" s="25">
        <v>43701.414826388886</v>
      </c>
      <c r="D32" s="741" t="s">
        <v>969</v>
      </c>
      <c r="E32" s="424">
        <f t="array" ref="E32">SUMPRODUCT(IF(AMP3_2[[#This Row],[Dim 1_1]:[T 8]]-$F$4:$AI$4&lt;0,1,0)+IF($F$5:$AI$5-AMP3_2[[#This Row],[Dim 1_1]:[T 8]]&lt;0,1,0),IF(ISNUMBER(AMP3_2[[#This Row],[Dim 1_1]:[T 8]])=TRUE,1,0))</f>
        <v>0</v>
      </c>
      <c r="H32">
        <v>155.50299999999999</v>
      </c>
      <c r="I32">
        <v>155.41200000000001</v>
      </c>
      <c r="J32">
        <v>168.429</v>
      </c>
      <c r="K32">
        <v>168.59899999999999</v>
      </c>
      <c r="L32">
        <v>155.62200000000001</v>
      </c>
      <c r="M32">
        <v>155.41</v>
      </c>
      <c r="N32">
        <v>27.585999999999999</v>
      </c>
      <c r="O32">
        <v>27.782</v>
      </c>
      <c r="R32">
        <v>17.260000000000002</v>
      </c>
      <c r="S32">
        <v>17.265000000000001</v>
      </c>
      <c r="T32">
        <v>33.536000000000001</v>
      </c>
      <c r="U32">
        <v>35.476999999999997</v>
      </c>
      <c r="W32">
        <v>0.36699999999999999</v>
      </c>
      <c r="X32">
        <v>8.5999999999999993E-2</v>
      </c>
      <c r="Z32">
        <v>0.307</v>
      </c>
      <c r="AA32">
        <v>0.19700000000000001</v>
      </c>
      <c r="AB32">
        <v>8.5999999999999993E-2</v>
      </c>
      <c r="AC32">
        <v>0.246</v>
      </c>
      <c r="AD32">
        <v>0.21199999999999999</v>
      </c>
      <c r="AE32">
        <v>0.36699999999999999</v>
      </c>
      <c r="AF32">
        <v>0.29499999999999998</v>
      </c>
      <c r="AG32">
        <v>0.19700000000000001</v>
      </c>
      <c r="AH32">
        <v>0.307</v>
      </c>
      <c r="AI32">
        <v>0.307</v>
      </c>
    </row>
    <row r="33" spans="1:35" x14ac:dyDescent="0.25">
      <c r="A33" t="s">
        <v>1297</v>
      </c>
      <c r="B33" t="s">
        <v>32</v>
      </c>
      <c r="C33" s="25">
        <v>43701.48710648148</v>
      </c>
      <c r="D33" s="741" t="s">
        <v>969</v>
      </c>
      <c r="E33" s="424">
        <f t="array" ref="E33">SUMPRODUCT(IF(AMP3_2[[#This Row],[Dim 1_1]:[T 8]]-$F$4:$AI$4&lt;0,1,0)+IF($F$5:$AI$5-AMP3_2[[#This Row],[Dim 1_1]:[T 8]]&lt;0,1,0),IF(ISNUMBER(AMP3_2[[#This Row],[Dim 1_1]:[T 8]])=TRUE,1,0))</f>
        <v>0</v>
      </c>
      <c r="F33">
        <v>41.313000000000002</v>
      </c>
      <c r="G33">
        <v>41.436999999999998</v>
      </c>
      <c r="H33">
        <v>155.595</v>
      </c>
      <c r="I33">
        <v>155.61699999999999</v>
      </c>
      <c r="L33">
        <v>155.71899999999999</v>
      </c>
      <c r="M33">
        <v>155.501</v>
      </c>
      <c r="N33">
        <v>27.501000000000001</v>
      </c>
      <c r="O33">
        <v>27.561</v>
      </c>
      <c r="R33">
        <v>17.324999999999999</v>
      </c>
      <c r="S33">
        <v>17.327000000000002</v>
      </c>
      <c r="T33">
        <v>34.140999999999998</v>
      </c>
      <c r="U33">
        <v>34.826000000000001</v>
      </c>
      <c r="W33">
        <v>0.13700000000000001</v>
      </c>
      <c r="X33">
        <v>-9.8000000000000004E-2</v>
      </c>
      <c r="Z33">
        <v>0.03</v>
      </c>
      <c r="AA33">
        <v>-0.11799999999999999</v>
      </c>
      <c r="AB33">
        <v>0.111</v>
      </c>
      <c r="AC33">
        <v>9.8000000000000004E-2</v>
      </c>
      <c r="AD33">
        <v>0.13700000000000001</v>
      </c>
      <c r="AE33">
        <v>-9.8000000000000004E-2</v>
      </c>
      <c r="AF33">
        <v>0.03</v>
      </c>
      <c r="AG33">
        <v>-6.0000000000000001E-3</v>
      </c>
      <c r="AH33">
        <v>-0.11799999999999999</v>
      </c>
      <c r="AI33">
        <v>7.0000000000000001E-3</v>
      </c>
    </row>
    <row r="34" spans="1:35" x14ac:dyDescent="0.25">
      <c r="A34" t="s">
        <v>1298</v>
      </c>
      <c r="B34" t="s">
        <v>31</v>
      </c>
      <c r="C34" s="25">
        <v>43701.49322916667</v>
      </c>
      <c r="D34" s="741" t="s">
        <v>969</v>
      </c>
      <c r="E34" s="424">
        <f t="array" ref="E34">SUMPRODUCT(IF(AMP3_2[[#This Row],[Dim 1_1]:[T 8]]-$F$4:$AI$4&lt;0,1,0)+IF($F$5:$AI$5-AMP3_2[[#This Row],[Dim 1_1]:[T 8]]&lt;0,1,0),IF(ISNUMBER(AMP3_2[[#This Row],[Dim 1_1]:[T 8]])=TRUE,1,0))</f>
        <v>0</v>
      </c>
      <c r="H34">
        <v>155.44999999999999</v>
      </c>
      <c r="I34">
        <v>155.49</v>
      </c>
      <c r="J34">
        <v>168.50299999999999</v>
      </c>
      <c r="K34">
        <v>168.65100000000001</v>
      </c>
      <c r="L34">
        <v>155.61600000000001</v>
      </c>
      <c r="M34">
        <v>155.44200000000001</v>
      </c>
      <c r="N34">
        <v>27.582999999999998</v>
      </c>
      <c r="O34">
        <v>27.754999999999999</v>
      </c>
      <c r="R34">
        <v>17.251000000000001</v>
      </c>
      <c r="S34">
        <v>17.373999999999999</v>
      </c>
      <c r="T34">
        <v>37.406999999999996</v>
      </c>
      <c r="U34">
        <v>38.832999999999998</v>
      </c>
      <c r="W34">
        <v>0.27800000000000002</v>
      </c>
      <c r="X34">
        <v>0.05</v>
      </c>
      <c r="Z34">
        <v>0.36199999999999999</v>
      </c>
      <c r="AA34">
        <v>0.249</v>
      </c>
      <c r="AB34">
        <v>0.05</v>
      </c>
      <c r="AC34">
        <v>0.223</v>
      </c>
      <c r="AD34">
        <v>6.6000000000000003E-2</v>
      </c>
      <c r="AE34">
        <v>0.27800000000000002</v>
      </c>
      <c r="AF34">
        <v>0.36199999999999999</v>
      </c>
      <c r="AG34">
        <v>0.27900000000000003</v>
      </c>
      <c r="AH34">
        <v>0.249</v>
      </c>
      <c r="AI34">
        <v>0.27500000000000002</v>
      </c>
    </row>
    <row r="35" spans="1:35" x14ac:dyDescent="0.25">
      <c r="A35" t="s">
        <v>1299</v>
      </c>
      <c r="B35" t="s">
        <v>32</v>
      </c>
      <c r="C35" s="25">
        <v>43701.580740740741</v>
      </c>
      <c r="D35" s="741" t="s">
        <v>969</v>
      </c>
      <c r="E35" s="424">
        <f t="array" ref="E35">SUMPRODUCT(IF(AMP3_2[[#This Row],[Dim 1_1]:[T 8]]-$F$4:$AI$4&lt;0,1,0)+IF($F$5:$AI$5-AMP3_2[[#This Row],[Dim 1_1]:[T 8]]&lt;0,1,0),IF(ISNUMBER(AMP3_2[[#This Row],[Dim 1_1]:[T 8]])=TRUE,1,0))</f>
        <v>0</v>
      </c>
      <c r="F35">
        <v>41.256999999999998</v>
      </c>
      <c r="G35">
        <v>41.514000000000003</v>
      </c>
      <c r="H35">
        <v>155.64699999999999</v>
      </c>
      <c r="I35">
        <v>155.64400000000001</v>
      </c>
      <c r="L35">
        <v>155.76599999999999</v>
      </c>
      <c r="M35">
        <v>155.50299999999999</v>
      </c>
      <c r="N35">
        <v>27.437999999999999</v>
      </c>
      <c r="O35">
        <v>27.529</v>
      </c>
      <c r="R35">
        <v>17.341000000000001</v>
      </c>
      <c r="S35">
        <v>17.349</v>
      </c>
      <c r="T35">
        <v>33.982999999999997</v>
      </c>
      <c r="U35">
        <v>34.61</v>
      </c>
      <c r="W35">
        <v>0.11600000000000001</v>
      </c>
      <c r="X35">
        <v>-4.2000000000000003E-2</v>
      </c>
      <c r="Z35">
        <v>5.1999999999999998E-2</v>
      </c>
      <c r="AA35">
        <v>-0.122</v>
      </c>
      <c r="AB35">
        <v>6.0999999999999999E-2</v>
      </c>
      <c r="AC35">
        <v>0.06</v>
      </c>
      <c r="AD35">
        <v>0.11600000000000001</v>
      </c>
      <c r="AE35">
        <v>-4.2000000000000003E-2</v>
      </c>
      <c r="AF35">
        <v>5.1999999999999998E-2</v>
      </c>
      <c r="AG35">
        <v>1.7999999999999999E-2</v>
      </c>
      <c r="AH35">
        <v>-0.122</v>
      </c>
      <c r="AI35">
        <v>1.6E-2</v>
      </c>
    </row>
    <row r="36" spans="1:35" x14ac:dyDescent="0.25">
      <c r="A36" t="s">
        <v>1300</v>
      </c>
      <c r="B36" t="s">
        <v>31</v>
      </c>
      <c r="C36" s="25">
        <v>43701.582499999997</v>
      </c>
      <c r="D36" s="741" t="s">
        <v>969</v>
      </c>
      <c r="E36" s="424">
        <f t="array" ref="E36">SUMPRODUCT(IF(AMP3_2[[#This Row],[Dim 1_1]:[T 8]]-$F$4:$AI$4&lt;0,1,0)+IF($F$5:$AI$5-AMP3_2[[#This Row],[Dim 1_1]:[T 8]]&lt;0,1,0),IF(ISNUMBER(AMP3_2[[#This Row],[Dim 1_1]:[T 8]])=TRUE,1,0))</f>
        <v>0</v>
      </c>
      <c r="H36">
        <v>155.541</v>
      </c>
      <c r="I36">
        <v>155.52799999999999</v>
      </c>
      <c r="J36">
        <v>168.49100000000001</v>
      </c>
      <c r="K36">
        <v>168.648</v>
      </c>
      <c r="L36">
        <v>155.70500000000001</v>
      </c>
      <c r="M36">
        <v>155.50299999999999</v>
      </c>
      <c r="N36">
        <v>27.536999999999999</v>
      </c>
      <c r="O36">
        <v>27.734999999999999</v>
      </c>
      <c r="R36">
        <v>17.241</v>
      </c>
      <c r="S36">
        <v>17.286999999999999</v>
      </c>
      <c r="T36">
        <v>38.655999999999999</v>
      </c>
      <c r="U36">
        <v>40.051000000000002</v>
      </c>
      <c r="W36">
        <v>0.30099999999999999</v>
      </c>
      <c r="X36">
        <v>4.7E-2</v>
      </c>
      <c r="Z36">
        <v>0.29199999999999998</v>
      </c>
      <c r="AA36">
        <v>0.20799999999999999</v>
      </c>
      <c r="AB36">
        <v>4.7E-2</v>
      </c>
      <c r="AC36">
        <v>0.222</v>
      </c>
      <c r="AD36">
        <v>0.115</v>
      </c>
      <c r="AE36">
        <v>0.30099999999999999</v>
      </c>
      <c r="AF36">
        <v>0.29199999999999998</v>
      </c>
      <c r="AG36">
        <v>0.20799999999999999</v>
      </c>
      <c r="AH36">
        <v>0.23499999999999999</v>
      </c>
      <c r="AI36">
        <v>0.245</v>
      </c>
    </row>
    <row r="37" spans="1:35" x14ac:dyDescent="0.25">
      <c r="A37" t="s">
        <v>1301</v>
      </c>
      <c r="B37" t="s">
        <v>32</v>
      </c>
      <c r="C37" s="25">
        <v>43701.664386574077</v>
      </c>
      <c r="D37" s="741" t="s">
        <v>969</v>
      </c>
      <c r="E37" s="424">
        <f t="array" ref="E37">SUMPRODUCT(IF(AMP3_2[[#This Row],[Dim 1_1]:[T 8]]-$F$4:$AI$4&lt;0,1,0)+IF($F$5:$AI$5-AMP3_2[[#This Row],[Dim 1_1]:[T 8]]&lt;0,1,0),IF(ISNUMBER(AMP3_2[[#This Row],[Dim 1_1]:[T 8]])=TRUE,1,0))</f>
        <v>0</v>
      </c>
      <c r="F37">
        <v>41.22</v>
      </c>
      <c r="G37">
        <v>41.436999999999998</v>
      </c>
      <c r="H37">
        <v>155.68199999999999</v>
      </c>
      <c r="I37">
        <v>155.672</v>
      </c>
      <c r="L37">
        <v>155.77199999999999</v>
      </c>
      <c r="M37">
        <v>155.506</v>
      </c>
      <c r="N37">
        <v>27.436</v>
      </c>
      <c r="O37">
        <v>27.533000000000001</v>
      </c>
      <c r="R37">
        <v>17.34</v>
      </c>
      <c r="S37">
        <v>17.331</v>
      </c>
      <c r="T37">
        <v>34.002000000000002</v>
      </c>
      <c r="U37">
        <v>34.569000000000003</v>
      </c>
      <c r="W37">
        <v>0.14299999999999999</v>
      </c>
      <c r="X37">
        <v>-5.7000000000000002E-2</v>
      </c>
      <c r="Z37">
        <v>3.5999999999999997E-2</v>
      </c>
      <c r="AA37">
        <v>-0.121</v>
      </c>
      <c r="AB37">
        <v>9.1999999999999998E-2</v>
      </c>
      <c r="AC37">
        <v>9.7000000000000003E-2</v>
      </c>
      <c r="AD37">
        <v>0.14299999999999999</v>
      </c>
      <c r="AE37">
        <v>-5.7000000000000002E-2</v>
      </c>
      <c r="AF37">
        <v>3.5999999999999997E-2</v>
      </c>
      <c r="AG37">
        <v>0</v>
      </c>
      <c r="AH37">
        <v>-0.121</v>
      </c>
      <c r="AI37">
        <v>2.1000000000000001E-2</v>
      </c>
    </row>
    <row r="38" spans="1:35" x14ac:dyDescent="0.25">
      <c r="A38" t="s">
        <v>1302</v>
      </c>
      <c r="B38" t="s">
        <v>31</v>
      </c>
      <c r="C38" s="25">
        <v>43701.666956018518</v>
      </c>
      <c r="D38" s="741" t="s">
        <v>969</v>
      </c>
      <c r="E38" s="424">
        <f t="array" ref="E38">SUMPRODUCT(IF(AMP3_2[[#This Row],[Dim 1_1]:[T 8]]-$F$4:$AI$4&lt;0,1,0)+IF($F$5:$AI$5-AMP3_2[[#This Row],[Dim 1_1]:[T 8]]&lt;0,1,0),IF(ISNUMBER(AMP3_2[[#This Row],[Dim 1_1]:[T 8]])=TRUE,1,0))</f>
        <v>0</v>
      </c>
      <c r="H38">
        <v>155.55699999999999</v>
      </c>
      <c r="I38">
        <v>155.535</v>
      </c>
      <c r="J38">
        <v>168.45699999999999</v>
      </c>
      <c r="K38">
        <v>168.63</v>
      </c>
      <c r="L38">
        <v>155.702</v>
      </c>
      <c r="M38">
        <v>155.505</v>
      </c>
      <c r="N38">
        <v>27.518000000000001</v>
      </c>
      <c r="O38">
        <v>27.707000000000001</v>
      </c>
      <c r="R38">
        <v>17.247</v>
      </c>
      <c r="S38">
        <v>17.231000000000002</v>
      </c>
      <c r="T38">
        <v>36.313000000000002</v>
      </c>
      <c r="U38">
        <v>36.034999999999997</v>
      </c>
      <c r="W38">
        <v>0.307</v>
      </c>
      <c r="X38">
        <v>6.0000000000000001E-3</v>
      </c>
      <c r="Z38">
        <v>0.26200000000000001</v>
      </c>
      <c r="AA38">
        <v>0.159</v>
      </c>
      <c r="AB38">
        <v>6.0000000000000001E-3</v>
      </c>
      <c r="AC38">
        <v>0.193</v>
      </c>
      <c r="AD38">
        <v>0.128</v>
      </c>
      <c r="AE38">
        <v>0.307</v>
      </c>
      <c r="AF38">
        <v>0.26200000000000001</v>
      </c>
      <c r="AG38">
        <v>0.159</v>
      </c>
      <c r="AH38">
        <v>0.249</v>
      </c>
      <c r="AI38">
        <v>0.25</v>
      </c>
    </row>
    <row r="39" spans="1:35" x14ac:dyDescent="0.25">
      <c r="A39" t="s">
        <v>1303</v>
      </c>
      <c r="B39" t="s">
        <v>32</v>
      </c>
      <c r="C39" s="25">
        <v>43701.703472222223</v>
      </c>
      <c r="D39" s="741" t="s">
        <v>969</v>
      </c>
      <c r="E39" s="424">
        <f t="array" ref="E39">SUMPRODUCT(IF(AMP3_2[[#This Row],[Dim 1_1]:[T 8]]-$F$4:$AI$4&lt;0,1,0)+IF($F$5:$AI$5-AMP3_2[[#This Row],[Dim 1_1]:[T 8]]&lt;0,1,0),IF(ISNUMBER(AMP3_2[[#This Row],[Dim 1_1]:[T 8]])=TRUE,1,0))</f>
        <v>0</v>
      </c>
      <c r="F39">
        <v>41.194000000000003</v>
      </c>
      <c r="G39">
        <v>41.485999999999997</v>
      </c>
      <c r="H39">
        <v>155.68299999999999</v>
      </c>
      <c r="I39">
        <v>155.68799999999999</v>
      </c>
      <c r="L39">
        <v>155.77500000000001</v>
      </c>
      <c r="M39">
        <v>155.51900000000001</v>
      </c>
      <c r="N39">
        <v>27.414000000000001</v>
      </c>
      <c r="O39">
        <v>27.515000000000001</v>
      </c>
      <c r="R39">
        <v>17.329000000000001</v>
      </c>
      <c r="S39">
        <v>17.353999999999999</v>
      </c>
      <c r="T39">
        <v>33.975000000000001</v>
      </c>
      <c r="U39">
        <v>34.524999999999999</v>
      </c>
      <c r="W39">
        <v>0.115</v>
      </c>
      <c r="X39">
        <v>-0.114</v>
      </c>
      <c r="Z39">
        <v>0.06</v>
      </c>
      <c r="AA39">
        <v>-0.152</v>
      </c>
      <c r="AB39">
        <v>9.1999999999999998E-2</v>
      </c>
      <c r="AC39">
        <v>0.105</v>
      </c>
      <c r="AD39">
        <v>0.115</v>
      </c>
      <c r="AE39">
        <v>-0.114</v>
      </c>
      <c r="AF39">
        <v>0.06</v>
      </c>
      <c r="AG39">
        <v>8.0000000000000002E-3</v>
      </c>
      <c r="AH39">
        <v>-0.152</v>
      </c>
      <c r="AI39">
        <v>-6.0000000000000001E-3</v>
      </c>
    </row>
    <row r="40" spans="1:35" x14ac:dyDescent="0.25">
      <c r="A40" t="s">
        <v>1304</v>
      </c>
      <c r="B40" t="s">
        <v>31</v>
      </c>
      <c r="C40" s="25">
        <v>43701.705092592594</v>
      </c>
      <c r="D40" s="741" t="s">
        <v>969</v>
      </c>
      <c r="E40" s="424">
        <f t="array" ref="E40">SUMPRODUCT(IF(AMP3_2[[#This Row],[Dim 1_1]:[T 8]]-$F$4:$AI$4&lt;0,1,0)+IF($F$5:$AI$5-AMP3_2[[#This Row],[Dim 1_1]:[T 8]]&lt;0,1,0),IF(ISNUMBER(AMP3_2[[#This Row],[Dim 1_1]:[T 8]])=TRUE,1,0))</f>
        <v>0</v>
      </c>
      <c r="H40">
        <v>155.548</v>
      </c>
      <c r="I40">
        <v>155.53800000000001</v>
      </c>
      <c r="J40">
        <v>168.452</v>
      </c>
      <c r="K40">
        <v>168.63200000000001</v>
      </c>
      <c r="L40">
        <v>155.68100000000001</v>
      </c>
      <c r="M40">
        <v>155.495</v>
      </c>
      <c r="N40">
        <v>27.533000000000001</v>
      </c>
      <c r="O40">
        <v>27.716000000000001</v>
      </c>
      <c r="R40">
        <v>17.260000000000002</v>
      </c>
      <c r="S40">
        <v>17.18</v>
      </c>
      <c r="T40">
        <v>37.548000000000002</v>
      </c>
      <c r="U40">
        <v>38.523000000000003</v>
      </c>
      <c r="W40">
        <v>0.36299999999999999</v>
      </c>
      <c r="X40">
        <v>2.3E-2</v>
      </c>
      <c r="Z40">
        <v>0.28100000000000003</v>
      </c>
      <c r="AA40">
        <v>0.11799999999999999</v>
      </c>
      <c r="AB40">
        <v>2.3E-2</v>
      </c>
      <c r="AC40">
        <v>0.19700000000000001</v>
      </c>
      <c r="AD40">
        <v>0.219</v>
      </c>
      <c r="AE40">
        <v>0.36299999999999999</v>
      </c>
      <c r="AF40">
        <v>0.20699999999999999</v>
      </c>
      <c r="AG40">
        <v>0.11799999999999999</v>
      </c>
      <c r="AH40">
        <v>0.26800000000000002</v>
      </c>
      <c r="AI40">
        <v>0.28100000000000003</v>
      </c>
    </row>
    <row r="41" spans="1:35" x14ac:dyDescent="0.25">
      <c r="A41" t="s">
        <v>1305</v>
      </c>
      <c r="B41" t="s">
        <v>32</v>
      </c>
      <c r="C41" s="25">
        <v>43702.330613425926</v>
      </c>
      <c r="D41" s="741" t="s">
        <v>969</v>
      </c>
      <c r="E41" s="424">
        <f t="array" ref="E41">SUMPRODUCT(IF(AMP3_2[[#This Row],[Dim 1_1]:[T 8]]-$F$4:$AI$4&lt;0,1,0)+IF($F$5:$AI$5-AMP3_2[[#This Row],[Dim 1_1]:[T 8]]&lt;0,1,0),IF(ISNUMBER(AMP3_2[[#This Row],[Dim 1_1]:[T 8]])=TRUE,1,0))</f>
        <v>0</v>
      </c>
      <c r="F41">
        <v>41.316000000000003</v>
      </c>
      <c r="G41">
        <v>41.497999999999998</v>
      </c>
      <c r="H41">
        <v>155.727</v>
      </c>
      <c r="I41">
        <v>155.72200000000001</v>
      </c>
      <c r="L41">
        <v>155.80199999999999</v>
      </c>
      <c r="M41">
        <v>155.56</v>
      </c>
      <c r="N41">
        <v>27.373999999999999</v>
      </c>
      <c r="O41">
        <v>27.466999999999999</v>
      </c>
      <c r="R41">
        <v>17.347999999999999</v>
      </c>
      <c r="S41">
        <v>17.335000000000001</v>
      </c>
      <c r="T41">
        <v>34.156999999999996</v>
      </c>
      <c r="U41">
        <v>34.750999999999998</v>
      </c>
      <c r="W41">
        <v>0.13</v>
      </c>
      <c r="X41">
        <v>-9.8000000000000004E-2</v>
      </c>
      <c r="Z41">
        <v>4.1000000000000002E-2</v>
      </c>
      <c r="AA41">
        <v>-7.1999999999999995E-2</v>
      </c>
      <c r="AB41">
        <v>3.3000000000000002E-2</v>
      </c>
      <c r="AC41">
        <v>3.9E-2</v>
      </c>
      <c r="AD41">
        <v>0.13</v>
      </c>
      <c r="AE41">
        <v>-9.8000000000000004E-2</v>
      </c>
      <c r="AF41">
        <v>1.2E-2</v>
      </c>
      <c r="AG41">
        <v>1.2999999999999999E-2</v>
      </c>
      <c r="AH41">
        <v>-7.1999999999999995E-2</v>
      </c>
      <c r="AI41">
        <v>4.1000000000000002E-2</v>
      </c>
    </row>
    <row r="42" spans="1:35" x14ac:dyDescent="0.25">
      <c r="A42" t="s">
        <v>1306</v>
      </c>
      <c r="B42" t="s">
        <v>31</v>
      </c>
      <c r="C42" s="25">
        <v>43702.33222222222</v>
      </c>
      <c r="D42" s="741" t="s">
        <v>969</v>
      </c>
      <c r="E42" s="424">
        <f t="array" ref="E42">SUMPRODUCT(IF(AMP3_2[[#This Row],[Dim 1_1]:[T 8]]-$F$4:$AI$4&lt;0,1,0)+IF($F$5:$AI$5-AMP3_2[[#This Row],[Dim 1_1]:[T 8]]&lt;0,1,0),IF(ISNUMBER(AMP3_2[[#This Row],[Dim 1_1]:[T 8]])=TRUE,1,0))</f>
        <v>0</v>
      </c>
      <c r="H42">
        <v>155.535</v>
      </c>
      <c r="I42">
        <v>155.50899999999999</v>
      </c>
      <c r="J42">
        <v>168.54499999999999</v>
      </c>
      <c r="K42">
        <v>168.62200000000001</v>
      </c>
      <c r="L42">
        <v>155.69399999999999</v>
      </c>
      <c r="M42">
        <v>155.483</v>
      </c>
      <c r="N42">
        <v>27.548999999999999</v>
      </c>
      <c r="O42">
        <v>27.733000000000001</v>
      </c>
      <c r="R42">
        <v>17.248999999999999</v>
      </c>
      <c r="S42">
        <v>17.276</v>
      </c>
      <c r="T42">
        <v>38.247999999999998</v>
      </c>
      <c r="U42">
        <v>39.045999999999999</v>
      </c>
      <c r="W42">
        <v>0.28000000000000003</v>
      </c>
      <c r="X42">
        <v>4.2000000000000003E-2</v>
      </c>
      <c r="Z42">
        <v>0.33200000000000002</v>
      </c>
      <c r="AA42">
        <v>0.23499999999999999</v>
      </c>
      <c r="AB42">
        <v>4.2000000000000003E-2</v>
      </c>
      <c r="AC42">
        <v>0.22500000000000001</v>
      </c>
      <c r="AD42">
        <v>9.2999999999999999E-2</v>
      </c>
      <c r="AE42">
        <v>0.28000000000000003</v>
      </c>
      <c r="AF42">
        <v>0.33200000000000002</v>
      </c>
      <c r="AG42">
        <v>0.23499999999999999</v>
      </c>
      <c r="AH42">
        <v>0.31</v>
      </c>
      <c r="AI42">
        <v>0.28299999999999997</v>
      </c>
    </row>
    <row r="43" spans="1:35" x14ac:dyDescent="0.25">
      <c r="A43" t="s">
        <v>1307</v>
      </c>
      <c r="B43" t="s">
        <v>32</v>
      </c>
      <c r="C43" s="25">
        <v>43702.416828703703</v>
      </c>
      <c r="D43" s="741" t="s">
        <v>969</v>
      </c>
      <c r="E43" s="424">
        <f t="array" ref="E43">SUMPRODUCT(IF(AMP3_2[[#This Row],[Dim 1_1]:[T 8]]-$F$4:$AI$4&lt;0,1,0)+IF($F$5:$AI$5-AMP3_2[[#This Row],[Dim 1_1]:[T 8]]&lt;0,1,0),IF(ISNUMBER(AMP3_2[[#This Row],[Dim 1_1]:[T 8]])=TRUE,1,0))</f>
        <v>0</v>
      </c>
      <c r="F43">
        <v>41.2</v>
      </c>
      <c r="G43">
        <v>41.442</v>
      </c>
      <c r="H43">
        <v>155.71799999999999</v>
      </c>
      <c r="I43">
        <v>155.708</v>
      </c>
      <c r="L43">
        <v>155.84899999999999</v>
      </c>
      <c r="M43">
        <v>155.57900000000001</v>
      </c>
      <c r="N43">
        <v>27.352</v>
      </c>
      <c r="O43">
        <v>27.466999999999999</v>
      </c>
      <c r="R43">
        <v>17.335999999999999</v>
      </c>
      <c r="S43">
        <v>17.335999999999999</v>
      </c>
      <c r="T43">
        <v>34.023000000000003</v>
      </c>
      <c r="U43">
        <v>34.716999999999999</v>
      </c>
      <c r="W43">
        <v>5.5E-2</v>
      </c>
      <c r="X43">
        <v>-0.16800000000000001</v>
      </c>
      <c r="Z43">
        <v>-7.0000000000000001E-3</v>
      </c>
      <c r="AA43">
        <v>-0.158</v>
      </c>
      <c r="AB43">
        <v>-2.9000000000000001E-2</v>
      </c>
      <c r="AC43">
        <v>-4.3999999999999997E-2</v>
      </c>
      <c r="AD43">
        <v>5.5E-2</v>
      </c>
      <c r="AE43">
        <v>-0.16800000000000001</v>
      </c>
      <c r="AF43">
        <v>-7.0000000000000001E-3</v>
      </c>
      <c r="AG43">
        <v>-4.1000000000000002E-2</v>
      </c>
      <c r="AH43">
        <v>-0.158</v>
      </c>
      <c r="AI43">
        <v>-3.4000000000000002E-2</v>
      </c>
    </row>
    <row r="44" spans="1:35" x14ac:dyDescent="0.25">
      <c r="A44" t="s">
        <v>1308</v>
      </c>
      <c r="B44" t="s">
        <v>31</v>
      </c>
      <c r="C44" s="25">
        <v>43702.418483796297</v>
      </c>
      <c r="D44" s="741" t="s">
        <v>969</v>
      </c>
      <c r="E44" s="424">
        <f t="array" ref="E44">SUMPRODUCT(IF(AMP3_2[[#This Row],[Dim 1_1]:[T 8]]-$F$4:$AI$4&lt;0,1,0)+IF($F$5:$AI$5-AMP3_2[[#This Row],[Dim 1_1]:[T 8]]&lt;0,1,0),IF(ISNUMBER(AMP3_2[[#This Row],[Dim 1_1]:[T 8]])=TRUE,1,0))</f>
        <v>0</v>
      </c>
      <c r="H44">
        <v>155.57599999999999</v>
      </c>
      <c r="I44">
        <v>155.57</v>
      </c>
      <c r="J44">
        <v>168.45699999999999</v>
      </c>
      <c r="K44">
        <v>168.74100000000001</v>
      </c>
      <c r="L44">
        <v>155.71299999999999</v>
      </c>
      <c r="M44">
        <v>155.524</v>
      </c>
      <c r="N44">
        <v>27.504999999999999</v>
      </c>
      <c r="O44">
        <v>27.696000000000002</v>
      </c>
      <c r="R44">
        <v>17.276</v>
      </c>
      <c r="S44">
        <v>17.260999999999999</v>
      </c>
      <c r="T44">
        <v>37.389000000000003</v>
      </c>
      <c r="U44">
        <v>38.905999999999999</v>
      </c>
      <c r="W44">
        <v>0.27900000000000003</v>
      </c>
      <c r="X44">
        <v>-2.3E-2</v>
      </c>
      <c r="Z44">
        <v>0.28100000000000003</v>
      </c>
      <c r="AA44">
        <v>0.156</v>
      </c>
      <c r="AB44">
        <v>-2.3E-2</v>
      </c>
      <c r="AC44">
        <v>0.16</v>
      </c>
      <c r="AD44">
        <v>0.158</v>
      </c>
      <c r="AE44">
        <v>0.27900000000000003</v>
      </c>
      <c r="AF44">
        <v>0.23799999999999999</v>
      </c>
      <c r="AG44">
        <v>0.156</v>
      </c>
      <c r="AH44">
        <v>0.27500000000000002</v>
      </c>
      <c r="AI44">
        <v>0.28100000000000003</v>
      </c>
    </row>
    <row r="45" spans="1:35" x14ac:dyDescent="0.25">
      <c r="A45" t="s">
        <v>1309</v>
      </c>
      <c r="B45" t="s">
        <v>32</v>
      </c>
      <c r="C45" s="25">
        <v>43702.507372685184</v>
      </c>
      <c r="D45" s="741" t="s">
        <v>969</v>
      </c>
      <c r="E45" s="424">
        <f t="array" ref="E45">SUMPRODUCT(IF(AMP3_2[[#This Row],[Dim 1_1]:[T 8]]-$F$4:$AI$4&lt;0,1,0)+IF($F$5:$AI$5-AMP3_2[[#This Row],[Dim 1_1]:[T 8]]&lt;0,1,0),IF(ISNUMBER(AMP3_2[[#This Row],[Dim 1_1]:[T 8]])=TRUE,1,0))</f>
        <v>0</v>
      </c>
      <c r="F45">
        <v>41.286999999999999</v>
      </c>
      <c r="G45">
        <v>41.652999999999999</v>
      </c>
      <c r="H45">
        <v>155.666</v>
      </c>
      <c r="I45">
        <v>155.70699999999999</v>
      </c>
      <c r="L45">
        <v>155.77799999999999</v>
      </c>
      <c r="M45">
        <v>155.547</v>
      </c>
      <c r="N45">
        <v>27.414999999999999</v>
      </c>
      <c r="O45">
        <v>27.51</v>
      </c>
      <c r="R45">
        <v>17.327000000000002</v>
      </c>
      <c r="S45">
        <v>17.327999999999999</v>
      </c>
      <c r="T45">
        <v>33.948</v>
      </c>
      <c r="U45">
        <v>34.673999999999999</v>
      </c>
      <c r="W45">
        <v>0.111</v>
      </c>
      <c r="X45">
        <v>-7.3999999999999996E-2</v>
      </c>
      <c r="Z45">
        <v>6.0999999999999999E-2</v>
      </c>
      <c r="AA45">
        <v>-0.14499999999999999</v>
      </c>
      <c r="AB45">
        <v>8.7999999999999995E-2</v>
      </c>
      <c r="AC45">
        <v>8.1000000000000003E-2</v>
      </c>
      <c r="AD45">
        <v>0.111</v>
      </c>
      <c r="AE45">
        <v>-7.3999999999999996E-2</v>
      </c>
      <c r="AF45">
        <v>6.0999999999999999E-2</v>
      </c>
      <c r="AG45">
        <v>4.2999999999999997E-2</v>
      </c>
      <c r="AH45">
        <v>-0.14499999999999999</v>
      </c>
      <c r="AI45">
        <v>3.5999999999999997E-2</v>
      </c>
    </row>
    <row r="46" spans="1:35" x14ac:dyDescent="0.25">
      <c r="A46" t="s">
        <v>1310</v>
      </c>
      <c r="B46" t="s">
        <v>31</v>
      </c>
      <c r="C46" s="25">
        <v>43702.508969907409</v>
      </c>
      <c r="D46" s="741" t="s">
        <v>969</v>
      </c>
      <c r="E46" s="424">
        <f t="array" ref="E46">SUMPRODUCT(IF(AMP3_2[[#This Row],[Dim 1_1]:[T 8]]-$F$4:$AI$4&lt;0,1,0)+IF($F$5:$AI$5-AMP3_2[[#This Row],[Dim 1_1]:[T 8]]&lt;0,1,0),IF(ISNUMBER(AMP3_2[[#This Row],[Dim 1_1]:[T 8]])=TRUE,1,0))</f>
        <v>0</v>
      </c>
      <c r="H46">
        <v>155.58600000000001</v>
      </c>
      <c r="I46">
        <v>155.54</v>
      </c>
      <c r="J46">
        <v>168.578</v>
      </c>
      <c r="K46">
        <v>168.71299999999999</v>
      </c>
      <c r="L46">
        <v>155.69999999999999</v>
      </c>
      <c r="M46">
        <v>155.499</v>
      </c>
      <c r="N46">
        <v>27.533999999999999</v>
      </c>
      <c r="O46">
        <v>27.739000000000001</v>
      </c>
      <c r="R46">
        <v>17.236000000000001</v>
      </c>
      <c r="S46">
        <v>17.277999999999999</v>
      </c>
      <c r="T46">
        <v>37.792999999999999</v>
      </c>
      <c r="U46">
        <v>38.192</v>
      </c>
      <c r="W46">
        <v>0.248</v>
      </c>
      <c r="X46">
        <v>1.0999999999999999E-2</v>
      </c>
      <c r="Z46">
        <v>0.26800000000000002</v>
      </c>
      <c r="AA46">
        <v>0.2</v>
      </c>
      <c r="AB46">
        <v>1.0999999999999999E-2</v>
      </c>
      <c r="AC46">
        <v>0.184</v>
      </c>
      <c r="AD46">
        <v>5.5E-2</v>
      </c>
      <c r="AE46">
        <v>0.248</v>
      </c>
      <c r="AF46">
        <v>0.26800000000000002</v>
      </c>
      <c r="AG46">
        <v>0.2</v>
      </c>
      <c r="AH46">
        <v>0.26800000000000002</v>
      </c>
      <c r="AI46">
        <v>0.218</v>
      </c>
    </row>
    <row r="47" spans="1:35" x14ac:dyDescent="0.25">
      <c r="A47" t="s">
        <v>1311</v>
      </c>
      <c r="B47" t="s">
        <v>32</v>
      </c>
      <c r="C47" s="25">
        <v>43702.592118055552</v>
      </c>
      <c r="D47" s="741" t="s">
        <v>969</v>
      </c>
      <c r="E47" s="424">
        <f t="array" ref="E47">SUMPRODUCT(IF(AMP3_2[[#This Row],[Dim 1_1]:[T 8]]-$F$4:$AI$4&lt;0,1,0)+IF($F$5:$AI$5-AMP3_2[[#This Row],[Dim 1_1]:[T 8]]&lt;0,1,0),IF(ISNUMBER(AMP3_2[[#This Row],[Dim 1_1]:[T 8]])=TRUE,1,0))</f>
        <v>0</v>
      </c>
      <c r="F47">
        <v>41.194000000000003</v>
      </c>
      <c r="G47">
        <v>41.396000000000001</v>
      </c>
      <c r="H47">
        <v>155.642</v>
      </c>
      <c r="I47">
        <v>155.68199999999999</v>
      </c>
      <c r="L47">
        <v>155.749</v>
      </c>
      <c r="M47">
        <v>155.52500000000001</v>
      </c>
      <c r="N47">
        <v>27.433</v>
      </c>
      <c r="O47">
        <v>27.51</v>
      </c>
      <c r="R47">
        <v>17.327999999999999</v>
      </c>
      <c r="S47">
        <v>17.369</v>
      </c>
      <c r="T47">
        <v>34.026000000000003</v>
      </c>
      <c r="U47">
        <v>34.53</v>
      </c>
      <c r="W47">
        <v>0.10199999999999999</v>
      </c>
      <c r="X47">
        <v>-0.13900000000000001</v>
      </c>
      <c r="Z47">
        <v>9.9000000000000005E-2</v>
      </c>
      <c r="AA47">
        <v>-0.122</v>
      </c>
      <c r="AB47">
        <v>9.9000000000000005E-2</v>
      </c>
      <c r="AC47">
        <v>0.10199999999999999</v>
      </c>
      <c r="AD47">
        <v>8.5000000000000006E-2</v>
      </c>
      <c r="AE47">
        <v>-0.13900000000000001</v>
      </c>
      <c r="AF47">
        <v>9.9000000000000005E-2</v>
      </c>
      <c r="AG47">
        <v>6.7000000000000004E-2</v>
      </c>
      <c r="AH47">
        <v>-0.122</v>
      </c>
      <c r="AI47">
        <v>1.7000000000000001E-2</v>
      </c>
    </row>
    <row r="48" spans="1:35" x14ac:dyDescent="0.25">
      <c r="A48" t="s">
        <v>1312</v>
      </c>
      <c r="B48" t="s">
        <v>31</v>
      </c>
      <c r="C48" s="25">
        <v>43702.593680555554</v>
      </c>
      <c r="D48" s="741" t="s">
        <v>969</v>
      </c>
      <c r="E48" s="424">
        <f t="array" ref="E48">SUMPRODUCT(IF(AMP3_2[[#This Row],[Dim 1_1]:[T 8]]-$F$4:$AI$4&lt;0,1,0)+IF($F$5:$AI$5-AMP3_2[[#This Row],[Dim 1_1]:[T 8]]&lt;0,1,0),IF(ISNUMBER(AMP3_2[[#This Row],[Dim 1_1]:[T 8]])=TRUE,1,0))</f>
        <v>0</v>
      </c>
      <c r="H48">
        <v>155.53299999999999</v>
      </c>
      <c r="I48">
        <v>155.506</v>
      </c>
      <c r="J48">
        <v>168.41800000000001</v>
      </c>
      <c r="K48">
        <v>168.49799999999999</v>
      </c>
      <c r="L48">
        <v>155.673</v>
      </c>
      <c r="M48">
        <v>155.45500000000001</v>
      </c>
      <c r="N48">
        <v>27.567</v>
      </c>
      <c r="O48">
        <v>27.760999999999999</v>
      </c>
      <c r="R48">
        <v>17.251000000000001</v>
      </c>
      <c r="S48">
        <v>17.306000000000001</v>
      </c>
      <c r="T48">
        <v>39.023000000000003</v>
      </c>
      <c r="U48">
        <v>39.716999999999999</v>
      </c>
      <c r="W48">
        <v>0.31900000000000001</v>
      </c>
      <c r="X48">
        <v>5.1999999999999998E-2</v>
      </c>
      <c r="Z48">
        <v>0.25900000000000001</v>
      </c>
      <c r="AA48">
        <v>0.16300000000000001</v>
      </c>
      <c r="AB48">
        <v>5.1999999999999998E-2</v>
      </c>
      <c r="AC48">
        <v>0.24199999999999999</v>
      </c>
      <c r="AD48">
        <v>0.11</v>
      </c>
      <c r="AE48">
        <v>0.31900000000000001</v>
      </c>
      <c r="AF48">
        <v>0.25900000000000001</v>
      </c>
      <c r="AG48">
        <v>0.16300000000000001</v>
      </c>
      <c r="AH48">
        <v>0.20100000000000001</v>
      </c>
      <c r="AI48">
        <v>0.19700000000000001</v>
      </c>
    </row>
    <row r="49" spans="1:35" x14ac:dyDescent="0.25">
      <c r="A49" t="s">
        <v>1313</v>
      </c>
      <c r="B49" t="s">
        <v>32</v>
      </c>
      <c r="C49" s="25">
        <v>43702.725844907407</v>
      </c>
      <c r="D49" s="741" t="s">
        <v>969</v>
      </c>
      <c r="E49" s="424">
        <f t="array" ref="E49">SUMPRODUCT(IF(AMP3_2[[#This Row],[Dim 1_1]:[T 8]]-$F$4:$AI$4&lt;0,1,0)+IF($F$5:$AI$5-AMP3_2[[#This Row],[Dim 1_1]:[T 8]]&lt;0,1,0),IF(ISNUMBER(AMP3_2[[#This Row],[Dim 1_1]:[T 8]])=TRUE,1,0))</f>
        <v>0</v>
      </c>
      <c r="F49">
        <v>41.034999999999997</v>
      </c>
      <c r="G49">
        <v>41.292999999999999</v>
      </c>
      <c r="H49">
        <v>155.81200000000001</v>
      </c>
      <c r="I49">
        <v>155.779</v>
      </c>
      <c r="L49">
        <v>155.89599999999999</v>
      </c>
      <c r="M49">
        <v>155.63300000000001</v>
      </c>
      <c r="N49">
        <v>27.263999999999999</v>
      </c>
      <c r="O49">
        <v>27.36</v>
      </c>
      <c r="R49">
        <v>17.353000000000002</v>
      </c>
      <c r="S49">
        <v>17.245999999999999</v>
      </c>
      <c r="T49">
        <v>33.927999999999997</v>
      </c>
      <c r="U49">
        <v>34.688000000000002</v>
      </c>
      <c r="W49">
        <v>0.19700000000000001</v>
      </c>
      <c r="X49">
        <v>-6.5000000000000002E-2</v>
      </c>
      <c r="Z49">
        <v>4.5999999999999999E-2</v>
      </c>
      <c r="AA49">
        <v>-0.1</v>
      </c>
      <c r="AB49">
        <v>-5.3999999999999999E-2</v>
      </c>
      <c r="AC49">
        <v>-6.5000000000000002E-2</v>
      </c>
      <c r="AD49">
        <v>0.19700000000000001</v>
      </c>
      <c r="AE49">
        <v>-1.0999999999999999E-2</v>
      </c>
      <c r="AF49">
        <v>-7.2999999999999995E-2</v>
      </c>
      <c r="AG49">
        <v>-0.1</v>
      </c>
      <c r="AH49">
        <v>-0.03</v>
      </c>
      <c r="AI49">
        <v>4.5999999999999999E-2</v>
      </c>
    </row>
    <row r="50" spans="1:35" x14ac:dyDescent="0.25">
      <c r="A50" t="s">
        <v>1314</v>
      </c>
      <c r="B50" t="s">
        <v>31</v>
      </c>
      <c r="C50" s="25">
        <v>43702.729143518518</v>
      </c>
      <c r="D50" s="741" t="s">
        <v>969</v>
      </c>
      <c r="E50" s="424">
        <f t="array" ref="E50">SUMPRODUCT(IF(AMP3_2[[#This Row],[Dim 1_1]:[T 8]]-$F$4:$AI$4&lt;0,1,0)+IF($F$5:$AI$5-AMP3_2[[#This Row],[Dim 1_1]:[T 8]]&lt;0,1,0),IF(ISNUMBER(AMP3_2[[#This Row],[Dim 1_1]:[T 8]])=TRUE,1,0))</f>
        <v>0</v>
      </c>
      <c r="H50">
        <v>155.62799999999999</v>
      </c>
      <c r="I50">
        <v>155.59899999999999</v>
      </c>
      <c r="J50">
        <v>168.41399999999999</v>
      </c>
      <c r="K50">
        <v>168.66499999999999</v>
      </c>
      <c r="L50">
        <v>155.786</v>
      </c>
      <c r="M50">
        <v>155.58799999999999</v>
      </c>
      <c r="N50">
        <v>27.456</v>
      </c>
      <c r="O50">
        <v>27.652999999999999</v>
      </c>
      <c r="R50">
        <v>17.283000000000001</v>
      </c>
      <c r="S50">
        <v>17.222000000000001</v>
      </c>
      <c r="T50">
        <v>34.765999999999998</v>
      </c>
      <c r="U50">
        <v>36.204999999999998</v>
      </c>
      <c r="W50">
        <v>0.32</v>
      </c>
      <c r="X50">
        <v>-8.3000000000000004E-2</v>
      </c>
      <c r="Z50">
        <v>0.218</v>
      </c>
      <c r="AA50">
        <v>8.0000000000000002E-3</v>
      </c>
      <c r="AB50">
        <v>-8.3000000000000004E-2</v>
      </c>
      <c r="AC50">
        <v>0.10199999999999999</v>
      </c>
      <c r="AD50">
        <v>0.16</v>
      </c>
      <c r="AE50">
        <v>0.32</v>
      </c>
      <c r="AF50">
        <v>0.105</v>
      </c>
      <c r="AG50">
        <v>8.0000000000000002E-3</v>
      </c>
      <c r="AH50">
        <v>0.218</v>
      </c>
      <c r="AI50">
        <v>0.19400000000000001</v>
      </c>
    </row>
    <row r="51" spans="1:35" x14ac:dyDescent="0.25">
      <c r="A51" t="s">
        <v>1502</v>
      </c>
      <c r="B51" t="s">
        <v>32</v>
      </c>
      <c r="C51" s="25">
        <v>43703.397546296299</v>
      </c>
      <c r="D51" s="741" t="s">
        <v>969</v>
      </c>
      <c r="E51" s="424">
        <f t="array" ref="E51">SUMPRODUCT(IF(AMP3_2[[#This Row],[Dim 1_1]:[T 8]]-$F$4:$AI$4&lt;0,1,0)+IF($F$5:$AI$5-AMP3_2[[#This Row],[Dim 1_1]:[T 8]]&lt;0,1,0),IF(ISNUMBER(AMP3_2[[#This Row],[Dim 1_1]:[T 8]])=TRUE,1,0))</f>
        <v>0</v>
      </c>
      <c r="F51">
        <v>41.276000000000003</v>
      </c>
      <c r="G51">
        <v>41.534999999999997</v>
      </c>
      <c r="H51">
        <v>155.75</v>
      </c>
      <c r="I51">
        <v>155.745</v>
      </c>
      <c r="L51">
        <v>155.76300000000001</v>
      </c>
      <c r="M51">
        <v>155.58000000000001</v>
      </c>
      <c r="N51">
        <v>27.463999999999999</v>
      </c>
      <c r="O51">
        <v>27.603999999999999</v>
      </c>
      <c r="R51">
        <v>17.265999999999998</v>
      </c>
      <c r="S51">
        <v>17.350000000000001</v>
      </c>
      <c r="T51">
        <v>34.276000000000003</v>
      </c>
      <c r="U51">
        <v>34.808999999999997</v>
      </c>
      <c r="W51">
        <v>0.16900000000000001</v>
      </c>
      <c r="X51">
        <v>-6.6000000000000003E-2</v>
      </c>
      <c r="Z51">
        <v>0.14799999999999999</v>
      </c>
      <c r="AA51">
        <v>-2.5000000000000001E-2</v>
      </c>
      <c r="AB51">
        <v>0.13600000000000001</v>
      </c>
      <c r="AC51">
        <v>0.12</v>
      </c>
      <c r="AD51">
        <v>0.16900000000000001</v>
      </c>
      <c r="AE51">
        <v>-6.6000000000000003E-2</v>
      </c>
      <c r="AF51">
        <v>7.1999999999999995E-2</v>
      </c>
      <c r="AG51">
        <v>7.9000000000000001E-2</v>
      </c>
      <c r="AH51">
        <v>-2.5000000000000001E-2</v>
      </c>
      <c r="AI51">
        <v>0.14799999999999999</v>
      </c>
    </row>
    <row r="52" spans="1:35" x14ac:dyDescent="0.25">
      <c r="A52" t="s">
        <v>1503</v>
      </c>
      <c r="B52" t="s">
        <v>31</v>
      </c>
      <c r="C52" s="25">
        <v>43703.399224537039</v>
      </c>
      <c r="D52" s="741" t="s">
        <v>969</v>
      </c>
      <c r="E52" s="424">
        <f t="array" ref="E52">SUMPRODUCT(IF(AMP3_2[[#This Row],[Dim 1_1]:[T 8]]-$F$4:$AI$4&lt;0,1,0)+IF($F$5:$AI$5-AMP3_2[[#This Row],[Dim 1_1]:[T 8]]&lt;0,1,0),IF(ISNUMBER(AMP3_2[[#This Row],[Dim 1_1]:[T 8]])=TRUE,1,0))</f>
        <v>0</v>
      </c>
      <c r="H52">
        <v>155.685</v>
      </c>
      <c r="I52">
        <v>155.61199999999999</v>
      </c>
      <c r="J52">
        <v>168.643</v>
      </c>
      <c r="K52">
        <v>168.77699999999999</v>
      </c>
      <c r="L52">
        <v>155.76900000000001</v>
      </c>
      <c r="M52">
        <v>155.51900000000001</v>
      </c>
      <c r="N52">
        <v>27.492000000000001</v>
      </c>
      <c r="O52">
        <v>27.754000000000001</v>
      </c>
      <c r="R52">
        <v>17.228000000000002</v>
      </c>
      <c r="S52">
        <v>17.18</v>
      </c>
      <c r="T52">
        <v>36.942999999999998</v>
      </c>
      <c r="U52">
        <v>36.710999999999999</v>
      </c>
      <c r="W52">
        <v>0.14799999999999999</v>
      </c>
      <c r="X52">
        <v>-8.0000000000000002E-3</v>
      </c>
      <c r="Z52">
        <v>0.25600000000000001</v>
      </c>
      <c r="AA52">
        <v>0.155</v>
      </c>
      <c r="AB52">
        <v>-8.0000000000000002E-3</v>
      </c>
      <c r="AC52">
        <v>0.13500000000000001</v>
      </c>
      <c r="AD52">
        <v>4.2000000000000003E-2</v>
      </c>
      <c r="AE52">
        <v>0.14799999999999999</v>
      </c>
      <c r="AF52">
        <v>0.22600000000000001</v>
      </c>
      <c r="AG52">
        <v>0.159</v>
      </c>
      <c r="AH52">
        <v>0.155</v>
      </c>
      <c r="AI52">
        <v>0.25600000000000001</v>
      </c>
    </row>
    <row r="53" spans="1:35" x14ac:dyDescent="0.25">
      <c r="A53" t="s">
        <v>1504</v>
      </c>
      <c r="B53" t="s">
        <v>32</v>
      </c>
      <c r="C53" s="25">
        <v>43703.497118055559</v>
      </c>
      <c r="D53" s="741" t="s">
        <v>969</v>
      </c>
      <c r="E53" s="424">
        <f t="array" ref="E53">SUMPRODUCT(IF(AMP3_2[[#This Row],[Dim 1_1]:[T 8]]-$F$4:$AI$4&lt;0,1,0)+IF($F$5:$AI$5-AMP3_2[[#This Row],[Dim 1_1]:[T 8]]&lt;0,1,0),IF(ISNUMBER(AMP3_2[[#This Row],[Dim 1_1]:[T 8]])=TRUE,1,0))</f>
        <v>0</v>
      </c>
      <c r="F53">
        <v>41.398000000000003</v>
      </c>
      <c r="G53">
        <v>41.472999999999999</v>
      </c>
      <c r="H53">
        <v>155.72800000000001</v>
      </c>
      <c r="I53">
        <v>155.73400000000001</v>
      </c>
      <c r="L53">
        <v>155.73699999999999</v>
      </c>
      <c r="M53">
        <v>155.54</v>
      </c>
      <c r="N53">
        <v>27.48</v>
      </c>
      <c r="O53">
        <v>27.591999999999999</v>
      </c>
      <c r="R53">
        <v>17.247</v>
      </c>
      <c r="S53">
        <v>17.420000000000002</v>
      </c>
      <c r="T53">
        <v>34.301000000000002</v>
      </c>
      <c r="U53">
        <v>34.692</v>
      </c>
      <c r="W53">
        <v>0.153</v>
      </c>
      <c r="X53">
        <v>-0.121</v>
      </c>
      <c r="Z53">
        <v>0.10100000000000001</v>
      </c>
      <c r="AA53">
        <v>-0.17</v>
      </c>
      <c r="AB53">
        <v>0.153</v>
      </c>
      <c r="AC53">
        <v>0.14599999999999999</v>
      </c>
      <c r="AD53">
        <v>4.4999999999999998E-2</v>
      </c>
      <c r="AE53">
        <v>-0.121</v>
      </c>
      <c r="AF53">
        <v>0.1</v>
      </c>
      <c r="AG53">
        <v>0.10100000000000001</v>
      </c>
      <c r="AH53">
        <v>-0.17</v>
      </c>
      <c r="AI53">
        <v>5.7000000000000002E-2</v>
      </c>
    </row>
    <row r="54" spans="1:35" x14ac:dyDescent="0.25">
      <c r="A54" t="s">
        <v>1505</v>
      </c>
      <c r="B54" t="s">
        <v>31</v>
      </c>
      <c r="C54" s="25">
        <v>43703.498692129629</v>
      </c>
      <c r="D54" s="741" t="s">
        <v>969</v>
      </c>
      <c r="E54" s="424">
        <f t="array" ref="E54">SUMPRODUCT(IF(AMP3_2[[#This Row],[Dim 1_1]:[T 8]]-$F$4:$AI$4&lt;0,1,0)+IF($F$5:$AI$5-AMP3_2[[#This Row],[Dim 1_1]:[T 8]]&lt;0,1,0),IF(ISNUMBER(AMP3_2[[#This Row],[Dim 1_1]:[T 8]])=TRUE,1,0))</f>
        <v>0</v>
      </c>
      <c r="H54">
        <v>155.66200000000001</v>
      </c>
      <c r="I54">
        <v>155.648</v>
      </c>
      <c r="J54">
        <v>168.67500000000001</v>
      </c>
      <c r="K54">
        <v>168.62299999999999</v>
      </c>
      <c r="L54">
        <v>155.72300000000001</v>
      </c>
      <c r="M54">
        <v>155.55099999999999</v>
      </c>
      <c r="N54">
        <v>27.52</v>
      </c>
      <c r="O54">
        <v>27.731999999999999</v>
      </c>
      <c r="R54">
        <v>17.22</v>
      </c>
      <c r="S54">
        <v>17.251999999999999</v>
      </c>
      <c r="T54">
        <v>36.957000000000001</v>
      </c>
      <c r="U54">
        <v>38.003999999999998</v>
      </c>
      <c r="W54">
        <v>0.16300000000000001</v>
      </c>
      <c r="X54">
        <v>1.2E-2</v>
      </c>
      <c r="Z54">
        <v>0.214</v>
      </c>
      <c r="AA54">
        <v>0.106</v>
      </c>
      <c r="AB54">
        <v>2.3E-2</v>
      </c>
      <c r="AC54">
        <v>0.16</v>
      </c>
      <c r="AD54">
        <v>1.2E-2</v>
      </c>
      <c r="AE54">
        <v>0.16300000000000001</v>
      </c>
      <c r="AF54">
        <v>0.214</v>
      </c>
      <c r="AG54">
        <v>0.151</v>
      </c>
      <c r="AH54">
        <v>0.106</v>
      </c>
      <c r="AI54">
        <v>0.19600000000000001</v>
      </c>
    </row>
    <row r="55" spans="1:35" x14ac:dyDescent="0.25">
      <c r="A55" t="s">
        <v>1506</v>
      </c>
      <c r="B55" t="s">
        <v>32</v>
      </c>
      <c r="C55" s="25">
        <v>43703.5784375</v>
      </c>
      <c r="D55" s="741" t="s">
        <v>969</v>
      </c>
      <c r="E55" s="424">
        <f t="array" ref="E55">SUMPRODUCT(IF(AMP3_2[[#This Row],[Dim 1_1]:[T 8]]-$F$4:$AI$4&lt;0,1,0)+IF($F$5:$AI$5-AMP3_2[[#This Row],[Dim 1_1]:[T 8]]&lt;0,1,0),IF(ISNUMBER(AMP3_2[[#This Row],[Dim 1_1]:[T 8]])=TRUE,1,0))</f>
        <v>0</v>
      </c>
      <c r="F55">
        <v>41.359000000000002</v>
      </c>
      <c r="G55">
        <v>41.347000000000001</v>
      </c>
      <c r="H55">
        <v>155.75399999999999</v>
      </c>
      <c r="I55">
        <v>155.785</v>
      </c>
      <c r="L55">
        <v>155.75299999999999</v>
      </c>
      <c r="M55">
        <v>155.577</v>
      </c>
      <c r="N55">
        <v>27.459</v>
      </c>
      <c r="O55">
        <v>27.552</v>
      </c>
      <c r="R55">
        <v>17.238</v>
      </c>
      <c r="S55">
        <v>17.329999999999998</v>
      </c>
      <c r="T55">
        <v>34.290999999999997</v>
      </c>
      <c r="U55">
        <v>34.735999999999997</v>
      </c>
      <c r="W55">
        <v>0.11899999999999999</v>
      </c>
      <c r="X55">
        <v>-0.14699999999999999</v>
      </c>
      <c r="Z55">
        <v>0.129</v>
      </c>
      <c r="AA55">
        <v>-3.9E-2</v>
      </c>
      <c r="AB55">
        <v>6.8000000000000005E-2</v>
      </c>
      <c r="AC55">
        <v>0.11899999999999999</v>
      </c>
      <c r="AD55">
        <v>0.11</v>
      </c>
      <c r="AE55">
        <v>-0.14699999999999999</v>
      </c>
      <c r="AF55">
        <v>0.129</v>
      </c>
      <c r="AG55">
        <v>0.106</v>
      </c>
      <c r="AH55">
        <v>-3.9E-2</v>
      </c>
      <c r="AI55">
        <v>0.125</v>
      </c>
    </row>
    <row r="56" spans="1:35" x14ac:dyDescent="0.25">
      <c r="A56" t="s">
        <v>1507</v>
      </c>
      <c r="B56" t="s">
        <v>31</v>
      </c>
      <c r="C56" s="25">
        <v>43703.580011574071</v>
      </c>
      <c r="D56" s="741" t="s">
        <v>969</v>
      </c>
      <c r="E56" s="424">
        <f t="array" ref="E56">SUMPRODUCT(IF(AMP3_2[[#This Row],[Dim 1_1]:[T 8]]-$F$4:$AI$4&lt;0,1,0)+IF($F$5:$AI$5-AMP3_2[[#This Row],[Dim 1_1]:[T 8]]&lt;0,1,0),IF(ISNUMBER(AMP3_2[[#This Row],[Dim 1_1]:[T 8]])=TRUE,1,0))</f>
        <v>0</v>
      </c>
      <c r="H56">
        <v>155.69800000000001</v>
      </c>
      <c r="I56">
        <v>155.67099999999999</v>
      </c>
      <c r="J56">
        <v>168.65600000000001</v>
      </c>
      <c r="K56">
        <v>168.70500000000001</v>
      </c>
      <c r="L56">
        <v>155.749</v>
      </c>
      <c r="M56">
        <v>155.56800000000001</v>
      </c>
      <c r="N56">
        <v>27.495000000000001</v>
      </c>
      <c r="O56">
        <v>27.698</v>
      </c>
      <c r="R56">
        <v>17.233000000000001</v>
      </c>
      <c r="S56">
        <v>17.242999999999999</v>
      </c>
      <c r="T56">
        <v>37.411000000000001</v>
      </c>
      <c r="U56">
        <v>38.462000000000003</v>
      </c>
      <c r="W56">
        <v>0.14799999999999999</v>
      </c>
      <c r="X56">
        <v>3.0000000000000001E-3</v>
      </c>
      <c r="Z56">
        <v>0.16400000000000001</v>
      </c>
      <c r="AA56">
        <v>6.6000000000000003E-2</v>
      </c>
      <c r="AB56">
        <v>3.0000000000000001E-3</v>
      </c>
      <c r="AC56">
        <v>0.14799999999999999</v>
      </c>
      <c r="AD56">
        <v>3.9E-2</v>
      </c>
      <c r="AE56">
        <v>0.11</v>
      </c>
      <c r="AF56">
        <v>0.16400000000000001</v>
      </c>
      <c r="AG56">
        <v>8.7999999999999995E-2</v>
      </c>
      <c r="AH56">
        <v>6.6000000000000003E-2</v>
      </c>
      <c r="AI56">
        <v>0.14199999999999999</v>
      </c>
    </row>
    <row r="57" spans="1:35" x14ac:dyDescent="0.25">
      <c r="A57" t="s">
        <v>1508</v>
      </c>
      <c r="B57" t="s">
        <v>32</v>
      </c>
      <c r="C57" s="25">
        <v>43703.692094907405</v>
      </c>
      <c r="D57" s="741" t="s">
        <v>969</v>
      </c>
      <c r="E57" s="424">
        <f t="array" ref="E57">SUMPRODUCT(IF(AMP3_2[[#This Row],[Dim 1_1]:[T 8]]-$F$4:$AI$4&lt;0,1,0)+IF($F$5:$AI$5-AMP3_2[[#This Row],[Dim 1_1]:[T 8]]&lt;0,1,0),IF(ISNUMBER(AMP3_2[[#This Row],[Dim 1_1]:[T 8]])=TRUE,1,0))</f>
        <v>0</v>
      </c>
      <c r="F57">
        <v>41.274000000000001</v>
      </c>
      <c r="G57">
        <v>41.302</v>
      </c>
      <c r="H57">
        <v>155.804</v>
      </c>
      <c r="I57">
        <v>155.798</v>
      </c>
      <c r="L57">
        <v>155.82599999999999</v>
      </c>
      <c r="M57">
        <v>155.63200000000001</v>
      </c>
      <c r="N57">
        <v>27.388999999999999</v>
      </c>
      <c r="O57">
        <v>27.486999999999998</v>
      </c>
      <c r="R57">
        <v>17.234000000000002</v>
      </c>
      <c r="S57">
        <v>17.334</v>
      </c>
      <c r="T57">
        <v>34.241</v>
      </c>
      <c r="U57">
        <v>34.506999999999998</v>
      </c>
      <c r="W57">
        <v>4.4999999999999998E-2</v>
      </c>
      <c r="X57">
        <v>-0.16200000000000001</v>
      </c>
      <c r="Z57">
        <v>2.9000000000000001E-2</v>
      </c>
      <c r="AA57">
        <v>-0.115</v>
      </c>
      <c r="AB57">
        <v>4.4999999999999998E-2</v>
      </c>
      <c r="AC57">
        <v>2.7E-2</v>
      </c>
      <c r="AD57">
        <v>4.4999999999999998E-2</v>
      </c>
      <c r="AE57">
        <v>-0.16200000000000001</v>
      </c>
      <c r="AF57">
        <v>2.1999999999999999E-2</v>
      </c>
      <c r="AG57">
        <v>6.0000000000000001E-3</v>
      </c>
      <c r="AH57">
        <v>-0.115</v>
      </c>
      <c r="AI57">
        <v>2.9000000000000001E-2</v>
      </c>
    </row>
    <row r="58" spans="1:35" x14ac:dyDescent="0.25">
      <c r="A58" t="s">
        <v>1509</v>
      </c>
      <c r="B58" t="s">
        <v>31</v>
      </c>
      <c r="C58" s="25">
        <v>43703.693668981483</v>
      </c>
      <c r="D58" s="741" t="s">
        <v>969</v>
      </c>
      <c r="E58" s="424">
        <f t="array" ref="E58">SUMPRODUCT(IF(AMP3_2[[#This Row],[Dim 1_1]:[T 8]]-$F$4:$AI$4&lt;0,1,0)+IF($F$5:$AI$5-AMP3_2[[#This Row],[Dim 1_1]:[T 8]]&lt;0,1,0),IF(ISNUMBER(AMP3_2[[#This Row],[Dim 1_1]:[T 8]])=TRUE,1,0))</f>
        <v>0</v>
      </c>
      <c r="H58">
        <v>155.77199999999999</v>
      </c>
      <c r="I58">
        <v>155.73699999999999</v>
      </c>
      <c r="J58">
        <v>168.63499999999999</v>
      </c>
      <c r="K58">
        <v>168.667</v>
      </c>
      <c r="L58">
        <v>155.80500000000001</v>
      </c>
      <c r="M58">
        <v>155.63300000000001</v>
      </c>
      <c r="N58">
        <v>27.433</v>
      </c>
      <c r="O58">
        <v>27.640999999999998</v>
      </c>
      <c r="R58">
        <v>17.215</v>
      </c>
      <c r="S58">
        <v>17.292999999999999</v>
      </c>
      <c r="T58">
        <v>37.021999999999998</v>
      </c>
      <c r="U58">
        <v>37.252000000000002</v>
      </c>
      <c r="W58">
        <v>6.7000000000000004E-2</v>
      </c>
      <c r="X58">
        <v>-0.10299999999999999</v>
      </c>
      <c r="Z58">
        <v>9.0999999999999998E-2</v>
      </c>
      <c r="AA58">
        <v>-4.2000000000000003E-2</v>
      </c>
      <c r="AB58">
        <v>-8.1000000000000003E-2</v>
      </c>
      <c r="AC58">
        <v>6.7000000000000004E-2</v>
      </c>
      <c r="AD58">
        <v>-0.10299999999999999</v>
      </c>
      <c r="AE58">
        <v>-2.1000000000000001E-2</v>
      </c>
      <c r="AF58">
        <v>9.0999999999999998E-2</v>
      </c>
      <c r="AG58">
        <v>2.9000000000000001E-2</v>
      </c>
      <c r="AH58">
        <v>-4.2000000000000003E-2</v>
      </c>
      <c r="AI58">
        <v>2.1000000000000001E-2</v>
      </c>
    </row>
    <row r="59" spans="1:35" x14ac:dyDescent="0.25">
      <c r="A59" t="s">
        <v>1510</v>
      </c>
      <c r="B59" t="s">
        <v>32</v>
      </c>
      <c r="C59" s="25">
        <v>43703.749803240738</v>
      </c>
      <c r="D59" s="741" t="s">
        <v>969</v>
      </c>
      <c r="E59" s="424">
        <f t="array" ref="E59">SUMPRODUCT(IF(AMP3_2[[#This Row],[Dim 1_1]:[T 8]]-$F$4:$AI$4&lt;0,1,0)+IF($F$5:$AI$5-AMP3_2[[#This Row],[Dim 1_1]:[T 8]]&lt;0,1,0),IF(ISNUMBER(AMP3_2[[#This Row],[Dim 1_1]:[T 8]])=TRUE,1,0))</f>
        <v>0</v>
      </c>
      <c r="F59">
        <v>41.335000000000001</v>
      </c>
      <c r="G59">
        <v>41.427</v>
      </c>
      <c r="H59">
        <v>155.822</v>
      </c>
      <c r="I59">
        <v>155.77199999999999</v>
      </c>
      <c r="L59">
        <v>155.83500000000001</v>
      </c>
      <c r="M59">
        <v>155.601</v>
      </c>
      <c r="N59">
        <v>27.370999999999999</v>
      </c>
      <c r="O59">
        <v>27.48</v>
      </c>
      <c r="R59">
        <v>17.25</v>
      </c>
      <c r="S59">
        <v>17.324999999999999</v>
      </c>
      <c r="T59">
        <v>34.215000000000003</v>
      </c>
      <c r="U59">
        <v>34.465000000000003</v>
      </c>
      <c r="W59">
        <v>0.107</v>
      </c>
      <c r="X59">
        <v>-8.7999999999999995E-2</v>
      </c>
      <c r="Z59">
        <v>1.7999999999999999E-2</v>
      </c>
      <c r="AA59">
        <v>-9.2999999999999999E-2</v>
      </c>
      <c r="AB59">
        <v>7.9000000000000001E-2</v>
      </c>
      <c r="AC59">
        <v>7.8E-2</v>
      </c>
      <c r="AD59">
        <v>0.107</v>
      </c>
      <c r="AE59">
        <v>-8.7999999999999995E-2</v>
      </c>
      <c r="AF59">
        <v>4.0000000000000001E-3</v>
      </c>
      <c r="AG59">
        <v>-3.1E-2</v>
      </c>
      <c r="AH59">
        <v>-9.2999999999999999E-2</v>
      </c>
      <c r="AI59">
        <v>1.7999999999999999E-2</v>
      </c>
    </row>
    <row r="60" spans="1:35" x14ac:dyDescent="0.25">
      <c r="A60" t="s">
        <v>1511</v>
      </c>
      <c r="B60" t="s">
        <v>31</v>
      </c>
      <c r="C60" s="25">
        <v>43703.75167824074</v>
      </c>
      <c r="D60" s="741" t="s">
        <v>969</v>
      </c>
      <c r="E60" s="424">
        <f t="array" ref="E60">SUMPRODUCT(IF(AMP3_2[[#This Row],[Dim 1_1]:[T 8]]-$F$4:$AI$4&lt;0,1,0)+IF($F$5:$AI$5-AMP3_2[[#This Row],[Dim 1_1]:[T 8]]&lt;0,1,0),IF(ISNUMBER(AMP3_2[[#This Row],[Dim 1_1]:[T 8]])=TRUE,1,0))</f>
        <v>0</v>
      </c>
      <c r="H60">
        <v>155.74799999999999</v>
      </c>
      <c r="I60">
        <v>155.73699999999999</v>
      </c>
      <c r="J60">
        <v>168.714</v>
      </c>
      <c r="K60">
        <v>168.72300000000001</v>
      </c>
      <c r="L60">
        <v>155.82499999999999</v>
      </c>
      <c r="M60">
        <v>155.678</v>
      </c>
      <c r="N60">
        <v>27.437000000000001</v>
      </c>
      <c r="O60">
        <v>27.614999999999998</v>
      </c>
      <c r="R60">
        <v>17.207999999999998</v>
      </c>
      <c r="S60">
        <v>17.192</v>
      </c>
      <c r="T60">
        <v>37.609000000000002</v>
      </c>
      <c r="U60">
        <v>38.984000000000002</v>
      </c>
      <c r="W60">
        <v>1.2999999999999999E-2</v>
      </c>
      <c r="X60">
        <v>-0.14299999999999999</v>
      </c>
      <c r="Z60">
        <v>6.4000000000000001E-2</v>
      </c>
      <c r="AA60">
        <v>-1.0999999999999999E-2</v>
      </c>
      <c r="AB60">
        <v>-0.14299999999999999</v>
      </c>
      <c r="AC60">
        <v>1.2999999999999999E-2</v>
      </c>
      <c r="AD60">
        <v>-0.109</v>
      </c>
      <c r="AE60">
        <v>-4.2999999999999997E-2</v>
      </c>
      <c r="AF60">
        <v>6.4000000000000001E-2</v>
      </c>
      <c r="AG60">
        <v>-1.0999999999999999E-2</v>
      </c>
      <c r="AH60">
        <v>-7.0000000000000001E-3</v>
      </c>
      <c r="AI60">
        <v>4.1000000000000002E-2</v>
      </c>
    </row>
    <row r="61" spans="1:35" x14ac:dyDescent="0.25">
      <c r="A61" t="s">
        <v>1512</v>
      </c>
      <c r="B61" t="s">
        <v>32</v>
      </c>
      <c r="C61" s="25">
        <v>43703.843657407408</v>
      </c>
      <c r="D61" s="741" t="s">
        <v>969</v>
      </c>
      <c r="E61" s="424">
        <f t="array" ref="E61">SUMPRODUCT(IF(AMP3_2[[#This Row],[Dim 1_1]:[T 8]]-$F$4:$AI$4&lt;0,1,0)+IF($F$5:$AI$5-AMP3_2[[#This Row],[Dim 1_1]:[T 8]]&lt;0,1,0),IF(ISNUMBER(AMP3_2[[#This Row],[Dim 1_1]:[T 8]])=TRUE,1,0))</f>
        <v>0</v>
      </c>
      <c r="F61">
        <v>41.24</v>
      </c>
      <c r="G61">
        <v>41.441000000000003</v>
      </c>
      <c r="H61">
        <v>155.83600000000001</v>
      </c>
      <c r="I61">
        <v>155.797</v>
      </c>
      <c r="L61">
        <v>155.874</v>
      </c>
      <c r="M61">
        <v>155.625</v>
      </c>
      <c r="N61">
        <v>27.35</v>
      </c>
      <c r="O61">
        <v>27.538</v>
      </c>
      <c r="R61">
        <v>17.219000000000001</v>
      </c>
      <c r="S61">
        <v>17.321000000000002</v>
      </c>
      <c r="T61">
        <v>34.341000000000001</v>
      </c>
      <c r="U61">
        <v>34.470999999999997</v>
      </c>
      <c r="W61">
        <v>0.109</v>
      </c>
      <c r="X61">
        <v>-0.08</v>
      </c>
      <c r="Z61">
        <v>2.7E-2</v>
      </c>
      <c r="AA61">
        <v>-0.125</v>
      </c>
      <c r="AB61">
        <v>2.3E-2</v>
      </c>
      <c r="AC61">
        <v>2.8000000000000001E-2</v>
      </c>
      <c r="AD61">
        <v>0.109</v>
      </c>
      <c r="AE61">
        <v>-0.08</v>
      </c>
      <c r="AF61">
        <v>-1.2E-2</v>
      </c>
      <c r="AG61">
        <v>-5.1999999999999998E-2</v>
      </c>
      <c r="AH61">
        <v>-0.125</v>
      </c>
      <c r="AI61">
        <v>2.7E-2</v>
      </c>
    </row>
    <row r="62" spans="1:35" x14ac:dyDescent="0.25">
      <c r="A62" t="s">
        <v>1513</v>
      </c>
      <c r="B62" t="s">
        <v>31</v>
      </c>
      <c r="C62" s="25">
        <v>43703.845266203702</v>
      </c>
      <c r="D62" s="741" t="s">
        <v>969</v>
      </c>
      <c r="E62" s="424">
        <f t="array" ref="E62">SUMPRODUCT(IF(AMP3_2[[#This Row],[Dim 1_1]:[T 8]]-$F$4:$AI$4&lt;0,1,0)+IF($F$5:$AI$5-AMP3_2[[#This Row],[Dim 1_1]:[T 8]]&lt;0,1,0),IF(ISNUMBER(AMP3_2[[#This Row],[Dim 1_1]:[T 8]])=TRUE,1,0))</f>
        <v>0</v>
      </c>
      <c r="H62">
        <v>155.76</v>
      </c>
      <c r="I62">
        <v>155.78700000000001</v>
      </c>
      <c r="J62">
        <v>168.61099999999999</v>
      </c>
      <c r="K62">
        <v>168.76300000000001</v>
      </c>
      <c r="L62">
        <v>155.82599999999999</v>
      </c>
      <c r="M62">
        <v>155.68899999999999</v>
      </c>
      <c r="N62">
        <v>27.407</v>
      </c>
      <c r="O62">
        <v>27.594999999999999</v>
      </c>
      <c r="R62">
        <v>17.216999999999999</v>
      </c>
      <c r="S62">
        <v>17.279</v>
      </c>
      <c r="T62">
        <v>35.081000000000003</v>
      </c>
      <c r="U62">
        <v>36.680999999999997</v>
      </c>
      <c r="W62">
        <v>2.5999999999999999E-2</v>
      </c>
      <c r="X62">
        <v>-0.17499999999999999</v>
      </c>
      <c r="Z62">
        <v>6.5000000000000002E-2</v>
      </c>
      <c r="AA62">
        <v>-8.6999999999999994E-2</v>
      </c>
      <c r="AB62">
        <v>-0.127</v>
      </c>
      <c r="AC62">
        <v>2.5999999999999999E-2</v>
      </c>
      <c r="AD62">
        <v>-0.17499999999999999</v>
      </c>
      <c r="AE62">
        <v>-0.104</v>
      </c>
      <c r="AF62">
        <v>6.5000000000000002E-2</v>
      </c>
      <c r="AG62">
        <v>-1.4999999999999999E-2</v>
      </c>
      <c r="AH62">
        <v>-8.6999999999999994E-2</v>
      </c>
      <c r="AI62">
        <v>-4.8000000000000001E-2</v>
      </c>
    </row>
    <row r="63" spans="1:35" x14ac:dyDescent="0.25">
      <c r="A63" t="s">
        <v>1514</v>
      </c>
      <c r="B63" t="s">
        <v>32</v>
      </c>
      <c r="C63" s="25">
        <v>43703.916435185187</v>
      </c>
      <c r="D63" s="741" t="s">
        <v>969</v>
      </c>
      <c r="E63" s="424">
        <f t="array" ref="E63">SUMPRODUCT(IF(AMP3_2[[#This Row],[Dim 1_1]:[T 8]]-$F$4:$AI$4&lt;0,1,0)+IF($F$5:$AI$5-AMP3_2[[#This Row],[Dim 1_1]:[T 8]]&lt;0,1,0),IF(ISNUMBER(AMP3_2[[#This Row],[Dim 1_1]:[T 8]])=TRUE,1,0))</f>
        <v>0</v>
      </c>
      <c r="F63">
        <v>41.167999999999999</v>
      </c>
      <c r="G63">
        <v>41.237000000000002</v>
      </c>
      <c r="H63">
        <v>155.84899999999999</v>
      </c>
      <c r="I63">
        <v>155.82300000000001</v>
      </c>
      <c r="L63">
        <v>155.893</v>
      </c>
      <c r="M63">
        <v>155.69200000000001</v>
      </c>
      <c r="N63">
        <v>27.309000000000001</v>
      </c>
      <c r="O63">
        <v>27.439</v>
      </c>
      <c r="R63">
        <v>17.225999999999999</v>
      </c>
      <c r="S63">
        <v>17.234000000000002</v>
      </c>
      <c r="T63">
        <v>34.17</v>
      </c>
      <c r="U63">
        <v>34.710999999999999</v>
      </c>
      <c r="W63">
        <v>5.2999999999999999E-2</v>
      </c>
      <c r="X63">
        <v>-0.16700000000000001</v>
      </c>
      <c r="Z63">
        <v>0.124</v>
      </c>
      <c r="AA63">
        <v>-2.4E-2</v>
      </c>
      <c r="AB63">
        <v>-7.5999999999999998E-2</v>
      </c>
      <c r="AC63">
        <v>-7.3999999999999996E-2</v>
      </c>
      <c r="AD63">
        <v>5.2999999999999999E-2</v>
      </c>
      <c r="AE63">
        <v>-0.16700000000000001</v>
      </c>
      <c r="AF63">
        <v>-1.7000000000000001E-2</v>
      </c>
      <c r="AG63">
        <v>-2.4E-2</v>
      </c>
      <c r="AH63">
        <v>-1.4E-2</v>
      </c>
      <c r="AI63">
        <v>0.124</v>
      </c>
    </row>
    <row r="64" spans="1:35" x14ac:dyDescent="0.25">
      <c r="A64" t="s">
        <v>1515</v>
      </c>
      <c r="B64" t="s">
        <v>31</v>
      </c>
      <c r="C64" s="25">
        <v>43703.918553240743</v>
      </c>
      <c r="D64" s="741" t="s">
        <v>969</v>
      </c>
      <c r="E64" s="424">
        <f t="array" ref="E64">SUMPRODUCT(IF(AMP3_2[[#This Row],[Dim 1_1]:[T 8]]-$F$4:$AI$4&lt;0,1,0)+IF($F$5:$AI$5-AMP3_2[[#This Row],[Dim 1_1]:[T 8]]&lt;0,1,0),IF(ISNUMBER(AMP3_2[[#This Row],[Dim 1_1]:[T 8]])=TRUE,1,0))</f>
        <v>0</v>
      </c>
      <c r="H64">
        <v>155.81399999999999</v>
      </c>
      <c r="I64">
        <v>155.767</v>
      </c>
      <c r="J64">
        <v>168.48500000000001</v>
      </c>
      <c r="K64">
        <v>168.62</v>
      </c>
      <c r="L64">
        <v>155.89400000000001</v>
      </c>
      <c r="M64">
        <v>155.69499999999999</v>
      </c>
      <c r="N64">
        <v>27.382000000000001</v>
      </c>
      <c r="O64">
        <v>27.632999999999999</v>
      </c>
      <c r="R64">
        <v>17.212</v>
      </c>
      <c r="S64">
        <v>17.239000000000001</v>
      </c>
      <c r="T64">
        <v>35.11</v>
      </c>
      <c r="U64">
        <v>38.061999999999998</v>
      </c>
      <c r="W64">
        <v>5.2999999999999999E-2</v>
      </c>
      <c r="X64">
        <v>-0.10199999999999999</v>
      </c>
      <c r="Z64">
        <v>0.11600000000000001</v>
      </c>
      <c r="AA64">
        <v>2E-3</v>
      </c>
      <c r="AB64">
        <v>-0.10199999999999999</v>
      </c>
      <c r="AC64">
        <v>5.2999999999999999E-2</v>
      </c>
      <c r="AD64">
        <v>1.2E-2</v>
      </c>
      <c r="AE64">
        <v>4.2999999999999997E-2</v>
      </c>
      <c r="AF64">
        <v>8.5999999999999993E-2</v>
      </c>
      <c r="AG64">
        <v>2E-3</v>
      </c>
      <c r="AH64">
        <v>0.09</v>
      </c>
      <c r="AI64">
        <v>0.11600000000000001</v>
      </c>
    </row>
    <row r="65" spans="1:35" x14ac:dyDescent="0.25">
      <c r="A65" t="s">
        <v>1516</v>
      </c>
      <c r="B65" t="s">
        <v>32</v>
      </c>
      <c r="C65" s="25">
        <v>43704.001875000002</v>
      </c>
      <c r="D65" s="741" t="s">
        <v>969</v>
      </c>
      <c r="E65" s="424">
        <f t="array" ref="E65">SUMPRODUCT(IF(AMP3_2[[#This Row],[Dim 1_1]:[T 8]]-$F$4:$AI$4&lt;0,1,0)+IF($F$5:$AI$5-AMP3_2[[#This Row],[Dim 1_1]:[T 8]]&lt;0,1,0),IF(ISNUMBER(AMP3_2[[#This Row],[Dim 1_1]:[T 8]])=TRUE,1,0))</f>
        <v>0</v>
      </c>
      <c r="F65">
        <v>41.226999999999997</v>
      </c>
      <c r="G65">
        <v>41.290999999999997</v>
      </c>
      <c r="H65">
        <v>155.92400000000001</v>
      </c>
      <c r="I65">
        <v>155.84</v>
      </c>
      <c r="L65">
        <v>155.923</v>
      </c>
      <c r="M65">
        <v>155.65899999999999</v>
      </c>
      <c r="N65">
        <v>27.314</v>
      </c>
      <c r="O65">
        <v>27.497</v>
      </c>
      <c r="R65">
        <v>17.228000000000002</v>
      </c>
      <c r="S65">
        <v>17.178000000000001</v>
      </c>
      <c r="T65">
        <v>34.168999999999997</v>
      </c>
      <c r="U65">
        <v>34.729999999999997</v>
      </c>
      <c r="W65">
        <v>0.23400000000000001</v>
      </c>
      <c r="X65">
        <v>2.1000000000000001E-2</v>
      </c>
      <c r="Z65">
        <v>0.109</v>
      </c>
      <c r="AA65">
        <v>-0.105</v>
      </c>
      <c r="AB65">
        <v>4.9000000000000002E-2</v>
      </c>
      <c r="AC65">
        <v>5.3999999999999999E-2</v>
      </c>
      <c r="AD65">
        <v>0.23400000000000001</v>
      </c>
      <c r="AE65">
        <v>2.1000000000000001E-2</v>
      </c>
      <c r="AF65">
        <v>-5.2999999999999999E-2</v>
      </c>
      <c r="AG65">
        <v>-0.105</v>
      </c>
      <c r="AH65">
        <v>-3.4000000000000002E-2</v>
      </c>
      <c r="AI65">
        <v>0.109</v>
      </c>
    </row>
    <row r="66" spans="1:35" x14ac:dyDescent="0.25">
      <c r="A66" t="s">
        <v>1517</v>
      </c>
      <c r="B66" t="s">
        <v>31</v>
      </c>
      <c r="C66" s="25">
        <v>43704.00341435185</v>
      </c>
      <c r="D66" s="741" t="s">
        <v>969</v>
      </c>
      <c r="E66" s="424">
        <f t="array" ref="E66">SUMPRODUCT(IF(AMP3_2[[#This Row],[Dim 1_1]:[T 8]]-$F$4:$AI$4&lt;0,1,0)+IF($F$5:$AI$5-AMP3_2[[#This Row],[Dim 1_1]:[T 8]]&lt;0,1,0),IF(ISNUMBER(AMP3_2[[#This Row],[Dim 1_1]:[T 8]])=TRUE,1,0))</f>
        <v>0</v>
      </c>
      <c r="H66">
        <v>155.81899999999999</v>
      </c>
      <c r="I66">
        <v>155.82400000000001</v>
      </c>
      <c r="J66">
        <v>168.672</v>
      </c>
      <c r="K66">
        <v>168.74</v>
      </c>
      <c r="L66">
        <v>155.864</v>
      </c>
      <c r="M66">
        <v>155.72300000000001</v>
      </c>
      <c r="N66">
        <v>27.353999999999999</v>
      </c>
      <c r="O66">
        <v>27.585000000000001</v>
      </c>
      <c r="R66">
        <v>17.225999999999999</v>
      </c>
      <c r="S66">
        <v>17.216999999999999</v>
      </c>
      <c r="T66">
        <v>35.856999999999999</v>
      </c>
      <c r="U66">
        <v>37.58</v>
      </c>
      <c r="W66">
        <v>-4.3999999999999997E-2</v>
      </c>
      <c r="X66">
        <v>-0.189</v>
      </c>
      <c r="Z66">
        <v>2.8000000000000001E-2</v>
      </c>
      <c r="AA66">
        <v>-0.09</v>
      </c>
      <c r="AB66">
        <v>-0.189</v>
      </c>
      <c r="AC66">
        <v>-4.3999999999999997E-2</v>
      </c>
      <c r="AD66">
        <v>-0.08</v>
      </c>
      <c r="AE66">
        <v>-4.5999999999999999E-2</v>
      </c>
      <c r="AF66">
        <v>-1.7000000000000001E-2</v>
      </c>
      <c r="AG66">
        <v>-0.09</v>
      </c>
      <c r="AH66">
        <v>-7.0000000000000001E-3</v>
      </c>
      <c r="AI66">
        <v>2.8000000000000001E-2</v>
      </c>
    </row>
    <row r="67" spans="1:35" x14ac:dyDescent="0.25">
      <c r="A67" t="s">
        <v>1518</v>
      </c>
      <c r="B67" t="s">
        <v>32</v>
      </c>
      <c r="C67" s="25">
        <v>43704.30673611111</v>
      </c>
      <c r="D67" s="741" t="s">
        <v>969</v>
      </c>
      <c r="E67" s="424">
        <f t="array" ref="E67">SUMPRODUCT(IF(AMP3_2[[#This Row],[Dim 1_1]:[T 8]]-$F$4:$AI$4&lt;0,1,0)+IF($F$5:$AI$5-AMP3_2[[#This Row],[Dim 1_1]:[T 8]]&lt;0,1,0),IF(ISNUMBER(AMP3_2[[#This Row],[Dim 1_1]:[T 8]])=TRUE,1,0))</f>
        <v>0</v>
      </c>
      <c r="F67">
        <v>41.203000000000003</v>
      </c>
      <c r="G67">
        <v>41.317</v>
      </c>
      <c r="H67">
        <v>155.88900000000001</v>
      </c>
      <c r="I67">
        <v>155.875</v>
      </c>
      <c r="L67">
        <v>155.916</v>
      </c>
      <c r="M67">
        <v>155.67400000000001</v>
      </c>
      <c r="N67">
        <v>27.300999999999998</v>
      </c>
      <c r="O67">
        <v>27.449000000000002</v>
      </c>
      <c r="R67">
        <v>17.239999999999998</v>
      </c>
      <c r="S67">
        <v>17.291</v>
      </c>
      <c r="T67">
        <v>34.270000000000003</v>
      </c>
      <c r="U67">
        <v>34.774000000000001</v>
      </c>
      <c r="W67">
        <v>7.8E-2</v>
      </c>
      <c r="X67">
        <v>-0.222</v>
      </c>
      <c r="Z67">
        <v>5.5E-2</v>
      </c>
      <c r="AA67">
        <v>-8.5000000000000006E-2</v>
      </c>
      <c r="AB67">
        <v>3.2000000000000001E-2</v>
      </c>
      <c r="AC67">
        <v>1.4E-2</v>
      </c>
      <c r="AD67">
        <v>7.8E-2</v>
      </c>
      <c r="AE67">
        <v>-0.222</v>
      </c>
      <c r="AF67">
        <v>1.4E-2</v>
      </c>
      <c r="AG67">
        <v>-2.1000000000000001E-2</v>
      </c>
      <c r="AH67">
        <v>-8.5000000000000006E-2</v>
      </c>
      <c r="AI67">
        <v>5.5E-2</v>
      </c>
    </row>
    <row r="68" spans="1:35" x14ac:dyDescent="0.25">
      <c r="A68" t="s">
        <v>1519</v>
      </c>
      <c r="B68" t="s">
        <v>31</v>
      </c>
      <c r="C68" s="25">
        <v>43704.310162037036</v>
      </c>
      <c r="D68" s="741" t="s">
        <v>969</v>
      </c>
      <c r="E68" s="424">
        <f t="array" ref="E68">SUMPRODUCT(IF(AMP3_2[[#This Row],[Dim 1_1]:[T 8]]-$F$4:$AI$4&lt;0,1,0)+IF($F$5:$AI$5-AMP3_2[[#This Row],[Dim 1_1]:[T 8]]&lt;0,1,0),IF(ISNUMBER(AMP3_2[[#This Row],[Dim 1_1]:[T 8]])=TRUE,1,0))</f>
        <v>0</v>
      </c>
      <c r="H68">
        <v>155.82599999999999</v>
      </c>
      <c r="I68">
        <v>155.80000000000001</v>
      </c>
      <c r="J68">
        <v>168.66</v>
      </c>
      <c r="K68">
        <v>168.697</v>
      </c>
      <c r="L68">
        <v>155.857</v>
      </c>
      <c r="M68">
        <v>155.696</v>
      </c>
      <c r="N68">
        <v>27.372</v>
      </c>
      <c r="O68">
        <v>27.593</v>
      </c>
      <c r="R68">
        <v>17.274000000000001</v>
      </c>
      <c r="S68">
        <v>17.212</v>
      </c>
      <c r="T68">
        <v>36.659999999999997</v>
      </c>
      <c r="U68">
        <v>36.588000000000001</v>
      </c>
      <c r="W68">
        <v>4.2000000000000003E-2</v>
      </c>
      <c r="X68">
        <v>-0.112</v>
      </c>
      <c r="Z68">
        <v>0.121</v>
      </c>
      <c r="AA68">
        <v>-1.4999999999999999E-2</v>
      </c>
      <c r="AB68">
        <v>-0.112</v>
      </c>
      <c r="AC68">
        <v>4.1000000000000002E-2</v>
      </c>
      <c r="AD68">
        <v>-3.0000000000000001E-3</v>
      </c>
      <c r="AE68">
        <v>4.2000000000000003E-2</v>
      </c>
      <c r="AF68">
        <v>0.06</v>
      </c>
      <c r="AG68">
        <v>-1.4999999999999999E-2</v>
      </c>
      <c r="AH68">
        <v>7.1999999999999995E-2</v>
      </c>
      <c r="AI68">
        <v>0.121</v>
      </c>
    </row>
    <row r="69" spans="1:35" x14ac:dyDescent="0.25">
      <c r="A69" t="s">
        <v>1520</v>
      </c>
      <c r="B69" t="s">
        <v>32</v>
      </c>
      <c r="C69" s="25">
        <v>43704.389293981483</v>
      </c>
      <c r="D69" s="741" t="s">
        <v>969</v>
      </c>
      <c r="E69" s="424">
        <f t="array" ref="E69">SUMPRODUCT(IF(AMP3_2[[#This Row],[Dim 1_1]:[T 8]]-$F$4:$AI$4&lt;0,1,0)+IF($F$5:$AI$5-AMP3_2[[#This Row],[Dim 1_1]:[T 8]]&lt;0,1,0),IF(ISNUMBER(AMP3_2[[#This Row],[Dim 1_1]:[T 8]])=TRUE,1,0))</f>
        <v>0</v>
      </c>
      <c r="F69">
        <v>41.191000000000003</v>
      </c>
      <c r="G69">
        <v>41.247999999999998</v>
      </c>
      <c r="H69">
        <v>155.89400000000001</v>
      </c>
      <c r="I69">
        <v>155.88200000000001</v>
      </c>
      <c r="L69">
        <v>155.88800000000001</v>
      </c>
      <c r="M69">
        <v>155.684</v>
      </c>
      <c r="N69">
        <v>27.324999999999999</v>
      </c>
      <c r="O69">
        <v>27.439</v>
      </c>
      <c r="R69">
        <v>17.260999999999999</v>
      </c>
      <c r="S69">
        <v>17.347000000000001</v>
      </c>
      <c r="T69">
        <v>34.201000000000001</v>
      </c>
      <c r="U69">
        <v>34.566000000000003</v>
      </c>
      <c r="W69">
        <v>4.2000000000000003E-2</v>
      </c>
      <c r="X69">
        <v>-0.16900000000000001</v>
      </c>
      <c r="Z69">
        <v>1.4E-2</v>
      </c>
      <c r="AA69">
        <v>-0.13500000000000001</v>
      </c>
      <c r="AB69">
        <v>1.2999999999999999E-2</v>
      </c>
      <c r="AC69">
        <v>1.2E-2</v>
      </c>
      <c r="AD69">
        <v>4.2000000000000003E-2</v>
      </c>
      <c r="AE69">
        <v>-0.16900000000000001</v>
      </c>
      <c r="AF69">
        <v>5.0000000000000001E-3</v>
      </c>
      <c r="AG69">
        <v>-2.9000000000000001E-2</v>
      </c>
      <c r="AH69">
        <v>-0.13500000000000001</v>
      </c>
      <c r="AI69">
        <v>1.4E-2</v>
      </c>
    </row>
    <row r="70" spans="1:35" x14ac:dyDescent="0.25">
      <c r="A70" t="s">
        <v>1521</v>
      </c>
      <c r="B70" t="s">
        <v>31</v>
      </c>
      <c r="C70" s="25">
        <v>43704.391331018516</v>
      </c>
      <c r="D70" s="741" t="s">
        <v>969</v>
      </c>
      <c r="E70" s="424">
        <f t="array" ref="E70">SUMPRODUCT(IF(AMP3_2[[#This Row],[Dim 1_1]:[T 8]]-$F$4:$AI$4&lt;0,1,0)+IF($F$5:$AI$5-AMP3_2[[#This Row],[Dim 1_1]:[T 8]]&lt;0,1,0),IF(ISNUMBER(AMP3_2[[#This Row],[Dim 1_1]:[T 8]])=TRUE,1,0))</f>
        <v>0</v>
      </c>
      <c r="H70">
        <v>155.82400000000001</v>
      </c>
      <c r="I70">
        <v>155.745</v>
      </c>
      <c r="J70">
        <v>168.65600000000001</v>
      </c>
      <c r="K70">
        <v>168.62299999999999</v>
      </c>
      <c r="L70">
        <v>155.875</v>
      </c>
      <c r="M70">
        <v>155.64099999999999</v>
      </c>
      <c r="N70">
        <v>27.363</v>
      </c>
      <c r="O70">
        <v>27.65</v>
      </c>
      <c r="R70">
        <v>17.242999999999999</v>
      </c>
      <c r="S70">
        <v>17.201000000000001</v>
      </c>
      <c r="T70">
        <v>37.719000000000001</v>
      </c>
      <c r="U70">
        <v>38.340000000000003</v>
      </c>
      <c r="W70">
        <v>0.14199999999999999</v>
      </c>
      <c r="X70">
        <v>-6.9000000000000006E-2</v>
      </c>
      <c r="Z70">
        <v>0.114</v>
      </c>
      <c r="AA70">
        <v>1.9E-2</v>
      </c>
      <c r="AB70">
        <v>-6.9000000000000006E-2</v>
      </c>
      <c r="AC70">
        <v>7.4999999999999997E-2</v>
      </c>
      <c r="AD70">
        <v>2.1999999999999999E-2</v>
      </c>
      <c r="AE70">
        <v>0.14199999999999999</v>
      </c>
      <c r="AF70">
        <v>9.6000000000000002E-2</v>
      </c>
      <c r="AG70">
        <v>1.9E-2</v>
      </c>
      <c r="AH70">
        <v>0.106</v>
      </c>
      <c r="AI70">
        <v>0.114</v>
      </c>
    </row>
    <row r="71" spans="1:35" x14ac:dyDescent="0.25">
      <c r="A71" t="s">
        <v>1522</v>
      </c>
      <c r="B71" t="s">
        <v>32</v>
      </c>
      <c r="C71" s="25">
        <v>43704.491620370369</v>
      </c>
      <c r="D71" s="741" t="s">
        <v>969</v>
      </c>
      <c r="E71" s="424">
        <f t="array" ref="E71">SUMPRODUCT(IF(AMP3_2[[#This Row],[Dim 1_1]:[T 8]]-$F$4:$AI$4&lt;0,1,0)+IF($F$5:$AI$5-AMP3_2[[#This Row],[Dim 1_1]:[T 8]]&lt;0,1,0),IF(ISNUMBER(AMP3_2[[#This Row],[Dim 1_1]:[T 8]])=TRUE,1,0))</f>
        <v>0</v>
      </c>
      <c r="F71">
        <v>41.139000000000003</v>
      </c>
      <c r="G71">
        <v>41.250999999999998</v>
      </c>
      <c r="H71">
        <v>155.90799999999999</v>
      </c>
      <c r="I71">
        <v>155.89599999999999</v>
      </c>
      <c r="L71">
        <v>155.941</v>
      </c>
      <c r="M71">
        <v>155.733</v>
      </c>
      <c r="N71">
        <v>27.251999999999999</v>
      </c>
      <c r="O71">
        <v>27.388000000000002</v>
      </c>
      <c r="R71">
        <v>17.251000000000001</v>
      </c>
      <c r="S71">
        <v>17.341000000000001</v>
      </c>
      <c r="T71">
        <v>34.029000000000003</v>
      </c>
      <c r="U71">
        <v>34.484999999999999</v>
      </c>
      <c r="W71">
        <v>-2.5999999999999999E-2</v>
      </c>
      <c r="X71">
        <v>-0.24199999999999999</v>
      </c>
      <c r="Z71">
        <v>-1.6E-2</v>
      </c>
      <c r="AA71">
        <v>-0.159</v>
      </c>
      <c r="AB71">
        <v>-5.5E-2</v>
      </c>
      <c r="AC71">
        <v>-6.4000000000000001E-2</v>
      </c>
      <c r="AD71">
        <v>-2.5999999999999999E-2</v>
      </c>
      <c r="AE71">
        <v>-0.24199999999999999</v>
      </c>
      <c r="AF71">
        <v>-1.6E-2</v>
      </c>
      <c r="AG71">
        <v>-5.5E-2</v>
      </c>
      <c r="AH71">
        <v>-0.159</v>
      </c>
      <c r="AI71">
        <v>-3.2000000000000001E-2</v>
      </c>
    </row>
    <row r="72" spans="1:35" x14ac:dyDescent="0.25">
      <c r="A72" t="s">
        <v>1523</v>
      </c>
      <c r="B72" t="s">
        <v>31</v>
      </c>
      <c r="C72" s="25">
        <v>43704.493750000001</v>
      </c>
      <c r="D72" s="741" t="s">
        <v>969</v>
      </c>
      <c r="E72" s="424">
        <f t="array" ref="E72">SUMPRODUCT(IF(AMP3_2[[#This Row],[Dim 1_1]:[T 8]]-$F$4:$AI$4&lt;0,1,0)+IF($F$5:$AI$5-AMP3_2[[#This Row],[Dim 1_1]:[T 8]]&lt;0,1,0),IF(ISNUMBER(AMP3_2[[#This Row],[Dim 1_1]:[T 8]])=TRUE,1,0))</f>
        <v>0</v>
      </c>
      <c r="H72">
        <v>155.83500000000001</v>
      </c>
      <c r="I72">
        <v>155.77600000000001</v>
      </c>
      <c r="J72">
        <v>168.67</v>
      </c>
      <c r="K72">
        <v>168.751</v>
      </c>
      <c r="L72">
        <v>155.89400000000001</v>
      </c>
      <c r="M72">
        <v>155.708</v>
      </c>
      <c r="N72">
        <v>27.385999999999999</v>
      </c>
      <c r="O72">
        <v>27.617000000000001</v>
      </c>
      <c r="R72">
        <v>17.233000000000001</v>
      </c>
      <c r="S72">
        <v>17.141999999999999</v>
      </c>
      <c r="T72">
        <v>36.728999999999999</v>
      </c>
      <c r="U72">
        <v>37.670999999999999</v>
      </c>
      <c r="W72">
        <v>8.7999999999999995E-2</v>
      </c>
      <c r="X72">
        <v>-0.14299999999999999</v>
      </c>
      <c r="Z72">
        <v>0.13600000000000001</v>
      </c>
      <c r="AA72">
        <v>-0.05</v>
      </c>
      <c r="AB72">
        <v>-0.14299999999999999</v>
      </c>
      <c r="AC72">
        <v>1.4E-2</v>
      </c>
      <c r="AD72">
        <v>4.8000000000000001E-2</v>
      </c>
      <c r="AE72">
        <v>8.7999999999999995E-2</v>
      </c>
      <c r="AF72">
        <v>3.5999999999999997E-2</v>
      </c>
      <c r="AG72">
        <v>-0.05</v>
      </c>
      <c r="AH72">
        <v>0.129</v>
      </c>
      <c r="AI72">
        <v>0.13600000000000001</v>
      </c>
    </row>
    <row r="73" spans="1:35" x14ac:dyDescent="0.25">
      <c r="A73" t="s">
        <v>1524</v>
      </c>
      <c r="B73" t="s">
        <v>32</v>
      </c>
      <c r="C73" s="25">
        <v>43704.558391203704</v>
      </c>
      <c r="D73" s="741" t="s">
        <v>969</v>
      </c>
      <c r="E73" s="424">
        <f t="array" ref="E73">SUMPRODUCT(IF(AMP3_2[[#This Row],[Dim 1_1]:[T 8]]-$F$4:$AI$4&lt;0,1,0)+IF($F$5:$AI$5-AMP3_2[[#This Row],[Dim 1_1]:[T 8]]&lt;0,1,0),IF(ISNUMBER(AMP3_2[[#This Row],[Dim 1_1]:[T 8]])=TRUE,1,0))</f>
        <v>0</v>
      </c>
      <c r="F73">
        <v>41.127000000000002</v>
      </c>
      <c r="G73">
        <v>41.274000000000001</v>
      </c>
      <c r="H73">
        <v>155.88300000000001</v>
      </c>
      <c r="I73">
        <v>155.85</v>
      </c>
      <c r="L73">
        <v>155.93899999999999</v>
      </c>
      <c r="M73">
        <v>155.67699999999999</v>
      </c>
      <c r="N73">
        <v>27.288</v>
      </c>
      <c r="O73">
        <v>27.440999999999999</v>
      </c>
      <c r="R73">
        <v>17.228999999999999</v>
      </c>
      <c r="S73">
        <v>17.263000000000002</v>
      </c>
      <c r="T73">
        <v>33.415999999999997</v>
      </c>
      <c r="U73">
        <v>35.192999999999998</v>
      </c>
      <c r="W73">
        <v>-5.0999999999999997E-2</v>
      </c>
      <c r="X73">
        <v>-0.27500000000000002</v>
      </c>
      <c r="Z73">
        <v>-5.7000000000000002E-2</v>
      </c>
      <c r="AA73">
        <v>-0.20300000000000001</v>
      </c>
      <c r="AB73">
        <v>-0.13200000000000001</v>
      </c>
      <c r="AC73">
        <v>-0.126</v>
      </c>
      <c r="AD73">
        <v>-5.0999999999999997E-2</v>
      </c>
      <c r="AE73">
        <v>-0.27500000000000002</v>
      </c>
      <c r="AF73">
        <v>-0.107</v>
      </c>
      <c r="AG73">
        <v>-0.13900000000000001</v>
      </c>
      <c r="AH73">
        <v>-0.20300000000000001</v>
      </c>
      <c r="AI73">
        <v>-5.7000000000000002E-2</v>
      </c>
    </row>
    <row r="74" spans="1:35" x14ac:dyDescent="0.25">
      <c r="A74" t="s">
        <v>1525</v>
      </c>
      <c r="B74" t="s">
        <v>31</v>
      </c>
      <c r="C74" s="25">
        <v>43704.560972222222</v>
      </c>
      <c r="D74" s="741" t="s">
        <v>969</v>
      </c>
      <c r="E74" s="424">
        <f t="array" ref="E74">SUMPRODUCT(IF(AMP3_2[[#This Row],[Dim 1_1]:[T 8]]-$F$4:$AI$4&lt;0,1,0)+IF($F$5:$AI$5-AMP3_2[[#This Row],[Dim 1_1]:[T 8]]&lt;0,1,0),IF(ISNUMBER(AMP3_2[[#This Row],[Dim 1_1]:[T 8]])=TRUE,1,0))</f>
        <v>0</v>
      </c>
      <c r="H74">
        <v>155.84800000000001</v>
      </c>
      <c r="I74">
        <v>155.834</v>
      </c>
      <c r="J74">
        <v>168.684</v>
      </c>
      <c r="K74">
        <v>168.79400000000001</v>
      </c>
      <c r="L74">
        <v>155.91499999999999</v>
      </c>
      <c r="M74">
        <v>155.768</v>
      </c>
      <c r="N74">
        <v>27.341999999999999</v>
      </c>
      <c r="O74">
        <v>27.555</v>
      </c>
      <c r="R74">
        <v>17.238</v>
      </c>
      <c r="S74">
        <v>17.29</v>
      </c>
      <c r="T74">
        <v>39.156999999999996</v>
      </c>
      <c r="U74">
        <v>38.793999999999997</v>
      </c>
      <c r="W74">
        <v>2.8000000000000001E-2</v>
      </c>
      <c r="X74">
        <v>-0.13300000000000001</v>
      </c>
      <c r="Z74">
        <v>0.14599999999999999</v>
      </c>
      <c r="AA74">
        <v>6.8000000000000005E-2</v>
      </c>
      <c r="AB74">
        <v>-0.13300000000000001</v>
      </c>
      <c r="AC74">
        <v>2.8000000000000001E-2</v>
      </c>
      <c r="AD74">
        <v>-0.12</v>
      </c>
      <c r="AE74">
        <v>-3.9E-2</v>
      </c>
      <c r="AF74">
        <v>0.14599999999999999</v>
      </c>
      <c r="AG74">
        <v>6.8000000000000005E-2</v>
      </c>
      <c r="AH74">
        <v>9.2999999999999999E-2</v>
      </c>
      <c r="AI74">
        <v>9.9000000000000005E-2</v>
      </c>
    </row>
    <row r="75" spans="1:35" x14ac:dyDescent="0.25">
      <c r="A75" t="s">
        <v>1526</v>
      </c>
      <c r="B75" t="s">
        <v>32</v>
      </c>
      <c r="C75" s="25">
        <v>43704.686597222222</v>
      </c>
      <c r="D75" s="741" t="s">
        <v>969</v>
      </c>
      <c r="E75" s="424">
        <f t="array" ref="E75">SUMPRODUCT(IF(AMP3_2[[#This Row],[Dim 1_1]:[T 8]]-$F$4:$AI$4&lt;0,1,0)+IF($F$5:$AI$5-AMP3_2[[#This Row],[Dim 1_1]:[T 8]]&lt;0,1,0),IF(ISNUMBER(AMP3_2[[#This Row],[Dim 1_1]:[T 8]])=TRUE,1,0))</f>
        <v>0</v>
      </c>
      <c r="F75">
        <v>41.231000000000002</v>
      </c>
      <c r="G75">
        <v>41.383000000000003</v>
      </c>
      <c r="H75">
        <v>155.87100000000001</v>
      </c>
      <c r="I75">
        <v>155.834</v>
      </c>
      <c r="L75">
        <v>155.899</v>
      </c>
      <c r="M75">
        <v>155.65899999999999</v>
      </c>
      <c r="N75">
        <v>27.335999999999999</v>
      </c>
      <c r="O75">
        <v>27.495000000000001</v>
      </c>
      <c r="R75">
        <v>17.245000000000001</v>
      </c>
      <c r="S75">
        <v>17.248999999999999</v>
      </c>
      <c r="T75">
        <v>33.970999999999997</v>
      </c>
      <c r="U75">
        <v>34.594999999999999</v>
      </c>
      <c r="W75">
        <v>8.8999999999999996E-2</v>
      </c>
      <c r="X75">
        <v>-0.109</v>
      </c>
      <c r="Z75">
        <v>5.8999999999999997E-2</v>
      </c>
      <c r="AA75">
        <v>-0.1</v>
      </c>
      <c r="AB75">
        <v>0.02</v>
      </c>
      <c r="AC75">
        <v>0.02</v>
      </c>
      <c r="AD75">
        <v>8.8999999999999996E-2</v>
      </c>
      <c r="AE75">
        <v>-0.109</v>
      </c>
      <c r="AF75">
        <v>-5.6000000000000001E-2</v>
      </c>
      <c r="AG75">
        <v>-6.5000000000000002E-2</v>
      </c>
      <c r="AH75">
        <v>-0.1</v>
      </c>
      <c r="AI75">
        <v>5.8999999999999997E-2</v>
      </c>
    </row>
    <row r="76" spans="1:35" x14ac:dyDescent="0.25">
      <c r="A76" t="s">
        <v>1527</v>
      </c>
      <c r="B76" t="s">
        <v>31</v>
      </c>
      <c r="C76" s="25">
        <v>43704.688969907409</v>
      </c>
      <c r="D76" s="741" t="s">
        <v>969</v>
      </c>
      <c r="E76" s="424">
        <f t="array" ref="E76">SUMPRODUCT(IF(AMP3_2[[#This Row],[Dim 1_1]:[T 8]]-$F$4:$AI$4&lt;0,1,0)+IF($F$5:$AI$5-AMP3_2[[#This Row],[Dim 1_1]:[T 8]]&lt;0,1,0),IF(ISNUMBER(AMP3_2[[#This Row],[Dim 1_1]:[T 8]])=TRUE,1,0))</f>
        <v>0</v>
      </c>
      <c r="H76">
        <v>155.83099999999999</v>
      </c>
      <c r="I76">
        <v>155.80500000000001</v>
      </c>
      <c r="J76">
        <v>168.69200000000001</v>
      </c>
      <c r="K76">
        <v>168.66900000000001</v>
      </c>
      <c r="L76">
        <v>155.869</v>
      </c>
      <c r="M76">
        <v>155.68799999999999</v>
      </c>
      <c r="N76">
        <v>27.344000000000001</v>
      </c>
      <c r="O76">
        <v>27.588000000000001</v>
      </c>
      <c r="R76">
        <v>17.254999999999999</v>
      </c>
      <c r="S76">
        <v>17.231000000000002</v>
      </c>
      <c r="T76">
        <v>37.901000000000003</v>
      </c>
      <c r="U76">
        <v>38.197000000000003</v>
      </c>
      <c r="W76">
        <v>8.1000000000000003E-2</v>
      </c>
      <c r="X76">
        <v>-0.14000000000000001</v>
      </c>
      <c r="Z76">
        <v>4.3999999999999997E-2</v>
      </c>
      <c r="AA76">
        <v>-4.2000000000000003E-2</v>
      </c>
      <c r="AB76">
        <v>-0.14000000000000001</v>
      </c>
      <c r="AC76">
        <v>2.5000000000000001E-2</v>
      </c>
      <c r="AD76">
        <v>-5.1999999999999998E-2</v>
      </c>
      <c r="AE76">
        <v>8.1000000000000003E-2</v>
      </c>
      <c r="AF76">
        <v>4.3999999999999997E-2</v>
      </c>
      <c r="AG76">
        <v>-4.2000000000000003E-2</v>
      </c>
      <c r="AH76">
        <v>-3.0000000000000001E-3</v>
      </c>
      <c r="AI76">
        <v>3.2000000000000001E-2</v>
      </c>
    </row>
    <row r="77" spans="1:35" x14ac:dyDescent="0.25">
      <c r="A77" t="s">
        <v>1528</v>
      </c>
      <c r="B77" t="s">
        <v>32</v>
      </c>
      <c r="C77" s="25">
        <v>43704.809837962966</v>
      </c>
      <c r="D77" s="741" t="s">
        <v>969</v>
      </c>
      <c r="E77" s="424">
        <f t="array" ref="E77">SUMPRODUCT(IF(AMP3_2[[#This Row],[Dim 1_1]:[T 8]]-$F$4:$AI$4&lt;0,1,0)+IF($F$5:$AI$5-AMP3_2[[#This Row],[Dim 1_1]:[T 8]]&lt;0,1,0),IF(ISNUMBER(AMP3_2[[#This Row],[Dim 1_1]:[T 8]])=TRUE,1,0))</f>
        <v>0</v>
      </c>
      <c r="F77">
        <v>41.148000000000003</v>
      </c>
      <c r="G77">
        <v>41.241999999999997</v>
      </c>
      <c r="H77">
        <v>155.91</v>
      </c>
      <c r="I77">
        <v>155.89400000000001</v>
      </c>
      <c r="L77">
        <v>155.92099999999999</v>
      </c>
      <c r="M77">
        <v>155.71700000000001</v>
      </c>
      <c r="N77">
        <v>27.280999999999999</v>
      </c>
      <c r="O77">
        <v>27.399000000000001</v>
      </c>
      <c r="R77">
        <v>17.242999999999999</v>
      </c>
      <c r="S77">
        <v>17.297999999999998</v>
      </c>
      <c r="T77">
        <v>33.951000000000001</v>
      </c>
      <c r="U77">
        <v>34.450000000000003</v>
      </c>
      <c r="W77">
        <v>1.9E-2</v>
      </c>
      <c r="X77">
        <v>-0.186</v>
      </c>
      <c r="Z77">
        <v>-3.1E-2</v>
      </c>
      <c r="AA77">
        <v>-0.17599999999999999</v>
      </c>
      <c r="AB77">
        <v>-4.4999999999999998E-2</v>
      </c>
      <c r="AC77">
        <v>-4.7E-2</v>
      </c>
      <c r="AD77">
        <v>1.9E-2</v>
      </c>
      <c r="AE77">
        <v>-0.186</v>
      </c>
      <c r="AF77">
        <v>-7.2999999999999995E-2</v>
      </c>
      <c r="AG77">
        <v>-9.7000000000000003E-2</v>
      </c>
      <c r="AH77">
        <v>-0.17599999999999999</v>
      </c>
      <c r="AI77">
        <v>-3.1E-2</v>
      </c>
    </row>
    <row r="78" spans="1:35" x14ac:dyDescent="0.25">
      <c r="A78" t="s">
        <v>1529</v>
      </c>
      <c r="B78" t="s">
        <v>31</v>
      </c>
      <c r="C78" s="25">
        <v>43704.811354166668</v>
      </c>
      <c r="D78" s="741" t="s">
        <v>969</v>
      </c>
      <c r="E78" s="424">
        <f t="array" ref="E78">SUMPRODUCT(IF(AMP3_2[[#This Row],[Dim 1_1]:[T 8]]-$F$4:$AI$4&lt;0,1,0)+IF($F$5:$AI$5-AMP3_2[[#This Row],[Dim 1_1]:[T 8]]&lt;0,1,0),IF(ISNUMBER(AMP3_2[[#This Row],[Dim 1_1]:[T 8]])=TRUE,1,0))</f>
        <v>0</v>
      </c>
      <c r="H78">
        <v>155.85</v>
      </c>
      <c r="I78">
        <v>155.828</v>
      </c>
      <c r="J78">
        <v>168.59200000000001</v>
      </c>
      <c r="K78">
        <v>168.631</v>
      </c>
      <c r="L78">
        <v>155.90100000000001</v>
      </c>
      <c r="M78">
        <v>155.744</v>
      </c>
      <c r="N78">
        <v>27.353000000000002</v>
      </c>
      <c r="O78">
        <v>27.587</v>
      </c>
      <c r="R78">
        <v>17.221</v>
      </c>
      <c r="S78">
        <v>17.163</v>
      </c>
      <c r="T78">
        <v>36.972000000000001</v>
      </c>
      <c r="U78">
        <v>37.941000000000003</v>
      </c>
      <c r="W78">
        <v>-1.7000000000000001E-2</v>
      </c>
      <c r="X78">
        <v>-0.16800000000000001</v>
      </c>
      <c r="Z78">
        <v>5.0000000000000001E-3</v>
      </c>
      <c r="AA78">
        <v>-6.8000000000000005E-2</v>
      </c>
      <c r="AB78">
        <v>-0.16800000000000001</v>
      </c>
      <c r="AC78">
        <v>-1.7000000000000001E-2</v>
      </c>
      <c r="AD78">
        <v>-0.114</v>
      </c>
      <c r="AE78">
        <v>-4.4999999999999998E-2</v>
      </c>
      <c r="AF78">
        <v>5.0000000000000001E-3</v>
      </c>
      <c r="AG78">
        <v>-6.8000000000000005E-2</v>
      </c>
      <c r="AH78">
        <v>-1.9E-2</v>
      </c>
      <c r="AI78">
        <v>-3.0000000000000001E-3</v>
      </c>
    </row>
    <row r="79" spans="1:35" x14ac:dyDescent="0.25">
      <c r="A79" t="s">
        <v>1530</v>
      </c>
      <c r="B79" t="s">
        <v>32</v>
      </c>
      <c r="C79" s="25">
        <v>43704.894884259258</v>
      </c>
      <c r="D79" s="741" t="s">
        <v>969</v>
      </c>
      <c r="E79" s="424">
        <f t="array" ref="E79">SUMPRODUCT(IF(AMP3_2[[#This Row],[Dim 1_1]:[T 8]]-$F$4:$AI$4&lt;0,1,0)+IF($F$5:$AI$5-AMP3_2[[#This Row],[Dim 1_1]:[T 8]]&lt;0,1,0),IF(ISNUMBER(AMP3_2[[#This Row],[Dim 1_1]:[T 8]])=TRUE,1,0))</f>
        <v>0</v>
      </c>
      <c r="F79">
        <v>41.280999999999999</v>
      </c>
      <c r="G79">
        <v>41.384999999999998</v>
      </c>
      <c r="H79">
        <v>155.80099999999999</v>
      </c>
      <c r="I79">
        <v>155.839</v>
      </c>
      <c r="L79">
        <v>155.86000000000001</v>
      </c>
      <c r="M79">
        <v>155.65799999999999</v>
      </c>
      <c r="N79">
        <v>27.388000000000002</v>
      </c>
      <c r="O79">
        <v>27.497</v>
      </c>
      <c r="R79">
        <v>17.219000000000001</v>
      </c>
      <c r="S79">
        <v>17.332000000000001</v>
      </c>
      <c r="T79">
        <v>34.154000000000003</v>
      </c>
      <c r="U79">
        <v>34.363999999999997</v>
      </c>
      <c r="W79">
        <v>8.9999999999999993E-3</v>
      </c>
      <c r="X79">
        <v>-0.27600000000000002</v>
      </c>
      <c r="Z79">
        <v>4.0000000000000001E-3</v>
      </c>
      <c r="AA79">
        <v>-0.16200000000000001</v>
      </c>
      <c r="AB79">
        <v>8.9999999999999993E-3</v>
      </c>
      <c r="AC79">
        <v>8.9999999999999993E-3</v>
      </c>
      <c r="AD79">
        <v>-4.1000000000000002E-2</v>
      </c>
      <c r="AE79">
        <v>-0.27600000000000002</v>
      </c>
      <c r="AF79">
        <v>4.0000000000000001E-3</v>
      </c>
      <c r="AG79">
        <v>-3.2000000000000001E-2</v>
      </c>
      <c r="AH79">
        <v>-0.16200000000000001</v>
      </c>
      <c r="AI79">
        <v>-4.7E-2</v>
      </c>
    </row>
    <row r="80" spans="1:35" x14ac:dyDescent="0.25">
      <c r="A80" t="s">
        <v>1531</v>
      </c>
      <c r="B80" t="s">
        <v>31</v>
      </c>
      <c r="C80" s="25">
        <v>43704.896435185183</v>
      </c>
      <c r="D80" s="741" t="s">
        <v>969</v>
      </c>
      <c r="E80" s="424">
        <f t="array" ref="E80">SUMPRODUCT(IF(AMP3_2[[#This Row],[Dim 1_1]:[T 8]]-$F$4:$AI$4&lt;0,1,0)+IF($F$5:$AI$5-AMP3_2[[#This Row],[Dim 1_1]:[T 8]]&lt;0,1,0),IF(ISNUMBER(AMP3_2[[#This Row],[Dim 1_1]:[T 8]])=TRUE,1,0))</f>
        <v>0</v>
      </c>
      <c r="H80">
        <v>155.751</v>
      </c>
      <c r="I80">
        <v>155.779</v>
      </c>
      <c r="J80">
        <v>168.691</v>
      </c>
      <c r="K80">
        <v>168.80199999999999</v>
      </c>
      <c r="L80">
        <v>155.822</v>
      </c>
      <c r="M80">
        <v>155.69800000000001</v>
      </c>
      <c r="N80">
        <v>27.405000000000001</v>
      </c>
      <c r="O80">
        <v>27.602</v>
      </c>
      <c r="R80">
        <v>17.236000000000001</v>
      </c>
      <c r="S80">
        <v>17.138000000000002</v>
      </c>
      <c r="T80">
        <v>37.244999999999997</v>
      </c>
      <c r="U80">
        <v>37.665999999999997</v>
      </c>
      <c r="W80">
        <v>0.127</v>
      </c>
      <c r="X80">
        <v>-0.109</v>
      </c>
      <c r="Z80">
        <v>9.7000000000000003E-2</v>
      </c>
      <c r="AA80">
        <v>2.8000000000000001E-2</v>
      </c>
      <c r="AB80">
        <v>-0.109</v>
      </c>
      <c r="AC80">
        <v>4.7E-2</v>
      </c>
      <c r="AD80">
        <v>-6.7000000000000004E-2</v>
      </c>
      <c r="AE80">
        <v>0.127</v>
      </c>
      <c r="AF80">
        <v>9.7000000000000003E-2</v>
      </c>
      <c r="AG80">
        <v>2.8000000000000001E-2</v>
      </c>
      <c r="AH80">
        <v>7.4999999999999997E-2</v>
      </c>
      <c r="AI80">
        <v>7.8E-2</v>
      </c>
    </row>
    <row r="81" spans="1:35" x14ac:dyDescent="0.25">
      <c r="A81" t="s">
        <v>1532</v>
      </c>
      <c r="B81" t="s">
        <v>32</v>
      </c>
      <c r="C81" s="25">
        <v>43704.987303240741</v>
      </c>
      <c r="D81" s="741" t="s">
        <v>969</v>
      </c>
      <c r="E81" s="424">
        <f t="array" ref="E81">SUMPRODUCT(IF(AMP3_2[[#This Row],[Dim 1_1]:[T 8]]-$F$4:$AI$4&lt;0,1,0)+IF($F$5:$AI$5-AMP3_2[[#This Row],[Dim 1_1]:[T 8]]&lt;0,1,0),IF(ISNUMBER(AMP3_2[[#This Row],[Dim 1_1]:[T 8]])=TRUE,1,0))</f>
        <v>0</v>
      </c>
      <c r="F81">
        <v>41.465000000000003</v>
      </c>
      <c r="G81">
        <v>41.54</v>
      </c>
      <c r="H81">
        <v>155.84299999999999</v>
      </c>
      <c r="I81">
        <v>155.81899999999999</v>
      </c>
      <c r="L81">
        <v>155.876</v>
      </c>
      <c r="M81">
        <v>155.642</v>
      </c>
      <c r="N81">
        <v>27.318000000000001</v>
      </c>
      <c r="O81">
        <v>27.466999999999999</v>
      </c>
      <c r="R81">
        <v>17.21</v>
      </c>
      <c r="S81">
        <v>17.238</v>
      </c>
      <c r="T81">
        <v>34.109000000000002</v>
      </c>
      <c r="U81">
        <v>34.667999999999999</v>
      </c>
      <c r="W81">
        <v>7.0000000000000007E-2</v>
      </c>
      <c r="X81">
        <v>-0.247</v>
      </c>
      <c r="Z81">
        <v>0.14399999999999999</v>
      </c>
      <c r="AA81">
        <v>2.3E-2</v>
      </c>
      <c r="AB81">
        <v>6.0000000000000001E-3</v>
      </c>
      <c r="AC81">
        <v>0.01</v>
      </c>
      <c r="AD81">
        <v>7.0000000000000007E-2</v>
      </c>
      <c r="AE81">
        <v>-0.247</v>
      </c>
      <c r="AF81">
        <v>4.9000000000000002E-2</v>
      </c>
      <c r="AG81">
        <v>3.4000000000000002E-2</v>
      </c>
      <c r="AH81">
        <v>2.3E-2</v>
      </c>
      <c r="AI81">
        <v>0.14399999999999999</v>
      </c>
    </row>
    <row r="82" spans="1:35" x14ac:dyDescent="0.25">
      <c r="A82" t="s">
        <v>1533</v>
      </c>
      <c r="B82" t="s">
        <v>31</v>
      </c>
      <c r="C82" s="25">
        <v>43704.988807870373</v>
      </c>
      <c r="D82" s="741" t="s">
        <v>969</v>
      </c>
      <c r="E82" s="424">
        <f t="array" ref="E82">SUMPRODUCT(IF(AMP3_2[[#This Row],[Dim 1_1]:[T 8]]-$F$4:$AI$4&lt;0,1,0)+IF($F$5:$AI$5-AMP3_2[[#This Row],[Dim 1_1]:[T 8]]&lt;0,1,0),IF(ISNUMBER(AMP3_2[[#This Row],[Dim 1_1]:[T 8]])=TRUE,1,0))</f>
        <v>0</v>
      </c>
      <c r="H82">
        <v>155.77199999999999</v>
      </c>
      <c r="I82">
        <v>155.75700000000001</v>
      </c>
      <c r="J82">
        <v>168.851</v>
      </c>
      <c r="K82">
        <v>168.95099999999999</v>
      </c>
      <c r="L82">
        <v>155.816</v>
      </c>
      <c r="M82">
        <v>155.625</v>
      </c>
      <c r="N82">
        <v>27.443999999999999</v>
      </c>
      <c r="O82">
        <v>27.667999999999999</v>
      </c>
      <c r="R82">
        <v>17.292999999999999</v>
      </c>
      <c r="S82">
        <v>17.244</v>
      </c>
      <c r="T82">
        <v>36.701999999999998</v>
      </c>
      <c r="U82">
        <v>38.033000000000001</v>
      </c>
      <c r="W82">
        <v>0.16500000000000001</v>
      </c>
      <c r="X82">
        <v>-0.107</v>
      </c>
      <c r="Z82">
        <v>2.1999999999999999E-2</v>
      </c>
      <c r="AA82">
        <v>-0.122</v>
      </c>
      <c r="AB82">
        <v>-0.107</v>
      </c>
      <c r="AC82">
        <v>4.2999999999999997E-2</v>
      </c>
      <c r="AD82">
        <v>-5.8000000000000003E-2</v>
      </c>
      <c r="AE82">
        <v>0.16500000000000001</v>
      </c>
      <c r="AF82">
        <v>-1.0999999999999999E-2</v>
      </c>
      <c r="AG82">
        <v>-7.0000000000000007E-2</v>
      </c>
      <c r="AH82">
        <v>-0.122</v>
      </c>
      <c r="AI82">
        <v>2.1999999999999999E-2</v>
      </c>
    </row>
    <row r="83" spans="1:35" x14ac:dyDescent="0.25">
      <c r="A83" t="s">
        <v>1867</v>
      </c>
      <c r="B83" t="s">
        <v>32</v>
      </c>
      <c r="C83" s="25">
        <v>43705.532407407409</v>
      </c>
      <c r="D83" s="741" t="s">
        <v>969</v>
      </c>
      <c r="E83" s="424">
        <f t="array" ref="E83">SUMPRODUCT(IF(AMP3_2[[#This Row],[Dim 1_1]:[T 8]]-$F$4:$AI$4&lt;0,1,0)+IF($F$5:$AI$5-AMP3_2[[#This Row],[Dim 1_1]:[T 8]]&lt;0,1,0),IF(ISNUMBER(AMP3_2[[#This Row],[Dim 1_1]:[T 8]])=TRUE,1,0))</f>
        <v>0</v>
      </c>
      <c r="F83">
        <v>41.256999999999998</v>
      </c>
      <c r="G83">
        <v>41.603999999999999</v>
      </c>
      <c r="H83">
        <v>155.90100000000001</v>
      </c>
      <c r="I83">
        <v>155.874</v>
      </c>
      <c r="L83">
        <v>155.89599999999999</v>
      </c>
      <c r="M83">
        <v>155.71</v>
      </c>
      <c r="N83">
        <v>27.33</v>
      </c>
      <c r="O83">
        <v>27.434999999999999</v>
      </c>
      <c r="R83">
        <v>17.279</v>
      </c>
      <c r="S83">
        <v>17.353000000000002</v>
      </c>
      <c r="T83">
        <v>34.188000000000002</v>
      </c>
      <c r="U83">
        <v>34.488999999999997</v>
      </c>
      <c r="W83">
        <v>2E-3</v>
      </c>
      <c r="X83">
        <v>-0.23300000000000001</v>
      </c>
      <c r="Z83">
        <v>-4.9000000000000002E-2</v>
      </c>
      <c r="AA83">
        <v>-0.187</v>
      </c>
      <c r="AB83">
        <v>-2.7E-2</v>
      </c>
      <c r="AC83">
        <v>-2.9000000000000001E-2</v>
      </c>
      <c r="AD83">
        <v>2E-3</v>
      </c>
      <c r="AE83">
        <v>-0.23300000000000001</v>
      </c>
      <c r="AF83">
        <v>-4.9000000000000002E-2</v>
      </c>
      <c r="AG83">
        <v>-0.08</v>
      </c>
      <c r="AH83">
        <v>-0.187</v>
      </c>
      <c r="AI83">
        <v>-5.5E-2</v>
      </c>
    </row>
    <row r="84" spans="1:35" x14ac:dyDescent="0.25">
      <c r="A84" t="s">
        <v>1868</v>
      </c>
      <c r="B84" t="s">
        <v>31</v>
      </c>
      <c r="C84" s="25">
        <v>43705.534490740742</v>
      </c>
      <c r="D84" s="741" t="s">
        <v>969</v>
      </c>
      <c r="E84" s="424">
        <f t="array" ref="E84">SUMPRODUCT(IF(AMP3_2[[#This Row],[Dim 1_1]:[T 8]]-$F$4:$AI$4&lt;0,1,0)+IF($F$5:$AI$5-AMP3_2[[#This Row],[Dim 1_1]:[T 8]]&lt;0,1,0),IF(ISNUMBER(AMP3_2[[#This Row],[Dim 1_1]:[T 8]])=TRUE,1,0))</f>
        <v>0</v>
      </c>
      <c r="H84">
        <v>155.839</v>
      </c>
      <c r="I84">
        <v>155.79400000000001</v>
      </c>
      <c r="J84">
        <v>168.654</v>
      </c>
      <c r="K84">
        <v>168.76400000000001</v>
      </c>
      <c r="L84">
        <v>155.86600000000001</v>
      </c>
      <c r="M84">
        <v>155.685</v>
      </c>
      <c r="N84">
        <v>27.379000000000001</v>
      </c>
      <c r="O84">
        <v>27.628</v>
      </c>
      <c r="R84">
        <v>17.247</v>
      </c>
      <c r="S84">
        <v>17.271000000000001</v>
      </c>
      <c r="T84">
        <v>36.875</v>
      </c>
      <c r="U84">
        <v>37.448</v>
      </c>
      <c r="W84">
        <v>9.9000000000000005E-2</v>
      </c>
      <c r="X84">
        <v>-5.2999999999999999E-2</v>
      </c>
      <c r="Z84">
        <v>0.13200000000000001</v>
      </c>
      <c r="AA84">
        <v>5.0999999999999997E-2</v>
      </c>
      <c r="AB84">
        <v>-5.2999999999999999E-2</v>
      </c>
      <c r="AC84">
        <v>9.4E-2</v>
      </c>
      <c r="AD84">
        <v>0.02</v>
      </c>
      <c r="AE84">
        <v>9.9000000000000005E-2</v>
      </c>
      <c r="AF84">
        <v>0.13200000000000001</v>
      </c>
      <c r="AG84">
        <v>5.0999999999999997E-2</v>
      </c>
      <c r="AH84">
        <v>0.126</v>
      </c>
      <c r="AI84">
        <v>0.112</v>
      </c>
    </row>
    <row r="85" spans="1:35" x14ac:dyDescent="0.25">
      <c r="A85" t="s">
        <v>1869</v>
      </c>
      <c r="B85" t="s">
        <v>32</v>
      </c>
      <c r="C85" s="25">
        <v>43705.713518518518</v>
      </c>
      <c r="D85" s="741" t="s">
        <v>969</v>
      </c>
      <c r="E85" s="424">
        <f t="array" ref="E85">SUMPRODUCT(IF(AMP3_2[[#This Row],[Dim 1_1]:[T 8]]-$F$4:$AI$4&lt;0,1,0)+IF($F$5:$AI$5-AMP3_2[[#This Row],[Dim 1_1]:[T 8]]&lt;0,1,0),IF(ISNUMBER(AMP3_2[[#This Row],[Dim 1_1]:[T 8]])=TRUE,1,0))</f>
        <v>0</v>
      </c>
      <c r="F85">
        <v>41.194000000000003</v>
      </c>
      <c r="G85">
        <v>41.323</v>
      </c>
      <c r="H85">
        <v>155.92099999999999</v>
      </c>
      <c r="I85">
        <v>155.93</v>
      </c>
      <c r="L85">
        <v>155.96199999999999</v>
      </c>
      <c r="M85">
        <v>155.749</v>
      </c>
      <c r="N85">
        <v>27.245000000000001</v>
      </c>
      <c r="O85">
        <v>27.378</v>
      </c>
      <c r="R85">
        <v>17.260999999999999</v>
      </c>
      <c r="S85">
        <v>17.251000000000001</v>
      </c>
      <c r="T85">
        <v>34.368000000000002</v>
      </c>
      <c r="U85">
        <v>34.465000000000003</v>
      </c>
      <c r="W85">
        <v>2.8000000000000001E-2</v>
      </c>
      <c r="X85">
        <v>-0.19400000000000001</v>
      </c>
      <c r="Z85">
        <v>-3.4000000000000002E-2</v>
      </c>
      <c r="AA85">
        <v>-0.155</v>
      </c>
      <c r="AB85">
        <v>-7.0999999999999994E-2</v>
      </c>
      <c r="AC85">
        <v>-5.3999999999999999E-2</v>
      </c>
      <c r="AD85">
        <v>2.8000000000000001E-2</v>
      </c>
      <c r="AE85">
        <v>-0.19400000000000001</v>
      </c>
      <c r="AF85">
        <v>-0.14299999999999999</v>
      </c>
      <c r="AG85">
        <v>-0.153</v>
      </c>
      <c r="AH85">
        <v>-0.155</v>
      </c>
      <c r="AI85">
        <v>-3.4000000000000002E-2</v>
      </c>
    </row>
    <row r="86" spans="1:35" x14ac:dyDescent="0.25">
      <c r="A86" t="s">
        <v>1870</v>
      </c>
      <c r="B86" t="s">
        <v>31</v>
      </c>
      <c r="C86" s="25">
        <v>43705.715057870373</v>
      </c>
      <c r="D86" s="741" t="s">
        <v>969</v>
      </c>
      <c r="E86" s="424">
        <f t="array" ref="E86">SUMPRODUCT(IF(AMP3_2[[#This Row],[Dim 1_1]:[T 8]]-$F$4:$AI$4&lt;0,1,0)+IF($F$5:$AI$5-AMP3_2[[#This Row],[Dim 1_1]:[T 8]]&lt;0,1,0),IF(ISNUMBER(AMP3_2[[#This Row],[Dim 1_1]:[T 8]])=TRUE,1,0))</f>
        <v>0</v>
      </c>
      <c r="H86">
        <v>155.857</v>
      </c>
      <c r="I86">
        <v>155.86500000000001</v>
      </c>
      <c r="J86">
        <v>168.71299999999999</v>
      </c>
      <c r="K86">
        <v>168.81800000000001</v>
      </c>
      <c r="L86">
        <v>155.923</v>
      </c>
      <c r="M86">
        <v>155.80099999999999</v>
      </c>
      <c r="N86">
        <v>27.34</v>
      </c>
      <c r="O86">
        <v>27.533000000000001</v>
      </c>
      <c r="R86">
        <v>17.256</v>
      </c>
      <c r="S86">
        <v>17.204000000000001</v>
      </c>
      <c r="T86">
        <v>38.252000000000002</v>
      </c>
      <c r="U86">
        <v>39.46</v>
      </c>
      <c r="W86">
        <v>5.5E-2</v>
      </c>
      <c r="X86">
        <v>-0.23599999999999999</v>
      </c>
      <c r="Z86">
        <v>1E-3</v>
      </c>
      <c r="AA86">
        <v>-0.159</v>
      </c>
      <c r="AB86">
        <v>-0.23599999999999999</v>
      </c>
      <c r="AC86">
        <v>-8.2000000000000003E-2</v>
      </c>
      <c r="AD86">
        <v>-5.8000000000000003E-2</v>
      </c>
      <c r="AE86">
        <v>5.5E-2</v>
      </c>
      <c r="AF86">
        <v>-9.6000000000000002E-2</v>
      </c>
      <c r="AG86">
        <v>-0.159</v>
      </c>
      <c r="AH86">
        <v>-4.0000000000000001E-3</v>
      </c>
      <c r="AI86">
        <v>1E-3</v>
      </c>
    </row>
    <row r="87" spans="1:35" x14ac:dyDescent="0.25">
      <c r="A87" t="s">
        <v>1871</v>
      </c>
      <c r="B87" t="s">
        <v>32</v>
      </c>
      <c r="C87" s="25">
        <v>43705.726342592592</v>
      </c>
      <c r="D87" s="741" t="s">
        <v>969</v>
      </c>
      <c r="E87" s="424">
        <f t="array" ref="E87">SUMPRODUCT(IF(AMP3_2[[#This Row],[Dim 1_1]:[T 8]]-$F$4:$AI$4&lt;0,1,0)+IF($F$5:$AI$5-AMP3_2[[#This Row],[Dim 1_1]:[T 8]]&lt;0,1,0),IF(ISNUMBER(AMP3_2[[#This Row],[Dim 1_1]:[T 8]])=TRUE,1,0))</f>
        <v>0</v>
      </c>
      <c r="F87">
        <v>41.195999999999998</v>
      </c>
      <c r="G87">
        <v>41.298999999999999</v>
      </c>
      <c r="H87">
        <v>155.89500000000001</v>
      </c>
      <c r="I87">
        <v>155.887</v>
      </c>
      <c r="L87">
        <v>155.917</v>
      </c>
      <c r="M87">
        <v>155.715</v>
      </c>
      <c r="N87">
        <v>27.271999999999998</v>
      </c>
      <c r="O87">
        <v>27.401</v>
      </c>
      <c r="R87">
        <v>17.256</v>
      </c>
      <c r="S87">
        <v>17.317</v>
      </c>
      <c r="T87">
        <v>34.14</v>
      </c>
      <c r="U87">
        <v>34.415999999999997</v>
      </c>
      <c r="W87">
        <v>-4.2999999999999997E-2</v>
      </c>
      <c r="X87">
        <v>-0.26800000000000002</v>
      </c>
      <c r="Z87">
        <v>-4.3999999999999997E-2</v>
      </c>
      <c r="AA87">
        <v>-0.16900000000000001</v>
      </c>
      <c r="AB87">
        <v>-0.13500000000000001</v>
      </c>
      <c r="AC87">
        <v>-0.121</v>
      </c>
      <c r="AD87">
        <v>-4.2999999999999997E-2</v>
      </c>
      <c r="AE87">
        <v>-0.26800000000000002</v>
      </c>
      <c r="AF87">
        <v>-0.1</v>
      </c>
      <c r="AG87">
        <v>-0.106</v>
      </c>
      <c r="AH87">
        <v>-0.16900000000000001</v>
      </c>
      <c r="AI87">
        <v>-4.3999999999999997E-2</v>
      </c>
    </row>
    <row r="88" spans="1:35" x14ac:dyDescent="0.25">
      <c r="A88" t="s">
        <v>1872</v>
      </c>
      <c r="B88" t="s">
        <v>31</v>
      </c>
      <c r="C88" s="25">
        <v>43705.72792824074</v>
      </c>
      <c r="D88" s="741" t="s">
        <v>969</v>
      </c>
      <c r="E88" s="424">
        <f t="array" ref="E88">SUMPRODUCT(IF(AMP3_2[[#This Row],[Dim 1_1]:[T 8]]-$F$4:$AI$4&lt;0,1,0)+IF($F$5:$AI$5-AMP3_2[[#This Row],[Dim 1_1]:[T 8]]&lt;0,1,0),IF(ISNUMBER(AMP3_2[[#This Row],[Dim 1_1]:[T 8]])=TRUE,1,0))</f>
        <v>0</v>
      </c>
      <c r="H88">
        <v>155.89699999999999</v>
      </c>
      <c r="I88">
        <v>155.84299999999999</v>
      </c>
      <c r="J88">
        <v>168.649</v>
      </c>
      <c r="K88">
        <v>168.827</v>
      </c>
      <c r="L88">
        <v>155.91200000000001</v>
      </c>
      <c r="M88">
        <v>155.768</v>
      </c>
      <c r="N88">
        <v>27.343</v>
      </c>
      <c r="O88">
        <v>27.608000000000001</v>
      </c>
      <c r="R88">
        <v>17.245999999999999</v>
      </c>
      <c r="S88">
        <v>17.207000000000001</v>
      </c>
      <c r="T88">
        <v>36.784999999999997</v>
      </c>
      <c r="U88">
        <v>37.813000000000002</v>
      </c>
      <c r="W88">
        <v>8.3000000000000004E-2</v>
      </c>
      <c r="X88">
        <v>-0.11</v>
      </c>
      <c r="Z88">
        <v>7.9000000000000001E-2</v>
      </c>
      <c r="AA88">
        <v>-6.0000000000000001E-3</v>
      </c>
      <c r="AB88">
        <v>-0.11</v>
      </c>
      <c r="AC88">
        <v>3.3000000000000002E-2</v>
      </c>
      <c r="AD88">
        <v>-3.9E-2</v>
      </c>
      <c r="AE88">
        <v>8.3000000000000004E-2</v>
      </c>
      <c r="AF88">
        <v>5.8999999999999997E-2</v>
      </c>
      <c r="AG88">
        <v>-6.0000000000000001E-3</v>
      </c>
      <c r="AH88">
        <v>4.7E-2</v>
      </c>
      <c r="AI88">
        <v>7.9000000000000001E-2</v>
      </c>
    </row>
    <row r="89" spans="1:35" x14ac:dyDescent="0.25">
      <c r="A89" t="s">
        <v>1873</v>
      </c>
      <c r="B89" t="s">
        <v>32</v>
      </c>
      <c r="C89" s="25">
        <v>43705.837152777778</v>
      </c>
      <c r="D89" s="741" t="s">
        <v>969</v>
      </c>
      <c r="E89" s="424">
        <f t="array" ref="E89">SUMPRODUCT(IF(AMP3_2[[#This Row],[Dim 1_1]:[T 8]]-$F$4:$AI$4&lt;0,1,0)+IF($F$5:$AI$5-AMP3_2[[#This Row],[Dim 1_1]:[T 8]]&lt;0,1,0),IF(ISNUMBER(AMP3_2[[#This Row],[Dim 1_1]:[T 8]])=TRUE,1,0))</f>
        <v>0</v>
      </c>
      <c r="F89">
        <v>41.134</v>
      </c>
      <c r="G89">
        <v>41.241999999999997</v>
      </c>
      <c r="H89">
        <v>155.92500000000001</v>
      </c>
      <c r="I89">
        <v>155.946</v>
      </c>
      <c r="L89">
        <v>155.953</v>
      </c>
      <c r="M89">
        <v>155.77500000000001</v>
      </c>
      <c r="N89">
        <v>27.265999999999998</v>
      </c>
      <c r="O89">
        <v>27.388999999999999</v>
      </c>
      <c r="R89">
        <v>17.260999999999999</v>
      </c>
      <c r="S89">
        <v>17.181999999999999</v>
      </c>
      <c r="T89">
        <v>33.762</v>
      </c>
      <c r="U89">
        <v>34.718000000000004</v>
      </c>
      <c r="W89">
        <v>0.13200000000000001</v>
      </c>
      <c r="X89">
        <v>-6.2E-2</v>
      </c>
      <c r="Z89">
        <v>9.4E-2</v>
      </c>
      <c r="AA89">
        <v>-8.1000000000000003E-2</v>
      </c>
      <c r="AB89">
        <v>-3.3000000000000002E-2</v>
      </c>
      <c r="AC89">
        <v>-1.4E-2</v>
      </c>
      <c r="AD89">
        <v>0.13200000000000001</v>
      </c>
      <c r="AE89">
        <v>-6.2E-2</v>
      </c>
      <c r="AF89">
        <v>-4.3999999999999997E-2</v>
      </c>
      <c r="AG89">
        <v>-8.1000000000000003E-2</v>
      </c>
      <c r="AH89">
        <v>0.04</v>
      </c>
      <c r="AI89">
        <v>9.4E-2</v>
      </c>
    </row>
    <row r="90" spans="1:35" x14ac:dyDescent="0.25">
      <c r="A90" t="s">
        <v>1874</v>
      </c>
      <c r="B90" t="s">
        <v>31</v>
      </c>
      <c r="C90" s="25">
        <v>43705.838634259257</v>
      </c>
      <c r="D90" s="741" t="s">
        <v>969</v>
      </c>
      <c r="E90" s="424">
        <f t="array" ref="E90">SUMPRODUCT(IF(AMP3_2[[#This Row],[Dim 1_1]:[T 8]]-$F$4:$AI$4&lt;0,1,0)+IF($F$5:$AI$5-AMP3_2[[#This Row],[Dim 1_1]:[T 8]]&lt;0,1,0),IF(ISNUMBER(AMP3_2[[#This Row],[Dim 1_1]:[T 8]])=TRUE,1,0))</f>
        <v>0</v>
      </c>
      <c r="H90">
        <v>155.876</v>
      </c>
      <c r="I90">
        <v>155.85</v>
      </c>
      <c r="J90">
        <v>168.66200000000001</v>
      </c>
      <c r="K90">
        <v>168.691</v>
      </c>
      <c r="L90">
        <v>155.93</v>
      </c>
      <c r="M90">
        <v>155.73699999999999</v>
      </c>
      <c r="N90">
        <v>27.327999999999999</v>
      </c>
      <c r="O90">
        <v>27.579000000000001</v>
      </c>
      <c r="R90">
        <v>17.256</v>
      </c>
      <c r="S90">
        <v>17.241</v>
      </c>
      <c r="T90">
        <v>37.078000000000003</v>
      </c>
      <c r="U90">
        <v>38.335999999999999</v>
      </c>
      <c r="W90">
        <v>4.2000000000000003E-2</v>
      </c>
      <c r="X90">
        <v>-0.13</v>
      </c>
      <c r="Z90">
        <v>8.0000000000000002E-3</v>
      </c>
      <c r="AA90">
        <v>-7.4999999999999997E-2</v>
      </c>
      <c r="AB90">
        <v>-0.13</v>
      </c>
      <c r="AC90">
        <v>1.4E-2</v>
      </c>
      <c r="AD90">
        <v>-2.8000000000000001E-2</v>
      </c>
      <c r="AE90">
        <v>4.2000000000000003E-2</v>
      </c>
      <c r="AF90">
        <v>5.0000000000000001E-3</v>
      </c>
      <c r="AG90">
        <v>-7.4999999999999997E-2</v>
      </c>
      <c r="AH90">
        <v>0</v>
      </c>
      <c r="AI90">
        <v>8.0000000000000002E-3</v>
      </c>
    </row>
    <row r="91" spans="1:35" x14ac:dyDescent="0.25">
      <c r="A91" t="s">
        <v>1875</v>
      </c>
      <c r="B91" t="s">
        <v>32</v>
      </c>
      <c r="C91" s="25">
        <v>43705.967766203707</v>
      </c>
      <c r="D91" s="741" t="s">
        <v>969</v>
      </c>
      <c r="E91" s="424">
        <f t="array" ref="E91">SUMPRODUCT(IF(AMP3_2[[#This Row],[Dim 1_1]:[T 8]]-$F$4:$AI$4&lt;0,1,0)+IF($F$5:$AI$5-AMP3_2[[#This Row],[Dim 1_1]:[T 8]]&lt;0,1,0),IF(ISNUMBER(AMP3_2[[#This Row],[Dim 1_1]:[T 8]])=TRUE,1,0))</f>
        <v>0</v>
      </c>
      <c r="F91">
        <v>41.219000000000001</v>
      </c>
      <c r="G91">
        <v>41.362000000000002</v>
      </c>
      <c r="H91">
        <v>155.85</v>
      </c>
      <c r="I91">
        <v>155.86699999999999</v>
      </c>
      <c r="L91">
        <v>155.928</v>
      </c>
      <c r="M91">
        <v>155.76</v>
      </c>
      <c r="N91">
        <v>27.283999999999999</v>
      </c>
      <c r="O91">
        <v>27.364999999999998</v>
      </c>
      <c r="R91">
        <v>17.212</v>
      </c>
      <c r="S91">
        <v>17.225000000000001</v>
      </c>
      <c r="T91">
        <v>34.055</v>
      </c>
      <c r="U91">
        <v>34.47</v>
      </c>
      <c r="W91">
        <v>3.5999999999999997E-2</v>
      </c>
      <c r="X91">
        <v>-0.17100000000000001</v>
      </c>
      <c r="Z91">
        <v>0.03</v>
      </c>
      <c r="AA91">
        <v>-0.114</v>
      </c>
      <c r="AB91">
        <v>-2.7E-2</v>
      </c>
      <c r="AC91">
        <v>-2.9000000000000001E-2</v>
      </c>
      <c r="AD91">
        <v>3.5999999999999997E-2</v>
      </c>
      <c r="AE91">
        <v>-0.17100000000000001</v>
      </c>
      <c r="AF91">
        <v>-3.1E-2</v>
      </c>
      <c r="AG91">
        <v>-5.8000000000000003E-2</v>
      </c>
      <c r="AH91">
        <v>-0.114</v>
      </c>
      <c r="AI91">
        <v>0.03</v>
      </c>
    </row>
    <row r="92" spans="1:35" x14ac:dyDescent="0.25">
      <c r="A92" t="s">
        <v>1876</v>
      </c>
      <c r="B92" t="s">
        <v>31</v>
      </c>
      <c r="C92" s="25">
        <v>43705.969548611109</v>
      </c>
      <c r="D92" s="741" t="s">
        <v>969</v>
      </c>
      <c r="E92" s="424">
        <f t="array" ref="E92">SUMPRODUCT(IF(AMP3_2[[#This Row],[Dim 1_1]:[T 8]]-$F$4:$AI$4&lt;0,1,0)+IF($F$5:$AI$5-AMP3_2[[#This Row],[Dim 1_1]:[T 8]]&lt;0,1,0),IF(ISNUMBER(AMP3_2[[#This Row],[Dim 1_1]:[T 8]])=TRUE,1,0))</f>
        <v>0</v>
      </c>
      <c r="H92">
        <v>155.857</v>
      </c>
      <c r="I92">
        <v>155.82300000000001</v>
      </c>
      <c r="J92">
        <v>168.68199999999999</v>
      </c>
      <c r="K92">
        <v>168.73500000000001</v>
      </c>
      <c r="L92">
        <v>155.88499999999999</v>
      </c>
      <c r="M92">
        <v>155.70400000000001</v>
      </c>
      <c r="N92">
        <v>27.366</v>
      </c>
      <c r="O92">
        <v>27.629000000000001</v>
      </c>
      <c r="R92">
        <v>17.234999999999999</v>
      </c>
      <c r="S92">
        <v>17.317</v>
      </c>
      <c r="T92">
        <v>37.076000000000001</v>
      </c>
      <c r="U92">
        <v>37.268999999999998</v>
      </c>
      <c r="W92">
        <v>6.0000000000000001E-3</v>
      </c>
      <c r="X92">
        <v>-0.16400000000000001</v>
      </c>
      <c r="Z92">
        <v>4.3999999999999997E-2</v>
      </c>
      <c r="AA92">
        <v>-5.7000000000000002E-2</v>
      </c>
      <c r="AB92">
        <v>-0.159</v>
      </c>
      <c r="AC92">
        <v>6.0000000000000001E-3</v>
      </c>
      <c r="AD92">
        <v>-0.16400000000000001</v>
      </c>
      <c r="AE92">
        <v>-8.2000000000000003E-2</v>
      </c>
      <c r="AF92">
        <v>4.3999999999999997E-2</v>
      </c>
      <c r="AG92">
        <v>-3.6999999999999998E-2</v>
      </c>
      <c r="AH92">
        <v>-5.7000000000000002E-2</v>
      </c>
      <c r="AI92">
        <v>-3.1E-2</v>
      </c>
    </row>
    <row r="93" spans="1:35" x14ac:dyDescent="0.25">
      <c r="A93" t="s">
        <v>1877</v>
      </c>
      <c r="B93" t="s">
        <v>32</v>
      </c>
      <c r="C93" s="25">
        <v>43705.986250000002</v>
      </c>
      <c r="D93" s="741" t="s">
        <v>969</v>
      </c>
      <c r="E93" s="424">
        <f t="array" ref="E93">SUMPRODUCT(IF(AMP3_2[[#This Row],[Dim 1_1]:[T 8]]-$F$4:$AI$4&lt;0,1,0)+IF($F$5:$AI$5-AMP3_2[[#This Row],[Dim 1_1]:[T 8]]&lt;0,1,0),IF(ISNUMBER(AMP3_2[[#This Row],[Dim 1_1]:[T 8]])=TRUE,1,0))</f>
        <v>0</v>
      </c>
      <c r="F93">
        <v>41.268999999999998</v>
      </c>
      <c r="G93">
        <v>41.433999999999997</v>
      </c>
      <c r="H93">
        <v>155.744</v>
      </c>
      <c r="I93">
        <v>155.73500000000001</v>
      </c>
      <c r="L93">
        <v>155.75299999999999</v>
      </c>
      <c r="M93">
        <v>155.548</v>
      </c>
      <c r="N93">
        <v>27.466000000000001</v>
      </c>
      <c r="O93">
        <v>27.603000000000002</v>
      </c>
      <c r="R93">
        <v>17.248000000000001</v>
      </c>
      <c r="S93">
        <v>17.420000000000002</v>
      </c>
      <c r="T93">
        <v>33.948999999999998</v>
      </c>
      <c r="U93">
        <v>34.405000000000001</v>
      </c>
      <c r="W93">
        <v>0.112</v>
      </c>
      <c r="X93">
        <v>-0.21299999999999999</v>
      </c>
      <c r="Z93">
        <v>7.8E-2</v>
      </c>
      <c r="AA93">
        <v>-0.151</v>
      </c>
      <c r="AB93">
        <v>0.112</v>
      </c>
      <c r="AC93">
        <v>9.9000000000000005E-2</v>
      </c>
      <c r="AD93">
        <v>2.1999999999999999E-2</v>
      </c>
      <c r="AE93">
        <v>-0.21299999999999999</v>
      </c>
      <c r="AF93">
        <v>7.8E-2</v>
      </c>
      <c r="AG93">
        <v>6.4000000000000001E-2</v>
      </c>
      <c r="AH93">
        <v>-0.151</v>
      </c>
      <c r="AI93">
        <v>1.4999999999999999E-2</v>
      </c>
    </row>
    <row r="94" spans="1:35" x14ac:dyDescent="0.25">
      <c r="A94" t="s">
        <v>1878</v>
      </c>
      <c r="B94" t="s">
        <v>31</v>
      </c>
      <c r="C94" s="25">
        <v>43705.987870370373</v>
      </c>
      <c r="D94" s="741" t="s">
        <v>969</v>
      </c>
      <c r="E94" s="424">
        <f t="array" ref="E94">SUMPRODUCT(IF(AMP3_2[[#This Row],[Dim 1_1]:[T 8]]-$F$4:$AI$4&lt;0,1,0)+IF($F$5:$AI$5-AMP3_2[[#This Row],[Dim 1_1]:[T 8]]&lt;0,1,0),IF(ISNUMBER(AMP3_2[[#This Row],[Dim 1_1]:[T 8]])=TRUE,1,0))</f>
        <v>0</v>
      </c>
      <c r="H94">
        <v>155.74</v>
      </c>
      <c r="I94">
        <v>155.71</v>
      </c>
      <c r="J94">
        <v>168.56800000000001</v>
      </c>
      <c r="K94">
        <v>168.71199999999999</v>
      </c>
      <c r="L94">
        <v>155.77099999999999</v>
      </c>
      <c r="M94">
        <v>155.601</v>
      </c>
      <c r="N94">
        <v>27.486000000000001</v>
      </c>
      <c r="O94">
        <v>27.689</v>
      </c>
      <c r="R94">
        <v>17.227</v>
      </c>
      <c r="S94">
        <v>17.207000000000001</v>
      </c>
      <c r="T94">
        <v>38.831000000000003</v>
      </c>
      <c r="U94">
        <v>38.439</v>
      </c>
      <c r="W94">
        <v>0.14699999999999999</v>
      </c>
      <c r="X94">
        <v>-2.1999999999999999E-2</v>
      </c>
      <c r="Z94">
        <v>0.13500000000000001</v>
      </c>
      <c r="AA94">
        <v>2.5999999999999999E-2</v>
      </c>
      <c r="AB94">
        <v>-3.0000000000000001E-3</v>
      </c>
      <c r="AC94">
        <v>0.14299999999999999</v>
      </c>
      <c r="AD94">
        <v>-2.1999999999999999E-2</v>
      </c>
      <c r="AE94">
        <v>0.14699999999999999</v>
      </c>
      <c r="AF94">
        <v>0.13500000000000001</v>
      </c>
      <c r="AG94">
        <v>7.1999999999999995E-2</v>
      </c>
      <c r="AH94">
        <v>2.5999999999999999E-2</v>
      </c>
      <c r="AI94">
        <v>7.1999999999999995E-2</v>
      </c>
    </row>
    <row r="95" spans="1:35" x14ac:dyDescent="0.25">
      <c r="A95" t="s">
        <v>1879</v>
      </c>
      <c r="B95" t="s">
        <v>32</v>
      </c>
      <c r="C95" s="25">
        <v>43706.027418981481</v>
      </c>
      <c r="D95" s="741" t="s">
        <v>969</v>
      </c>
      <c r="E95" s="424">
        <f t="array" ref="E95">SUMPRODUCT(IF(AMP3_2[[#This Row],[Dim 1_1]:[T 8]]-$F$4:$AI$4&lt;0,1,0)+IF($F$5:$AI$5-AMP3_2[[#This Row],[Dim 1_1]:[T 8]]&lt;0,1,0),IF(ISNUMBER(AMP3_2[[#This Row],[Dim 1_1]:[T 8]])=TRUE,1,0))</f>
        <v>0</v>
      </c>
      <c r="F95">
        <v>41.337000000000003</v>
      </c>
      <c r="G95">
        <v>41.378</v>
      </c>
      <c r="H95">
        <v>155.75700000000001</v>
      </c>
      <c r="I95">
        <v>155.75299999999999</v>
      </c>
      <c r="L95">
        <v>155.78700000000001</v>
      </c>
      <c r="M95">
        <v>155.58099999999999</v>
      </c>
      <c r="N95">
        <v>27.459</v>
      </c>
      <c r="O95">
        <v>27.577999999999999</v>
      </c>
      <c r="R95">
        <v>17.248000000000001</v>
      </c>
      <c r="S95">
        <v>17.37</v>
      </c>
      <c r="T95">
        <v>34.037999999999997</v>
      </c>
      <c r="U95">
        <v>34.427999999999997</v>
      </c>
      <c r="W95">
        <v>0.10299999999999999</v>
      </c>
      <c r="X95">
        <v>-0.182</v>
      </c>
      <c r="Z95">
        <v>7.8E-2</v>
      </c>
      <c r="AA95">
        <v>-9.2999999999999999E-2</v>
      </c>
      <c r="AB95">
        <v>0.10299999999999999</v>
      </c>
      <c r="AC95">
        <v>8.8999999999999996E-2</v>
      </c>
      <c r="AD95">
        <v>7.9000000000000001E-2</v>
      </c>
      <c r="AE95">
        <v>-0.182</v>
      </c>
      <c r="AF95">
        <v>6.5000000000000002E-2</v>
      </c>
      <c r="AG95">
        <v>5.8999999999999997E-2</v>
      </c>
      <c r="AH95">
        <v>-9.2999999999999999E-2</v>
      </c>
      <c r="AI95">
        <v>7.8E-2</v>
      </c>
    </row>
    <row r="96" spans="1:35" x14ac:dyDescent="0.25">
      <c r="A96" t="s">
        <v>1880</v>
      </c>
      <c r="B96" t="s">
        <v>31</v>
      </c>
      <c r="C96" s="25">
        <v>43706.028912037036</v>
      </c>
      <c r="D96" s="741" t="s">
        <v>969</v>
      </c>
      <c r="E96" s="424">
        <f t="array" ref="E96">SUMPRODUCT(IF(AMP3_2[[#This Row],[Dim 1_1]:[T 8]]-$F$4:$AI$4&lt;0,1,0)+IF($F$5:$AI$5-AMP3_2[[#This Row],[Dim 1_1]:[T 8]]&lt;0,1,0),IF(ISNUMBER(AMP3_2[[#This Row],[Dim 1_1]:[T 8]])=TRUE,1,0))</f>
        <v>0</v>
      </c>
      <c r="H96">
        <v>155.726</v>
      </c>
      <c r="I96">
        <v>155.684</v>
      </c>
      <c r="J96">
        <v>168.667</v>
      </c>
      <c r="K96">
        <v>168.75200000000001</v>
      </c>
      <c r="L96">
        <v>155.79599999999999</v>
      </c>
      <c r="M96">
        <v>155.602</v>
      </c>
      <c r="N96">
        <v>27.420999999999999</v>
      </c>
      <c r="O96">
        <v>27.661000000000001</v>
      </c>
      <c r="R96">
        <v>17.222999999999999</v>
      </c>
      <c r="S96">
        <v>17.18</v>
      </c>
      <c r="T96">
        <v>36.804000000000002</v>
      </c>
      <c r="U96">
        <v>37.597000000000001</v>
      </c>
      <c r="W96">
        <v>0.121</v>
      </c>
      <c r="X96">
        <v>-4.3999999999999997E-2</v>
      </c>
      <c r="Z96">
        <v>0.13600000000000001</v>
      </c>
      <c r="AA96">
        <v>0.05</v>
      </c>
      <c r="AB96">
        <v>-4.3999999999999997E-2</v>
      </c>
      <c r="AC96">
        <v>0.106</v>
      </c>
      <c r="AD96">
        <v>-1.4E-2</v>
      </c>
      <c r="AE96">
        <v>0.121</v>
      </c>
      <c r="AF96">
        <v>0.13600000000000001</v>
      </c>
      <c r="AG96">
        <v>7.3999999999999996E-2</v>
      </c>
      <c r="AH96">
        <v>0.05</v>
      </c>
      <c r="AI96">
        <v>0.13100000000000001</v>
      </c>
    </row>
    <row r="97" spans="1:35" x14ac:dyDescent="0.25">
      <c r="A97" t="s">
        <v>2202</v>
      </c>
      <c r="B97" t="s">
        <v>32</v>
      </c>
      <c r="C97" s="25">
        <v>43706.340081018519</v>
      </c>
      <c r="D97" s="741" t="s">
        <v>969</v>
      </c>
      <c r="E97" s="424">
        <f t="array" ref="E97">SUMPRODUCT(IF(AMP3_2[[#This Row],[Dim 1_1]:[T 8]]-$F$4:$AI$4&lt;0,1,0)+IF($F$5:$AI$5-AMP3_2[[#This Row],[Dim 1_1]:[T 8]]&lt;0,1,0),IF(ISNUMBER(AMP3_2[[#This Row],[Dim 1_1]:[T 8]])=TRUE,1,0))</f>
        <v>0</v>
      </c>
      <c r="F97">
        <v>41.264000000000003</v>
      </c>
      <c r="G97">
        <v>41.354999999999997</v>
      </c>
      <c r="H97">
        <v>155.74</v>
      </c>
      <c r="I97">
        <v>155.75700000000001</v>
      </c>
      <c r="L97">
        <v>155.75</v>
      </c>
      <c r="M97">
        <v>155.577</v>
      </c>
      <c r="N97">
        <v>27.478000000000002</v>
      </c>
      <c r="O97">
        <v>27.577999999999999</v>
      </c>
      <c r="R97">
        <v>17.238</v>
      </c>
      <c r="S97">
        <v>17.28</v>
      </c>
      <c r="T97">
        <v>34.122</v>
      </c>
      <c r="U97">
        <v>34.844999999999999</v>
      </c>
      <c r="W97">
        <v>0.16700000000000001</v>
      </c>
      <c r="X97">
        <v>-6.4000000000000001E-2</v>
      </c>
      <c r="Z97">
        <v>0.19700000000000001</v>
      </c>
      <c r="AA97">
        <v>3.5000000000000003E-2</v>
      </c>
      <c r="AB97">
        <v>0.14899999999999999</v>
      </c>
      <c r="AC97">
        <v>0.13200000000000001</v>
      </c>
      <c r="AD97">
        <v>0.16700000000000001</v>
      </c>
      <c r="AE97">
        <v>-6.4000000000000001E-2</v>
      </c>
      <c r="AF97">
        <v>0.111</v>
      </c>
      <c r="AG97">
        <v>0.10299999999999999</v>
      </c>
      <c r="AH97">
        <v>3.5000000000000003E-2</v>
      </c>
      <c r="AI97">
        <v>0.19700000000000001</v>
      </c>
    </row>
    <row r="98" spans="1:35" x14ac:dyDescent="0.25">
      <c r="A98" t="s">
        <v>2203</v>
      </c>
      <c r="B98" t="s">
        <v>31</v>
      </c>
      <c r="C98" s="25">
        <v>43706.342233796298</v>
      </c>
      <c r="D98" s="741" t="s">
        <v>969</v>
      </c>
      <c r="E98" s="424">
        <f t="array" ref="E98">SUMPRODUCT(IF(AMP3_2[[#This Row],[Dim 1_1]:[T 8]]-$F$4:$AI$4&lt;0,1,0)+IF($F$5:$AI$5-AMP3_2[[#This Row],[Dim 1_1]:[T 8]]&lt;0,1,0),IF(ISNUMBER(AMP3_2[[#This Row],[Dim 1_1]:[T 8]])=TRUE,1,0))</f>
        <v>0</v>
      </c>
      <c r="H98">
        <v>155.72399999999999</v>
      </c>
      <c r="I98">
        <v>155.709</v>
      </c>
      <c r="J98">
        <v>168.584</v>
      </c>
      <c r="K98">
        <v>168.67099999999999</v>
      </c>
      <c r="L98">
        <v>155.749</v>
      </c>
      <c r="M98">
        <v>155.572</v>
      </c>
      <c r="N98">
        <v>27.472999999999999</v>
      </c>
      <c r="O98">
        <v>27.712</v>
      </c>
      <c r="R98">
        <v>17.225000000000001</v>
      </c>
      <c r="S98">
        <v>17.251999999999999</v>
      </c>
      <c r="T98">
        <v>37.4</v>
      </c>
      <c r="U98">
        <v>37.819000000000003</v>
      </c>
      <c r="W98">
        <v>0.191</v>
      </c>
      <c r="X98">
        <v>1E-3</v>
      </c>
      <c r="Z98">
        <v>0.22500000000000001</v>
      </c>
      <c r="AA98">
        <v>0.10199999999999999</v>
      </c>
      <c r="AB98">
        <v>3.1E-2</v>
      </c>
      <c r="AC98">
        <v>0.191</v>
      </c>
      <c r="AD98">
        <v>1E-3</v>
      </c>
      <c r="AE98">
        <v>0.16500000000000001</v>
      </c>
      <c r="AF98">
        <v>0.22500000000000001</v>
      </c>
      <c r="AG98">
        <v>0.159</v>
      </c>
      <c r="AH98">
        <v>0.10199999999999999</v>
      </c>
      <c r="AI98">
        <v>0.16600000000000001</v>
      </c>
    </row>
    <row r="99" spans="1:35" x14ac:dyDescent="0.25">
      <c r="A99" t="s">
        <v>2204</v>
      </c>
      <c r="B99" t="s">
        <v>32</v>
      </c>
      <c r="C99" s="25">
        <v>43706.436608796299</v>
      </c>
      <c r="D99" s="741" t="s">
        <v>969</v>
      </c>
      <c r="E99" s="424">
        <f t="array" ref="E99">SUMPRODUCT(IF(AMP3_2[[#This Row],[Dim 1_1]:[T 8]]-$F$4:$AI$4&lt;0,1,0)+IF($F$5:$AI$5-AMP3_2[[#This Row],[Dim 1_1]:[T 8]]&lt;0,1,0),IF(ISNUMBER(AMP3_2[[#This Row],[Dim 1_1]:[T 8]])=TRUE,1,0))</f>
        <v>0</v>
      </c>
      <c r="F99">
        <v>41.33</v>
      </c>
      <c r="G99">
        <v>41.298000000000002</v>
      </c>
      <c r="H99">
        <v>155.77799999999999</v>
      </c>
      <c r="I99">
        <v>155.785</v>
      </c>
      <c r="L99">
        <v>155.79499999999999</v>
      </c>
      <c r="M99">
        <v>155.608</v>
      </c>
      <c r="N99">
        <v>27.42</v>
      </c>
      <c r="O99">
        <v>27.533000000000001</v>
      </c>
      <c r="R99">
        <v>17.247</v>
      </c>
      <c r="S99">
        <v>17.321000000000002</v>
      </c>
      <c r="T99">
        <v>34.209000000000003</v>
      </c>
      <c r="U99">
        <v>34.707999999999998</v>
      </c>
      <c r="W99">
        <v>0.104</v>
      </c>
      <c r="X99">
        <v>-0.109</v>
      </c>
      <c r="Z99">
        <v>0.111</v>
      </c>
      <c r="AA99">
        <v>-5.1999999999999998E-2</v>
      </c>
      <c r="AB99">
        <v>8.3000000000000004E-2</v>
      </c>
      <c r="AC99">
        <v>7.0999999999999994E-2</v>
      </c>
      <c r="AD99">
        <v>0.104</v>
      </c>
      <c r="AE99">
        <v>-0.109</v>
      </c>
      <c r="AF99">
        <v>6.8000000000000005E-2</v>
      </c>
      <c r="AG99">
        <v>5.3999999999999999E-2</v>
      </c>
      <c r="AH99">
        <v>-5.1999999999999998E-2</v>
      </c>
      <c r="AI99">
        <v>0.111</v>
      </c>
    </row>
    <row r="100" spans="1:35" x14ac:dyDescent="0.25">
      <c r="A100" t="s">
        <v>2205</v>
      </c>
      <c r="B100" t="s">
        <v>31</v>
      </c>
      <c r="C100" s="25">
        <v>43706.438761574071</v>
      </c>
      <c r="D100" s="741" t="s">
        <v>969</v>
      </c>
      <c r="E100" s="424">
        <f t="array" ref="E100">SUMPRODUCT(IF(AMP3_2[[#This Row],[Dim 1_1]:[T 8]]-$F$4:$AI$4&lt;0,1,0)+IF($F$5:$AI$5-AMP3_2[[#This Row],[Dim 1_1]:[T 8]]&lt;0,1,0),IF(ISNUMBER(AMP3_2[[#This Row],[Dim 1_1]:[T 8]])=TRUE,1,0))</f>
        <v>0</v>
      </c>
      <c r="H100">
        <v>155.78200000000001</v>
      </c>
      <c r="I100">
        <v>155.74100000000001</v>
      </c>
      <c r="J100">
        <v>168.71899999999999</v>
      </c>
      <c r="K100">
        <v>168.74199999999999</v>
      </c>
      <c r="L100">
        <v>155.791</v>
      </c>
      <c r="M100">
        <v>155.61199999999999</v>
      </c>
      <c r="N100">
        <v>27.431999999999999</v>
      </c>
      <c r="O100">
        <v>27.683</v>
      </c>
      <c r="R100">
        <v>17.248000000000001</v>
      </c>
      <c r="S100">
        <v>17.309999999999999</v>
      </c>
      <c r="T100">
        <v>37.725999999999999</v>
      </c>
      <c r="U100">
        <v>39.017000000000003</v>
      </c>
      <c r="W100">
        <v>0.14099999999999999</v>
      </c>
      <c r="X100">
        <v>-5.8999999999999997E-2</v>
      </c>
      <c r="Z100">
        <v>0.14299999999999999</v>
      </c>
      <c r="AA100">
        <v>-2.8000000000000001E-2</v>
      </c>
      <c r="AB100">
        <v>-1.2E-2</v>
      </c>
      <c r="AC100">
        <v>0.14099999999999999</v>
      </c>
      <c r="AD100">
        <v>-5.8999999999999997E-2</v>
      </c>
      <c r="AE100">
        <v>0.11899999999999999</v>
      </c>
      <c r="AF100">
        <v>0.14299999999999999</v>
      </c>
      <c r="AG100">
        <v>0.08</v>
      </c>
      <c r="AH100">
        <v>-2.8000000000000001E-2</v>
      </c>
      <c r="AI100">
        <v>3.3000000000000002E-2</v>
      </c>
    </row>
    <row r="101" spans="1:35" x14ac:dyDescent="0.25">
      <c r="A101" t="s">
        <v>2292</v>
      </c>
      <c r="B101" t="s">
        <v>32</v>
      </c>
      <c r="C101" s="25">
        <v>43706.58085648148</v>
      </c>
      <c r="D101" s="741" t="s">
        <v>2238</v>
      </c>
      <c r="E101" s="424">
        <f t="array" ref="E101">SUMPRODUCT(IF(AMP3_2[[#This Row],[Dim 1_1]:[T 8]]-$F$4:$AI$4&lt;0,1,0)+IF($F$5:$AI$5-AMP3_2[[#This Row],[Dim 1_1]:[T 8]]&lt;0,1,0),IF(ISNUMBER(AMP3_2[[#This Row],[Dim 1_1]:[T 8]])=TRUE,1,0))</f>
        <v>0</v>
      </c>
      <c r="F101">
        <v>41.155999999999999</v>
      </c>
      <c r="G101">
        <v>41.298000000000002</v>
      </c>
      <c r="H101">
        <v>155.822</v>
      </c>
      <c r="I101">
        <v>155.87799999999999</v>
      </c>
      <c r="L101">
        <v>155.82900000000001</v>
      </c>
      <c r="M101">
        <v>155.74100000000001</v>
      </c>
      <c r="N101">
        <v>27.358000000000001</v>
      </c>
      <c r="O101">
        <v>27.407</v>
      </c>
      <c r="R101">
        <v>17.265999999999998</v>
      </c>
      <c r="S101">
        <v>17.317</v>
      </c>
      <c r="T101">
        <v>34.344999999999999</v>
      </c>
      <c r="U101">
        <v>34.387</v>
      </c>
      <c r="W101">
        <v>1.4E-2</v>
      </c>
      <c r="X101">
        <v>-0.187</v>
      </c>
      <c r="Z101">
        <v>2.9000000000000001E-2</v>
      </c>
      <c r="AA101">
        <v>-0.128</v>
      </c>
      <c r="AB101">
        <v>-3.2000000000000001E-2</v>
      </c>
      <c r="AC101">
        <v>-4.5999999999999999E-2</v>
      </c>
      <c r="AD101">
        <v>1.4E-2</v>
      </c>
      <c r="AE101">
        <v>-0.187</v>
      </c>
      <c r="AF101">
        <v>-3.5999999999999997E-2</v>
      </c>
      <c r="AG101">
        <v>-3.5000000000000003E-2</v>
      </c>
      <c r="AH101">
        <v>-0.128</v>
      </c>
      <c r="AI101">
        <v>2.9000000000000001E-2</v>
      </c>
    </row>
    <row r="102" spans="1:35" x14ac:dyDescent="0.25">
      <c r="A102" t="s">
        <v>2293</v>
      </c>
      <c r="B102" t="s">
        <v>31</v>
      </c>
      <c r="C102" s="25">
        <v>43706.582916666666</v>
      </c>
      <c r="D102" s="741" t="s">
        <v>2238</v>
      </c>
      <c r="E102" s="424">
        <f t="array" ref="E102">SUMPRODUCT(IF(AMP3_2[[#This Row],[Dim 1_1]:[T 8]]-$F$4:$AI$4&lt;0,1,0)+IF($F$5:$AI$5-AMP3_2[[#This Row],[Dim 1_1]:[T 8]]&lt;0,1,0),IF(ISNUMBER(AMP3_2[[#This Row],[Dim 1_1]:[T 8]])=TRUE,1,0))</f>
        <v>0</v>
      </c>
      <c r="H102">
        <v>155.827</v>
      </c>
      <c r="I102">
        <v>155.75200000000001</v>
      </c>
      <c r="J102">
        <v>168.51</v>
      </c>
      <c r="K102">
        <v>168.65899999999999</v>
      </c>
      <c r="L102">
        <v>155.83500000000001</v>
      </c>
      <c r="M102">
        <v>155.62700000000001</v>
      </c>
      <c r="N102">
        <v>27.434000000000001</v>
      </c>
      <c r="O102">
        <v>27.707000000000001</v>
      </c>
      <c r="R102">
        <v>17.228999999999999</v>
      </c>
      <c r="S102">
        <v>17.231000000000002</v>
      </c>
      <c r="T102">
        <v>37.337000000000003</v>
      </c>
      <c r="U102">
        <v>39.173999999999999</v>
      </c>
      <c r="W102">
        <v>0.128</v>
      </c>
      <c r="X102">
        <v>-7.3999999999999996E-2</v>
      </c>
      <c r="Z102">
        <v>-5.0000000000000001E-3</v>
      </c>
      <c r="AA102">
        <v>-8.8999999999999996E-2</v>
      </c>
      <c r="AB102">
        <v>-7.3999999999999996E-2</v>
      </c>
      <c r="AC102">
        <v>7.0000000000000007E-2</v>
      </c>
      <c r="AD102">
        <v>-2.1999999999999999E-2</v>
      </c>
      <c r="AE102">
        <v>0.128</v>
      </c>
      <c r="AF102">
        <v>-1.0999999999999999E-2</v>
      </c>
      <c r="AG102">
        <v>-8.8999999999999996E-2</v>
      </c>
      <c r="AH102">
        <v>-8.0000000000000002E-3</v>
      </c>
      <c r="AI102">
        <v>-5.0000000000000001E-3</v>
      </c>
    </row>
    <row r="103" spans="1:35" x14ac:dyDescent="0.25">
      <c r="A103" t="s">
        <v>2294</v>
      </c>
      <c r="B103" t="s">
        <v>32</v>
      </c>
      <c r="C103" s="25">
        <v>43706.625497685185</v>
      </c>
      <c r="D103" s="741" t="s">
        <v>2238</v>
      </c>
      <c r="E103" s="424">
        <f t="array" ref="E103">SUMPRODUCT(IF(AMP3_2[[#This Row],[Dim 1_1]:[T 8]]-$F$4:$AI$4&lt;0,1,0)+IF($F$5:$AI$5-AMP3_2[[#This Row],[Dim 1_1]:[T 8]]&lt;0,1,0),IF(ISNUMBER(AMP3_2[[#This Row],[Dim 1_1]:[T 8]])=TRUE,1,0))</f>
        <v>0</v>
      </c>
      <c r="F103">
        <v>41.280999999999999</v>
      </c>
      <c r="G103">
        <v>41.408000000000001</v>
      </c>
      <c r="H103">
        <v>155.81899999999999</v>
      </c>
      <c r="I103">
        <v>155.82499999999999</v>
      </c>
      <c r="L103">
        <v>155.82900000000001</v>
      </c>
      <c r="M103">
        <v>155.63800000000001</v>
      </c>
      <c r="N103">
        <v>27.353000000000002</v>
      </c>
      <c r="O103">
        <v>27.423999999999999</v>
      </c>
      <c r="R103">
        <v>17.260000000000002</v>
      </c>
      <c r="S103">
        <v>17.265999999999998</v>
      </c>
      <c r="T103">
        <v>33.97</v>
      </c>
      <c r="U103">
        <v>34.652999999999999</v>
      </c>
      <c r="W103">
        <v>7.0000000000000007E-2</v>
      </c>
      <c r="X103">
        <v>-0.16900000000000001</v>
      </c>
      <c r="Z103">
        <v>8.8999999999999996E-2</v>
      </c>
      <c r="AA103">
        <v>-7.5999999999999998E-2</v>
      </c>
      <c r="AB103">
        <v>3.0000000000000001E-3</v>
      </c>
      <c r="AC103">
        <v>-8.0000000000000002E-3</v>
      </c>
      <c r="AD103">
        <v>7.0000000000000007E-2</v>
      </c>
      <c r="AE103">
        <v>-0.16900000000000001</v>
      </c>
      <c r="AF103">
        <v>-0.01</v>
      </c>
      <c r="AG103">
        <v>-2.7E-2</v>
      </c>
      <c r="AH103">
        <v>-7.5999999999999998E-2</v>
      </c>
      <c r="AI103">
        <v>8.8999999999999996E-2</v>
      </c>
    </row>
    <row r="104" spans="1:35" x14ac:dyDescent="0.25">
      <c r="A104" t="s">
        <v>2295</v>
      </c>
      <c r="B104" t="s">
        <v>31</v>
      </c>
      <c r="C104" s="25">
        <v>43706.627743055556</v>
      </c>
      <c r="D104" s="741" t="s">
        <v>2238</v>
      </c>
      <c r="E104" s="424">
        <f t="array" ref="E104">SUMPRODUCT(IF(AMP3_2[[#This Row],[Dim 1_1]:[T 8]]-$F$4:$AI$4&lt;0,1,0)+IF($F$5:$AI$5-AMP3_2[[#This Row],[Dim 1_1]:[T 8]]&lt;0,1,0),IF(ISNUMBER(AMP3_2[[#This Row],[Dim 1_1]:[T 8]])=TRUE,1,0))</f>
        <v>0</v>
      </c>
      <c r="H104">
        <v>155.75399999999999</v>
      </c>
      <c r="I104">
        <v>155.76900000000001</v>
      </c>
      <c r="J104">
        <v>168.66300000000001</v>
      </c>
      <c r="K104">
        <v>168.91800000000001</v>
      </c>
      <c r="L104">
        <v>155.83699999999999</v>
      </c>
      <c r="M104">
        <v>155.661</v>
      </c>
      <c r="N104">
        <v>27.404</v>
      </c>
      <c r="O104">
        <v>27.591999999999999</v>
      </c>
      <c r="R104">
        <v>17.206</v>
      </c>
      <c r="S104">
        <v>17.286000000000001</v>
      </c>
      <c r="T104">
        <v>36.813000000000002</v>
      </c>
      <c r="U104">
        <v>36.136000000000003</v>
      </c>
      <c r="W104">
        <v>9.2999999999999999E-2</v>
      </c>
      <c r="X104">
        <v>-7.0999999999999994E-2</v>
      </c>
      <c r="Z104">
        <v>0.12</v>
      </c>
      <c r="AA104">
        <v>2.5000000000000001E-2</v>
      </c>
      <c r="AB104">
        <v>-5.8999999999999997E-2</v>
      </c>
      <c r="AC104">
        <v>9.2999999999999999E-2</v>
      </c>
      <c r="AD104">
        <v>-7.0999999999999994E-2</v>
      </c>
      <c r="AE104">
        <v>7.6999999999999999E-2</v>
      </c>
      <c r="AF104">
        <v>0.12</v>
      </c>
      <c r="AG104">
        <v>5.2999999999999999E-2</v>
      </c>
      <c r="AH104">
        <v>2.8000000000000001E-2</v>
      </c>
      <c r="AI104">
        <v>2.5000000000000001E-2</v>
      </c>
    </row>
    <row r="105" spans="1:35" x14ac:dyDescent="0.25">
      <c r="A105" t="s">
        <v>2296</v>
      </c>
      <c r="B105" t="s">
        <v>32</v>
      </c>
      <c r="C105" s="25">
        <v>43706.724490740744</v>
      </c>
      <c r="D105" s="741" t="s">
        <v>2238</v>
      </c>
      <c r="E105" s="424">
        <f t="array" ref="E105">SUMPRODUCT(IF(AMP3_2[[#This Row],[Dim 1_1]:[T 8]]-$F$4:$AI$4&lt;0,1,0)+IF($F$5:$AI$5-AMP3_2[[#This Row],[Dim 1_1]:[T 8]]&lt;0,1,0),IF(ISNUMBER(AMP3_2[[#This Row],[Dim 1_1]:[T 8]])=TRUE,1,0))</f>
        <v>0</v>
      </c>
      <c r="F105">
        <v>41.322000000000003</v>
      </c>
      <c r="G105">
        <v>41.482999999999997</v>
      </c>
      <c r="H105">
        <v>155.77799999999999</v>
      </c>
      <c r="I105">
        <v>155.78899999999999</v>
      </c>
      <c r="L105">
        <v>155.80500000000001</v>
      </c>
      <c r="M105">
        <v>155.595</v>
      </c>
      <c r="N105">
        <v>27.408000000000001</v>
      </c>
      <c r="O105">
        <v>27.553999999999998</v>
      </c>
      <c r="R105">
        <v>17.245000000000001</v>
      </c>
      <c r="S105">
        <v>17.215</v>
      </c>
      <c r="T105">
        <v>33.97</v>
      </c>
      <c r="U105">
        <v>34.648000000000003</v>
      </c>
      <c r="W105">
        <v>0.22500000000000001</v>
      </c>
      <c r="X105">
        <v>-2.1999999999999999E-2</v>
      </c>
      <c r="Z105">
        <v>0.20399999999999999</v>
      </c>
      <c r="AA105">
        <v>2.9000000000000001E-2</v>
      </c>
      <c r="AB105">
        <v>0.13400000000000001</v>
      </c>
      <c r="AC105">
        <v>0.13100000000000001</v>
      </c>
      <c r="AD105">
        <v>0.22500000000000001</v>
      </c>
      <c r="AE105">
        <v>-2.1999999999999999E-2</v>
      </c>
      <c r="AF105">
        <v>7.6999999999999999E-2</v>
      </c>
      <c r="AG105">
        <v>7.1999999999999995E-2</v>
      </c>
      <c r="AH105">
        <v>2.9000000000000001E-2</v>
      </c>
      <c r="AI105">
        <v>0.20399999999999999</v>
      </c>
    </row>
    <row r="106" spans="1:35" x14ac:dyDescent="0.25">
      <c r="A106" t="s">
        <v>2297</v>
      </c>
      <c r="B106" t="s">
        <v>31</v>
      </c>
      <c r="C106" s="25">
        <v>43706.726493055554</v>
      </c>
      <c r="D106" s="741" t="s">
        <v>2238</v>
      </c>
      <c r="E106" s="424">
        <f t="array" ref="E106">SUMPRODUCT(IF(AMP3_2[[#This Row],[Dim 1_1]:[T 8]]-$F$4:$AI$4&lt;0,1,0)+IF($F$5:$AI$5-AMP3_2[[#This Row],[Dim 1_1]:[T 8]]&lt;0,1,0),IF(ISNUMBER(AMP3_2[[#This Row],[Dim 1_1]:[T 8]])=TRUE,1,0))</f>
        <v>0</v>
      </c>
      <c r="H106">
        <v>155.84200000000001</v>
      </c>
      <c r="I106">
        <v>155.78800000000001</v>
      </c>
      <c r="J106">
        <v>168.714</v>
      </c>
      <c r="K106">
        <v>168.773</v>
      </c>
      <c r="L106">
        <v>155.86799999999999</v>
      </c>
      <c r="M106">
        <v>155.69</v>
      </c>
      <c r="N106">
        <v>27.381</v>
      </c>
      <c r="O106">
        <v>27.620999999999999</v>
      </c>
      <c r="R106">
        <v>17.236000000000001</v>
      </c>
      <c r="S106">
        <v>17.236999999999998</v>
      </c>
      <c r="T106">
        <v>39.412999999999997</v>
      </c>
      <c r="U106">
        <v>39.378999999999998</v>
      </c>
      <c r="W106">
        <v>8.5999999999999993E-2</v>
      </c>
      <c r="X106">
        <v>-6.3E-2</v>
      </c>
      <c r="Z106">
        <v>0.12</v>
      </c>
      <c r="AA106">
        <v>2.7E-2</v>
      </c>
      <c r="AB106">
        <v>-4.2000000000000003E-2</v>
      </c>
      <c r="AC106">
        <v>8.5999999999999993E-2</v>
      </c>
      <c r="AD106">
        <v>-6.3E-2</v>
      </c>
      <c r="AE106">
        <v>2.5000000000000001E-2</v>
      </c>
      <c r="AF106">
        <v>0.12</v>
      </c>
      <c r="AG106">
        <v>4.1000000000000002E-2</v>
      </c>
      <c r="AH106">
        <v>2.7E-2</v>
      </c>
      <c r="AI106">
        <v>3.3000000000000002E-2</v>
      </c>
    </row>
    <row r="107" spans="1:35" x14ac:dyDescent="0.25">
      <c r="A107" t="s">
        <v>2298</v>
      </c>
      <c r="B107" t="s">
        <v>32</v>
      </c>
      <c r="C107" s="25">
        <v>43706.791041666664</v>
      </c>
      <c r="D107" s="741" t="s">
        <v>2238</v>
      </c>
      <c r="E107" s="424">
        <f t="array" ref="E107">SUMPRODUCT(IF(AMP3_2[[#This Row],[Dim 1_1]:[T 8]]-$F$4:$AI$4&lt;0,1,0)+IF($F$5:$AI$5-AMP3_2[[#This Row],[Dim 1_1]:[T 8]]&lt;0,1,0),IF(ISNUMBER(AMP3_2[[#This Row],[Dim 1_1]:[T 8]])=TRUE,1,0))</f>
        <v>0</v>
      </c>
      <c r="F107">
        <v>41.261000000000003</v>
      </c>
      <c r="G107">
        <v>41.411000000000001</v>
      </c>
      <c r="H107">
        <v>155.83500000000001</v>
      </c>
      <c r="I107">
        <v>155.80000000000001</v>
      </c>
      <c r="L107">
        <v>155.833</v>
      </c>
      <c r="M107">
        <v>155.61799999999999</v>
      </c>
      <c r="N107">
        <v>27.402000000000001</v>
      </c>
      <c r="O107">
        <v>27.541</v>
      </c>
      <c r="R107">
        <v>17.25</v>
      </c>
      <c r="S107">
        <v>17.23</v>
      </c>
      <c r="T107">
        <v>34.183999999999997</v>
      </c>
      <c r="U107">
        <v>34.444000000000003</v>
      </c>
      <c r="W107">
        <v>0.154</v>
      </c>
      <c r="X107">
        <v>-0.104</v>
      </c>
      <c r="Z107">
        <v>0.10299999999999999</v>
      </c>
      <c r="AA107">
        <v>-5.8999999999999997E-2</v>
      </c>
      <c r="AB107">
        <v>7.8E-2</v>
      </c>
      <c r="AC107">
        <v>6.9000000000000006E-2</v>
      </c>
      <c r="AD107">
        <v>0.154</v>
      </c>
      <c r="AE107">
        <v>-0.104</v>
      </c>
      <c r="AF107">
        <v>8.9999999999999993E-3</v>
      </c>
      <c r="AG107">
        <v>-2.5999999999999999E-2</v>
      </c>
      <c r="AH107">
        <v>-5.8999999999999997E-2</v>
      </c>
      <c r="AI107">
        <v>0.10299999999999999</v>
      </c>
    </row>
    <row r="108" spans="1:35" x14ac:dyDescent="0.25">
      <c r="A108" t="s">
        <v>2299</v>
      </c>
      <c r="B108" t="s">
        <v>31</v>
      </c>
      <c r="C108" s="25">
        <v>43706.793090277781</v>
      </c>
      <c r="D108" s="741" t="s">
        <v>2238</v>
      </c>
      <c r="E108" s="424">
        <f t="array" ref="E108">SUMPRODUCT(IF(AMP3_2[[#This Row],[Dim 1_1]:[T 8]]-$F$4:$AI$4&lt;0,1,0)+IF($F$5:$AI$5-AMP3_2[[#This Row],[Dim 1_1]:[T 8]]&lt;0,1,0),IF(ISNUMBER(AMP3_2[[#This Row],[Dim 1_1]:[T 8]])=TRUE,1,0))</f>
        <v>0</v>
      </c>
      <c r="H108">
        <v>155.78800000000001</v>
      </c>
      <c r="I108">
        <v>155.81200000000001</v>
      </c>
      <c r="J108">
        <v>168.65100000000001</v>
      </c>
      <c r="K108">
        <v>168.86699999999999</v>
      </c>
      <c r="L108">
        <v>155.82</v>
      </c>
      <c r="M108">
        <v>155.697</v>
      </c>
      <c r="N108">
        <v>27.407</v>
      </c>
      <c r="O108">
        <v>27.600999999999999</v>
      </c>
      <c r="R108">
        <v>17.222999999999999</v>
      </c>
      <c r="S108">
        <v>17.239999999999998</v>
      </c>
      <c r="T108">
        <v>38.716000000000001</v>
      </c>
      <c r="U108">
        <v>38.036000000000001</v>
      </c>
      <c r="W108">
        <v>5.5E-2</v>
      </c>
      <c r="X108">
        <v>-0.11700000000000001</v>
      </c>
      <c r="Z108">
        <v>0.104</v>
      </c>
      <c r="AA108">
        <v>2.8000000000000001E-2</v>
      </c>
      <c r="AB108">
        <v>-0.104</v>
      </c>
      <c r="AC108">
        <v>5.5E-2</v>
      </c>
      <c r="AD108">
        <v>-0.11700000000000001</v>
      </c>
      <c r="AE108">
        <v>1.4999999999999999E-2</v>
      </c>
      <c r="AF108">
        <v>0.104</v>
      </c>
      <c r="AG108">
        <v>0.03</v>
      </c>
      <c r="AH108">
        <v>2.8000000000000001E-2</v>
      </c>
      <c r="AI108">
        <v>2.9000000000000001E-2</v>
      </c>
    </row>
    <row r="109" spans="1:35" x14ac:dyDescent="0.25">
      <c r="A109" t="s">
        <v>2300</v>
      </c>
      <c r="B109" t="s">
        <v>32</v>
      </c>
      <c r="C109" s="25">
        <v>43706.905659722222</v>
      </c>
      <c r="D109" s="741" t="s">
        <v>2238</v>
      </c>
      <c r="E109" s="424">
        <f t="array" ref="E109">SUMPRODUCT(IF(AMP3_2[[#This Row],[Dim 1_1]:[T 8]]-$F$4:$AI$4&lt;0,1,0)+IF($F$5:$AI$5-AMP3_2[[#This Row],[Dim 1_1]:[T 8]]&lt;0,1,0),IF(ISNUMBER(AMP3_2[[#This Row],[Dim 1_1]:[T 8]])=TRUE,1,0))</f>
        <v>0</v>
      </c>
      <c r="F109">
        <v>41.389000000000003</v>
      </c>
      <c r="G109">
        <v>41.539000000000001</v>
      </c>
      <c r="H109">
        <v>155.74600000000001</v>
      </c>
      <c r="I109">
        <v>155.773</v>
      </c>
      <c r="L109">
        <v>155.77199999999999</v>
      </c>
      <c r="M109">
        <v>155.59299999999999</v>
      </c>
      <c r="N109">
        <v>27.451000000000001</v>
      </c>
      <c r="O109">
        <v>27.56</v>
      </c>
      <c r="R109">
        <v>17.23</v>
      </c>
      <c r="S109">
        <v>17.239000000000001</v>
      </c>
      <c r="T109">
        <v>33.929000000000002</v>
      </c>
      <c r="U109">
        <v>34.692999999999998</v>
      </c>
      <c r="W109">
        <v>0.184</v>
      </c>
      <c r="X109">
        <v>2.5000000000000001E-2</v>
      </c>
      <c r="Z109">
        <v>0.22500000000000001</v>
      </c>
      <c r="AA109">
        <v>3.9E-2</v>
      </c>
      <c r="AB109">
        <v>0.182</v>
      </c>
      <c r="AC109">
        <v>0.184</v>
      </c>
      <c r="AD109">
        <v>0.16600000000000001</v>
      </c>
      <c r="AE109">
        <v>2.5000000000000001E-2</v>
      </c>
      <c r="AF109">
        <v>0.17100000000000001</v>
      </c>
      <c r="AG109">
        <v>0.13400000000000001</v>
      </c>
      <c r="AH109">
        <v>3.9E-2</v>
      </c>
      <c r="AI109">
        <v>0.22500000000000001</v>
      </c>
    </row>
    <row r="110" spans="1:35" x14ac:dyDescent="0.25">
      <c r="A110" t="s">
        <v>2301</v>
      </c>
      <c r="B110" t="s">
        <v>31</v>
      </c>
      <c r="C110" s="25">
        <v>43706.927245370367</v>
      </c>
      <c r="D110" s="741" t="s">
        <v>2238</v>
      </c>
      <c r="E110" s="424">
        <f t="array" ref="E110">SUMPRODUCT(IF(AMP3_2[[#This Row],[Dim 1_1]:[T 8]]-$F$4:$AI$4&lt;0,1,0)+IF($F$5:$AI$5-AMP3_2[[#This Row],[Dim 1_1]:[T 8]]&lt;0,1,0),IF(ISNUMBER(AMP3_2[[#This Row],[Dim 1_1]:[T 8]])=TRUE,1,0))</f>
        <v>0</v>
      </c>
      <c r="H110">
        <v>155.74600000000001</v>
      </c>
      <c r="I110">
        <v>155.71199999999999</v>
      </c>
      <c r="J110">
        <v>168.72200000000001</v>
      </c>
      <c r="K110">
        <v>168.767</v>
      </c>
      <c r="L110">
        <v>155.78700000000001</v>
      </c>
      <c r="M110">
        <v>155.57499999999999</v>
      </c>
      <c r="N110">
        <v>27.457000000000001</v>
      </c>
      <c r="O110">
        <v>27.741</v>
      </c>
      <c r="R110">
        <v>17.234999999999999</v>
      </c>
      <c r="S110">
        <v>17.385000000000002</v>
      </c>
      <c r="T110">
        <v>37.853999999999999</v>
      </c>
      <c r="U110">
        <v>37.668999999999997</v>
      </c>
      <c r="W110">
        <v>0.16600000000000001</v>
      </c>
      <c r="X110">
        <v>-0.105</v>
      </c>
      <c r="Z110">
        <v>0.189</v>
      </c>
      <c r="AA110">
        <v>1.0999999999999999E-2</v>
      </c>
      <c r="AB110">
        <v>2.1000000000000001E-2</v>
      </c>
      <c r="AC110">
        <v>0.16600000000000001</v>
      </c>
      <c r="AD110">
        <v>-0.105</v>
      </c>
      <c r="AE110">
        <v>1.4E-2</v>
      </c>
      <c r="AF110">
        <v>0.189</v>
      </c>
      <c r="AG110">
        <v>0.107</v>
      </c>
      <c r="AH110">
        <v>3.3000000000000002E-2</v>
      </c>
      <c r="AI110">
        <v>1.0999999999999999E-2</v>
      </c>
    </row>
    <row r="111" spans="1:35" x14ac:dyDescent="0.25">
      <c r="A111" t="s">
        <v>2302</v>
      </c>
      <c r="B111" t="s">
        <v>32</v>
      </c>
      <c r="C111" s="25">
        <v>43706.998993055553</v>
      </c>
      <c r="D111" s="741" t="s">
        <v>2238</v>
      </c>
      <c r="E111" s="424">
        <f t="array" ref="E111">SUMPRODUCT(IF(AMP3_2[[#This Row],[Dim 1_1]:[T 8]]-$F$4:$AI$4&lt;0,1,0)+IF($F$5:$AI$5-AMP3_2[[#This Row],[Dim 1_1]:[T 8]]&lt;0,1,0),IF(ISNUMBER(AMP3_2[[#This Row],[Dim 1_1]:[T 8]])=TRUE,1,0))</f>
        <v>0</v>
      </c>
      <c r="F111">
        <v>41.034999999999997</v>
      </c>
      <c r="G111">
        <v>41.164000000000001</v>
      </c>
      <c r="H111">
        <v>156.02199999999999</v>
      </c>
      <c r="I111">
        <v>155.96799999999999</v>
      </c>
      <c r="L111">
        <v>156.006</v>
      </c>
      <c r="M111">
        <v>155.76599999999999</v>
      </c>
      <c r="N111">
        <v>27.196999999999999</v>
      </c>
      <c r="O111">
        <v>27.347999999999999</v>
      </c>
      <c r="R111">
        <v>17.236999999999998</v>
      </c>
      <c r="S111">
        <v>17.224</v>
      </c>
      <c r="T111">
        <v>33.957999999999998</v>
      </c>
      <c r="U111">
        <v>34.671999999999997</v>
      </c>
      <c r="W111">
        <v>0.05</v>
      </c>
      <c r="X111">
        <v>-0.14699999999999999</v>
      </c>
      <c r="Z111">
        <v>1.7000000000000001E-2</v>
      </c>
      <c r="AA111">
        <v>-0.11799999999999999</v>
      </c>
      <c r="AB111">
        <v>-0.115</v>
      </c>
      <c r="AC111">
        <v>-0.111</v>
      </c>
      <c r="AD111">
        <v>0.05</v>
      </c>
      <c r="AE111">
        <v>-0.14699999999999999</v>
      </c>
      <c r="AF111">
        <v>-8.6999999999999994E-2</v>
      </c>
      <c r="AG111">
        <v>-0.11799999999999999</v>
      </c>
      <c r="AH111">
        <v>-7.4999999999999997E-2</v>
      </c>
      <c r="AI111">
        <v>1.7000000000000001E-2</v>
      </c>
    </row>
    <row r="112" spans="1:35" x14ac:dyDescent="0.25">
      <c r="A112" t="s">
        <v>2303</v>
      </c>
      <c r="B112" t="s">
        <v>31</v>
      </c>
      <c r="C112" s="25">
        <v>43707.001840277779</v>
      </c>
      <c r="D112" s="741" t="s">
        <v>2238</v>
      </c>
      <c r="E112" s="424">
        <f t="array" ref="E112">SUMPRODUCT(IF(AMP3_2[[#This Row],[Dim 1_1]:[T 8]]-$F$4:$AI$4&lt;0,1,0)+IF($F$5:$AI$5-AMP3_2[[#This Row],[Dim 1_1]:[T 8]]&lt;0,1,0),IF(ISNUMBER(AMP3_2[[#This Row],[Dim 1_1]:[T 8]])=TRUE,1,0))</f>
        <v>0</v>
      </c>
      <c r="H112">
        <v>155.91300000000001</v>
      </c>
      <c r="I112">
        <v>155.875</v>
      </c>
      <c r="J112">
        <v>168.631</v>
      </c>
      <c r="K112">
        <v>168.71700000000001</v>
      </c>
      <c r="L112">
        <v>155.95099999999999</v>
      </c>
      <c r="M112">
        <v>155.779</v>
      </c>
      <c r="N112">
        <v>27.308</v>
      </c>
      <c r="O112">
        <v>27.530999999999999</v>
      </c>
      <c r="R112">
        <v>17.253</v>
      </c>
      <c r="S112">
        <v>17.338000000000001</v>
      </c>
      <c r="T112">
        <v>35.162999999999997</v>
      </c>
      <c r="U112">
        <v>36.253</v>
      </c>
      <c r="W112">
        <v>7.0000000000000007E-2</v>
      </c>
      <c r="X112">
        <v>-0.16300000000000001</v>
      </c>
      <c r="Z112">
        <v>-5.7000000000000002E-2</v>
      </c>
      <c r="AA112">
        <v>-0.14899999999999999</v>
      </c>
      <c r="AB112">
        <v>-0.16300000000000001</v>
      </c>
      <c r="AC112">
        <v>-5.0000000000000001E-3</v>
      </c>
      <c r="AD112">
        <v>-7.0999999999999994E-2</v>
      </c>
      <c r="AE112">
        <v>7.0000000000000007E-2</v>
      </c>
      <c r="AF112">
        <v>-5.7000000000000002E-2</v>
      </c>
      <c r="AG112">
        <v>-0.14899999999999999</v>
      </c>
      <c r="AH112">
        <v>-7.2999999999999995E-2</v>
      </c>
      <c r="AI112">
        <v>-7.6999999999999999E-2</v>
      </c>
    </row>
    <row r="113" spans="1:35" x14ac:dyDescent="0.25">
      <c r="A113" t="s">
        <v>2304</v>
      </c>
      <c r="B113" t="s">
        <v>32</v>
      </c>
      <c r="C113" s="25">
        <v>43707.04619212963</v>
      </c>
      <c r="D113" s="741" t="s">
        <v>2238</v>
      </c>
      <c r="E113" s="424">
        <f t="array" ref="E113">SUMPRODUCT(IF(AMP3_2[[#This Row],[Dim 1_1]:[T 8]]-$F$4:$AI$4&lt;0,1,0)+IF($F$5:$AI$5-AMP3_2[[#This Row],[Dim 1_1]:[T 8]]&lt;0,1,0),IF(ISNUMBER(AMP3_2[[#This Row],[Dim 1_1]:[T 8]])=TRUE,1,0))</f>
        <v>0</v>
      </c>
      <c r="F113">
        <v>41.158000000000001</v>
      </c>
      <c r="G113">
        <v>41.305</v>
      </c>
      <c r="H113">
        <v>155.977</v>
      </c>
      <c r="I113">
        <v>155.99700000000001</v>
      </c>
      <c r="L113">
        <v>156.01300000000001</v>
      </c>
      <c r="M113">
        <v>155.83799999999999</v>
      </c>
      <c r="N113">
        <v>27.23</v>
      </c>
      <c r="O113">
        <v>27.331</v>
      </c>
      <c r="R113">
        <v>17.236000000000001</v>
      </c>
      <c r="S113">
        <v>17.076000000000001</v>
      </c>
      <c r="T113">
        <v>33.972000000000001</v>
      </c>
      <c r="U113">
        <v>34.844999999999999</v>
      </c>
      <c r="W113">
        <v>0.14699999999999999</v>
      </c>
      <c r="X113">
        <v>-0.111</v>
      </c>
      <c r="Z113">
        <v>8.4000000000000005E-2</v>
      </c>
      <c r="AA113">
        <v>-0.20399999999999999</v>
      </c>
      <c r="AB113">
        <v>-0.111</v>
      </c>
      <c r="AC113">
        <v>-0.108</v>
      </c>
      <c r="AD113">
        <v>0.14699999999999999</v>
      </c>
      <c r="AE113">
        <v>-8.5999999999999993E-2</v>
      </c>
      <c r="AF113">
        <v>-0.17399999999999999</v>
      </c>
      <c r="AG113">
        <v>-0.20399999999999999</v>
      </c>
      <c r="AH113">
        <v>-0.02</v>
      </c>
      <c r="AI113">
        <v>8.4000000000000005E-2</v>
      </c>
    </row>
    <row r="114" spans="1:35" x14ac:dyDescent="0.25">
      <c r="A114" t="s">
        <v>2305</v>
      </c>
      <c r="B114" t="s">
        <v>31</v>
      </c>
      <c r="C114" s="25">
        <v>43707.048263888886</v>
      </c>
      <c r="D114" s="741" t="s">
        <v>2238</v>
      </c>
      <c r="E114" s="424">
        <f t="array" ref="E114">SUMPRODUCT(IF(AMP3_2[[#This Row],[Dim 1_1]:[T 8]]-$F$4:$AI$4&lt;0,1,0)+IF($F$5:$AI$5-AMP3_2[[#This Row],[Dim 1_1]:[T 8]]&lt;0,1,0),IF(ISNUMBER(AMP3_2[[#This Row],[Dim 1_1]:[T 8]])=TRUE,1,0))</f>
        <v>0</v>
      </c>
      <c r="H114">
        <v>155.92099999999999</v>
      </c>
      <c r="I114">
        <v>155.92599999999999</v>
      </c>
      <c r="J114">
        <v>168.691</v>
      </c>
      <c r="K114">
        <v>168.85</v>
      </c>
      <c r="L114">
        <v>155.96199999999999</v>
      </c>
      <c r="M114">
        <v>155.81299999999999</v>
      </c>
      <c r="N114">
        <v>27.260999999999999</v>
      </c>
      <c r="O114">
        <v>27.498999999999999</v>
      </c>
      <c r="R114">
        <v>17.236999999999998</v>
      </c>
      <c r="S114">
        <v>17.216000000000001</v>
      </c>
      <c r="T114">
        <v>35.860999999999997</v>
      </c>
      <c r="U114">
        <v>39.231000000000002</v>
      </c>
      <c r="W114">
        <v>-7.0999999999999994E-2</v>
      </c>
      <c r="X114">
        <v>-0.22900000000000001</v>
      </c>
      <c r="Z114">
        <v>-7.9000000000000001E-2</v>
      </c>
      <c r="AA114">
        <v>-0.161</v>
      </c>
      <c r="AB114">
        <v>-0.22900000000000001</v>
      </c>
      <c r="AC114">
        <v>-7.0999999999999994E-2</v>
      </c>
      <c r="AD114">
        <v>-0.11600000000000001</v>
      </c>
      <c r="AE114">
        <v>-0.09</v>
      </c>
      <c r="AF114">
        <v>-0.10199999999999999</v>
      </c>
      <c r="AG114">
        <v>-0.161</v>
      </c>
      <c r="AH114">
        <v>-7.9000000000000001E-2</v>
      </c>
      <c r="AI114">
        <v>-8.6999999999999994E-2</v>
      </c>
    </row>
    <row r="115" spans="1:35" x14ac:dyDescent="0.25">
      <c r="A115" t="s">
        <v>2306</v>
      </c>
      <c r="B115" t="s">
        <v>32</v>
      </c>
      <c r="C115" s="25">
        <v>43707.336423611108</v>
      </c>
      <c r="D115" s="741" t="s">
        <v>2238</v>
      </c>
      <c r="E115" s="424">
        <f t="array" ref="E115">SUMPRODUCT(IF(AMP3_2[[#This Row],[Dim 1_1]:[T 8]]-$F$4:$AI$4&lt;0,1,0)+IF($F$5:$AI$5-AMP3_2[[#This Row],[Dim 1_1]:[T 8]]&lt;0,1,0),IF(ISNUMBER(AMP3_2[[#This Row],[Dim 1_1]:[T 8]])=TRUE,1,0))</f>
        <v>0</v>
      </c>
      <c r="F115">
        <v>41.075000000000003</v>
      </c>
      <c r="G115">
        <v>41.125999999999998</v>
      </c>
      <c r="H115">
        <v>155.928</v>
      </c>
      <c r="I115">
        <v>155.958</v>
      </c>
      <c r="L115">
        <v>155.93</v>
      </c>
      <c r="M115">
        <v>155.77699999999999</v>
      </c>
      <c r="N115">
        <v>27.283000000000001</v>
      </c>
      <c r="O115">
        <v>27.375</v>
      </c>
      <c r="R115">
        <v>17.245000000000001</v>
      </c>
      <c r="S115">
        <v>17.245000000000001</v>
      </c>
      <c r="T115">
        <v>34.125999999999998</v>
      </c>
      <c r="U115">
        <v>34.731000000000002</v>
      </c>
      <c r="W115">
        <v>4.7E-2</v>
      </c>
      <c r="X115">
        <v>-0.20200000000000001</v>
      </c>
      <c r="Z115">
        <v>1.4999999999999999E-2</v>
      </c>
      <c r="AA115">
        <v>-0.124</v>
      </c>
      <c r="AB115">
        <v>-6.4000000000000001E-2</v>
      </c>
      <c r="AC115">
        <v>-7.6999999999999999E-2</v>
      </c>
      <c r="AD115">
        <v>4.7E-2</v>
      </c>
      <c r="AE115">
        <v>-0.20200000000000001</v>
      </c>
      <c r="AF115">
        <v>-6.7000000000000004E-2</v>
      </c>
      <c r="AG115">
        <v>-9.6000000000000002E-2</v>
      </c>
      <c r="AH115">
        <v>-0.124</v>
      </c>
      <c r="AI115">
        <v>1.4999999999999999E-2</v>
      </c>
    </row>
    <row r="116" spans="1:35" x14ac:dyDescent="0.25">
      <c r="A116" t="s">
        <v>2307</v>
      </c>
      <c r="B116" t="s">
        <v>31</v>
      </c>
      <c r="C116" s="25">
        <v>43707.339699074073</v>
      </c>
      <c r="D116" s="741" t="s">
        <v>2238</v>
      </c>
      <c r="E116" s="424">
        <f t="array" ref="E116">SUMPRODUCT(IF(AMP3_2[[#This Row],[Dim 1_1]:[T 8]]-$F$4:$AI$4&lt;0,1,0)+IF($F$5:$AI$5-AMP3_2[[#This Row],[Dim 1_1]:[T 8]]&lt;0,1,0),IF(ISNUMBER(AMP3_2[[#This Row],[Dim 1_1]:[T 8]])=TRUE,1,0))</f>
        <v>0</v>
      </c>
      <c r="H116">
        <v>155.89099999999999</v>
      </c>
      <c r="I116">
        <v>155.869</v>
      </c>
      <c r="J116">
        <v>168.64</v>
      </c>
      <c r="K116">
        <v>168.768</v>
      </c>
      <c r="L116">
        <v>155.94300000000001</v>
      </c>
      <c r="M116">
        <v>155.779</v>
      </c>
      <c r="N116">
        <v>27.314</v>
      </c>
      <c r="O116">
        <v>27.512</v>
      </c>
      <c r="R116">
        <v>17.242000000000001</v>
      </c>
      <c r="S116">
        <v>17.282</v>
      </c>
      <c r="T116">
        <v>37.597999999999999</v>
      </c>
      <c r="U116">
        <v>39.534999999999997</v>
      </c>
      <c r="W116">
        <v>0.03</v>
      </c>
      <c r="X116">
        <v>-0.13600000000000001</v>
      </c>
      <c r="Z116">
        <v>3.3000000000000002E-2</v>
      </c>
      <c r="AA116">
        <v>-5.7000000000000002E-2</v>
      </c>
      <c r="AB116">
        <v>-0.13600000000000001</v>
      </c>
      <c r="AC116">
        <v>0.03</v>
      </c>
      <c r="AD116">
        <v>-0.104</v>
      </c>
      <c r="AE116">
        <v>1.4E-2</v>
      </c>
      <c r="AF116">
        <v>3.3000000000000002E-2</v>
      </c>
      <c r="AG116">
        <v>-5.7000000000000002E-2</v>
      </c>
      <c r="AH116">
        <v>-1.2E-2</v>
      </c>
      <c r="AI116">
        <v>-5.0000000000000001E-3</v>
      </c>
    </row>
    <row r="117" spans="1:35" x14ac:dyDescent="0.25">
      <c r="A117" t="s">
        <v>2308</v>
      </c>
      <c r="B117" t="s">
        <v>32</v>
      </c>
      <c r="C117" s="25">
        <v>43707.420335648145</v>
      </c>
      <c r="D117" s="741" t="s">
        <v>2238</v>
      </c>
      <c r="E117" s="424">
        <f t="array" ref="E117">SUMPRODUCT(IF(AMP3_2[[#This Row],[Dim 1_1]:[T 8]]-$F$4:$AI$4&lt;0,1,0)+IF($F$5:$AI$5-AMP3_2[[#This Row],[Dim 1_1]:[T 8]]&lt;0,1,0),IF(ISNUMBER(AMP3_2[[#This Row],[Dim 1_1]:[T 8]])=TRUE,1,0))</f>
        <v>0</v>
      </c>
      <c r="F117">
        <v>41.311999999999998</v>
      </c>
      <c r="G117">
        <v>41.426000000000002</v>
      </c>
      <c r="H117">
        <v>155.90100000000001</v>
      </c>
      <c r="I117">
        <v>155.893</v>
      </c>
      <c r="L117">
        <v>155.91999999999999</v>
      </c>
      <c r="M117">
        <v>155.69800000000001</v>
      </c>
      <c r="N117">
        <v>27.294</v>
      </c>
      <c r="O117">
        <v>27.408000000000001</v>
      </c>
      <c r="R117">
        <v>17.227</v>
      </c>
      <c r="S117">
        <v>17.242000000000001</v>
      </c>
      <c r="T117">
        <v>34.182000000000002</v>
      </c>
      <c r="U117">
        <v>34.667999999999999</v>
      </c>
      <c r="W117">
        <v>9.2999999999999999E-2</v>
      </c>
      <c r="X117">
        <v>-9.4E-2</v>
      </c>
      <c r="Z117">
        <v>0.05</v>
      </c>
      <c r="AA117">
        <v>-9.7000000000000003E-2</v>
      </c>
      <c r="AB117">
        <v>6.0000000000000001E-3</v>
      </c>
      <c r="AC117">
        <v>8.0000000000000002E-3</v>
      </c>
      <c r="AD117">
        <v>9.2999999999999999E-2</v>
      </c>
      <c r="AE117">
        <v>-9.4E-2</v>
      </c>
      <c r="AF117">
        <v>-4.8000000000000001E-2</v>
      </c>
      <c r="AG117">
        <v>-6.8000000000000005E-2</v>
      </c>
      <c r="AH117">
        <v>-9.7000000000000003E-2</v>
      </c>
      <c r="AI117">
        <v>0.05</v>
      </c>
    </row>
    <row r="118" spans="1:35" x14ac:dyDescent="0.25">
      <c r="A118" t="s">
        <v>2309</v>
      </c>
      <c r="B118" t="s">
        <v>31</v>
      </c>
      <c r="C118" s="25">
        <v>43707.422511574077</v>
      </c>
      <c r="D118" s="741" t="s">
        <v>2238</v>
      </c>
      <c r="E118" s="424">
        <f t="array" ref="E118">SUMPRODUCT(IF(AMP3_2[[#This Row],[Dim 1_1]:[T 8]]-$F$4:$AI$4&lt;0,1,0)+IF($F$5:$AI$5-AMP3_2[[#This Row],[Dim 1_1]:[T 8]]&lt;0,1,0),IF(ISNUMBER(AMP3_2[[#This Row],[Dim 1_1]:[T 8]])=TRUE,1,0))</f>
        <v>0</v>
      </c>
      <c r="H118">
        <v>155.90799999999999</v>
      </c>
      <c r="I118">
        <v>155.85900000000001</v>
      </c>
      <c r="J118">
        <v>168.78100000000001</v>
      </c>
      <c r="K118">
        <v>168.852</v>
      </c>
      <c r="L118">
        <v>155.91499999999999</v>
      </c>
      <c r="M118">
        <v>155.74799999999999</v>
      </c>
      <c r="N118">
        <v>27.303000000000001</v>
      </c>
      <c r="O118">
        <v>27.526</v>
      </c>
      <c r="R118">
        <v>17.283000000000001</v>
      </c>
      <c r="S118">
        <v>17.271999999999998</v>
      </c>
      <c r="T118">
        <v>35.944000000000003</v>
      </c>
      <c r="U118">
        <v>36.662999999999997</v>
      </c>
      <c r="W118">
        <v>0</v>
      </c>
      <c r="X118">
        <v>-0.16</v>
      </c>
      <c r="Z118">
        <v>3.2000000000000001E-2</v>
      </c>
      <c r="AA118">
        <v>-8.7999999999999995E-2</v>
      </c>
      <c r="AB118">
        <v>-0.16</v>
      </c>
      <c r="AC118">
        <v>-5.0000000000000001E-3</v>
      </c>
      <c r="AD118">
        <v>-2.9000000000000001E-2</v>
      </c>
      <c r="AE118">
        <v>0</v>
      </c>
      <c r="AF118">
        <v>-3.0000000000000001E-3</v>
      </c>
      <c r="AG118">
        <v>-8.7999999999999995E-2</v>
      </c>
      <c r="AH118">
        <v>3.2000000000000001E-2</v>
      </c>
      <c r="AI118">
        <v>-1E-3</v>
      </c>
    </row>
    <row r="119" spans="1:35" x14ac:dyDescent="0.25">
      <c r="A119" t="s">
        <v>2456</v>
      </c>
      <c r="B119" t="s">
        <v>32</v>
      </c>
      <c r="C119" s="25">
        <v>43707.517337962963</v>
      </c>
      <c r="D119" s="741" t="s">
        <v>2238</v>
      </c>
      <c r="E119" s="424">
        <f t="array" ref="E119">SUMPRODUCT(IF(AMP3_2[[#This Row],[Dim 1_1]:[T 8]]-$F$4:$AI$4&lt;0,1,0)+IF($F$5:$AI$5-AMP3_2[[#This Row],[Dim 1_1]:[T 8]]&lt;0,1,0),IF(ISNUMBER(AMP3_2[[#This Row],[Dim 1_1]:[T 8]])=TRUE,1,0))</f>
        <v>0</v>
      </c>
      <c r="F119">
        <v>41.198</v>
      </c>
      <c r="G119">
        <v>41.335000000000001</v>
      </c>
      <c r="H119">
        <v>155.886</v>
      </c>
      <c r="I119">
        <v>155.91300000000001</v>
      </c>
      <c r="L119">
        <v>155.923</v>
      </c>
      <c r="M119">
        <v>155.74600000000001</v>
      </c>
      <c r="N119">
        <v>27.332000000000001</v>
      </c>
      <c r="O119">
        <v>27.42</v>
      </c>
      <c r="R119">
        <v>17.228999999999999</v>
      </c>
      <c r="S119">
        <v>17.265000000000001</v>
      </c>
      <c r="T119">
        <v>33.722000000000001</v>
      </c>
      <c r="U119">
        <v>34.991</v>
      </c>
      <c r="W119">
        <v>6.7000000000000004E-2</v>
      </c>
      <c r="X119">
        <v>-0.16500000000000001</v>
      </c>
      <c r="Z119">
        <v>3.1E-2</v>
      </c>
      <c r="AA119">
        <v>-0.10299999999999999</v>
      </c>
      <c r="AB119">
        <v>-7.0000000000000001E-3</v>
      </c>
      <c r="AC119">
        <v>2E-3</v>
      </c>
      <c r="AD119">
        <v>6.7000000000000004E-2</v>
      </c>
      <c r="AE119">
        <v>-0.16500000000000001</v>
      </c>
      <c r="AF119">
        <v>-5.0000000000000001E-3</v>
      </c>
      <c r="AG119">
        <v>-4.2999999999999997E-2</v>
      </c>
      <c r="AH119">
        <v>-0.10299999999999999</v>
      </c>
      <c r="AI119">
        <v>3.1E-2</v>
      </c>
    </row>
    <row r="120" spans="1:35" x14ac:dyDescent="0.25">
      <c r="A120" t="s">
        <v>2457</v>
      </c>
      <c r="B120" t="s">
        <v>31</v>
      </c>
      <c r="C120" s="25">
        <v>43707.528171296297</v>
      </c>
      <c r="D120" s="741" t="s">
        <v>2238</v>
      </c>
      <c r="E120" s="424">
        <f t="array" ref="E120">SUMPRODUCT(IF(AMP3_2[[#This Row],[Dim 1_1]:[T 8]]-$F$4:$AI$4&lt;0,1,0)+IF($F$5:$AI$5-AMP3_2[[#This Row],[Dim 1_1]:[T 8]]&lt;0,1,0),IF(ISNUMBER(AMP3_2[[#This Row],[Dim 1_1]:[T 8]])=TRUE,1,0))</f>
        <v>0</v>
      </c>
      <c r="H120">
        <v>155.88399999999999</v>
      </c>
      <c r="I120">
        <v>155.84899999999999</v>
      </c>
      <c r="J120">
        <v>168.61099999999999</v>
      </c>
      <c r="K120">
        <v>168.68600000000001</v>
      </c>
      <c r="L120">
        <v>155.92599999999999</v>
      </c>
      <c r="M120">
        <v>155.755</v>
      </c>
      <c r="N120">
        <v>27.311</v>
      </c>
      <c r="O120">
        <v>27.568000000000001</v>
      </c>
      <c r="R120">
        <v>17.236000000000001</v>
      </c>
      <c r="S120">
        <v>17.225000000000001</v>
      </c>
      <c r="T120">
        <v>39.878</v>
      </c>
      <c r="U120">
        <v>40.048000000000002</v>
      </c>
      <c r="W120">
        <v>0.11</v>
      </c>
      <c r="X120">
        <v>-0.123</v>
      </c>
      <c r="Z120">
        <v>6.5000000000000002E-2</v>
      </c>
      <c r="AA120">
        <v>-0.04</v>
      </c>
      <c r="AB120">
        <v>-0.123</v>
      </c>
      <c r="AC120">
        <v>5.3999999999999999E-2</v>
      </c>
      <c r="AD120">
        <v>-1.7999999999999999E-2</v>
      </c>
      <c r="AE120">
        <v>0.11</v>
      </c>
      <c r="AF120">
        <v>5.5E-2</v>
      </c>
      <c r="AG120">
        <v>-0.04</v>
      </c>
      <c r="AH120">
        <v>6.5000000000000002E-2</v>
      </c>
      <c r="AI120">
        <v>2.9000000000000001E-2</v>
      </c>
    </row>
    <row r="121" spans="1:35" x14ac:dyDescent="0.25">
      <c r="A121" t="s">
        <v>2458</v>
      </c>
      <c r="B121" t="s">
        <v>32</v>
      </c>
      <c r="C121" s="25">
        <v>43707.609513888892</v>
      </c>
      <c r="D121" s="741" t="s">
        <v>2238</v>
      </c>
      <c r="E121" s="424">
        <f t="array" ref="E121">SUMPRODUCT(IF(AMP3_2[[#This Row],[Dim 1_1]:[T 8]]-$F$4:$AI$4&lt;0,1,0)+IF($F$5:$AI$5-AMP3_2[[#This Row],[Dim 1_1]:[T 8]]&lt;0,1,0),IF(ISNUMBER(AMP3_2[[#This Row],[Dim 1_1]:[T 8]])=TRUE,1,0))</f>
        <v>0</v>
      </c>
      <c r="F121">
        <v>41.024000000000001</v>
      </c>
      <c r="G121">
        <v>41.234999999999999</v>
      </c>
      <c r="H121">
        <v>155.94200000000001</v>
      </c>
      <c r="I121">
        <v>155.91300000000001</v>
      </c>
      <c r="L121">
        <v>155.96799999999999</v>
      </c>
      <c r="M121">
        <v>155.74700000000001</v>
      </c>
      <c r="N121">
        <v>27.248999999999999</v>
      </c>
      <c r="O121">
        <v>27.384</v>
      </c>
      <c r="R121">
        <v>17.228000000000002</v>
      </c>
      <c r="S121">
        <v>17.183</v>
      </c>
      <c r="T121">
        <v>33.777000000000001</v>
      </c>
      <c r="U121">
        <v>34.774999999999999</v>
      </c>
      <c r="W121">
        <v>5.7000000000000002E-2</v>
      </c>
      <c r="X121">
        <v>-0.14599999999999999</v>
      </c>
      <c r="Z121">
        <v>0.04</v>
      </c>
      <c r="AA121">
        <v>-0.13900000000000001</v>
      </c>
      <c r="AB121">
        <v>-0.09</v>
      </c>
      <c r="AC121">
        <v>-0.111</v>
      </c>
      <c r="AD121">
        <v>5.7000000000000002E-2</v>
      </c>
      <c r="AE121">
        <v>-0.14599999999999999</v>
      </c>
      <c r="AF121">
        <v>-0.105</v>
      </c>
      <c r="AG121">
        <v>-0.13900000000000001</v>
      </c>
      <c r="AH121">
        <v>-9.4E-2</v>
      </c>
      <c r="AI121">
        <v>0.04</v>
      </c>
    </row>
    <row r="122" spans="1:35" x14ac:dyDescent="0.25">
      <c r="A122" t="s">
        <v>2459</v>
      </c>
      <c r="B122" t="s">
        <v>31</v>
      </c>
      <c r="C122" s="25">
        <v>43707.614074074074</v>
      </c>
      <c r="D122" s="741" t="s">
        <v>2238</v>
      </c>
      <c r="E122" s="424">
        <f t="array" ref="E122">SUMPRODUCT(IF(AMP3_2[[#This Row],[Dim 1_1]:[T 8]]-$F$4:$AI$4&lt;0,1,0)+IF($F$5:$AI$5-AMP3_2[[#This Row],[Dim 1_1]:[T 8]]&lt;0,1,0),IF(ISNUMBER(AMP3_2[[#This Row],[Dim 1_1]:[T 8]])=TRUE,1,0))</f>
        <v>0</v>
      </c>
      <c r="H122">
        <v>155.93</v>
      </c>
      <c r="I122">
        <v>155.83000000000001</v>
      </c>
      <c r="J122">
        <v>168.58199999999999</v>
      </c>
      <c r="K122">
        <v>168.756</v>
      </c>
      <c r="L122">
        <v>156.00299999999999</v>
      </c>
      <c r="M122">
        <v>155.81299999999999</v>
      </c>
      <c r="N122">
        <v>27.257000000000001</v>
      </c>
      <c r="O122">
        <v>27.518000000000001</v>
      </c>
      <c r="R122">
        <v>17.242999999999999</v>
      </c>
      <c r="S122">
        <v>17.227</v>
      </c>
      <c r="T122">
        <v>39.905000000000001</v>
      </c>
      <c r="U122">
        <v>38.774000000000001</v>
      </c>
      <c r="W122">
        <v>-1.2E-2</v>
      </c>
      <c r="X122">
        <v>-0.21199999999999999</v>
      </c>
      <c r="Z122">
        <v>-1.9E-2</v>
      </c>
      <c r="AA122">
        <v>-0.124</v>
      </c>
      <c r="AB122">
        <v>-0.21199999999999999</v>
      </c>
      <c r="AC122">
        <v>-4.2999999999999997E-2</v>
      </c>
      <c r="AD122">
        <v>-0.11</v>
      </c>
      <c r="AE122">
        <v>-1.2E-2</v>
      </c>
      <c r="AF122">
        <v>-3.1E-2</v>
      </c>
      <c r="AG122">
        <v>-0.124</v>
      </c>
      <c r="AH122">
        <v>-1.9E-2</v>
      </c>
      <c r="AI122">
        <v>-4.9000000000000002E-2</v>
      </c>
    </row>
    <row r="123" spans="1:35" x14ac:dyDescent="0.25">
      <c r="A123" t="s">
        <v>2460</v>
      </c>
      <c r="B123" t="s">
        <v>32</v>
      </c>
      <c r="C123" s="25">
        <v>43707.689467592594</v>
      </c>
      <c r="D123" s="741" t="s">
        <v>2238</v>
      </c>
      <c r="E123" s="424">
        <f t="array" ref="E123">SUMPRODUCT(IF(AMP3_2[[#This Row],[Dim 1_1]:[T 8]]-$F$4:$AI$4&lt;0,1,0)+IF($F$5:$AI$5-AMP3_2[[#This Row],[Dim 1_1]:[T 8]]&lt;0,1,0),IF(ISNUMBER(AMP3_2[[#This Row],[Dim 1_1]:[T 8]])=TRUE,1,0))</f>
        <v>0</v>
      </c>
      <c r="F123">
        <v>41.125</v>
      </c>
      <c r="G123">
        <v>41.186</v>
      </c>
      <c r="H123">
        <v>155.94399999999999</v>
      </c>
      <c r="I123">
        <v>155.94499999999999</v>
      </c>
      <c r="L123">
        <v>155.98400000000001</v>
      </c>
      <c r="M123">
        <v>155.78299999999999</v>
      </c>
      <c r="N123">
        <v>27.262</v>
      </c>
      <c r="O123">
        <v>27.356000000000002</v>
      </c>
      <c r="R123">
        <v>17.21</v>
      </c>
      <c r="S123">
        <v>17.219000000000001</v>
      </c>
      <c r="T123">
        <v>34.209000000000003</v>
      </c>
      <c r="U123">
        <v>34.487000000000002</v>
      </c>
      <c r="W123">
        <v>6.4000000000000001E-2</v>
      </c>
      <c r="X123">
        <v>-0.128</v>
      </c>
      <c r="Z123">
        <v>0.04</v>
      </c>
      <c r="AA123">
        <v>-0.10199999999999999</v>
      </c>
      <c r="AB123">
        <v>-4.1000000000000002E-2</v>
      </c>
      <c r="AC123">
        <v>-4.4999999999999998E-2</v>
      </c>
      <c r="AD123">
        <v>6.4000000000000001E-2</v>
      </c>
      <c r="AE123">
        <v>-0.128</v>
      </c>
      <c r="AF123">
        <v>-0.06</v>
      </c>
      <c r="AG123">
        <v>-8.8999999999999996E-2</v>
      </c>
      <c r="AH123">
        <v>-0.10199999999999999</v>
      </c>
      <c r="AI123">
        <v>0.04</v>
      </c>
    </row>
    <row r="124" spans="1:35" x14ac:dyDescent="0.25">
      <c r="A124" t="s">
        <v>2461</v>
      </c>
      <c r="B124" t="s">
        <v>31</v>
      </c>
      <c r="C124" s="25">
        <v>43707.693113425928</v>
      </c>
      <c r="D124" s="741" t="s">
        <v>2238</v>
      </c>
      <c r="E124" s="424">
        <f t="array" ref="E124">SUMPRODUCT(IF(AMP3_2[[#This Row],[Dim 1_1]:[T 8]]-$F$4:$AI$4&lt;0,1,0)+IF($F$5:$AI$5-AMP3_2[[#This Row],[Dim 1_1]:[T 8]]&lt;0,1,0),IF(ISNUMBER(AMP3_2[[#This Row],[Dim 1_1]:[T 8]])=TRUE,1,0))</f>
        <v>0</v>
      </c>
      <c r="H124">
        <v>155.94999999999999</v>
      </c>
      <c r="I124">
        <v>155.87299999999999</v>
      </c>
      <c r="J124">
        <v>168.69800000000001</v>
      </c>
      <c r="K124">
        <v>168.71</v>
      </c>
      <c r="L124">
        <v>155.982</v>
      </c>
      <c r="M124">
        <v>155.779</v>
      </c>
      <c r="N124">
        <v>27.262</v>
      </c>
      <c r="O124">
        <v>27.553000000000001</v>
      </c>
      <c r="R124">
        <v>17.218</v>
      </c>
      <c r="S124">
        <v>17.209</v>
      </c>
      <c r="T124">
        <v>40.625999999999998</v>
      </c>
      <c r="U124">
        <v>39.713000000000001</v>
      </c>
      <c r="W124">
        <v>-3.6999999999999998E-2</v>
      </c>
      <c r="X124">
        <v>-0.19400000000000001</v>
      </c>
      <c r="Z124">
        <v>-2.5000000000000001E-2</v>
      </c>
      <c r="AA124">
        <v>-0.108</v>
      </c>
      <c r="AB124">
        <v>-0.19400000000000001</v>
      </c>
      <c r="AC124">
        <v>-3.6999999999999998E-2</v>
      </c>
      <c r="AD124">
        <v>-7.4999999999999997E-2</v>
      </c>
      <c r="AE124">
        <v>-4.5999999999999999E-2</v>
      </c>
      <c r="AF124">
        <v>-2.5000000000000001E-2</v>
      </c>
      <c r="AG124">
        <v>-0.108</v>
      </c>
      <c r="AH124">
        <v>-2.5999999999999999E-2</v>
      </c>
      <c r="AI124">
        <v>-5.1999999999999998E-2</v>
      </c>
    </row>
    <row r="125" spans="1:35" x14ac:dyDescent="0.25">
      <c r="A125" t="s">
        <v>2462</v>
      </c>
      <c r="B125" t="s">
        <v>32</v>
      </c>
      <c r="C125" s="25">
        <v>43708.310810185183</v>
      </c>
      <c r="D125" s="741" t="s">
        <v>2238</v>
      </c>
      <c r="E125" s="424">
        <f t="array" ref="E125">SUMPRODUCT(IF(AMP3_2[[#This Row],[Dim 1_1]:[T 8]]-$F$4:$AI$4&lt;0,1,0)+IF($F$5:$AI$5-AMP3_2[[#This Row],[Dim 1_1]:[T 8]]&lt;0,1,0),IF(ISNUMBER(AMP3_2[[#This Row],[Dim 1_1]:[T 8]])=TRUE,1,0))</f>
        <v>0</v>
      </c>
      <c r="F125">
        <v>41.174999999999997</v>
      </c>
      <c r="G125">
        <v>41.307000000000002</v>
      </c>
      <c r="H125">
        <v>155.89699999999999</v>
      </c>
      <c r="I125">
        <v>155.898</v>
      </c>
      <c r="L125">
        <v>155.923</v>
      </c>
      <c r="M125">
        <v>155.73400000000001</v>
      </c>
      <c r="N125">
        <v>27.292999999999999</v>
      </c>
      <c r="O125">
        <v>27.393000000000001</v>
      </c>
      <c r="R125">
        <v>17.260000000000002</v>
      </c>
      <c r="S125">
        <v>17.297000000000001</v>
      </c>
      <c r="T125">
        <v>34.472000000000001</v>
      </c>
      <c r="U125">
        <v>34.622</v>
      </c>
      <c r="W125">
        <v>5.5E-2</v>
      </c>
      <c r="X125">
        <v>-0.188</v>
      </c>
      <c r="Z125">
        <v>1.6E-2</v>
      </c>
      <c r="AA125">
        <v>-9.7000000000000003E-2</v>
      </c>
      <c r="AB125">
        <v>1.4999999999999999E-2</v>
      </c>
      <c r="AC125">
        <v>1.7999999999999999E-2</v>
      </c>
      <c r="AD125">
        <v>5.5E-2</v>
      </c>
      <c r="AE125">
        <v>-0.188</v>
      </c>
      <c r="AF125">
        <v>-1.4999999999999999E-2</v>
      </c>
      <c r="AG125">
        <v>-5.7000000000000002E-2</v>
      </c>
      <c r="AH125">
        <v>-9.7000000000000003E-2</v>
      </c>
      <c r="AI125">
        <v>1.6E-2</v>
      </c>
    </row>
    <row r="126" spans="1:35" x14ac:dyDescent="0.25">
      <c r="A126" t="s">
        <v>2463</v>
      </c>
      <c r="B126" t="s">
        <v>31</v>
      </c>
      <c r="C126" s="25">
        <v>43708.313356481478</v>
      </c>
      <c r="D126" s="741" t="s">
        <v>2238</v>
      </c>
      <c r="E126" s="424">
        <f t="array" ref="E126">SUMPRODUCT(IF(AMP3_2[[#This Row],[Dim 1_1]:[T 8]]-$F$4:$AI$4&lt;0,1,0)+IF($F$5:$AI$5-AMP3_2[[#This Row],[Dim 1_1]:[T 8]]&lt;0,1,0),IF(ISNUMBER(AMP3_2[[#This Row],[Dim 1_1]:[T 8]])=TRUE,1,0))</f>
        <v>0</v>
      </c>
      <c r="H126">
        <v>155.88399999999999</v>
      </c>
      <c r="I126">
        <v>155.89599999999999</v>
      </c>
      <c r="J126">
        <v>168.67599999999999</v>
      </c>
      <c r="K126">
        <v>168.84399999999999</v>
      </c>
      <c r="L126">
        <v>155.94999999999999</v>
      </c>
      <c r="M126">
        <v>155.83699999999999</v>
      </c>
      <c r="N126">
        <v>27.300999999999998</v>
      </c>
      <c r="O126">
        <v>27.495000000000001</v>
      </c>
      <c r="R126">
        <v>17.251999999999999</v>
      </c>
      <c r="S126">
        <v>17.190000000000001</v>
      </c>
      <c r="T126">
        <v>37.549999999999997</v>
      </c>
      <c r="U126">
        <v>38.411999999999999</v>
      </c>
      <c r="W126">
        <v>0.01</v>
      </c>
      <c r="X126">
        <v>-0.124</v>
      </c>
      <c r="Z126">
        <v>0.156</v>
      </c>
      <c r="AA126">
        <v>3.4000000000000002E-2</v>
      </c>
      <c r="AB126">
        <v>-0.124</v>
      </c>
      <c r="AC126">
        <v>0.01</v>
      </c>
      <c r="AD126">
        <v>-1.2999999999999999E-2</v>
      </c>
      <c r="AE126">
        <v>8.9999999999999993E-3</v>
      </c>
      <c r="AF126">
        <v>0.128</v>
      </c>
      <c r="AG126">
        <v>3.4000000000000002E-2</v>
      </c>
      <c r="AH126">
        <v>0.156</v>
      </c>
      <c r="AI126">
        <v>0.13100000000000001</v>
      </c>
    </row>
    <row r="127" spans="1:35" x14ac:dyDescent="0.25">
      <c r="A127" t="s">
        <v>2464</v>
      </c>
      <c r="B127" t="s">
        <v>32</v>
      </c>
      <c r="C127" s="25">
        <v>43708.397858796299</v>
      </c>
      <c r="D127" s="741" t="s">
        <v>2238</v>
      </c>
      <c r="E127" s="424">
        <f t="array" ref="E127">SUMPRODUCT(IF(AMP3_2[[#This Row],[Dim 1_1]:[T 8]]-$F$4:$AI$4&lt;0,1,0)+IF($F$5:$AI$5-AMP3_2[[#This Row],[Dim 1_1]:[T 8]]&lt;0,1,0),IF(ISNUMBER(AMP3_2[[#This Row],[Dim 1_1]:[T 8]])=TRUE,1,0))</f>
        <v>0</v>
      </c>
      <c r="F127">
        <v>41.136000000000003</v>
      </c>
      <c r="G127">
        <v>41.357999999999997</v>
      </c>
      <c r="H127">
        <v>155.905</v>
      </c>
      <c r="I127">
        <v>155.91399999999999</v>
      </c>
      <c r="L127">
        <v>155.92400000000001</v>
      </c>
      <c r="M127">
        <v>155.73400000000001</v>
      </c>
      <c r="N127">
        <v>27.263999999999999</v>
      </c>
      <c r="O127">
        <v>27.356999999999999</v>
      </c>
      <c r="R127">
        <v>17.233000000000001</v>
      </c>
      <c r="S127">
        <v>17.338000000000001</v>
      </c>
      <c r="T127">
        <v>34.616</v>
      </c>
      <c r="U127">
        <v>34.418999999999997</v>
      </c>
      <c r="W127">
        <v>4.9000000000000002E-2</v>
      </c>
      <c r="X127">
        <v>-0.27900000000000003</v>
      </c>
      <c r="Z127">
        <v>-3.2000000000000001E-2</v>
      </c>
      <c r="AA127">
        <v>-0.253</v>
      </c>
      <c r="AB127">
        <v>-3.6999999999999998E-2</v>
      </c>
      <c r="AC127">
        <v>-3.2000000000000001E-2</v>
      </c>
      <c r="AD127">
        <v>4.9000000000000002E-2</v>
      </c>
      <c r="AE127">
        <v>-0.27900000000000003</v>
      </c>
      <c r="AF127">
        <v>-3.2000000000000001E-2</v>
      </c>
      <c r="AG127">
        <v>-6.6000000000000003E-2</v>
      </c>
      <c r="AH127">
        <v>-0.253</v>
      </c>
      <c r="AI127">
        <v>-4.3999999999999997E-2</v>
      </c>
    </row>
    <row r="128" spans="1:35" x14ac:dyDescent="0.25">
      <c r="A128" t="s">
        <v>2465</v>
      </c>
      <c r="B128" t="s">
        <v>31</v>
      </c>
      <c r="C128" s="25">
        <v>43708.400752314818</v>
      </c>
      <c r="D128" s="741" t="s">
        <v>2238</v>
      </c>
      <c r="E128" s="424">
        <f t="array" ref="E128">SUMPRODUCT(IF(AMP3_2[[#This Row],[Dim 1_1]:[T 8]]-$F$4:$AI$4&lt;0,1,0)+IF($F$5:$AI$5-AMP3_2[[#This Row],[Dim 1_1]:[T 8]]&lt;0,1,0),IF(ISNUMBER(AMP3_2[[#This Row],[Dim 1_1]:[T 8]])=TRUE,1,0))</f>
        <v>0</v>
      </c>
      <c r="H128">
        <v>155.863</v>
      </c>
      <c r="I128">
        <v>155.82900000000001</v>
      </c>
      <c r="J128">
        <v>168.66499999999999</v>
      </c>
      <c r="K128">
        <v>168.79900000000001</v>
      </c>
      <c r="L128">
        <v>155.95099999999999</v>
      </c>
      <c r="M128">
        <v>155.768</v>
      </c>
      <c r="N128">
        <v>27.323</v>
      </c>
      <c r="O128">
        <v>27.571999999999999</v>
      </c>
      <c r="R128">
        <v>17.253</v>
      </c>
      <c r="S128">
        <v>17.225000000000001</v>
      </c>
      <c r="T128">
        <v>35.377000000000002</v>
      </c>
      <c r="U128">
        <v>37.073999999999998</v>
      </c>
      <c r="W128">
        <v>8.8999999999999996E-2</v>
      </c>
      <c r="X128">
        <v>-0.13800000000000001</v>
      </c>
      <c r="Z128">
        <v>3.4000000000000002E-2</v>
      </c>
      <c r="AA128">
        <v>-6.4000000000000001E-2</v>
      </c>
      <c r="AB128">
        <v>-0.13800000000000001</v>
      </c>
      <c r="AC128">
        <v>4.8000000000000001E-2</v>
      </c>
      <c r="AD128">
        <v>-6.7000000000000004E-2</v>
      </c>
      <c r="AE128">
        <v>8.8999999999999996E-2</v>
      </c>
      <c r="AF128">
        <v>2.4E-2</v>
      </c>
      <c r="AG128">
        <v>-6.4000000000000001E-2</v>
      </c>
      <c r="AH128">
        <v>3.4000000000000002E-2</v>
      </c>
      <c r="AI128">
        <v>1.4999999999999999E-2</v>
      </c>
    </row>
    <row r="129" spans="1:35" x14ac:dyDescent="0.25">
      <c r="A129" t="s">
        <v>2466</v>
      </c>
      <c r="B129" t="s">
        <v>32</v>
      </c>
      <c r="C129" s="25">
        <v>43708.491053240738</v>
      </c>
      <c r="D129" s="741" t="s">
        <v>2238</v>
      </c>
      <c r="E129" s="424">
        <f t="array" ref="E129">SUMPRODUCT(IF(AMP3_2[[#This Row],[Dim 1_1]:[T 8]]-$F$4:$AI$4&lt;0,1,0)+IF($F$5:$AI$5-AMP3_2[[#This Row],[Dim 1_1]:[T 8]]&lt;0,1,0),IF(ISNUMBER(AMP3_2[[#This Row],[Dim 1_1]:[T 8]])=TRUE,1,0))</f>
        <v>0</v>
      </c>
      <c r="F129">
        <v>41.106999999999999</v>
      </c>
      <c r="G129">
        <v>41.326999999999998</v>
      </c>
      <c r="H129">
        <v>155.85499999999999</v>
      </c>
      <c r="I129">
        <v>155.87899999999999</v>
      </c>
      <c r="L129">
        <v>155.92500000000001</v>
      </c>
      <c r="M129">
        <v>155.75299999999999</v>
      </c>
      <c r="N129">
        <v>27.271999999999998</v>
      </c>
      <c r="O129">
        <v>27.373000000000001</v>
      </c>
      <c r="R129">
        <v>17.225999999999999</v>
      </c>
      <c r="S129">
        <v>17.248000000000001</v>
      </c>
      <c r="T129">
        <v>34.203000000000003</v>
      </c>
      <c r="U129">
        <v>34.689</v>
      </c>
      <c r="W129">
        <v>0.14099999999999999</v>
      </c>
      <c r="X129">
        <v>-9.7000000000000003E-2</v>
      </c>
      <c r="Z129">
        <v>6.3E-2</v>
      </c>
      <c r="AA129">
        <v>-9.6000000000000002E-2</v>
      </c>
      <c r="AB129">
        <v>3.1E-2</v>
      </c>
      <c r="AC129">
        <v>1.9E-2</v>
      </c>
      <c r="AD129">
        <v>0.14099999999999999</v>
      </c>
      <c r="AE129">
        <v>-9.7000000000000003E-2</v>
      </c>
      <c r="AF129">
        <v>-2.1999999999999999E-2</v>
      </c>
      <c r="AG129">
        <v>-6.3E-2</v>
      </c>
      <c r="AH129">
        <v>-9.6000000000000002E-2</v>
      </c>
      <c r="AI129">
        <v>6.3E-2</v>
      </c>
    </row>
    <row r="130" spans="1:35" x14ac:dyDescent="0.25">
      <c r="A130" t="s">
        <v>2467</v>
      </c>
      <c r="B130" t="s">
        <v>31</v>
      </c>
      <c r="C130" s="25">
        <v>43708.493263888886</v>
      </c>
      <c r="D130" s="741" t="s">
        <v>2238</v>
      </c>
      <c r="E130" s="424">
        <f t="array" ref="E130">SUMPRODUCT(IF(AMP3_2[[#This Row],[Dim 1_1]:[T 8]]-$F$4:$AI$4&lt;0,1,0)+IF($F$5:$AI$5-AMP3_2[[#This Row],[Dim 1_1]:[T 8]]&lt;0,1,0),IF(ISNUMBER(AMP3_2[[#This Row],[Dim 1_1]:[T 8]])=TRUE,1,0))</f>
        <v>0</v>
      </c>
      <c r="H130">
        <v>155.88200000000001</v>
      </c>
      <c r="I130">
        <v>155.78200000000001</v>
      </c>
      <c r="J130">
        <v>168.584</v>
      </c>
      <c r="K130">
        <v>168.71799999999999</v>
      </c>
      <c r="L130">
        <v>155.90600000000001</v>
      </c>
      <c r="M130">
        <v>155.72399999999999</v>
      </c>
      <c r="N130">
        <v>27.366</v>
      </c>
      <c r="O130">
        <v>27.634</v>
      </c>
      <c r="R130">
        <v>17.207999999999998</v>
      </c>
      <c r="S130">
        <v>17.286999999999999</v>
      </c>
      <c r="T130">
        <v>35.374000000000002</v>
      </c>
      <c r="U130">
        <v>34.703000000000003</v>
      </c>
      <c r="W130">
        <v>2.1999999999999999E-2</v>
      </c>
      <c r="X130">
        <v>-0.13700000000000001</v>
      </c>
      <c r="Z130">
        <v>-4.8000000000000001E-2</v>
      </c>
      <c r="AA130">
        <v>-0.17799999999999999</v>
      </c>
      <c r="AB130">
        <v>-0.13700000000000001</v>
      </c>
      <c r="AC130">
        <v>2.1999999999999999E-2</v>
      </c>
      <c r="AD130">
        <v>-0.11700000000000001</v>
      </c>
      <c r="AE130">
        <v>-4.4999999999999998E-2</v>
      </c>
      <c r="AF130">
        <v>-4.8000000000000001E-2</v>
      </c>
      <c r="AG130">
        <v>-0.14799999999999999</v>
      </c>
      <c r="AH130">
        <v>-0.105</v>
      </c>
      <c r="AI130">
        <v>-0.17799999999999999</v>
      </c>
    </row>
    <row r="131" spans="1:35" x14ac:dyDescent="0.25">
      <c r="A131" t="s">
        <v>2468</v>
      </c>
      <c r="B131" t="s">
        <v>32</v>
      </c>
      <c r="C131" s="25">
        <v>43708.658587962964</v>
      </c>
      <c r="D131" s="741" t="s">
        <v>2238</v>
      </c>
      <c r="E131" s="424">
        <f t="array" ref="E131">SUMPRODUCT(IF(AMP3_2[[#This Row],[Dim 1_1]:[T 8]]-$F$4:$AI$4&lt;0,1,0)+IF($F$5:$AI$5-AMP3_2[[#This Row],[Dim 1_1]:[T 8]]&lt;0,1,0),IF(ISNUMBER(AMP3_2[[#This Row],[Dim 1_1]:[T 8]])=TRUE,1,0))</f>
        <v>0</v>
      </c>
      <c r="F131">
        <v>41.098999999999997</v>
      </c>
      <c r="G131">
        <v>41.301000000000002</v>
      </c>
      <c r="H131">
        <v>156.06399999999999</v>
      </c>
      <c r="I131">
        <v>156.00399999999999</v>
      </c>
      <c r="L131">
        <v>156.071</v>
      </c>
      <c r="M131">
        <v>155.84700000000001</v>
      </c>
      <c r="N131">
        <v>27.129000000000001</v>
      </c>
      <c r="O131">
        <v>27.289000000000001</v>
      </c>
      <c r="R131">
        <v>17.244</v>
      </c>
      <c r="S131">
        <v>17.12</v>
      </c>
      <c r="T131">
        <v>33.945</v>
      </c>
      <c r="U131">
        <v>34.771000000000001</v>
      </c>
      <c r="W131">
        <v>0.11600000000000001</v>
      </c>
      <c r="X131">
        <v>-0.156</v>
      </c>
      <c r="Z131">
        <v>5.3999999999999999E-2</v>
      </c>
      <c r="AA131">
        <v>-0.20399999999999999</v>
      </c>
      <c r="AB131">
        <v>-0.153</v>
      </c>
      <c r="AC131">
        <v>-0.156</v>
      </c>
      <c r="AD131">
        <v>0.11600000000000001</v>
      </c>
      <c r="AE131">
        <v>-0.13200000000000001</v>
      </c>
      <c r="AF131">
        <v>-0.16400000000000001</v>
      </c>
      <c r="AG131">
        <v>-0.20399999999999999</v>
      </c>
      <c r="AH131">
        <v>-3.1E-2</v>
      </c>
      <c r="AI131">
        <v>5.3999999999999999E-2</v>
      </c>
    </row>
    <row r="132" spans="1:35" x14ac:dyDescent="0.25">
      <c r="A132" t="s">
        <v>2469</v>
      </c>
      <c r="B132" t="s">
        <v>31</v>
      </c>
      <c r="C132" s="25">
        <v>43708.660752314812</v>
      </c>
      <c r="D132" s="741" t="s">
        <v>2238</v>
      </c>
      <c r="E132" s="424">
        <f t="array" ref="E132">SUMPRODUCT(IF(AMP3_2[[#This Row],[Dim 1_1]:[T 8]]-$F$4:$AI$4&lt;0,1,0)+IF($F$5:$AI$5-AMP3_2[[#This Row],[Dim 1_1]:[T 8]]&lt;0,1,0),IF(ISNUMBER(AMP3_2[[#This Row],[Dim 1_1]:[T 8]])=TRUE,1,0))</f>
        <v>0</v>
      </c>
      <c r="H132">
        <v>155.97499999999999</v>
      </c>
      <c r="I132">
        <v>155.904</v>
      </c>
      <c r="J132">
        <v>168.77099999999999</v>
      </c>
      <c r="K132">
        <v>168.91200000000001</v>
      </c>
      <c r="L132">
        <v>156.05000000000001</v>
      </c>
      <c r="M132">
        <v>155.85599999999999</v>
      </c>
      <c r="N132">
        <v>27.213000000000001</v>
      </c>
      <c r="O132">
        <v>27.51</v>
      </c>
      <c r="R132">
        <v>17.215</v>
      </c>
      <c r="S132">
        <v>17.206</v>
      </c>
      <c r="T132">
        <v>36.811999999999998</v>
      </c>
      <c r="U132">
        <v>37.729999999999997</v>
      </c>
      <c r="W132">
        <v>-2.5999999999999999E-2</v>
      </c>
      <c r="X132">
        <v>-0.252</v>
      </c>
      <c r="Z132">
        <v>-4.1000000000000002E-2</v>
      </c>
      <c r="AA132">
        <v>-0.16300000000000001</v>
      </c>
      <c r="AB132">
        <v>-0.252</v>
      </c>
      <c r="AC132">
        <v>-8.8999999999999996E-2</v>
      </c>
      <c r="AD132">
        <v>-0.13800000000000001</v>
      </c>
      <c r="AE132">
        <v>-2.5999999999999999E-2</v>
      </c>
      <c r="AF132">
        <v>-6.4000000000000001E-2</v>
      </c>
      <c r="AG132">
        <v>-0.16300000000000001</v>
      </c>
      <c r="AH132">
        <v>-4.1000000000000002E-2</v>
      </c>
      <c r="AI132">
        <v>-6.7000000000000004E-2</v>
      </c>
    </row>
    <row r="133" spans="1:35" x14ac:dyDescent="0.25">
      <c r="A133" t="s">
        <v>2604</v>
      </c>
      <c r="B133" t="s">
        <v>32</v>
      </c>
      <c r="C133" s="25">
        <v>43711.32949074074</v>
      </c>
      <c r="D133" s="741" t="s">
        <v>2238</v>
      </c>
      <c r="E133" s="424">
        <f t="array" ref="E133">SUMPRODUCT(IF(AMP3_2[[#This Row],[Dim 1_1]:[T 8]]-$F$4:$AI$4&lt;0,1,0)+IF($F$5:$AI$5-AMP3_2[[#This Row],[Dim 1_1]:[T 8]]&lt;0,1,0),IF(ISNUMBER(AMP3_2[[#This Row],[Dim 1_1]:[T 8]])=TRUE,1,0))</f>
        <v>0</v>
      </c>
      <c r="F133">
        <v>41.115000000000002</v>
      </c>
      <c r="G133">
        <v>41.290999999999997</v>
      </c>
      <c r="H133">
        <v>155.935</v>
      </c>
      <c r="I133">
        <v>155.953</v>
      </c>
      <c r="L133">
        <v>155.994</v>
      </c>
      <c r="M133">
        <v>155.80699999999999</v>
      </c>
      <c r="N133">
        <v>27.193999999999999</v>
      </c>
      <c r="O133">
        <v>27.309000000000001</v>
      </c>
      <c r="R133">
        <v>17.234999999999999</v>
      </c>
      <c r="S133">
        <v>17.213999999999999</v>
      </c>
      <c r="T133">
        <v>34.249000000000002</v>
      </c>
      <c r="U133">
        <v>34.930999999999997</v>
      </c>
      <c r="W133">
        <v>-7.0000000000000001E-3</v>
      </c>
      <c r="X133">
        <v>-0.192</v>
      </c>
      <c r="Z133">
        <v>8.1000000000000003E-2</v>
      </c>
      <c r="AA133">
        <v>-4.7E-2</v>
      </c>
      <c r="AB133">
        <v>-0.10100000000000001</v>
      </c>
      <c r="AC133">
        <v>-8.4000000000000005E-2</v>
      </c>
      <c r="AD133">
        <v>-7.0000000000000001E-3</v>
      </c>
      <c r="AE133">
        <v>-0.192</v>
      </c>
      <c r="AF133">
        <v>-3.0000000000000001E-3</v>
      </c>
      <c r="AG133">
        <v>-4.7E-2</v>
      </c>
      <c r="AH133">
        <v>-4.4999999999999998E-2</v>
      </c>
      <c r="AI133">
        <v>8.1000000000000003E-2</v>
      </c>
    </row>
    <row r="134" spans="1:35" x14ac:dyDescent="0.25">
      <c r="A134" t="s">
        <v>2605</v>
      </c>
      <c r="B134" t="s">
        <v>31</v>
      </c>
      <c r="C134" s="25">
        <v>43711.334004629629</v>
      </c>
      <c r="D134" s="741" t="s">
        <v>2238</v>
      </c>
      <c r="E134" s="424">
        <f t="array" ref="E134">SUMPRODUCT(IF(AMP3_2[[#This Row],[Dim 1_1]:[T 8]]-$F$4:$AI$4&lt;0,1,0)+IF($F$5:$AI$5-AMP3_2[[#This Row],[Dim 1_1]:[T 8]]&lt;0,1,0),IF(ISNUMBER(AMP3_2[[#This Row],[Dim 1_1]:[T 8]])=TRUE,1,0))</f>
        <v>0</v>
      </c>
      <c r="H134">
        <v>155.9</v>
      </c>
      <c r="I134">
        <v>155.846</v>
      </c>
      <c r="J134">
        <v>168.60900000000001</v>
      </c>
      <c r="K134">
        <v>168.71600000000001</v>
      </c>
      <c r="L134">
        <v>156.005</v>
      </c>
      <c r="M134">
        <v>155.761</v>
      </c>
      <c r="N134">
        <v>27.271000000000001</v>
      </c>
      <c r="O134">
        <v>27.622</v>
      </c>
      <c r="R134">
        <v>17.257000000000001</v>
      </c>
      <c r="S134">
        <v>17.186</v>
      </c>
      <c r="T134">
        <v>36.043999999999997</v>
      </c>
      <c r="U134">
        <v>36.15</v>
      </c>
      <c r="W134">
        <v>0.21199999999999999</v>
      </c>
      <c r="X134">
        <v>-8.7999999999999995E-2</v>
      </c>
      <c r="Z134">
        <v>0.14899999999999999</v>
      </c>
      <c r="AA134">
        <v>3.6999999999999998E-2</v>
      </c>
      <c r="AB134">
        <v>-8.7999999999999995E-2</v>
      </c>
      <c r="AC134">
        <v>8.2000000000000003E-2</v>
      </c>
      <c r="AD134">
        <v>-1.0999999999999999E-2</v>
      </c>
      <c r="AE134">
        <v>0.21199999999999999</v>
      </c>
      <c r="AF134">
        <v>0.128</v>
      </c>
      <c r="AG134">
        <v>3.6999999999999998E-2</v>
      </c>
      <c r="AH134">
        <v>0.14899999999999999</v>
      </c>
      <c r="AI134">
        <v>0.122</v>
      </c>
    </row>
    <row r="135" spans="1:35" x14ac:dyDescent="0.25">
      <c r="A135" t="s">
        <v>2606</v>
      </c>
      <c r="B135" t="s">
        <v>32</v>
      </c>
      <c r="C135" s="25">
        <v>43711.391284722224</v>
      </c>
      <c r="D135" s="741" t="s">
        <v>2238</v>
      </c>
      <c r="E135" s="424">
        <f t="array" ref="E135">SUMPRODUCT(IF(AMP3_2[[#This Row],[Dim 1_1]:[T 8]]-$F$4:$AI$4&lt;0,1,0)+IF($F$5:$AI$5-AMP3_2[[#This Row],[Dim 1_1]:[T 8]]&lt;0,1,0),IF(ISNUMBER(AMP3_2[[#This Row],[Dim 1_1]:[T 8]])=TRUE,1,0))</f>
        <v>0</v>
      </c>
      <c r="F135">
        <v>41.155000000000001</v>
      </c>
      <c r="G135">
        <v>41.389000000000003</v>
      </c>
      <c r="H135">
        <v>155.96700000000001</v>
      </c>
      <c r="I135">
        <v>155.97900000000001</v>
      </c>
      <c r="L135">
        <v>155.95699999999999</v>
      </c>
      <c r="M135">
        <v>155.768</v>
      </c>
      <c r="N135">
        <v>27.233000000000001</v>
      </c>
      <c r="O135">
        <v>27.352</v>
      </c>
      <c r="R135">
        <v>17.260999999999999</v>
      </c>
      <c r="S135">
        <v>17.128</v>
      </c>
      <c r="T135">
        <v>34.159999999999997</v>
      </c>
      <c r="U135">
        <v>34.981999999999999</v>
      </c>
      <c r="W135">
        <v>0.14799999999999999</v>
      </c>
      <c r="X135">
        <v>-0.14000000000000001</v>
      </c>
      <c r="Z135">
        <v>9.5000000000000001E-2</v>
      </c>
      <c r="AA135">
        <v>-0.152</v>
      </c>
      <c r="AB135">
        <v>-7.8E-2</v>
      </c>
      <c r="AC135">
        <v>-8.4000000000000005E-2</v>
      </c>
      <c r="AD135">
        <v>0.14799999999999999</v>
      </c>
      <c r="AE135">
        <v>-0.14000000000000001</v>
      </c>
      <c r="AF135">
        <v>-6.8000000000000005E-2</v>
      </c>
      <c r="AG135">
        <v>-0.152</v>
      </c>
      <c r="AH135">
        <v>1.7000000000000001E-2</v>
      </c>
      <c r="AI135">
        <v>9.5000000000000001E-2</v>
      </c>
    </row>
    <row r="136" spans="1:35" x14ac:dyDescent="0.25">
      <c r="A136" t="s">
        <v>2607</v>
      </c>
      <c r="B136" t="s">
        <v>31</v>
      </c>
      <c r="C136" s="25">
        <v>43711.39334490741</v>
      </c>
      <c r="D136" s="741" t="s">
        <v>2238</v>
      </c>
      <c r="E136" s="424">
        <f t="array" ref="E136">SUMPRODUCT(IF(AMP3_2[[#This Row],[Dim 1_1]:[T 8]]-$F$4:$AI$4&lt;0,1,0)+IF($F$5:$AI$5-AMP3_2[[#This Row],[Dim 1_1]:[T 8]]&lt;0,1,0),IF(ISNUMBER(AMP3_2[[#This Row],[Dim 1_1]:[T 8]])=TRUE,1,0))</f>
        <v>0</v>
      </c>
      <c r="H136">
        <v>155.92500000000001</v>
      </c>
      <c r="I136">
        <v>155.89400000000001</v>
      </c>
      <c r="J136">
        <v>168.69499999999999</v>
      </c>
      <c r="K136">
        <v>168.803</v>
      </c>
      <c r="L136">
        <v>156.035</v>
      </c>
      <c r="M136">
        <v>155.84700000000001</v>
      </c>
      <c r="N136">
        <v>27.248999999999999</v>
      </c>
      <c r="O136">
        <v>27.501999999999999</v>
      </c>
      <c r="R136">
        <v>17.234000000000002</v>
      </c>
      <c r="S136">
        <v>17.224</v>
      </c>
      <c r="T136">
        <v>37.847999999999999</v>
      </c>
      <c r="U136">
        <v>38.475999999999999</v>
      </c>
      <c r="W136">
        <v>2.5000000000000001E-2</v>
      </c>
      <c r="X136">
        <v>-0.17699999999999999</v>
      </c>
      <c r="Z136">
        <v>9.5000000000000001E-2</v>
      </c>
      <c r="AA136">
        <v>-0.05</v>
      </c>
      <c r="AB136">
        <v>-0.17699999999999999</v>
      </c>
      <c r="AC136">
        <v>-1.0999999999999999E-2</v>
      </c>
      <c r="AD136">
        <v>-5.2999999999999999E-2</v>
      </c>
      <c r="AE136">
        <v>2.5000000000000001E-2</v>
      </c>
      <c r="AF136">
        <v>4.1000000000000002E-2</v>
      </c>
      <c r="AG136">
        <v>-0.05</v>
      </c>
      <c r="AH136">
        <v>9.5000000000000001E-2</v>
      </c>
      <c r="AI136">
        <v>4.2000000000000003E-2</v>
      </c>
    </row>
    <row r="137" spans="1:35" x14ac:dyDescent="0.25">
      <c r="A137" t="s">
        <v>2660</v>
      </c>
      <c r="B137" t="s">
        <v>32</v>
      </c>
      <c r="C137" s="25">
        <v>43711.498310185183</v>
      </c>
      <c r="D137" s="741" t="s">
        <v>2238</v>
      </c>
      <c r="E137" s="424">
        <f t="array" ref="E137">SUMPRODUCT(IF(AMP3_2[[#This Row],[Dim 1_1]:[T 8]]-$F$4:$AI$4&lt;0,1,0)+IF($F$5:$AI$5-AMP3_2[[#This Row],[Dim 1_1]:[T 8]]&lt;0,1,0),IF(ISNUMBER(AMP3_2[[#This Row],[Dim 1_1]:[T 8]])=TRUE,1,0))</f>
        <v>0</v>
      </c>
      <c r="F137">
        <v>41.2</v>
      </c>
      <c r="G137">
        <v>41.454999999999998</v>
      </c>
      <c r="H137">
        <v>155.774</v>
      </c>
      <c r="I137">
        <v>155.73599999999999</v>
      </c>
      <c r="L137">
        <v>155.792</v>
      </c>
      <c r="M137">
        <v>155.56700000000001</v>
      </c>
      <c r="N137">
        <v>27.439</v>
      </c>
      <c r="O137">
        <v>27.602</v>
      </c>
      <c r="R137">
        <v>17.271000000000001</v>
      </c>
      <c r="S137">
        <v>17.436</v>
      </c>
      <c r="T137">
        <v>34.279000000000003</v>
      </c>
      <c r="U137">
        <v>34.578000000000003</v>
      </c>
      <c r="W137">
        <v>0.159</v>
      </c>
      <c r="X137">
        <v>-0.13300000000000001</v>
      </c>
      <c r="Z137">
        <v>5.5E-2</v>
      </c>
      <c r="AA137">
        <v>-0.13800000000000001</v>
      </c>
      <c r="AB137">
        <v>0.159</v>
      </c>
      <c r="AC137">
        <v>0.158</v>
      </c>
      <c r="AD137">
        <v>8.8999999999999996E-2</v>
      </c>
      <c r="AE137">
        <v>-0.13300000000000001</v>
      </c>
      <c r="AF137">
        <v>5.5E-2</v>
      </c>
      <c r="AG137">
        <v>3.6999999999999998E-2</v>
      </c>
      <c r="AH137">
        <v>-0.13800000000000001</v>
      </c>
      <c r="AI137">
        <v>0.01</v>
      </c>
    </row>
    <row r="138" spans="1:35" x14ac:dyDescent="0.25">
      <c r="A138" t="s">
        <v>2661</v>
      </c>
      <c r="B138" t="s">
        <v>31</v>
      </c>
      <c r="C138" s="25">
        <v>43711.500428240739</v>
      </c>
      <c r="D138" s="741" t="s">
        <v>2238</v>
      </c>
      <c r="E138" s="424">
        <f t="array" ref="E138">SUMPRODUCT(IF(AMP3_2[[#This Row],[Dim 1_1]:[T 8]]-$F$4:$AI$4&lt;0,1,0)+IF($F$5:$AI$5-AMP3_2[[#This Row],[Dim 1_1]:[T 8]]&lt;0,1,0),IF(ISNUMBER(AMP3_2[[#This Row],[Dim 1_1]:[T 8]])=TRUE,1,0))</f>
        <v>0</v>
      </c>
      <c r="H138">
        <v>155.78299999999999</v>
      </c>
      <c r="I138">
        <v>155.75299999999999</v>
      </c>
      <c r="J138">
        <v>168.54900000000001</v>
      </c>
      <c r="K138">
        <v>168.68100000000001</v>
      </c>
      <c r="L138">
        <v>155.80199999999999</v>
      </c>
      <c r="M138">
        <v>155.62</v>
      </c>
      <c r="N138">
        <v>27.443000000000001</v>
      </c>
      <c r="O138">
        <v>27.645</v>
      </c>
      <c r="R138">
        <v>17.21</v>
      </c>
      <c r="S138">
        <v>17.224</v>
      </c>
      <c r="T138">
        <v>36.372999999999998</v>
      </c>
      <c r="U138">
        <v>37.616</v>
      </c>
      <c r="W138">
        <v>7.8E-2</v>
      </c>
      <c r="X138">
        <v>-8.4000000000000005E-2</v>
      </c>
      <c r="Z138">
        <v>0.106</v>
      </c>
      <c r="AA138">
        <v>-5.0000000000000001E-3</v>
      </c>
      <c r="AB138">
        <v>-8.4000000000000005E-2</v>
      </c>
      <c r="AC138">
        <v>5.1999999999999998E-2</v>
      </c>
      <c r="AD138">
        <v>-0.03</v>
      </c>
      <c r="AE138">
        <v>7.8E-2</v>
      </c>
      <c r="AF138">
        <v>8.5000000000000006E-2</v>
      </c>
      <c r="AG138">
        <v>0.02</v>
      </c>
      <c r="AH138">
        <v>-5.0000000000000001E-3</v>
      </c>
      <c r="AI138">
        <v>0.106</v>
      </c>
    </row>
    <row r="139" spans="1:35" x14ac:dyDescent="0.25">
      <c r="A139" t="s">
        <v>2662</v>
      </c>
      <c r="B139" t="s">
        <v>32</v>
      </c>
      <c r="C139" s="25">
        <v>43711.595937500002</v>
      </c>
      <c r="D139" s="741" t="s">
        <v>2238</v>
      </c>
      <c r="E139" s="424">
        <f t="array" ref="E139">SUMPRODUCT(IF(AMP3_2[[#This Row],[Dim 1_1]:[T 8]]-$F$4:$AI$4&lt;0,1,0)+IF($F$5:$AI$5-AMP3_2[[#This Row],[Dim 1_1]:[T 8]]&lt;0,1,0),IF(ISNUMBER(AMP3_2[[#This Row],[Dim 1_1]:[T 8]])=TRUE,1,0))</f>
        <v>0</v>
      </c>
      <c r="F139">
        <v>41.183999999999997</v>
      </c>
      <c r="G139">
        <v>41.197000000000003</v>
      </c>
      <c r="H139">
        <v>155.78700000000001</v>
      </c>
      <c r="I139">
        <v>155.73699999999999</v>
      </c>
      <c r="L139">
        <v>155.816</v>
      </c>
      <c r="M139">
        <v>155.583</v>
      </c>
      <c r="N139">
        <v>27.423999999999999</v>
      </c>
      <c r="O139">
        <v>27.581</v>
      </c>
      <c r="R139">
        <v>17.251000000000001</v>
      </c>
      <c r="S139">
        <v>17.401</v>
      </c>
      <c r="T139">
        <v>34.177999999999997</v>
      </c>
      <c r="U139">
        <v>34.640999999999998</v>
      </c>
      <c r="W139">
        <v>0.06</v>
      </c>
      <c r="X139">
        <v>-0.192</v>
      </c>
      <c r="Z139">
        <v>1.9E-2</v>
      </c>
      <c r="AA139">
        <v>-0.105</v>
      </c>
      <c r="AB139">
        <v>0.06</v>
      </c>
      <c r="AC139">
        <v>5.5E-2</v>
      </c>
      <c r="AD139">
        <v>3.2000000000000001E-2</v>
      </c>
      <c r="AE139">
        <v>-0.192</v>
      </c>
      <c r="AF139">
        <v>1.9E-2</v>
      </c>
      <c r="AG139">
        <v>-1.4999999999999999E-2</v>
      </c>
      <c r="AH139">
        <v>-0.105</v>
      </c>
      <c r="AI139">
        <v>4.0000000000000001E-3</v>
      </c>
    </row>
    <row r="140" spans="1:35" x14ac:dyDescent="0.25">
      <c r="A140" t="s">
        <v>2663</v>
      </c>
      <c r="B140" t="s">
        <v>31</v>
      </c>
      <c r="C140" s="25">
        <v>43711.598067129627</v>
      </c>
      <c r="D140" s="741" t="s">
        <v>2238</v>
      </c>
      <c r="E140" s="424">
        <f t="array" ref="E140">SUMPRODUCT(IF(AMP3_2[[#This Row],[Dim 1_1]:[T 8]]-$F$4:$AI$4&lt;0,1,0)+IF($F$5:$AI$5-AMP3_2[[#This Row],[Dim 1_1]:[T 8]]&lt;0,1,0),IF(ISNUMBER(AMP3_2[[#This Row],[Dim 1_1]:[T 8]])=TRUE,1,0))</f>
        <v>0</v>
      </c>
      <c r="H140">
        <v>155.85900000000001</v>
      </c>
      <c r="I140">
        <v>155.84800000000001</v>
      </c>
      <c r="J140">
        <v>168.624</v>
      </c>
      <c r="K140">
        <v>168.61600000000001</v>
      </c>
      <c r="L140">
        <v>155.90700000000001</v>
      </c>
      <c r="M140">
        <v>155.76300000000001</v>
      </c>
      <c r="N140">
        <v>27.338000000000001</v>
      </c>
      <c r="O140">
        <v>27.54</v>
      </c>
      <c r="R140">
        <v>17.218</v>
      </c>
      <c r="S140">
        <v>17.210999999999999</v>
      </c>
      <c r="T140">
        <v>37.667999999999999</v>
      </c>
      <c r="U140">
        <v>38.052</v>
      </c>
      <c r="W140">
        <v>3.3000000000000002E-2</v>
      </c>
      <c r="X140">
        <v>-0.11899999999999999</v>
      </c>
      <c r="Z140">
        <v>0.14199999999999999</v>
      </c>
      <c r="AA140">
        <v>7.0999999999999994E-2</v>
      </c>
      <c r="AB140">
        <v>-0.11899999999999999</v>
      </c>
      <c r="AC140">
        <v>3.3000000000000002E-2</v>
      </c>
      <c r="AD140">
        <v>-3.2000000000000001E-2</v>
      </c>
      <c r="AE140">
        <v>1.2999999999999999E-2</v>
      </c>
      <c r="AF140">
        <v>0.13200000000000001</v>
      </c>
      <c r="AG140">
        <v>7.0999999999999994E-2</v>
      </c>
      <c r="AH140">
        <v>8.1000000000000003E-2</v>
      </c>
      <c r="AI140">
        <v>0.14199999999999999</v>
      </c>
    </row>
    <row r="141" spans="1:35" x14ac:dyDescent="0.25">
      <c r="A141" t="s">
        <v>2663</v>
      </c>
      <c r="B141" t="s">
        <v>31</v>
      </c>
      <c r="C141" s="25">
        <v>43711.62060185185</v>
      </c>
      <c r="D141" s="741" t="s">
        <v>2238</v>
      </c>
      <c r="E141" s="424">
        <f t="array" ref="E141">SUMPRODUCT(IF(AMP3_2[[#This Row],[Dim 1_1]:[T 8]]-$F$4:$AI$4&lt;0,1,0)+IF($F$5:$AI$5-AMP3_2[[#This Row],[Dim 1_1]:[T 8]]&lt;0,1,0),IF(ISNUMBER(AMP3_2[[#This Row],[Dim 1_1]:[T 8]])=TRUE,1,0))</f>
        <v>0</v>
      </c>
      <c r="H141">
        <v>155.86099999999999</v>
      </c>
      <c r="I141">
        <v>155.852</v>
      </c>
      <c r="J141">
        <v>168.625</v>
      </c>
      <c r="K141">
        <v>168.62</v>
      </c>
      <c r="L141">
        <v>155.90899999999999</v>
      </c>
      <c r="M141">
        <v>155.767</v>
      </c>
      <c r="N141">
        <v>27.335999999999999</v>
      </c>
      <c r="O141">
        <v>27.533999999999999</v>
      </c>
      <c r="R141">
        <v>17.215</v>
      </c>
      <c r="S141">
        <v>17.210999999999999</v>
      </c>
      <c r="T141">
        <v>37.668999999999997</v>
      </c>
      <c r="U141">
        <v>38.049999999999997</v>
      </c>
      <c r="W141">
        <v>3.2000000000000001E-2</v>
      </c>
      <c r="X141">
        <v>-0.12</v>
      </c>
      <c r="Z141">
        <v>0.14299999999999999</v>
      </c>
      <c r="AA141">
        <v>7.5999999999999998E-2</v>
      </c>
      <c r="AB141">
        <v>-0.12</v>
      </c>
      <c r="AC141">
        <v>3.2000000000000001E-2</v>
      </c>
      <c r="AD141">
        <v>-3.5999999999999997E-2</v>
      </c>
      <c r="AE141">
        <v>7.0000000000000001E-3</v>
      </c>
      <c r="AF141">
        <v>0.13500000000000001</v>
      </c>
      <c r="AG141">
        <v>7.5999999999999998E-2</v>
      </c>
      <c r="AH141">
        <v>8.2000000000000003E-2</v>
      </c>
      <c r="AI141">
        <v>0.14299999999999999</v>
      </c>
    </row>
    <row r="142" spans="1:35" x14ac:dyDescent="0.25">
      <c r="A142" t="s">
        <v>2664</v>
      </c>
      <c r="B142" t="s">
        <v>32</v>
      </c>
      <c r="C142" s="25">
        <v>43711.701736111114</v>
      </c>
      <c r="D142" s="741" t="s">
        <v>2238</v>
      </c>
      <c r="E142" s="424">
        <f t="array" ref="E142">SUMPRODUCT(IF(AMP3_2[[#This Row],[Dim 1_1]:[T 8]]-$F$4:$AI$4&lt;0,1,0)+IF($F$5:$AI$5-AMP3_2[[#This Row],[Dim 1_1]:[T 8]]&lt;0,1,0),IF(ISNUMBER(AMP3_2[[#This Row],[Dim 1_1]:[T 8]])=TRUE,1,0))</f>
        <v>0</v>
      </c>
      <c r="F142">
        <v>41.168999999999997</v>
      </c>
      <c r="G142">
        <v>41.215000000000003</v>
      </c>
      <c r="H142">
        <v>155.75</v>
      </c>
      <c r="I142">
        <v>155.74299999999999</v>
      </c>
      <c r="L142">
        <v>155.76300000000001</v>
      </c>
      <c r="M142">
        <v>155.55600000000001</v>
      </c>
      <c r="N142">
        <v>27.433</v>
      </c>
      <c r="O142">
        <v>27.584</v>
      </c>
      <c r="R142">
        <v>17.247</v>
      </c>
      <c r="S142">
        <v>17.337</v>
      </c>
      <c r="T142">
        <v>34.100999999999999</v>
      </c>
      <c r="U142">
        <v>34.731000000000002</v>
      </c>
      <c r="W142">
        <v>0.14899999999999999</v>
      </c>
      <c r="X142">
        <v>-6.9000000000000006E-2</v>
      </c>
      <c r="Z142">
        <v>0.12</v>
      </c>
      <c r="AA142">
        <v>-2.8000000000000001E-2</v>
      </c>
      <c r="AB142">
        <v>0.14699999999999999</v>
      </c>
      <c r="AC142">
        <v>0.13200000000000001</v>
      </c>
      <c r="AD142">
        <v>0.14899999999999999</v>
      </c>
      <c r="AE142">
        <v>-6.9000000000000006E-2</v>
      </c>
      <c r="AF142">
        <v>8.5999999999999993E-2</v>
      </c>
      <c r="AG142">
        <v>7.0999999999999994E-2</v>
      </c>
      <c r="AH142">
        <v>-2.8000000000000001E-2</v>
      </c>
      <c r="AI142">
        <v>0.12</v>
      </c>
    </row>
    <row r="143" spans="1:35" x14ac:dyDescent="0.25">
      <c r="A143" t="s">
        <v>2665</v>
      </c>
      <c r="B143" t="s">
        <v>31</v>
      </c>
      <c r="C143" s="25">
        <v>43711.706550925926</v>
      </c>
      <c r="D143" s="741" t="s">
        <v>2238</v>
      </c>
      <c r="E143" s="424">
        <f t="array" ref="E143">SUMPRODUCT(IF(AMP3_2[[#This Row],[Dim 1_1]:[T 8]]-$F$4:$AI$4&lt;0,1,0)+IF($F$5:$AI$5-AMP3_2[[#This Row],[Dim 1_1]:[T 8]]&lt;0,1,0),IF(ISNUMBER(AMP3_2[[#This Row],[Dim 1_1]:[T 8]])=TRUE,1,0))</f>
        <v>0</v>
      </c>
      <c r="H143">
        <v>155.82400000000001</v>
      </c>
      <c r="I143">
        <v>155.75800000000001</v>
      </c>
      <c r="J143">
        <v>168.56800000000001</v>
      </c>
      <c r="K143">
        <v>168.55500000000001</v>
      </c>
      <c r="L143">
        <v>155.852</v>
      </c>
      <c r="M143">
        <v>155.631</v>
      </c>
      <c r="N143">
        <v>27.402000000000001</v>
      </c>
      <c r="O143">
        <v>27.646999999999998</v>
      </c>
      <c r="R143">
        <v>17.201000000000001</v>
      </c>
      <c r="S143">
        <v>17.300999999999998</v>
      </c>
      <c r="T143">
        <v>36.771000000000001</v>
      </c>
      <c r="U143">
        <v>37.722999999999999</v>
      </c>
      <c r="W143">
        <v>9.8000000000000004E-2</v>
      </c>
      <c r="X143">
        <v>-9.6000000000000002E-2</v>
      </c>
      <c r="Z143">
        <v>0.13200000000000001</v>
      </c>
      <c r="AA143">
        <v>-7.2999999999999995E-2</v>
      </c>
      <c r="AB143">
        <v>-4.5999999999999999E-2</v>
      </c>
      <c r="AC143">
        <v>9.8000000000000004E-2</v>
      </c>
      <c r="AD143">
        <v>-9.6000000000000002E-2</v>
      </c>
      <c r="AE143">
        <v>5.2999999999999999E-2</v>
      </c>
      <c r="AF143">
        <v>0.13200000000000001</v>
      </c>
      <c r="AG143">
        <v>5.7000000000000002E-2</v>
      </c>
      <c r="AH143">
        <v>-7.2999999999999995E-2</v>
      </c>
      <c r="AI143">
        <v>1.7000000000000001E-2</v>
      </c>
    </row>
    <row r="144" spans="1:35" x14ac:dyDescent="0.25">
      <c r="A144" t="s">
        <v>2666</v>
      </c>
      <c r="B144" t="s">
        <v>32</v>
      </c>
      <c r="C144" s="25">
        <v>43711.780972222223</v>
      </c>
      <c r="D144" s="741" t="s">
        <v>2238</v>
      </c>
      <c r="E144" s="424">
        <f t="array" ref="E144">SUMPRODUCT(IF(AMP3_2[[#This Row],[Dim 1_1]:[T 8]]-$F$4:$AI$4&lt;0,1,0)+IF($F$5:$AI$5-AMP3_2[[#This Row],[Dim 1_1]:[T 8]]&lt;0,1,0),IF(ISNUMBER(AMP3_2[[#This Row],[Dim 1_1]:[T 8]])=TRUE,1,0))</f>
        <v>0</v>
      </c>
      <c r="F144">
        <v>41.052</v>
      </c>
      <c r="G144">
        <v>41.122999999999998</v>
      </c>
      <c r="H144">
        <v>155.816</v>
      </c>
      <c r="I144">
        <v>155.791</v>
      </c>
      <c r="L144">
        <v>155.82300000000001</v>
      </c>
      <c r="M144">
        <v>155.584</v>
      </c>
      <c r="N144">
        <v>27.352</v>
      </c>
      <c r="O144">
        <v>27.527999999999999</v>
      </c>
      <c r="R144">
        <v>17.247</v>
      </c>
      <c r="S144">
        <v>17.341000000000001</v>
      </c>
      <c r="T144">
        <v>34.008000000000003</v>
      </c>
      <c r="U144">
        <v>34.26</v>
      </c>
      <c r="W144">
        <v>0.121</v>
      </c>
      <c r="X144">
        <v>-7.9000000000000001E-2</v>
      </c>
      <c r="Z144">
        <v>4.8000000000000001E-2</v>
      </c>
      <c r="AA144">
        <v>-0.1</v>
      </c>
      <c r="AB144">
        <v>7.5999999999999998E-2</v>
      </c>
      <c r="AC144">
        <v>6.4000000000000001E-2</v>
      </c>
      <c r="AD144">
        <v>0.121</v>
      </c>
      <c r="AE144">
        <v>-7.9000000000000001E-2</v>
      </c>
      <c r="AF144">
        <v>1.6E-2</v>
      </c>
      <c r="AG144">
        <v>-1.9E-2</v>
      </c>
      <c r="AH144">
        <v>-0.1</v>
      </c>
      <c r="AI144">
        <v>4.8000000000000001E-2</v>
      </c>
    </row>
    <row r="145" spans="1:35" x14ac:dyDescent="0.25">
      <c r="A145" t="s">
        <v>2667</v>
      </c>
      <c r="B145" t="s">
        <v>31</v>
      </c>
      <c r="C145" s="25">
        <v>43711.783668981479</v>
      </c>
      <c r="D145" s="741" t="s">
        <v>2238</v>
      </c>
      <c r="E145" s="424">
        <f t="array" ref="E145">SUMPRODUCT(IF(AMP3_2[[#This Row],[Dim 1_1]:[T 8]]-$F$4:$AI$4&lt;0,1,0)+IF($F$5:$AI$5-AMP3_2[[#This Row],[Dim 1_1]:[T 8]]&lt;0,1,0),IF(ISNUMBER(AMP3_2[[#This Row],[Dim 1_1]:[T 8]])=TRUE,1,0))</f>
        <v>0</v>
      </c>
      <c r="H145">
        <v>155.86600000000001</v>
      </c>
      <c r="I145">
        <v>155.88399999999999</v>
      </c>
      <c r="J145">
        <v>168.65199999999999</v>
      </c>
      <c r="K145">
        <v>168.703</v>
      </c>
      <c r="L145">
        <v>155.88</v>
      </c>
      <c r="M145">
        <v>155.773</v>
      </c>
      <c r="N145">
        <v>27.38</v>
      </c>
      <c r="O145">
        <v>27.515000000000001</v>
      </c>
      <c r="R145">
        <v>17.22</v>
      </c>
      <c r="S145">
        <v>17.222000000000001</v>
      </c>
      <c r="T145">
        <v>35.887999999999998</v>
      </c>
      <c r="U145">
        <v>37.204999999999998</v>
      </c>
      <c r="W145">
        <v>-1.2999999999999999E-2</v>
      </c>
      <c r="X145">
        <v>-0.17499999999999999</v>
      </c>
      <c r="Z145">
        <v>-0.04</v>
      </c>
      <c r="AA145">
        <v>-0.122</v>
      </c>
      <c r="AB145">
        <v>-0.17499999999999999</v>
      </c>
      <c r="AC145">
        <v>-3.5000000000000003E-2</v>
      </c>
      <c r="AD145">
        <v>-0.126</v>
      </c>
      <c r="AE145">
        <v>-1.2999999999999999E-2</v>
      </c>
      <c r="AF145">
        <v>-0.04</v>
      </c>
      <c r="AG145">
        <v>-0.122</v>
      </c>
      <c r="AH145">
        <v>-7.8E-2</v>
      </c>
      <c r="AI145">
        <v>-4.4999999999999998E-2</v>
      </c>
    </row>
    <row r="146" spans="1:35" x14ac:dyDescent="0.25">
      <c r="A146" t="s">
        <v>2668</v>
      </c>
      <c r="B146" t="s">
        <v>32</v>
      </c>
      <c r="C146" s="25">
        <v>43711.853576388887</v>
      </c>
      <c r="D146" s="741" t="s">
        <v>2238</v>
      </c>
      <c r="E146" s="424">
        <f t="array" ref="E146">SUMPRODUCT(IF(AMP3_2[[#This Row],[Dim 1_1]:[T 8]]-$F$4:$AI$4&lt;0,1,0)+IF($F$5:$AI$5-AMP3_2[[#This Row],[Dim 1_1]:[T 8]]&lt;0,1,0),IF(ISNUMBER(AMP3_2[[#This Row],[Dim 1_1]:[T 8]])=TRUE,1,0))</f>
        <v>0</v>
      </c>
      <c r="F146">
        <v>41.234999999999999</v>
      </c>
      <c r="G146">
        <v>41.284999999999997</v>
      </c>
      <c r="H146">
        <v>155.79499999999999</v>
      </c>
      <c r="I146">
        <v>155.745</v>
      </c>
      <c r="L146">
        <v>155.84399999999999</v>
      </c>
      <c r="M146">
        <v>155.57499999999999</v>
      </c>
      <c r="N146">
        <v>27.387</v>
      </c>
      <c r="O146">
        <v>27.568000000000001</v>
      </c>
      <c r="R146">
        <v>17.242000000000001</v>
      </c>
      <c r="S146">
        <v>17.361999999999998</v>
      </c>
      <c r="T146">
        <v>33.905000000000001</v>
      </c>
      <c r="U146">
        <v>34.658000000000001</v>
      </c>
      <c r="W146">
        <v>0.13200000000000001</v>
      </c>
      <c r="X146">
        <v>-0.13800000000000001</v>
      </c>
      <c r="Z146">
        <v>8.4000000000000005E-2</v>
      </c>
      <c r="AA146">
        <v>-0.187</v>
      </c>
      <c r="AB146">
        <v>0.13200000000000001</v>
      </c>
      <c r="AC146">
        <v>0.11899999999999999</v>
      </c>
      <c r="AD146">
        <v>9.1999999999999998E-2</v>
      </c>
      <c r="AE146">
        <v>-0.13800000000000001</v>
      </c>
      <c r="AF146">
        <v>8.4000000000000005E-2</v>
      </c>
      <c r="AG146">
        <v>5.8000000000000003E-2</v>
      </c>
      <c r="AH146">
        <v>-0.187</v>
      </c>
      <c r="AI146">
        <v>7.4999999999999997E-2</v>
      </c>
    </row>
    <row r="147" spans="1:35" x14ac:dyDescent="0.25">
      <c r="A147" t="s">
        <v>2669</v>
      </c>
      <c r="B147" t="s">
        <v>31</v>
      </c>
      <c r="C147" s="25">
        <v>43711.855787037035</v>
      </c>
      <c r="D147" s="741" t="s">
        <v>2238</v>
      </c>
      <c r="E147" s="424">
        <f t="array" ref="E147">SUMPRODUCT(IF(AMP3_2[[#This Row],[Dim 1_1]:[T 8]]-$F$4:$AI$4&lt;0,1,0)+IF($F$5:$AI$5-AMP3_2[[#This Row],[Dim 1_1]:[T 8]]&lt;0,1,0),IF(ISNUMBER(AMP3_2[[#This Row],[Dim 1_1]:[T 8]])=TRUE,1,0))</f>
        <v>0</v>
      </c>
      <c r="H147">
        <v>155.86600000000001</v>
      </c>
      <c r="I147">
        <v>155.82900000000001</v>
      </c>
      <c r="J147">
        <v>168.67099999999999</v>
      </c>
      <c r="K147">
        <v>168.70400000000001</v>
      </c>
      <c r="L147">
        <v>155.87200000000001</v>
      </c>
      <c r="M147">
        <v>155.69999999999999</v>
      </c>
      <c r="N147">
        <v>27.356999999999999</v>
      </c>
      <c r="O147">
        <v>27.585000000000001</v>
      </c>
      <c r="R147">
        <v>17.212</v>
      </c>
      <c r="S147">
        <v>17.177</v>
      </c>
      <c r="T147">
        <v>37.18</v>
      </c>
      <c r="U147">
        <v>38.270000000000003</v>
      </c>
      <c r="W147">
        <v>-3.0000000000000001E-3</v>
      </c>
      <c r="X147">
        <v>-0.13100000000000001</v>
      </c>
      <c r="Z147">
        <v>0.11899999999999999</v>
      </c>
      <c r="AA147">
        <v>7.0000000000000001E-3</v>
      </c>
      <c r="AB147">
        <v>-0.13100000000000001</v>
      </c>
      <c r="AC147">
        <v>-3.0000000000000001E-3</v>
      </c>
      <c r="AD147">
        <v>-2.4E-2</v>
      </c>
      <c r="AE147">
        <v>-1.0999999999999999E-2</v>
      </c>
      <c r="AF147">
        <v>8.3000000000000004E-2</v>
      </c>
      <c r="AG147">
        <v>7.0000000000000001E-3</v>
      </c>
      <c r="AH147">
        <v>7.5999999999999998E-2</v>
      </c>
      <c r="AI147">
        <v>0.11899999999999999</v>
      </c>
    </row>
    <row r="148" spans="1:35" x14ac:dyDescent="0.25">
      <c r="A148" t="s">
        <v>2670</v>
      </c>
      <c r="B148" t="s">
        <v>32</v>
      </c>
      <c r="C148" s="25">
        <v>43711.955462962964</v>
      </c>
      <c r="D148" s="741" t="s">
        <v>2238</v>
      </c>
      <c r="E148" s="424">
        <f t="array" ref="E148">SUMPRODUCT(IF(AMP3_2[[#This Row],[Dim 1_1]:[T 8]]-$F$4:$AI$4&lt;0,1,0)+IF($F$5:$AI$5-AMP3_2[[#This Row],[Dim 1_1]:[T 8]]&lt;0,1,0),IF(ISNUMBER(AMP3_2[[#This Row],[Dim 1_1]:[T 8]])=TRUE,1,0))</f>
        <v>0</v>
      </c>
      <c r="F148">
        <v>41.231999999999999</v>
      </c>
      <c r="G148">
        <v>41.238</v>
      </c>
      <c r="H148">
        <v>155.81299999999999</v>
      </c>
      <c r="I148">
        <v>155.797</v>
      </c>
      <c r="L148">
        <v>155.83099999999999</v>
      </c>
      <c r="M148">
        <v>155.60599999999999</v>
      </c>
      <c r="N148">
        <v>27.387</v>
      </c>
      <c r="O148">
        <v>27.53</v>
      </c>
      <c r="R148">
        <v>17.248000000000001</v>
      </c>
      <c r="S148">
        <v>17.309000000000001</v>
      </c>
      <c r="T148">
        <v>33.972000000000001</v>
      </c>
      <c r="U148">
        <v>34.584000000000003</v>
      </c>
      <c r="W148">
        <v>0.106</v>
      </c>
      <c r="X148">
        <v>-8.1000000000000003E-2</v>
      </c>
      <c r="Z148">
        <v>8.4000000000000005E-2</v>
      </c>
      <c r="AA148">
        <v>-7.9000000000000001E-2</v>
      </c>
      <c r="AB148">
        <v>9.7000000000000003E-2</v>
      </c>
      <c r="AC148">
        <v>0.106</v>
      </c>
      <c r="AD148">
        <v>0.104</v>
      </c>
      <c r="AE148">
        <v>-8.1000000000000003E-2</v>
      </c>
      <c r="AF148">
        <v>3.5999999999999997E-2</v>
      </c>
      <c r="AG148">
        <v>-5.0000000000000001E-3</v>
      </c>
      <c r="AH148">
        <v>-7.9000000000000001E-2</v>
      </c>
      <c r="AI148">
        <v>8.4000000000000005E-2</v>
      </c>
    </row>
    <row r="149" spans="1:35" x14ac:dyDescent="0.25">
      <c r="A149" t="s">
        <v>2671</v>
      </c>
      <c r="B149" t="s">
        <v>31</v>
      </c>
      <c r="C149" s="25">
        <v>43711.957499999997</v>
      </c>
      <c r="D149" s="741" t="s">
        <v>2238</v>
      </c>
      <c r="E149" s="424">
        <f t="array" ref="E149">SUMPRODUCT(IF(AMP3_2[[#This Row],[Dim 1_1]:[T 8]]-$F$4:$AI$4&lt;0,1,0)+IF($F$5:$AI$5-AMP3_2[[#This Row],[Dim 1_1]:[T 8]]&lt;0,1,0),IF(ISNUMBER(AMP3_2[[#This Row],[Dim 1_1]:[T 8]])=TRUE,1,0))</f>
        <v>0</v>
      </c>
      <c r="H149">
        <v>155.82499999999999</v>
      </c>
      <c r="I149">
        <v>155.82</v>
      </c>
      <c r="J149">
        <v>168.709</v>
      </c>
      <c r="K149">
        <v>168.876</v>
      </c>
      <c r="L149">
        <v>155.84299999999999</v>
      </c>
      <c r="M149">
        <v>155.69399999999999</v>
      </c>
      <c r="N149">
        <v>27.379000000000001</v>
      </c>
      <c r="O149">
        <v>27.574999999999999</v>
      </c>
      <c r="R149">
        <v>17.245000000000001</v>
      </c>
      <c r="S149">
        <v>17.187999999999999</v>
      </c>
      <c r="T149">
        <v>36.158000000000001</v>
      </c>
      <c r="U149">
        <v>36.979999999999997</v>
      </c>
      <c r="W149">
        <v>9.7000000000000003E-2</v>
      </c>
      <c r="X149">
        <v>-0.14399999999999999</v>
      </c>
      <c r="Z149">
        <v>2.9000000000000001E-2</v>
      </c>
      <c r="AA149">
        <v>-7.0999999999999994E-2</v>
      </c>
      <c r="AB149">
        <v>-0.14399999999999999</v>
      </c>
      <c r="AC149">
        <v>7.0000000000000001E-3</v>
      </c>
      <c r="AD149">
        <v>-8.3000000000000004E-2</v>
      </c>
      <c r="AE149">
        <v>9.7000000000000003E-2</v>
      </c>
      <c r="AF149">
        <v>1.4E-2</v>
      </c>
      <c r="AG149">
        <v>-7.0999999999999994E-2</v>
      </c>
      <c r="AH149">
        <v>-2.7E-2</v>
      </c>
      <c r="AI149">
        <v>2.9000000000000001E-2</v>
      </c>
    </row>
    <row r="150" spans="1:35" x14ac:dyDescent="0.25">
      <c r="A150" t="s">
        <v>2672</v>
      </c>
      <c r="B150" t="s">
        <v>32</v>
      </c>
      <c r="C150" s="25">
        <v>43712.030486111114</v>
      </c>
      <c r="D150" s="741" t="s">
        <v>2238</v>
      </c>
      <c r="E150" s="424">
        <f t="array" ref="E150">SUMPRODUCT(IF(AMP3_2[[#This Row],[Dim 1_1]:[T 8]]-$F$4:$AI$4&lt;0,1,0)+IF($F$5:$AI$5-AMP3_2[[#This Row],[Dim 1_1]:[T 8]]&lt;0,1,0),IF(ISNUMBER(AMP3_2[[#This Row],[Dim 1_1]:[T 8]])=TRUE,1,0))</f>
        <v>0</v>
      </c>
      <c r="F150">
        <v>41.040999999999997</v>
      </c>
      <c r="G150">
        <v>41.115000000000002</v>
      </c>
      <c r="H150">
        <v>155.845</v>
      </c>
      <c r="I150">
        <v>155.821</v>
      </c>
      <c r="L150">
        <v>155.84299999999999</v>
      </c>
      <c r="M150">
        <v>155.64699999999999</v>
      </c>
      <c r="N150">
        <v>27.370999999999999</v>
      </c>
      <c r="O150">
        <v>27.501999999999999</v>
      </c>
      <c r="R150">
        <v>17.239000000000001</v>
      </c>
      <c r="S150">
        <v>17.314</v>
      </c>
      <c r="T150">
        <v>34.024000000000001</v>
      </c>
      <c r="U150">
        <v>34.555999999999997</v>
      </c>
      <c r="W150">
        <v>0.112</v>
      </c>
      <c r="X150">
        <v>-0.11899999999999999</v>
      </c>
      <c r="Z150">
        <v>6.3E-2</v>
      </c>
      <c r="AA150">
        <v>-5.0999999999999997E-2</v>
      </c>
      <c r="AB150">
        <v>2.5000000000000001E-2</v>
      </c>
      <c r="AC150">
        <v>2.8000000000000001E-2</v>
      </c>
      <c r="AD150">
        <v>0.112</v>
      </c>
      <c r="AE150">
        <v>-0.11899999999999999</v>
      </c>
      <c r="AF150">
        <v>3.0000000000000001E-3</v>
      </c>
      <c r="AG150">
        <v>-2.7E-2</v>
      </c>
      <c r="AH150">
        <v>-5.0999999999999997E-2</v>
      </c>
      <c r="AI150">
        <v>6.3E-2</v>
      </c>
    </row>
    <row r="151" spans="1:35" x14ac:dyDescent="0.25">
      <c r="A151" t="s">
        <v>2673</v>
      </c>
      <c r="B151" t="s">
        <v>31</v>
      </c>
      <c r="C151" s="25">
        <v>43712.032534722224</v>
      </c>
      <c r="D151" s="741" t="s">
        <v>2238</v>
      </c>
      <c r="E151" s="424">
        <f t="array" ref="E151">SUMPRODUCT(IF(AMP3_2[[#This Row],[Dim 1_1]:[T 8]]-$F$4:$AI$4&lt;0,1,0)+IF($F$5:$AI$5-AMP3_2[[#This Row],[Dim 1_1]:[T 8]]&lt;0,1,0),IF(ISNUMBER(AMP3_2[[#This Row],[Dim 1_1]:[T 8]])=TRUE,1,0))</f>
        <v>0</v>
      </c>
      <c r="H151">
        <v>155.89599999999999</v>
      </c>
      <c r="I151">
        <v>155.869</v>
      </c>
      <c r="J151">
        <v>168.511</v>
      </c>
      <c r="K151">
        <v>168.59100000000001</v>
      </c>
      <c r="L151">
        <v>155.89400000000001</v>
      </c>
      <c r="M151">
        <v>155.738</v>
      </c>
      <c r="N151">
        <v>27.315999999999999</v>
      </c>
      <c r="O151">
        <v>27.53</v>
      </c>
      <c r="R151">
        <v>17.234000000000002</v>
      </c>
      <c r="S151">
        <v>17.257999999999999</v>
      </c>
      <c r="T151">
        <v>34.612000000000002</v>
      </c>
      <c r="U151">
        <v>37.585000000000001</v>
      </c>
      <c r="W151">
        <v>-2.5000000000000001E-2</v>
      </c>
      <c r="X151">
        <v>-0.17199999999999999</v>
      </c>
      <c r="Z151">
        <v>4.8000000000000001E-2</v>
      </c>
      <c r="AA151">
        <v>-2.1000000000000001E-2</v>
      </c>
      <c r="AB151">
        <v>-0.17199999999999999</v>
      </c>
      <c r="AC151">
        <v>-0.03</v>
      </c>
      <c r="AD151">
        <v>-0.13500000000000001</v>
      </c>
      <c r="AE151">
        <v>-2.5000000000000001E-2</v>
      </c>
      <c r="AF151">
        <v>4.8000000000000001E-2</v>
      </c>
      <c r="AG151">
        <v>-2.1000000000000001E-2</v>
      </c>
      <c r="AH151">
        <v>6.0000000000000001E-3</v>
      </c>
      <c r="AI151">
        <v>2.1999999999999999E-2</v>
      </c>
    </row>
    <row r="152" spans="1:35" x14ac:dyDescent="0.25">
      <c r="A152" t="s">
        <v>2674</v>
      </c>
      <c r="B152" t="s">
        <v>32</v>
      </c>
      <c r="C152" s="25">
        <v>43712.325219907405</v>
      </c>
      <c r="D152" s="741" t="s">
        <v>2238</v>
      </c>
      <c r="E152" s="424">
        <f t="array" ref="E152">SUMPRODUCT(IF(AMP3_2[[#This Row],[Dim 1_1]:[T 8]]-$F$4:$AI$4&lt;0,1,0)+IF($F$5:$AI$5-AMP3_2[[#This Row],[Dim 1_1]:[T 8]]&lt;0,1,0),IF(ISNUMBER(AMP3_2[[#This Row],[Dim 1_1]:[T 8]])=TRUE,1,0))</f>
        <v>0</v>
      </c>
      <c r="F152">
        <v>41.061</v>
      </c>
      <c r="G152">
        <v>41.204000000000001</v>
      </c>
      <c r="H152">
        <v>155.905</v>
      </c>
      <c r="I152">
        <v>155.89400000000001</v>
      </c>
      <c r="L152">
        <v>155.911</v>
      </c>
      <c r="M152">
        <v>155.71199999999999</v>
      </c>
      <c r="N152">
        <v>27.3</v>
      </c>
      <c r="O152">
        <v>27.405999999999999</v>
      </c>
      <c r="R152">
        <v>17.239000000000001</v>
      </c>
      <c r="S152">
        <v>17.309000000000001</v>
      </c>
      <c r="T152">
        <v>34.404000000000003</v>
      </c>
      <c r="U152">
        <v>34.43</v>
      </c>
      <c r="W152">
        <v>-1.4E-2</v>
      </c>
      <c r="X152">
        <v>-0.221</v>
      </c>
      <c r="Z152">
        <v>-0.05</v>
      </c>
      <c r="AA152">
        <v>-0.16600000000000001</v>
      </c>
      <c r="AB152">
        <v>-7.0000000000000007E-2</v>
      </c>
      <c r="AC152">
        <v>-7.9000000000000001E-2</v>
      </c>
      <c r="AD152">
        <v>-1.4E-2</v>
      </c>
      <c r="AE152">
        <v>-0.221</v>
      </c>
      <c r="AF152">
        <v>-9.8000000000000004E-2</v>
      </c>
      <c r="AG152">
        <v>-0.11600000000000001</v>
      </c>
      <c r="AH152">
        <v>-0.16600000000000001</v>
      </c>
      <c r="AI152">
        <v>-0.05</v>
      </c>
    </row>
    <row r="153" spans="1:35" x14ac:dyDescent="0.25">
      <c r="A153" t="s">
        <v>2675</v>
      </c>
      <c r="B153" t="s">
        <v>31</v>
      </c>
      <c r="C153" s="25">
        <v>43712.327291666668</v>
      </c>
      <c r="D153" s="741" t="s">
        <v>2238</v>
      </c>
      <c r="E153" s="424">
        <f t="array" ref="E153">SUMPRODUCT(IF(AMP3_2[[#This Row],[Dim 1_1]:[T 8]]-$F$4:$AI$4&lt;0,1,0)+IF($F$5:$AI$5-AMP3_2[[#This Row],[Dim 1_1]:[T 8]]&lt;0,1,0),IF(ISNUMBER(AMP3_2[[#This Row],[Dim 1_1]:[T 8]])=TRUE,1,0))</f>
        <v>0</v>
      </c>
      <c r="H153">
        <v>155.923</v>
      </c>
      <c r="I153">
        <v>155.90600000000001</v>
      </c>
      <c r="J153">
        <v>168.571</v>
      </c>
      <c r="K153">
        <v>168.85900000000001</v>
      </c>
      <c r="L153">
        <v>155.953</v>
      </c>
      <c r="M153">
        <v>155.81399999999999</v>
      </c>
      <c r="N153">
        <v>27.282</v>
      </c>
      <c r="O153">
        <v>27.492000000000001</v>
      </c>
      <c r="R153">
        <v>17.216000000000001</v>
      </c>
      <c r="S153">
        <v>17.175999999999998</v>
      </c>
      <c r="T153">
        <v>35.383000000000003</v>
      </c>
      <c r="U153">
        <v>37.527000000000001</v>
      </c>
      <c r="W153">
        <v>-2.3E-2</v>
      </c>
      <c r="X153">
        <v>-0.17</v>
      </c>
      <c r="Z153">
        <v>0.128</v>
      </c>
      <c r="AA153">
        <v>-8.0000000000000002E-3</v>
      </c>
      <c r="AB153">
        <v>-0.17</v>
      </c>
      <c r="AC153">
        <v>-2.3E-2</v>
      </c>
      <c r="AD153">
        <v>-4.5999999999999999E-2</v>
      </c>
      <c r="AE153">
        <v>-2.9000000000000001E-2</v>
      </c>
      <c r="AF153">
        <v>4.9000000000000002E-2</v>
      </c>
      <c r="AG153">
        <v>-8.0000000000000002E-3</v>
      </c>
      <c r="AH153">
        <v>8.1000000000000003E-2</v>
      </c>
      <c r="AI153">
        <v>0.128</v>
      </c>
    </row>
    <row r="154" spans="1:35" x14ac:dyDescent="0.25">
      <c r="D154" s="25"/>
      <c r="E154" s="740"/>
    </row>
    <row r="155" spans="1:35" x14ac:dyDescent="0.25">
      <c r="D155" s="25"/>
    </row>
    <row r="156" spans="1:35" x14ac:dyDescent="0.25">
      <c r="D156" s="25"/>
    </row>
    <row r="157" spans="1:35" x14ac:dyDescent="0.25">
      <c r="D157" s="25"/>
    </row>
    <row r="158" spans="1:35" x14ac:dyDescent="0.25">
      <c r="D158" s="25"/>
    </row>
    <row r="159" spans="1:35" x14ac:dyDescent="0.25">
      <c r="D159" s="25"/>
    </row>
    <row r="160" spans="1:35" x14ac:dyDescent="0.25">
      <c r="D160" s="25"/>
    </row>
    <row r="161" spans="4:4" x14ac:dyDescent="0.25">
      <c r="D161" s="25"/>
    </row>
    <row r="162" spans="4:4" x14ac:dyDescent="0.25">
      <c r="D162" s="25"/>
    </row>
    <row r="163" spans="4:4" x14ac:dyDescent="0.25">
      <c r="D163" s="25"/>
    </row>
    <row r="164" spans="4:4" x14ac:dyDescent="0.25">
      <c r="D164" s="25"/>
    </row>
    <row r="165" spans="4:4" x14ac:dyDescent="0.25">
      <c r="D165" s="25"/>
    </row>
    <row r="166" spans="4:4" x14ac:dyDescent="0.25">
      <c r="D166" s="25"/>
    </row>
    <row r="167" spans="4:4" x14ac:dyDescent="0.25">
      <c r="D167" s="25"/>
    </row>
    <row r="168" spans="4:4" x14ac:dyDescent="0.25">
      <c r="D168" s="25"/>
    </row>
    <row r="169" spans="4:4" x14ac:dyDescent="0.25">
      <c r="D169" s="25"/>
    </row>
    <row r="170" spans="4:4" x14ac:dyDescent="0.25">
      <c r="D170" s="25"/>
    </row>
    <row r="171" spans="4:4" x14ac:dyDescent="0.25">
      <c r="D171" s="25"/>
    </row>
    <row r="172" spans="4:4" x14ac:dyDescent="0.25">
      <c r="D172" s="25"/>
    </row>
    <row r="173" spans="4:4" x14ac:dyDescent="0.25">
      <c r="D173" s="25"/>
    </row>
    <row r="174" spans="4:4" x14ac:dyDescent="0.25">
      <c r="D174" s="25"/>
    </row>
    <row r="175" spans="4:4" x14ac:dyDescent="0.25">
      <c r="D175" s="25"/>
    </row>
    <row r="176" spans="4:4" x14ac:dyDescent="0.25">
      <c r="D176" s="25"/>
    </row>
    <row r="177" spans="4:4" x14ac:dyDescent="0.25">
      <c r="D177" s="25"/>
    </row>
    <row r="178" spans="4:4" x14ac:dyDescent="0.25">
      <c r="D178" s="25"/>
    </row>
    <row r="179" spans="4:4" x14ac:dyDescent="0.25">
      <c r="D179" s="25"/>
    </row>
    <row r="180" spans="4:4" x14ac:dyDescent="0.25">
      <c r="D180" s="25"/>
    </row>
    <row r="181" spans="4:4" x14ac:dyDescent="0.25">
      <c r="D181" s="25"/>
    </row>
    <row r="182" spans="4:4" x14ac:dyDescent="0.25">
      <c r="D182" s="25"/>
    </row>
    <row r="183" spans="4:4" x14ac:dyDescent="0.25">
      <c r="D183" s="25"/>
    </row>
    <row r="184" spans="4:4" x14ac:dyDescent="0.25">
      <c r="D184" s="25"/>
    </row>
    <row r="185" spans="4:4" x14ac:dyDescent="0.25">
      <c r="D185" s="25"/>
    </row>
    <row r="186" spans="4:4" x14ac:dyDescent="0.25">
      <c r="D186" s="25"/>
    </row>
    <row r="187" spans="4:4" x14ac:dyDescent="0.25">
      <c r="D187" s="25"/>
    </row>
    <row r="188" spans="4:4" x14ac:dyDescent="0.25">
      <c r="D188" s="25"/>
    </row>
    <row r="189" spans="4:4" x14ac:dyDescent="0.25">
      <c r="D189" s="25"/>
    </row>
    <row r="190" spans="4:4" x14ac:dyDescent="0.25">
      <c r="D190" s="25"/>
    </row>
    <row r="191" spans="4:4" x14ac:dyDescent="0.25">
      <c r="D191" s="25"/>
    </row>
    <row r="192" spans="4:4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  <row r="205" spans="4:4" x14ac:dyDescent="0.25">
      <c r="D205" s="25"/>
    </row>
    <row r="206" spans="4:4" x14ac:dyDescent="0.25">
      <c r="D206" s="25"/>
    </row>
    <row r="207" spans="4:4" x14ac:dyDescent="0.25">
      <c r="D207" s="25"/>
    </row>
    <row r="208" spans="4:4" x14ac:dyDescent="0.25">
      <c r="D208" s="25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12" spans="4:4" x14ac:dyDescent="0.25">
      <c r="D212" s="25"/>
    </row>
    <row r="213" spans="4:4" x14ac:dyDescent="0.25">
      <c r="D213" s="25"/>
    </row>
    <row r="214" spans="4:4" x14ac:dyDescent="0.25">
      <c r="D214" s="25"/>
    </row>
    <row r="215" spans="4:4" x14ac:dyDescent="0.25">
      <c r="D215" s="25"/>
    </row>
    <row r="216" spans="4:4" x14ac:dyDescent="0.25">
      <c r="D216" s="25"/>
    </row>
    <row r="217" spans="4:4" x14ac:dyDescent="0.25">
      <c r="D217" s="25"/>
    </row>
    <row r="218" spans="4:4" x14ac:dyDescent="0.25">
      <c r="D218" s="25"/>
    </row>
    <row r="219" spans="4:4" x14ac:dyDescent="0.25">
      <c r="D219" s="25"/>
    </row>
    <row r="220" spans="4:4" x14ac:dyDescent="0.25">
      <c r="D220" s="25"/>
    </row>
  </sheetData>
  <mergeCells count="1">
    <mergeCell ref="E1:E2"/>
  </mergeCells>
  <conditionalFormatting sqref="AJ8:XFD8">
    <cfRule type="notContainsBlanks" priority="11" stopIfTrue="1">
      <formula>LEN(TRIM(AJ8))&gt;0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12" priority="10"/>
  </conditionalFormatting>
  <conditionalFormatting sqref="F6:S7 V6:AI7">
    <cfRule type="cellIs" dxfId="211" priority="5" stopIfTrue="1" operator="notBetween">
      <formula>0.35</formula>
      <formula>-0.35</formula>
    </cfRule>
    <cfRule type="cellIs" dxfId="210" priority="6" operator="notBetween">
      <formula>0.2</formula>
      <formula>-0.2</formula>
    </cfRule>
  </conditionalFormatting>
  <conditionalFormatting sqref="E1 E3:E1048576">
    <cfRule type="cellIs" dxfId="209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208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07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4">
    <tabColor rgb="FF00B050"/>
  </sheetPr>
  <dimension ref="A1:AI217"/>
  <sheetViews>
    <sheetView workbookViewId="0">
      <pane xSplit="2" ySplit="8" topLeftCell="E9" activePane="bottomRight" state="frozenSplit"/>
      <selection pane="topRight" activeCell="C1" sqref="C1"/>
      <selection pane="bottomLeft" activeCell="A9" sqref="A9"/>
      <selection pane="bottomRight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MIN(AMP3_4[Date])</f>
        <v>43698.519699074073</v>
      </c>
      <c r="D1" s="310"/>
      <c r="E1" s="794" t="s">
        <v>40</v>
      </c>
      <c r="F1" s="2">
        <f>IFERROR(AVERAGEIFS(AMP3_4[[#All],[Dim 1_1]],AMP3_4[[#All],[Blade Part Number]],$B1,AMP3_4[[#All],[Date]],"&gt;"&amp;$A$1,AMP3_4[[#All],[Date]],"&lt;"&amp;$A$2),"")</f>
        <v>41.17799999999999</v>
      </c>
      <c r="G1" s="2">
        <f>IFERROR(AVERAGEIFS(AMP3_4[[#All],[Dim 1_2]],AMP3_4[[#All],[Blade Part Number]],$B1,AMP3_4[[#All],[Date]],"&gt;"&amp;$A$1,AMP3_4[[#All],[Date]],"&lt;"&amp;$A$2),"")</f>
        <v>41.05201408450705</v>
      </c>
      <c r="H1" s="2">
        <f>IFERROR(AVERAGEIFS(AMP3_4[[#All],[Dim 2_1]],AMP3_4[[#All],[Blade Part Number]],$B1,AMP3_4[[#All],[Date]],"&gt;"&amp;$A$1,AMP3_4[[#All],[Date]],"&lt;"&amp;$A$2),"")</f>
        <v>155.80012676056336</v>
      </c>
      <c r="I1" s="2">
        <f>IFERROR(AVERAGEIFS(AMP3_4[[#All],[Dim 2_2]],AMP3_4[[#All],[Blade Part Number]],$B1,AMP3_4[[#All],[Date]],"&gt;"&amp;$A$1,AMP3_4[[#All],[Date]],"&lt;"&amp;$A$2),"")</f>
        <v>155.80338028169007</v>
      </c>
      <c r="J1" s="2" t="str">
        <f>IFERROR(AVERAGEIFS(AMP3_4[[#All],[Dim 3_1]],AMP3_4[[#All],[Blade Part Number]],$B1,AMP3_4[[#All],[Date]],"&gt;"&amp;$A$1,AMP3_4[[#All],[Date]],"&lt;"&amp;$A$2),"")</f>
        <v/>
      </c>
      <c r="K1" s="2" t="str">
        <f>IFERROR(AVERAGEIFS(AMP3_4[[#All],[Dim 3_2]],AMP3_4[[#All],[Blade Part Number]],$B1,AMP3_4[[#All],[Date]],"&gt;"&amp;$A$1,AMP3_4[[#All],[Date]],"&lt;"&amp;$A$2),"")</f>
        <v/>
      </c>
      <c r="L1" s="2">
        <f>IFERROR(AVERAGEIFS(AMP3_4[[#All],[Dim 4_1]],AMP3_4[[#All],[Blade Part Number]],$B1,AMP3_4[[#All],[Date]],"&gt;"&amp;$A$1,AMP3_4[[#All],[Date]],"&lt;"&amp;$A$2),"")</f>
        <v>155.88470422535212</v>
      </c>
      <c r="M1" s="2">
        <f>IFERROR(AVERAGEIFS(AMP3_4[[#All],[Dim 4_2]],AMP3_4[[#All],[Blade Part Number]],$B1,AMP3_4[[#All],[Date]],"&gt;"&amp;$A$1,AMP3_4[[#All],[Date]],"&lt;"&amp;$A$2),"")</f>
        <v>155.71243661971835</v>
      </c>
      <c r="N1" s="2">
        <f>IFERROR(AVERAGEIFS(AMP3_4[[#All],[Dim 5_1]],AMP3_4[[#All],[Blade Part Number]],$B1,AMP3_4[[#All],[Date]],"&gt;"&amp;$A$1,AMP3_4[[#All],[Date]],"&lt;"&amp;$A$2),"")</f>
        <v>27.277239436619716</v>
      </c>
      <c r="O1" s="2">
        <f>IFERROR(AVERAGEIFS(AMP3_4[[#All],[Dim 5_2]],AMP3_4[[#All],[Blade Part Number]],$B1,AMP3_4[[#All],[Date]],"&gt;"&amp;$A$1,AMP3_4[[#All],[Date]],"&lt;"&amp;$A$2),"")</f>
        <v>27.409028169014089</v>
      </c>
      <c r="P1" s="2" t="str">
        <f>IFERROR(AVERAGEIFS(AMP3_4[[#All],[Dim 6]],AMP3_4[[#All],[Blade Part Number]],$B1,AMP3_4[[#All],[Date]],"&gt;"&amp;$A$1,AMP3_4[[#All],[Date]],"&lt;"&amp;$A$2),"")</f>
        <v/>
      </c>
      <c r="Q1" s="2" t="str">
        <f>IFERROR(AVERAGEIFS(AMP3_4[[#All],[Dim 7]],AMP3_4[[#All],[Blade Part Number]],$B1,AMP3_4[[#All],[Date]],"&gt;"&amp;$A$1,AMP3_4[[#All],[Date]],"&lt;"&amp;$A$2),"")</f>
        <v/>
      </c>
      <c r="R1" s="2">
        <f>IFERROR(AVERAGEIFS(AMP3_4[[#All],[Dim 9_1]],AMP3_4[[#All],[Blade Part Number]],$B1,AMP3_4[[#All],[Date]],"&gt;"&amp;$A$1,AMP3_4[[#All],[Date]],"&lt;"&amp;$A$2),"")</f>
        <v>17.226760563380282</v>
      </c>
      <c r="S1" s="2">
        <f>IFERROR(AVERAGEIFS(AMP3_4[[#All],[Dim 9_2]],AMP3_4[[#All],[Blade Part Number]],$B1,AMP3_4[[#All],[Date]],"&gt;"&amp;$A$1,AMP3_4[[#All],[Date]],"&lt;"&amp;$A$2),"")</f>
        <v>17.250760563380293</v>
      </c>
      <c r="T1" s="2">
        <f>IFERROR(AVERAGEIFS(AMP3_4[[#All],[Dim 10_1]],AMP3_4[[#All],[Blade Part Number]],$B1,AMP3_4[[#All],[Date]],"&gt;"&amp;$A$1,AMP3_4[[#All],[Date]],"&lt;"&amp;$A$2),"")</f>
        <v>33.731676056338031</v>
      </c>
      <c r="U1" s="2">
        <f>IFERROR(AVERAGEIFS(AMP3_4[[#All],[Dim 10_2]],AMP3_4[[#All],[Blade Part Number]],$B1,AMP3_4[[#All],[Date]],"&gt;"&amp;$A$1,AMP3_4[[#All],[Date]],"&lt;"&amp;$A$2),"")</f>
        <v>34.104802816901405</v>
      </c>
      <c r="V1" s="2" t="str">
        <f>IFERROR(AVERAGEIFS(AMP3_4[[#All],[Dim 11]],AMP3_4[[#All],[Blade Part Number]],$B1,AMP3_4[[#All],[Date]],"&gt;"&amp;$A$1,AMP3_4[[#All],[Date]],"&lt;"&amp;$A$2),"")</f>
        <v/>
      </c>
      <c r="W1" s="2">
        <f>IFERROR(AVERAGEIFS(AMP3_4[[#All],[Dim 11 Max]],AMP3_4[[#All],[Blade Part Number]],$B1,AMP3_4[[#All],[Date]],"&gt;"&amp;$A$1,AMP3_4[[#All],[Date]],"&lt;"&amp;$A$2),"")</f>
        <v>8.1943661971831006E-2</v>
      </c>
      <c r="X1" s="2">
        <f>IFERROR(AVERAGEIFS(AMP3_4[[#All],[Dim 11 Min]],AMP3_4[[#All],[Blade Part Number]],$B1,AMP3_4[[#All],[Date]],"&gt;"&amp;$A$1,AMP3_4[[#All],[Date]],"&lt;"&amp;$A$2),"")</f>
        <v>-2.8478873239436622E-2</v>
      </c>
      <c r="Y1" s="2" t="str">
        <f>IFERROR(AVERAGEIFS(AMP3_4[[#All],[Dim 12]],AMP3_4[[#All],[Blade Part Number]],$B1,AMP3_4[[#All],[Date]],"&gt;"&amp;$A$1,AMP3_4[[#All],[Date]],"&lt;"&amp;$A$2),"")</f>
        <v/>
      </c>
      <c r="Z1" s="2">
        <f>IFERROR(AVERAGEIFS(AMP3_4[[#All],[Dim 12 Max]],AMP3_4[[#All],[Blade Part Number]],$B1,AMP3_4[[#All],[Date]],"&gt;"&amp;$A$1,AMP3_4[[#All],[Date]],"&lt;"&amp;$A$2),"")</f>
        <v>8.3183098591549293E-2</v>
      </c>
      <c r="AA1" s="2">
        <f>IFERROR(AVERAGEIFS(AMP3_4[[#All],[Dim 12 Min]],AMP3_4[[#All],[Blade Part Number]],$B1,AMP3_4[[#All],[Date]],"&gt;"&amp;$A$1,AMP3_4[[#All],[Date]],"&lt;"&amp;$A$2),"")</f>
        <v>-3.6281690140845077E-2</v>
      </c>
      <c r="AB1" s="2">
        <f>IFERROR(AVERAGEIFS(AMP3_4[[#All],[T 1]],AMP3_4[[#All],[Blade Part Number]],$B1,AMP3_4[[#All],[Date]],"&gt;"&amp;$A$1,AMP3_4[[#All],[Date]],"&lt;"&amp;$A$2),"")</f>
        <v>1.8436619718309847E-2</v>
      </c>
      <c r="AC1" s="2">
        <f>IFERROR(AVERAGEIFS(AMP3_4[[#All],[T 2]],AMP3_4[[#All],[Blade Part Number]],$B1,AMP3_4[[#All],[Date]],"&gt;"&amp;$A$1,AMP3_4[[#All],[Date]],"&lt;"&amp;$A$2),"")</f>
        <v>5.6450704225352089E-2</v>
      </c>
      <c r="AD1" s="2">
        <f>IFERROR(AVERAGEIFS(AMP3_4[[#All],[T 3]],AMP3_4[[#All],[Blade Part Number]],$B1,AMP3_4[[#All],[Date]],"&gt;"&amp;$A$1,AMP3_4[[#All],[Date]],"&lt;"&amp;$A$2),"")</f>
        <v>4.969014084507041E-2</v>
      </c>
      <c r="AE1" s="2">
        <f>IFERROR(AVERAGEIFS(AMP3_4[[#All],[T 4]],AMP3_4[[#All],[Blade Part Number]],$B1,AMP3_4[[#All],[Date]],"&gt;"&amp;$A$1,AMP3_4[[#All],[Date]],"&lt;"&amp;$A$2),"")</f>
        <v>-8.3098591549295737E-3</v>
      </c>
      <c r="AF1" s="2">
        <f>IFERROR(AVERAGEIFS(AMP3_4[[#All],[T 5]],AMP3_4[[#All],[Blade Part Number]],$B1,AMP3_4[[#All],[Date]],"&gt;"&amp;$A$1,AMP3_4[[#All],[Date]],"&lt;"&amp;$A$2),"")</f>
        <v>3.9070422535211279E-2</v>
      </c>
      <c r="AG1" s="2">
        <f>IFERROR(AVERAGEIFS(AMP3_4[[#All],[T 6]],AMP3_4[[#All],[Blade Part Number]],$B1,AMP3_4[[#All],[Date]],"&gt;"&amp;$A$1,AMP3_4[[#All],[Date]],"&lt;"&amp;$A$2),"")</f>
        <v>1.1352112676056344E-2</v>
      </c>
      <c r="AH1" s="2">
        <f>IFERROR(AVERAGEIFS(AMP3_4[[#All],[T 7]],AMP3_4[[#All],[Blade Part Number]],$B1,AMP3_4[[#All],[Date]],"&gt;"&amp;$A$1,AMP3_4[[#All],[Date]],"&lt;"&amp;$A$2),"")</f>
        <v>-1.3999999999999993E-2</v>
      </c>
      <c r="AI1" s="2">
        <f>IFERROR(AVERAGEIFS(AMP3_4[[#All],[T 8]],AMP3_4[[#All],[Blade Part Number]],$B1,AMP3_4[[#All],[Date]],"&gt;"&amp;$A$1,AMP3_4[[#All],[Date]],"&lt;"&amp;$A$2),"")</f>
        <v>6.5929577464788711E-2</v>
      </c>
    </row>
    <row r="2" spans="1:35" x14ac:dyDescent="0.25">
      <c r="A2" s="1">
        <f>'Offset Solver'!E31</f>
        <v>73050</v>
      </c>
      <c r="B2" s="12" t="s">
        <v>31</v>
      </c>
      <c r="C2" s="25">
        <f>MAX(AMP3_4[Date])</f>
        <v>43712.323101851849</v>
      </c>
      <c r="D2" s="310"/>
      <c r="E2" s="794"/>
      <c r="F2" s="2" t="str">
        <f>IFERROR(AVERAGEIFS(AMP3_4[[#All],[Dim 1_1]],AMP3_4[[#All],[Blade Part Number]],$B2,AMP3_4[[#All],[Date]],"&gt;"&amp;$A$1,AMP3_4[[#All],[Date]],"&lt;"&amp;$A$2),"")</f>
        <v/>
      </c>
      <c r="G2" s="2" t="str">
        <f>IFERROR(AVERAGEIFS(AMP3_4[[#All],[Dim 1_2]],AMP3_4[[#All],[Blade Part Number]],$B2,AMP3_4[[#All],[Date]],"&gt;"&amp;$A$1,AMP3_4[[#All],[Date]],"&lt;"&amp;$A$2),"")</f>
        <v/>
      </c>
      <c r="H2" s="2">
        <f>IFERROR(AVERAGEIFS(AMP3_4[[#All],[Dim 2_1]],AMP3_4[[#All],[Blade Part Number]],$B2,AMP3_4[[#All],[Date]],"&gt;"&amp;$A$1,AMP3_4[[#All],[Date]],"&lt;"&amp;$A$2),"")</f>
        <v>155.86828169014078</v>
      </c>
      <c r="I2" s="2">
        <f>IFERROR(AVERAGEIFS(AMP3_4[[#All],[Dim 2_2]],AMP3_4[[#All],[Blade Part Number]],$B2,AMP3_4[[#All],[Date]],"&gt;"&amp;$A$1,AMP3_4[[#All],[Date]],"&lt;"&amp;$A$2),"")</f>
        <v>155.92122535211266</v>
      </c>
      <c r="J2" s="2">
        <f>IFERROR(AVERAGEIFS(AMP3_4[[#All],[Dim 3_1]],AMP3_4[[#All],[Blade Part Number]],$B2,AMP3_4[[#All],[Date]],"&gt;"&amp;$A$1,AMP3_4[[#All],[Date]],"&lt;"&amp;$A$2),"")</f>
        <v>168.76594366197187</v>
      </c>
      <c r="K2" s="2">
        <f>IFERROR(AVERAGEIFS(AMP3_4[[#All],[Dim 3_2]],AMP3_4[[#All],[Blade Part Number]],$B2,AMP3_4[[#All],[Date]],"&gt;"&amp;$A$1,AMP3_4[[#All],[Date]],"&lt;"&amp;$A$2),"")</f>
        <v>168.63788732394369</v>
      </c>
      <c r="L2" s="2">
        <f>IFERROR(AVERAGEIFS(AMP3_4[[#All],[Dim 4_1]],AMP3_4[[#All],[Blade Part Number]],$B2,AMP3_4[[#All],[Date]],"&gt;"&amp;$A$1,AMP3_4[[#All],[Date]],"&lt;"&amp;$A$2),"")</f>
        <v>155.96447887323941</v>
      </c>
      <c r="M2" s="2">
        <f>IFERROR(AVERAGEIFS(AMP3_4[[#All],[Dim 4_2]],AMP3_4[[#All],[Blade Part Number]],$B2,AMP3_4[[#All],[Date]],"&gt;"&amp;$A$1,AMP3_4[[#All],[Date]],"&lt;"&amp;$A$2),"")</f>
        <v>155.81809859154927</v>
      </c>
      <c r="N2" s="2">
        <f>IFERROR(AVERAGEIFS(AMP3_4[[#All],[Dim 5_1]],AMP3_4[[#All],[Blade Part Number]],$B2,AMP3_4[[#All],[Date]],"&gt;"&amp;$A$1,AMP3_4[[#All],[Date]],"&lt;"&amp;$A$2),"")</f>
        <v>27.218014084507043</v>
      </c>
      <c r="O2" s="2">
        <f>IFERROR(AVERAGEIFS(AMP3_4[[#All],[Dim 5_2]],AMP3_4[[#All],[Blade Part Number]],$B2,AMP3_4[[#All],[Date]],"&gt;"&amp;$A$1,AMP3_4[[#All],[Date]],"&lt;"&amp;$A$2),"")</f>
        <v>27.45347887323944</v>
      </c>
      <c r="P2" s="2" t="str">
        <f>IFERROR(AVERAGEIFS(AMP3_4[[#All],[Dim 6]],AMP3_4[[#All],[Blade Part Number]],$B2,AMP3_4[[#All],[Date]],"&gt;"&amp;$A$1,AMP3_4[[#All],[Date]],"&lt;"&amp;$A$2),"")</f>
        <v/>
      </c>
      <c r="Q2" s="2" t="str">
        <f>IFERROR(AVERAGEIFS(AMP3_4[[#All],[Dim 7]],AMP3_4[[#All],[Blade Part Number]],$B2,AMP3_4[[#All],[Date]],"&gt;"&amp;$A$1,AMP3_4[[#All],[Date]],"&lt;"&amp;$A$2),"")</f>
        <v/>
      </c>
      <c r="R2" s="2">
        <f>IFERROR(AVERAGEIFS(AMP3_4[[#All],[Dim 9_1]],AMP3_4[[#All],[Blade Part Number]],$B2,AMP3_4[[#All],[Date]],"&gt;"&amp;$A$1,AMP3_4[[#All],[Date]],"&lt;"&amp;$A$2),"")</f>
        <v>17.249323943661974</v>
      </c>
      <c r="S2" s="2">
        <f>IFERROR(AVERAGEIFS(AMP3_4[[#All],[Dim 9_2]],AMP3_4[[#All],[Blade Part Number]],$B2,AMP3_4[[#All],[Date]],"&gt;"&amp;$A$1,AMP3_4[[#All],[Date]],"&lt;"&amp;$A$2),"")</f>
        <v>17.177056338028169</v>
      </c>
      <c r="T2" s="2">
        <f>IFERROR(AVERAGEIFS(AMP3_4[[#All],[Dim 10_1]],AMP3_4[[#All],[Blade Part Number]],$B2,AMP3_4[[#All],[Date]],"&gt;"&amp;$A$1,AMP3_4[[#All],[Date]],"&lt;"&amp;$A$2),"")</f>
        <v>37.282042253521119</v>
      </c>
      <c r="U2" s="2">
        <f>IFERROR(AVERAGEIFS(AMP3_4[[#All],[Dim 10_2]],AMP3_4[[#All],[Blade Part Number]],$B2,AMP3_4[[#All],[Date]],"&gt;"&amp;$A$1,AMP3_4[[#All],[Date]],"&lt;"&amp;$A$2),"")</f>
        <v>38.21566197183099</v>
      </c>
      <c r="V2" s="2" t="str">
        <f>IFERROR(AVERAGEIFS(AMP3_4[[#All],[Dim 11]],AMP3_4[[#All],[Blade Part Number]],$B2,AMP3_4[[#All],[Date]],"&gt;"&amp;$A$1,AMP3_4[[#All],[Date]],"&lt;"&amp;$A$2),"")</f>
        <v/>
      </c>
      <c r="W2" s="2">
        <f>IFERROR(AVERAGEIFS(AMP3_4[[#All],[Dim 11 Max]],AMP3_4[[#All],[Blade Part Number]],$B2,AMP3_4[[#All],[Date]],"&gt;"&amp;$A$1,AMP3_4[[#All],[Date]],"&lt;"&amp;$A$2),"")</f>
        <v>0.17794366197183095</v>
      </c>
      <c r="X2" s="2">
        <f>IFERROR(AVERAGEIFS(AMP3_4[[#All],[Dim 11 Min]],AMP3_4[[#All],[Blade Part Number]],$B2,AMP3_4[[#All],[Date]],"&gt;"&amp;$A$1,AMP3_4[[#All],[Date]],"&lt;"&amp;$A$2),"")</f>
        <v>-0.33545070422535211</v>
      </c>
      <c r="Y2" s="2" t="str">
        <f>IFERROR(AVERAGEIFS(AMP3_4[[#All],[Dim 12]],AMP3_4[[#All],[Blade Part Number]],$B2,AMP3_4[[#All],[Date]],"&gt;"&amp;$A$1,AMP3_4[[#All],[Date]],"&lt;"&amp;$A$2),"")</f>
        <v/>
      </c>
      <c r="Z2" s="2">
        <f>IFERROR(AVERAGEIFS(AMP3_4[[#All],[Dim 12 Max]],AMP3_4[[#All],[Blade Part Number]],$B2,AMP3_4[[#All],[Date]],"&gt;"&amp;$A$1,AMP3_4[[#All],[Date]],"&lt;"&amp;$A$2),"")</f>
        <v>4.5802816901408472E-2</v>
      </c>
      <c r="AA2" s="2">
        <f>IFERROR(AVERAGEIFS(AMP3_4[[#All],[Dim 12 Min]],AMP3_4[[#All],[Blade Part Number]],$B2,AMP3_4[[#All],[Date]],"&gt;"&amp;$A$1,AMP3_4[[#All],[Date]],"&lt;"&amp;$A$2),"")</f>
        <v>-0.16066197183098588</v>
      </c>
      <c r="AB2" s="2">
        <f>IFERROR(AVERAGEIFS(AMP3_4[[#All],[T 1]],AMP3_4[[#All],[Blade Part Number]],$B2,AMP3_4[[#All],[Date]],"&gt;"&amp;$A$1,AMP3_4[[#All],[Date]],"&lt;"&amp;$A$2),"")</f>
        <v>0.13660563380281693</v>
      </c>
      <c r="AC2" s="2">
        <f>IFERROR(AVERAGEIFS(AMP3_4[[#All],[T 2]],AMP3_4[[#All],[Blade Part Number]],$B2,AMP3_4[[#All],[Date]],"&gt;"&amp;$A$1,AMP3_4[[#All],[Date]],"&lt;"&amp;$A$2),"")</f>
        <v>-0.17743661971830993</v>
      </c>
      <c r="AD2" s="2">
        <f>IFERROR(AVERAGEIFS(AMP3_4[[#All],[T 3]],AMP3_4[[#All],[Blade Part Number]],$B2,AMP3_4[[#All],[Date]],"&gt;"&amp;$A$1,AMP3_4[[#All],[Date]],"&lt;"&amp;$A$2),"")</f>
        <v>0.14378873239436624</v>
      </c>
      <c r="AE2" s="2">
        <f>IFERROR(AVERAGEIFS(AMP3_4[[#All],[T 4]],AMP3_4[[#All],[Blade Part Number]],$B2,AMP3_4[[#All],[Date]],"&gt;"&amp;$A$1,AMP3_4[[#All],[Date]],"&lt;"&amp;$A$2),"")</f>
        <v>-0.33008450704225351</v>
      </c>
      <c r="AF2" s="2">
        <f>IFERROR(AVERAGEIFS(AMP3_4[[#All],[T 5]],AMP3_4[[#All],[Blade Part Number]],$B2,AMP3_4[[#All],[Date]],"&gt;"&amp;$A$1,AMP3_4[[#All],[Date]],"&lt;"&amp;$A$2),"")</f>
        <v>3.7183098591549429E-3</v>
      </c>
      <c r="AG2" s="2">
        <f>IFERROR(AVERAGEIFS(AMP3_4[[#All],[T 6]],AMP3_4[[#All],[Blade Part Number]],$B2,AMP3_4[[#All],[Date]],"&gt;"&amp;$A$1,AMP3_4[[#All],[Date]],"&lt;"&amp;$A$2),"")</f>
        <v>-7.0422535211267894E-5</v>
      </c>
      <c r="AH2" s="2">
        <f>IFERROR(AVERAGEIFS(AMP3_4[[#All],[T 7]],AMP3_4[[#All],[Blade Part Number]],$B2,AMP3_4[[#All],[Date]],"&gt;"&amp;$A$1,AMP3_4[[#All],[Date]],"&lt;"&amp;$A$2),"")</f>
        <v>-0.14895774647887325</v>
      </c>
      <c r="AI2" s="2">
        <f>IFERROR(AVERAGEIFS(AMP3_4[[#All],[T 8]],AMP3_4[[#All],[Blade Part Number]],$B2,AMP3_4[[#All],[Date]],"&gt;"&amp;$A$1,AMP3_4[[#All],[Date]],"&lt;"&amp;$A$2),"")</f>
        <v>7.6478873239436626E-3</v>
      </c>
    </row>
    <row r="3" spans="1:35" x14ac:dyDescent="0.25">
      <c r="E3" s="438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438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438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-0.12200000000000699</v>
      </c>
      <c r="G6" s="11">
        <f t="shared" si="0"/>
        <v>-0.24798591549294713</v>
      </c>
      <c r="H6" s="11">
        <f t="shared" si="0"/>
        <v>1.2676056334726127E-4</v>
      </c>
      <c r="I6" s="11">
        <f t="shared" si="0"/>
        <v>3.3802816900561083E-3</v>
      </c>
      <c r="J6" s="11" t="str">
        <f t="shared" si="0"/>
        <v/>
      </c>
      <c r="K6" s="11" t="str">
        <f t="shared" si="0"/>
        <v/>
      </c>
      <c r="L6" s="11">
        <f t="shared" si="0"/>
        <v>8.4704225352112417E-2</v>
      </c>
      <c r="M6" s="11">
        <f t="shared" si="0"/>
        <v>-8.7563380281665104E-2</v>
      </c>
      <c r="N6" s="11">
        <f t="shared" si="0"/>
        <v>-0.12276056338028241</v>
      </c>
      <c r="O6" s="11">
        <f t="shared" si="0"/>
        <v>9.0281690140905368E-3</v>
      </c>
      <c r="P6" s="11" t="str">
        <f t="shared" si="0"/>
        <v/>
      </c>
      <c r="Q6" s="11" t="str">
        <f t="shared" si="0"/>
        <v/>
      </c>
      <c r="R6" s="11">
        <f t="shared" si="0"/>
        <v>-2.323943661971839E-2</v>
      </c>
      <c r="S6" s="11">
        <f t="shared" si="0"/>
        <v>7.6056338029317772E-4</v>
      </c>
      <c r="T6" s="11">
        <f t="shared" si="0"/>
        <v>1.7316760563380313</v>
      </c>
      <c r="U6" s="11">
        <f t="shared" si="0"/>
        <v>2.1048028169014046</v>
      </c>
      <c r="V6" s="11" t="str">
        <f t="shared" si="0"/>
        <v/>
      </c>
      <c r="W6" s="11">
        <f t="shared" si="0"/>
        <v>8.1943661971831006E-2</v>
      </c>
      <c r="X6" s="11">
        <f t="shared" si="0"/>
        <v>-2.8478873239436622E-2</v>
      </c>
      <c r="Y6" s="11" t="str">
        <f t="shared" si="0"/>
        <v/>
      </c>
      <c r="Z6" s="11">
        <f t="shared" si="0"/>
        <v>8.3183098591549293E-2</v>
      </c>
      <c r="AA6" s="11">
        <f t="shared" si="0"/>
        <v>-3.6281690140845077E-2</v>
      </c>
      <c r="AB6" s="406">
        <f t="shared" si="0"/>
        <v>1.8436619718309847E-2</v>
      </c>
      <c r="AC6" s="406">
        <f t="shared" si="0"/>
        <v>5.6450704225352089E-2</v>
      </c>
      <c r="AD6" s="407">
        <f t="shared" si="0"/>
        <v>4.969014084507041E-2</v>
      </c>
      <c r="AE6" s="407">
        <f t="shared" si="0"/>
        <v>-8.3098591549295737E-3</v>
      </c>
      <c r="AF6" s="406">
        <f t="shared" si="0"/>
        <v>3.9070422535211279E-2</v>
      </c>
      <c r="AG6" s="406">
        <f t="shared" si="0"/>
        <v>1.1352112676056344E-2</v>
      </c>
      <c r="AH6" s="407">
        <f t="shared" si="0"/>
        <v>-1.3999999999999993E-2</v>
      </c>
      <c r="AI6" s="407">
        <f t="shared" si="0"/>
        <v>6.5929577464788711E-2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6.8281690140764795E-2</v>
      </c>
      <c r="I7" s="11">
        <f t="shared" si="1"/>
        <v>0.12122535211264562</v>
      </c>
      <c r="J7" s="11">
        <f t="shared" si="1"/>
        <v>6.5943661971886058E-2</v>
      </c>
      <c r="K7" s="11">
        <f t="shared" si="1"/>
        <v>-6.2112676056301552E-2</v>
      </c>
      <c r="L7" s="11">
        <f t="shared" si="1"/>
        <v>0.16447887323940336</v>
      </c>
      <c r="M7" s="11">
        <f t="shared" si="1"/>
        <v>1.80985915492613E-2</v>
      </c>
      <c r="N7" s="11">
        <f t="shared" si="1"/>
        <v>-0.18198591549295529</v>
      </c>
      <c r="O7" s="11">
        <f t="shared" si="1"/>
        <v>5.3478873239441782E-2</v>
      </c>
      <c r="P7" s="11" t="str">
        <f t="shared" si="1"/>
        <v/>
      </c>
      <c r="Q7" s="11" t="str">
        <f t="shared" si="1"/>
        <v/>
      </c>
      <c r="R7" s="11">
        <f t="shared" si="1"/>
        <v>-6.7605633802614307E-4</v>
      </c>
      <c r="S7" s="11">
        <f t="shared" si="1"/>
        <v>-7.2943661971830664E-2</v>
      </c>
      <c r="T7" s="11">
        <f t="shared" si="1"/>
        <v>5.2820422535211193</v>
      </c>
      <c r="U7" s="11">
        <f t="shared" si="1"/>
        <v>6.2156619718309898</v>
      </c>
      <c r="V7" s="11" t="str">
        <f t="shared" si="1"/>
        <v/>
      </c>
      <c r="W7" s="11">
        <f t="shared" si="1"/>
        <v>0.17794366197183095</v>
      </c>
      <c r="X7" s="11">
        <f t="shared" si="1"/>
        <v>-0.33545070422535211</v>
      </c>
      <c r="Y7" s="11" t="str">
        <f t="shared" si="1"/>
        <v/>
      </c>
      <c r="Z7" s="11">
        <f t="shared" si="1"/>
        <v>4.5802816901408472E-2</v>
      </c>
      <c r="AA7" s="11">
        <f t="shared" si="1"/>
        <v>-0.16066197183098588</v>
      </c>
      <c r="AB7" s="407">
        <f t="shared" si="1"/>
        <v>0.13660563380281693</v>
      </c>
      <c r="AC7" s="407">
        <f t="shared" si="1"/>
        <v>-0.17743661971830993</v>
      </c>
      <c r="AD7" s="406">
        <f t="shared" si="1"/>
        <v>0.14378873239436624</v>
      </c>
      <c r="AE7" s="406">
        <f t="shared" si="1"/>
        <v>-0.33008450704225351</v>
      </c>
      <c r="AF7" s="407">
        <f t="shared" si="1"/>
        <v>3.7183098591549429E-3</v>
      </c>
      <c r="AG7" s="407">
        <f t="shared" si="1"/>
        <v>-7.0422535211267894E-5</v>
      </c>
      <c r="AH7" s="406">
        <f t="shared" si="1"/>
        <v>-0.14895774647887325</v>
      </c>
      <c r="AI7" s="406">
        <f t="shared" si="1"/>
        <v>7.6478873239436626E-3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982</v>
      </c>
      <c r="B9" t="s">
        <v>32</v>
      </c>
      <c r="C9" s="25">
        <v>43698.519699074073</v>
      </c>
      <c r="D9" s="741" t="s">
        <v>969</v>
      </c>
      <c r="E9" s="741">
        <f t="array" ref="E9">SUMPRODUCT(IF(AMP3_4[[#This Row],[Dim 1_1]:[T 8]]-$F$4:$AI$4&lt;0,1,0)+IF($F$5:$AI$5-AMP3_4[[#This Row],[Dim 1_1]:[T 8]]&lt;0,1,0),IF(ISNUMBER(AMP3_4[[#This Row],[Dim 1_1]:[T 8]])=TRUE,1,0))</f>
        <v>0</v>
      </c>
      <c r="F9">
        <v>41.082999999999998</v>
      </c>
      <c r="G9">
        <v>40.933999999999997</v>
      </c>
      <c r="H9">
        <v>155.86099999999999</v>
      </c>
      <c r="I9">
        <v>155.77699999999999</v>
      </c>
      <c r="L9">
        <v>155.93100000000001</v>
      </c>
      <c r="M9">
        <v>155.71299999999999</v>
      </c>
      <c r="N9">
        <v>27.297999999999998</v>
      </c>
      <c r="O9">
        <v>27.42</v>
      </c>
      <c r="R9">
        <v>17.196999999999999</v>
      </c>
      <c r="S9">
        <v>17.399000000000001</v>
      </c>
      <c r="T9">
        <v>33.289000000000001</v>
      </c>
      <c r="U9">
        <v>34.088000000000001</v>
      </c>
      <c r="W9">
        <v>8.4000000000000005E-2</v>
      </c>
      <c r="X9">
        <v>-0.104</v>
      </c>
      <c r="Z9">
        <v>5.5E-2</v>
      </c>
      <c r="AA9">
        <v>-0.17699999999999999</v>
      </c>
      <c r="AB9">
        <v>4.2000000000000003E-2</v>
      </c>
      <c r="AC9">
        <v>8.4000000000000005E-2</v>
      </c>
      <c r="AD9">
        <v>-0.104</v>
      </c>
      <c r="AE9">
        <v>-4.8000000000000001E-2</v>
      </c>
      <c r="AF9">
        <v>5.5E-2</v>
      </c>
      <c r="AG9">
        <v>1.4E-2</v>
      </c>
      <c r="AH9">
        <v>-0.17699999999999999</v>
      </c>
      <c r="AI9">
        <v>-0.15</v>
      </c>
    </row>
    <row r="10" spans="1:35" x14ac:dyDescent="0.25">
      <c r="A10" t="s">
        <v>983</v>
      </c>
      <c r="B10" t="s">
        <v>31</v>
      </c>
      <c r="C10" s="25">
        <v>43698.52175925926</v>
      </c>
      <c r="D10" s="741" t="s">
        <v>969</v>
      </c>
      <c r="E10" s="741">
        <f t="array" ref="E10">SUMPRODUCT(IF(AMP3_4[[#This Row],[Dim 1_1]:[T 8]]-$F$4:$AI$4&lt;0,1,0)+IF($F$5:$AI$5-AMP3_4[[#This Row],[Dim 1_1]:[T 8]]&lt;0,1,0),IF(ISNUMBER(AMP3_4[[#This Row],[Dim 1_1]:[T 8]])=TRUE,1,0))</f>
        <v>0</v>
      </c>
      <c r="H10">
        <v>155.87899999999999</v>
      </c>
      <c r="I10">
        <v>155.904</v>
      </c>
      <c r="J10">
        <v>168.744</v>
      </c>
      <c r="K10">
        <v>168.708</v>
      </c>
      <c r="L10">
        <v>156.06</v>
      </c>
      <c r="M10">
        <v>155.845</v>
      </c>
      <c r="N10">
        <v>27.164999999999999</v>
      </c>
      <c r="O10">
        <v>27.436</v>
      </c>
      <c r="R10">
        <v>17.251999999999999</v>
      </c>
      <c r="S10">
        <v>17.169</v>
      </c>
      <c r="T10">
        <v>36.347999999999999</v>
      </c>
      <c r="U10">
        <v>36.895000000000003</v>
      </c>
      <c r="W10">
        <v>0.35899999999999999</v>
      </c>
      <c r="X10">
        <v>-0.10299999999999999</v>
      </c>
      <c r="Z10">
        <v>0.192</v>
      </c>
      <c r="AA10">
        <v>-2.4E-2</v>
      </c>
      <c r="AB10">
        <v>0.185</v>
      </c>
      <c r="AC10">
        <v>-0.10299999999999999</v>
      </c>
      <c r="AD10">
        <v>0.35899999999999999</v>
      </c>
      <c r="AE10">
        <v>-3.7999999999999999E-2</v>
      </c>
      <c r="AF10">
        <v>-0.01</v>
      </c>
      <c r="AG10">
        <v>-2.3E-2</v>
      </c>
      <c r="AH10">
        <v>-2.4E-2</v>
      </c>
      <c r="AI10">
        <v>0.192</v>
      </c>
    </row>
    <row r="11" spans="1:35" x14ac:dyDescent="0.25">
      <c r="A11" t="s">
        <v>984</v>
      </c>
      <c r="B11" t="s">
        <v>32</v>
      </c>
      <c r="C11" s="25">
        <v>43698.625127314815</v>
      </c>
      <c r="D11" s="741" t="s">
        <v>969</v>
      </c>
      <c r="E11" s="741">
        <f t="array" ref="E11">SUMPRODUCT(IF(AMP3_4[[#This Row],[Dim 1_1]:[T 8]]-$F$4:$AI$4&lt;0,1,0)+IF($F$5:$AI$5-AMP3_4[[#This Row],[Dim 1_1]:[T 8]]&lt;0,1,0),IF(ISNUMBER(AMP3_4[[#This Row],[Dim 1_1]:[T 8]])=TRUE,1,0))</f>
        <v>0</v>
      </c>
      <c r="F11">
        <v>41.15</v>
      </c>
      <c r="G11">
        <v>41.018000000000001</v>
      </c>
      <c r="H11">
        <v>155.69</v>
      </c>
      <c r="I11">
        <v>155.69300000000001</v>
      </c>
      <c r="L11">
        <v>155.77099999999999</v>
      </c>
      <c r="M11">
        <v>155.607</v>
      </c>
      <c r="N11">
        <v>27.47</v>
      </c>
      <c r="O11">
        <v>27.524999999999999</v>
      </c>
      <c r="R11">
        <v>17.215</v>
      </c>
      <c r="S11">
        <v>17.295000000000002</v>
      </c>
      <c r="T11">
        <v>33.585999999999999</v>
      </c>
      <c r="U11">
        <v>34.149000000000001</v>
      </c>
      <c r="W11">
        <v>0.16</v>
      </c>
      <c r="X11">
        <v>-3.0000000000000001E-3</v>
      </c>
      <c r="Z11">
        <v>8.8999999999999996E-2</v>
      </c>
      <c r="AA11">
        <v>-2.9000000000000001E-2</v>
      </c>
      <c r="AB11">
        <v>0.129</v>
      </c>
      <c r="AC11">
        <v>0.16</v>
      </c>
      <c r="AD11">
        <v>7.9000000000000001E-2</v>
      </c>
      <c r="AE11">
        <v>-3.0000000000000001E-3</v>
      </c>
      <c r="AF11">
        <v>8.8999999999999996E-2</v>
      </c>
      <c r="AG11">
        <v>7.3999999999999996E-2</v>
      </c>
      <c r="AH11">
        <v>-2.9000000000000001E-2</v>
      </c>
      <c r="AI11">
        <v>8.8999999999999996E-2</v>
      </c>
    </row>
    <row r="12" spans="1:35" x14ac:dyDescent="0.25">
      <c r="A12" t="s">
        <v>985</v>
      </c>
      <c r="B12" t="s">
        <v>31</v>
      </c>
      <c r="C12" s="25">
        <v>43698.627268518518</v>
      </c>
      <c r="D12" s="741" t="s">
        <v>969</v>
      </c>
      <c r="E12" s="741">
        <f t="array" ref="E12">SUMPRODUCT(IF(AMP3_4[[#This Row],[Dim 1_1]:[T 8]]-$F$4:$AI$4&lt;0,1,0)+IF($F$5:$AI$5-AMP3_4[[#This Row],[Dim 1_1]:[T 8]]&lt;0,1,0),IF(ISNUMBER(AMP3_4[[#This Row],[Dim 1_1]:[T 8]])=TRUE,1,0))</f>
        <v>0</v>
      </c>
      <c r="H12">
        <v>155.71299999999999</v>
      </c>
      <c r="I12">
        <v>155.75399999999999</v>
      </c>
      <c r="J12">
        <v>168.63200000000001</v>
      </c>
      <c r="K12">
        <v>168.49600000000001</v>
      </c>
      <c r="L12">
        <v>155.887</v>
      </c>
      <c r="M12">
        <v>155.666</v>
      </c>
      <c r="N12">
        <v>27.326000000000001</v>
      </c>
      <c r="O12">
        <v>27.587</v>
      </c>
      <c r="R12">
        <v>17.245000000000001</v>
      </c>
      <c r="S12">
        <v>17.225000000000001</v>
      </c>
      <c r="T12">
        <v>37.167999999999999</v>
      </c>
      <c r="U12">
        <v>37.08</v>
      </c>
      <c r="W12">
        <v>0.27200000000000002</v>
      </c>
      <c r="X12">
        <v>-0.26300000000000001</v>
      </c>
      <c r="Z12">
        <v>0.104</v>
      </c>
      <c r="AA12">
        <v>-6.4000000000000001E-2</v>
      </c>
      <c r="AB12">
        <v>0.27200000000000002</v>
      </c>
      <c r="AC12">
        <v>-4.7E-2</v>
      </c>
      <c r="AD12">
        <v>0.216</v>
      </c>
      <c r="AE12">
        <v>-0.26300000000000001</v>
      </c>
      <c r="AF12">
        <v>8.6999999999999994E-2</v>
      </c>
      <c r="AG12">
        <v>9.9000000000000005E-2</v>
      </c>
      <c r="AH12">
        <v>-6.4000000000000001E-2</v>
      </c>
      <c r="AI12">
        <v>0.104</v>
      </c>
    </row>
    <row r="13" spans="1:35" x14ac:dyDescent="0.25">
      <c r="A13" t="s">
        <v>986</v>
      </c>
      <c r="B13" t="s">
        <v>32</v>
      </c>
      <c r="C13" s="25">
        <v>43698.786956018521</v>
      </c>
      <c r="D13" s="741" t="s">
        <v>969</v>
      </c>
      <c r="E13" s="741">
        <f t="array" ref="E13">SUMPRODUCT(IF(AMP3_4[[#This Row],[Dim 1_1]:[T 8]]-$F$4:$AI$4&lt;0,1,0)+IF($F$5:$AI$5-AMP3_4[[#This Row],[Dim 1_1]:[T 8]]&lt;0,1,0),IF(ISNUMBER(AMP3_4[[#This Row],[Dim 1_1]:[T 8]])=TRUE,1,0))</f>
        <v>0</v>
      </c>
      <c r="F13">
        <v>41.195999999999998</v>
      </c>
      <c r="G13">
        <v>40.984999999999999</v>
      </c>
      <c r="H13">
        <v>155.733</v>
      </c>
      <c r="I13">
        <v>155.74</v>
      </c>
      <c r="L13">
        <v>155.84</v>
      </c>
      <c r="M13">
        <v>155.68600000000001</v>
      </c>
      <c r="N13">
        <v>27.396000000000001</v>
      </c>
      <c r="O13">
        <v>27.469000000000001</v>
      </c>
      <c r="R13">
        <v>17.225000000000001</v>
      </c>
      <c r="S13">
        <v>17.257999999999999</v>
      </c>
      <c r="T13">
        <v>33.284999999999997</v>
      </c>
      <c r="U13">
        <v>33.984000000000002</v>
      </c>
      <c r="W13">
        <v>4.2999999999999997E-2</v>
      </c>
      <c r="X13">
        <v>-0.107</v>
      </c>
      <c r="Z13">
        <v>9.6000000000000002E-2</v>
      </c>
      <c r="AA13">
        <v>-3.3000000000000002E-2</v>
      </c>
      <c r="AB13">
        <v>2.1999999999999999E-2</v>
      </c>
      <c r="AC13">
        <v>4.2999999999999997E-2</v>
      </c>
      <c r="AD13">
        <v>2.3E-2</v>
      </c>
      <c r="AE13">
        <v>-0.107</v>
      </c>
      <c r="AF13">
        <v>5.8000000000000003E-2</v>
      </c>
      <c r="AG13">
        <v>3.7999999999999999E-2</v>
      </c>
      <c r="AH13">
        <v>-3.3000000000000002E-2</v>
      </c>
      <c r="AI13">
        <v>9.6000000000000002E-2</v>
      </c>
    </row>
    <row r="14" spans="1:35" x14ac:dyDescent="0.25">
      <c r="A14" t="s">
        <v>987</v>
      </c>
      <c r="B14" t="s">
        <v>31</v>
      </c>
      <c r="C14" s="25">
        <v>43698.788969907408</v>
      </c>
      <c r="D14" s="741" t="s">
        <v>969</v>
      </c>
      <c r="E14" s="741">
        <f t="array" ref="E14">SUMPRODUCT(IF(AMP3_4[[#This Row],[Dim 1_1]:[T 8]]-$F$4:$AI$4&lt;0,1,0)+IF($F$5:$AI$5-AMP3_4[[#This Row],[Dim 1_1]:[T 8]]&lt;0,1,0),IF(ISNUMBER(AMP3_4[[#This Row],[Dim 1_1]:[T 8]])=TRUE,1,0))</f>
        <v>0</v>
      </c>
      <c r="H14">
        <v>155.797</v>
      </c>
      <c r="I14">
        <v>155.83199999999999</v>
      </c>
      <c r="J14">
        <v>168.78100000000001</v>
      </c>
      <c r="K14">
        <v>168.65100000000001</v>
      </c>
      <c r="L14">
        <v>155.93899999999999</v>
      </c>
      <c r="M14">
        <v>155.71199999999999</v>
      </c>
      <c r="N14">
        <v>27.292000000000002</v>
      </c>
      <c r="O14">
        <v>27.552</v>
      </c>
      <c r="R14">
        <v>17.234000000000002</v>
      </c>
      <c r="S14">
        <v>17.177</v>
      </c>
      <c r="T14">
        <v>36.893999999999998</v>
      </c>
      <c r="U14">
        <v>38.558</v>
      </c>
      <c r="W14">
        <v>0.34899999999999998</v>
      </c>
      <c r="X14">
        <v>-0.17199999999999999</v>
      </c>
      <c r="Z14">
        <v>0.16700000000000001</v>
      </c>
      <c r="AA14">
        <v>3.0000000000000001E-3</v>
      </c>
      <c r="AB14">
        <v>0.314</v>
      </c>
      <c r="AC14">
        <v>-7.0000000000000001E-3</v>
      </c>
      <c r="AD14">
        <v>0.34899999999999998</v>
      </c>
      <c r="AE14">
        <v>-0.17199999999999999</v>
      </c>
      <c r="AF14">
        <v>8.5000000000000006E-2</v>
      </c>
      <c r="AG14">
        <v>8.8999999999999996E-2</v>
      </c>
      <c r="AH14">
        <v>3.0000000000000001E-3</v>
      </c>
      <c r="AI14">
        <v>0.16700000000000001</v>
      </c>
    </row>
    <row r="15" spans="1:35" x14ac:dyDescent="0.25">
      <c r="A15" t="s">
        <v>988</v>
      </c>
      <c r="B15" t="s">
        <v>32</v>
      </c>
      <c r="C15" s="25">
        <v>43698.840486111112</v>
      </c>
      <c r="D15" s="741" t="s">
        <v>969</v>
      </c>
      <c r="E15" s="424">
        <f t="array" ref="E15">SUMPRODUCT(IF(AMP3_4[[#This Row],[Dim 1_1]:[T 8]]-$F$4:$AI$4&lt;0,1,0)+IF($F$5:$AI$5-AMP3_4[[#This Row],[Dim 1_1]:[T 8]]&lt;0,1,0),IF(ISNUMBER(AMP3_4[[#This Row],[Dim 1_1]:[T 8]])=TRUE,1,0))</f>
        <v>0</v>
      </c>
      <c r="F15">
        <v>41.140999999999998</v>
      </c>
      <c r="G15">
        <v>41.093000000000004</v>
      </c>
      <c r="H15">
        <v>155.714</v>
      </c>
      <c r="I15">
        <v>155.75800000000001</v>
      </c>
      <c r="L15">
        <v>155.81399999999999</v>
      </c>
      <c r="M15">
        <v>155.655</v>
      </c>
      <c r="N15">
        <v>27.391999999999999</v>
      </c>
      <c r="O15">
        <v>27.48</v>
      </c>
      <c r="R15">
        <v>17.236000000000001</v>
      </c>
      <c r="S15">
        <v>17.18</v>
      </c>
      <c r="T15">
        <v>33.764000000000003</v>
      </c>
      <c r="U15">
        <v>34.222000000000001</v>
      </c>
      <c r="W15">
        <v>0.11</v>
      </c>
      <c r="X15">
        <v>-8.0000000000000002E-3</v>
      </c>
      <c r="Z15">
        <v>0.217</v>
      </c>
      <c r="AA15">
        <v>8.6999999999999994E-2</v>
      </c>
      <c r="AB15">
        <v>3.5999999999999997E-2</v>
      </c>
      <c r="AC15">
        <v>5.7000000000000002E-2</v>
      </c>
      <c r="AD15">
        <v>0.11</v>
      </c>
      <c r="AE15">
        <v>-8.0000000000000002E-3</v>
      </c>
      <c r="AF15">
        <v>0.104</v>
      </c>
      <c r="AG15">
        <v>8.6999999999999994E-2</v>
      </c>
      <c r="AH15">
        <v>8.6999999999999994E-2</v>
      </c>
      <c r="AI15">
        <v>0.217</v>
      </c>
    </row>
    <row r="16" spans="1:35" x14ac:dyDescent="0.25">
      <c r="A16" t="s">
        <v>989</v>
      </c>
      <c r="B16" t="s">
        <v>31</v>
      </c>
      <c r="C16" s="25">
        <v>43698.842569444445</v>
      </c>
      <c r="D16" s="741" t="s">
        <v>969</v>
      </c>
      <c r="E16" s="424">
        <f t="array" ref="E16">SUMPRODUCT(IF(AMP3_4[[#This Row],[Dim 1_1]:[T 8]]-$F$4:$AI$4&lt;0,1,0)+IF($F$5:$AI$5-AMP3_4[[#This Row],[Dim 1_1]:[T 8]]&lt;0,1,0),IF(ISNUMBER(AMP3_4[[#This Row],[Dim 1_1]:[T 8]])=TRUE,1,0))</f>
        <v>0</v>
      </c>
      <c r="H16">
        <v>155.77699999999999</v>
      </c>
      <c r="I16">
        <v>155.79300000000001</v>
      </c>
      <c r="J16">
        <v>168.62299999999999</v>
      </c>
      <c r="K16">
        <v>168.50299999999999</v>
      </c>
      <c r="L16">
        <v>155.90799999999999</v>
      </c>
      <c r="M16">
        <v>155.68700000000001</v>
      </c>
      <c r="N16">
        <v>27.324000000000002</v>
      </c>
      <c r="O16">
        <v>27.579000000000001</v>
      </c>
      <c r="R16">
        <v>17.253</v>
      </c>
      <c r="S16">
        <v>17.260000000000002</v>
      </c>
      <c r="T16">
        <v>35.921999999999997</v>
      </c>
      <c r="U16">
        <v>36.625</v>
      </c>
      <c r="W16">
        <v>0.32500000000000001</v>
      </c>
      <c r="X16">
        <v>-0.20699999999999999</v>
      </c>
      <c r="Z16">
        <v>0.14399999999999999</v>
      </c>
      <c r="AA16">
        <v>-0.02</v>
      </c>
      <c r="AB16">
        <v>0.32500000000000001</v>
      </c>
      <c r="AC16">
        <v>1.0999999999999999E-2</v>
      </c>
      <c r="AD16">
        <v>0.26400000000000001</v>
      </c>
      <c r="AE16">
        <v>-0.20699999999999999</v>
      </c>
      <c r="AF16">
        <v>0.12</v>
      </c>
      <c r="AG16">
        <v>0.13200000000000001</v>
      </c>
      <c r="AH16">
        <v>-0.02</v>
      </c>
      <c r="AI16">
        <v>0.14399999999999999</v>
      </c>
    </row>
    <row r="17" spans="1:35" x14ac:dyDescent="0.25">
      <c r="A17" t="s">
        <v>990</v>
      </c>
      <c r="B17" t="s">
        <v>32</v>
      </c>
      <c r="C17" s="25">
        <v>43698.888877314814</v>
      </c>
      <c r="D17" s="741" t="s">
        <v>969</v>
      </c>
      <c r="E17" s="424">
        <f t="array" ref="E17">SUMPRODUCT(IF(AMP3_4[[#This Row],[Dim 1_1]:[T 8]]-$F$4:$AI$4&lt;0,1,0)+IF($F$5:$AI$5-AMP3_4[[#This Row],[Dim 1_1]:[T 8]]&lt;0,1,0),IF(ISNUMBER(AMP3_4[[#This Row],[Dim 1_1]:[T 8]])=TRUE,1,0))</f>
        <v>0</v>
      </c>
      <c r="F17">
        <v>41.185000000000002</v>
      </c>
      <c r="G17">
        <v>41.021999999999998</v>
      </c>
      <c r="H17">
        <v>155.74</v>
      </c>
      <c r="I17">
        <v>155.751</v>
      </c>
      <c r="L17">
        <v>155.815</v>
      </c>
      <c r="M17">
        <v>155.67400000000001</v>
      </c>
      <c r="N17">
        <v>27.405999999999999</v>
      </c>
      <c r="O17">
        <v>27.466999999999999</v>
      </c>
      <c r="R17">
        <v>17.234000000000002</v>
      </c>
      <c r="S17">
        <v>17.298999999999999</v>
      </c>
      <c r="T17">
        <v>33.713000000000001</v>
      </c>
      <c r="U17">
        <v>34.404000000000003</v>
      </c>
      <c r="W17">
        <v>0.09</v>
      </c>
      <c r="X17">
        <v>-9.2999999999999999E-2</v>
      </c>
      <c r="Z17">
        <v>8.4000000000000005E-2</v>
      </c>
      <c r="AA17">
        <v>-6.3E-2</v>
      </c>
      <c r="AB17">
        <v>7.2999999999999995E-2</v>
      </c>
      <c r="AC17">
        <v>0.09</v>
      </c>
      <c r="AD17">
        <v>5.1999999999999998E-2</v>
      </c>
      <c r="AE17">
        <v>-9.2999999999999999E-2</v>
      </c>
      <c r="AF17">
        <v>8.4000000000000005E-2</v>
      </c>
      <c r="AG17">
        <v>4.9000000000000002E-2</v>
      </c>
      <c r="AH17">
        <v>-6.3E-2</v>
      </c>
      <c r="AI17">
        <v>5.6000000000000001E-2</v>
      </c>
    </row>
    <row r="18" spans="1:35" x14ac:dyDescent="0.25">
      <c r="A18" t="s">
        <v>991</v>
      </c>
      <c r="B18" t="s">
        <v>31</v>
      </c>
      <c r="C18" s="25">
        <v>43698.890914351854</v>
      </c>
      <c r="D18" s="741" t="s">
        <v>969</v>
      </c>
      <c r="E18" s="424">
        <f t="array" ref="E18">SUMPRODUCT(IF(AMP3_4[[#This Row],[Dim 1_1]:[T 8]]-$F$4:$AI$4&lt;0,1,0)+IF($F$5:$AI$5-AMP3_4[[#This Row],[Dim 1_1]:[T 8]]&lt;0,1,0),IF(ISNUMBER(AMP3_4[[#This Row],[Dim 1_1]:[T 8]])=TRUE,1,0))</f>
        <v>0</v>
      </c>
      <c r="H18">
        <v>155.83000000000001</v>
      </c>
      <c r="I18">
        <v>155.85499999999999</v>
      </c>
      <c r="J18">
        <v>168.73400000000001</v>
      </c>
      <c r="K18">
        <v>168.673</v>
      </c>
      <c r="L18">
        <v>155.94900000000001</v>
      </c>
      <c r="M18">
        <v>155.739</v>
      </c>
      <c r="N18">
        <v>27.283999999999999</v>
      </c>
      <c r="O18">
        <v>27.530999999999999</v>
      </c>
      <c r="R18">
        <v>17.247</v>
      </c>
      <c r="S18">
        <v>17.2</v>
      </c>
      <c r="T18">
        <v>37.051000000000002</v>
      </c>
      <c r="U18">
        <v>37.392000000000003</v>
      </c>
      <c r="W18">
        <v>0.27</v>
      </c>
      <c r="X18">
        <v>-0.23100000000000001</v>
      </c>
      <c r="Z18">
        <v>0.17299999999999999</v>
      </c>
      <c r="AA18">
        <v>6.3E-2</v>
      </c>
      <c r="AB18">
        <v>0.26</v>
      </c>
      <c r="AC18">
        <v>-5.1999999999999998E-2</v>
      </c>
      <c r="AD18">
        <v>0.27</v>
      </c>
      <c r="AE18">
        <v>-0.23100000000000001</v>
      </c>
      <c r="AF18">
        <v>6.3E-2</v>
      </c>
      <c r="AG18">
        <v>8.3000000000000004E-2</v>
      </c>
      <c r="AH18">
        <v>0.17299999999999999</v>
      </c>
      <c r="AI18">
        <v>0.13600000000000001</v>
      </c>
    </row>
    <row r="19" spans="1:35" x14ac:dyDescent="0.25">
      <c r="A19" t="s">
        <v>992</v>
      </c>
      <c r="B19" t="s">
        <v>32</v>
      </c>
      <c r="C19" s="25">
        <v>43698.985138888886</v>
      </c>
      <c r="D19" s="741" t="s">
        <v>969</v>
      </c>
      <c r="E19" s="424">
        <f t="array" ref="E19">SUMPRODUCT(IF(AMP3_4[[#This Row],[Dim 1_1]:[T 8]]-$F$4:$AI$4&lt;0,1,0)+IF($F$5:$AI$5-AMP3_4[[#This Row],[Dim 1_1]:[T 8]]&lt;0,1,0),IF(ISNUMBER(AMP3_4[[#This Row],[Dim 1_1]:[T 8]])=TRUE,1,0))</f>
        <v>0</v>
      </c>
      <c r="F19">
        <v>41.228000000000002</v>
      </c>
      <c r="G19">
        <v>41.034999999999997</v>
      </c>
      <c r="H19">
        <v>155.733</v>
      </c>
      <c r="I19">
        <v>155.72900000000001</v>
      </c>
      <c r="L19">
        <v>155.798</v>
      </c>
      <c r="M19">
        <v>155.63800000000001</v>
      </c>
      <c r="N19">
        <v>27.396999999999998</v>
      </c>
      <c r="O19">
        <v>27.466000000000001</v>
      </c>
      <c r="R19">
        <v>17.228999999999999</v>
      </c>
      <c r="S19">
        <v>17.309000000000001</v>
      </c>
      <c r="T19">
        <v>33.746000000000002</v>
      </c>
      <c r="U19">
        <v>34.064999999999998</v>
      </c>
      <c r="W19">
        <v>0.183</v>
      </c>
      <c r="X19">
        <v>4.2000000000000003E-2</v>
      </c>
      <c r="Z19">
        <v>0.153</v>
      </c>
      <c r="AA19">
        <v>-1.7999999999999999E-2</v>
      </c>
      <c r="AB19">
        <v>0.14799999999999999</v>
      </c>
      <c r="AC19">
        <v>0.183</v>
      </c>
      <c r="AD19">
        <v>0.08</v>
      </c>
      <c r="AE19">
        <v>4.2000000000000003E-2</v>
      </c>
      <c r="AF19">
        <v>0.153</v>
      </c>
      <c r="AG19">
        <v>0.126</v>
      </c>
      <c r="AH19">
        <v>-1.7999999999999999E-2</v>
      </c>
      <c r="AI19">
        <v>0.12</v>
      </c>
    </row>
    <row r="20" spans="1:35" x14ac:dyDescent="0.25">
      <c r="A20" t="s">
        <v>993</v>
      </c>
      <c r="B20" t="s">
        <v>31</v>
      </c>
      <c r="C20" s="25">
        <v>43698.987476851849</v>
      </c>
      <c r="D20" s="741" t="s">
        <v>969</v>
      </c>
      <c r="E20" s="424">
        <f t="array" ref="E20">SUMPRODUCT(IF(AMP3_4[[#This Row],[Dim 1_1]:[T 8]]-$F$4:$AI$4&lt;0,1,0)+IF($F$5:$AI$5-AMP3_4[[#This Row],[Dim 1_1]:[T 8]]&lt;0,1,0),IF(ISNUMBER(AMP3_4[[#This Row],[Dim 1_1]:[T 8]])=TRUE,1,0))</f>
        <v>0</v>
      </c>
      <c r="H20">
        <v>155.768</v>
      </c>
      <c r="I20">
        <v>155.81299999999999</v>
      </c>
      <c r="J20">
        <v>168.816</v>
      </c>
      <c r="K20">
        <v>168.648</v>
      </c>
      <c r="L20">
        <v>155.90899999999999</v>
      </c>
      <c r="M20">
        <v>155.69200000000001</v>
      </c>
      <c r="N20">
        <v>27.337</v>
      </c>
      <c r="O20">
        <v>27.577000000000002</v>
      </c>
      <c r="R20">
        <v>17.228999999999999</v>
      </c>
      <c r="S20">
        <v>17.253</v>
      </c>
      <c r="T20">
        <v>37.366999999999997</v>
      </c>
      <c r="U20">
        <v>38.259</v>
      </c>
      <c r="W20">
        <v>0.25800000000000001</v>
      </c>
      <c r="X20">
        <v>-0.27700000000000002</v>
      </c>
      <c r="Z20">
        <v>0.05</v>
      </c>
      <c r="AA20">
        <v>-0.13200000000000001</v>
      </c>
      <c r="AB20">
        <v>0.25800000000000001</v>
      </c>
      <c r="AC20">
        <v>-4.8000000000000001E-2</v>
      </c>
      <c r="AD20">
        <v>0.19</v>
      </c>
      <c r="AE20">
        <v>-0.27700000000000002</v>
      </c>
      <c r="AF20">
        <v>4.3999999999999997E-2</v>
      </c>
      <c r="AG20">
        <v>0.05</v>
      </c>
      <c r="AH20">
        <v>-0.13200000000000001</v>
      </c>
      <c r="AI20">
        <v>3.9E-2</v>
      </c>
    </row>
    <row r="21" spans="1:35" x14ac:dyDescent="0.25">
      <c r="A21" t="s">
        <v>1171</v>
      </c>
      <c r="B21" t="s">
        <v>32</v>
      </c>
      <c r="C21" s="25">
        <v>43700.47383101852</v>
      </c>
      <c r="D21" s="741" t="s">
        <v>969</v>
      </c>
      <c r="E21" s="424">
        <f t="array" ref="E21">SUMPRODUCT(IF(AMP3_4[[#This Row],[Dim 1_1]:[T 8]]-$F$4:$AI$4&lt;0,1,0)+IF($F$5:$AI$5-AMP3_4[[#This Row],[Dim 1_1]:[T 8]]&lt;0,1,0),IF(ISNUMBER(AMP3_4[[#This Row],[Dim 1_1]:[T 8]])=TRUE,1,0))</f>
        <v>0</v>
      </c>
      <c r="F21">
        <v>41.061</v>
      </c>
      <c r="G21">
        <v>40.941000000000003</v>
      </c>
      <c r="H21">
        <v>155.74100000000001</v>
      </c>
      <c r="I21">
        <v>155.68600000000001</v>
      </c>
      <c r="L21">
        <v>155.84299999999999</v>
      </c>
      <c r="M21">
        <v>155.62700000000001</v>
      </c>
      <c r="N21">
        <v>27.382999999999999</v>
      </c>
      <c r="O21">
        <v>27.492999999999999</v>
      </c>
      <c r="R21">
        <v>17.247</v>
      </c>
      <c r="S21">
        <v>17.228999999999999</v>
      </c>
      <c r="T21">
        <v>34.130000000000003</v>
      </c>
      <c r="U21">
        <v>34.603000000000002</v>
      </c>
      <c r="W21">
        <v>0.20200000000000001</v>
      </c>
      <c r="X21">
        <v>0.109</v>
      </c>
      <c r="Z21">
        <v>0.251</v>
      </c>
      <c r="AA21">
        <v>0.107</v>
      </c>
      <c r="AB21">
        <v>0.109</v>
      </c>
      <c r="AC21">
        <v>0.14599999999999999</v>
      </c>
      <c r="AD21">
        <v>0.20200000000000001</v>
      </c>
      <c r="AE21">
        <v>0.11</v>
      </c>
      <c r="AF21">
        <v>0.127</v>
      </c>
      <c r="AG21">
        <v>0.107</v>
      </c>
      <c r="AH21">
        <v>0.128</v>
      </c>
      <c r="AI21">
        <v>0.251</v>
      </c>
    </row>
    <row r="22" spans="1:35" x14ac:dyDescent="0.25">
      <c r="A22" t="s">
        <v>1172</v>
      </c>
      <c r="B22" t="s">
        <v>31</v>
      </c>
      <c r="C22" s="25">
        <v>43700.47859953704</v>
      </c>
      <c r="D22" s="741" t="s">
        <v>969</v>
      </c>
      <c r="E22" s="424">
        <f t="array" ref="E22">SUMPRODUCT(IF(AMP3_4[[#This Row],[Dim 1_1]:[T 8]]-$F$4:$AI$4&lt;0,1,0)+IF($F$5:$AI$5-AMP3_4[[#This Row],[Dim 1_1]:[T 8]]&lt;0,1,0),IF(ISNUMBER(AMP3_4[[#This Row],[Dim 1_1]:[T 8]])=TRUE,1,0))</f>
        <v>0</v>
      </c>
      <c r="H22">
        <v>155.96899999999999</v>
      </c>
      <c r="I22">
        <v>156.03299999999999</v>
      </c>
      <c r="J22">
        <v>168.85400000000001</v>
      </c>
      <c r="K22">
        <v>168.71199999999999</v>
      </c>
      <c r="L22">
        <v>156.12299999999999</v>
      </c>
      <c r="M22">
        <v>155.93700000000001</v>
      </c>
      <c r="N22">
        <v>27.103999999999999</v>
      </c>
      <c r="O22">
        <v>27.303999999999998</v>
      </c>
      <c r="R22">
        <v>17.244</v>
      </c>
      <c r="S22">
        <v>17.236000000000001</v>
      </c>
      <c r="T22">
        <v>37.146000000000001</v>
      </c>
      <c r="U22">
        <v>38.14</v>
      </c>
      <c r="W22">
        <v>0.28399999999999997</v>
      </c>
      <c r="X22">
        <v>-0.44400000000000001</v>
      </c>
      <c r="Z22">
        <v>0.18</v>
      </c>
      <c r="AA22">
        <v>-6.0000000000000001E-3</v>
      </c>
      <c r="AB22">
        <v>0.28399999999999997</v>
      </c>
      <c r="AC22">
        <v>-0.14299999999999999</v>
      </c>
      <c r="AD22">
        <v>0.24199999999999999</v>
      </c>
      <c r="AE22">
        <v>-0.44400000000000001</v>
      </c>
      <c r="AF22">
        <v>0.16200000000000001</v>
      </c>
      <c r="AG22">
        <v>0.18</v>
      </c>
      <c r="AH22">
        <v>-6.0000000000000001E-3</v>
      </c>
      <c r="AI22">
        <v>0.17799999999999999</v>
      </c>
    </row>
    <row r="23" spans="1:35" x14ac:dyDescent="0.25">
      <c r="A23" t="s">
        <v>1315</v>
      </c>
      <c r="B23" t="s">
        <v>32</v>
      </c>
      <c r="C23" s="25">
        <v>43700.563344907408</v>
      </c>
      <c r="D23" s="741" t="s">
        <v>969</v>
      </c>
      <c r="E23" s="424">
        <f t="array" ref="E23">SUMPRODUCT(IF(AMP3_4[[#This Row],[Dim 1_1]:[T 8]]-$F$4:$AI$4&lt;0,1,0)+IF($F$5:$AI$5-AMP3_4[[#This Row],[Dim 1_1]:[T 8]]&lt;0,1,0),IF(ISNUMBER(AMP3_4[[#This Row],[Dim 1_1]:[T 8]])=TRUE,1,0))</f>
        <v>1</v>
      </c>
      <c r="F23">
        <v>40.954999999999998</v>
      </c>
      <c r="G23">
        <v>40.691000000000003</v>
      </c>
      <c r="H23">
        <v>155.715</v>
      </c>
      <c r="I23">
        <v>155.69999999999999</v>
      </c>
      <c r="L23">
        <v>155.80699999999999</v>
      </c>
      <c r="M23">
        <v>155.608</v>
      </c>
      <c r="N23">
        <v>27.363</v>
      </c>
      <c r="O23">
        <v>27.492000000000001</v>
      </c>
      <c r="R23">
        <v>17.238</v>
      </c>
      <c r="S23">
        <v>17.242000000000001</v>
      </c>
      <c r="T23">
        <v>33.978999999999999</v>
      </c>
      <c r="U23">
        <v>34.302999999999997</v>
      </c>
      <c r="W23">
        <v>0.20300000000000001</v>
      </c>
      <c r="X23">
        <v>0.108</v>
      </c>
      <c r="Z23">
        <v>0.187</v>
      </c>
      <c r="AA23">
        <v>4.8000000000000001E-2</v>
      </c>
      <c r="AB23">
        <v>0.108</v>
      </c>
      <c r="AC23">
        <v>0.16500000000000001</v>
      </c>
      <c r="AD23">
        <v>0.20300000000000001</v>
      </c>
      <c r="AE23">
        <v>0.111</v>
      </c>
      <c r="AF23">
        <v>8.4000000000000005E-2</v>
      </c>
      <c r="AG23">
        <v>5.7000000000000002E-2</v>
      </c>
      <c r="AH23">
        <v>4.8000000000000001E-2</v>
      </c>
      <c r="AI23">
        <v>0.187</v>
      </c>
    </row>
    <row r="24" spans="1:35" x14ac:dyDescent="0.25">
      <c r="A24" t="s">
        <v>1316</v>
      </c>
      <c r="B24" t="s">
        <v>31</v>
      </c>
      <c r="C24" s="25">
        <v>43700.56517361111</v>
      </c>
      <c r="D24" s="741" t="s">
        <v>969</v>
      </c>
      <c r="E24" s="424">
        <f t="array" ref="E24">SUMPRODUCT(IF(AMP3_4[[#This Row],[Dim 1_1]:[T 8]]-$F$4:$AI$4&lt;0,1,0)+IF($F$5:$AI$5-AMP3_4[[#This Row],[Dim 1_1]:[T 8]]&lt;0,1,0),IF(ISNUMBER(AMP3_4[[#This Row],[Dim 1_1]:[T 8]])=TRUE,1,0))</f>
        <v>0</v>
      </c>
      <c r="H24">
        <v>155.952</v>
      </c>
      <c r="I24">
        <v>156.011</v>
      </c>
      <c r="J24">
        <v>168.708</v>
      </c>
      <c r="K24">
        <v>168.57</v>
      </c>
      <c r="L24">
        <v>156.08799999999999</v>
      </c>
      <c r="M24">
        <v>155.91</v>
      </c>
      <c r="N24">
        <v>27.155999999999999</v>
      </c>
      <c r="O24">
        <v>27.349</v>
      </c>
      <c r="R24">
        <v>17.201000000000001</v>
      </c>
      <c r="S24">
        <v>17.236999999999998</v>
      </c>
      <c r="T24">
        <v>37.094000000000001</v>
      </c>
      <c r="U24">
        <v>38.375</v>
      </c>
      <c r="W24">
        <v>0.246</v>
      </c>
      <c r="X24">
        <v>-0.53100000000000003</v>
      </c>
      <c r="Z24">
        <v>3.3000000000000002E-2</v>
      </c>
      <c r="AA24">
        <v>-0.17699999999999999</v>
      </c>
      <c r="AB24">
        <v>0.246</v>
      </c>
      <c r="AC24">
        <v>-0.16600000000000001</v>
      </c>
      <c r="AD24">
        <v>0.13300000000000001</v>
      </c>
      <c r="AE24">
        <v>-0.53100000000000003</v>
      </c>
      <c r="AF24">
        <v>3.3000000000000002E-2</v>
      </c>
      <c r="AG24">
        <v>3.2000000000000001E-2</v>
      </c>
      <c r="AH24">
        <v>-0.17699999999999999</v>
      </c>
      <c r="AI24">
        <v>-4.2999999999999997E-2</v>
      </c>
    </row>
    <row r="25" spans="1:35" x14ac:dyDescent="0.25">
      <c r="A25" t="s">
        <v>1317</v>
      </c>
      <c r="B25" t="s">
        <v>32</v>
      </c>
      <c r="C25" s="25">
        <v>43700.684942129628</v>
      </c>
      <c r="D25" s="741" t="s">
        <v>969</v>
      </c>
      <c r="E25" s="424">
        <f t="array" ref="E25">SUMPRODUCT(IF(AMP3_4[[#This Row],[Dim 1_1]:[T 8]]-$F$4:$AI$4&lt;0,1,0)+IF($F$5:$AI$5-AMP3_4[[#This Row],[Dim 1_1]:[T 8]]&lt;0,1,0),IF(ISNUMBER(AMP3_4[[#This Row],[Dim 1_1]:[T 8]])=TRUE,1,0))</f>
        <v>0</v>
      </c>
      <c r="F25">
        <v>41.005000000000003</v>
      </c>
      <c r="G25">
        <v>40.853999999999999</v>
      </c>
      <c r="H25">
        <v>155.72499999999999</v>
      </c>
      <c r="I25">
        <v>155.71100000000001</v>
      </c>
      <c r="L25">
        <v>155.815</v>
      </c>
      <c r="M25">
        <v>155.65</v>
      </c>
      <c r="N25">
        <v>27.414999999999999</v>
      </c>
      <c r="O25">
        <v>27.507999999999999</v>
      </c>
      <c r="R25">
        <v>17.244</v>
      </c>
      <c r="S25">
        <v>17.193999999999999</v>
      </c>
      <c r="T25">
        <v>33.805999999999997</v>
      </c>
      <c r="U25">
        <v>34.408999999999999</v>
      </c>
      <c r="W25">
        <v>0.14499999999999999</v>
      </c>
      <c r="X25">
        <v>5.7000000000000002E-2</v>
      </c>
      <c r="Z25">
        <v>0.153</v>
      </c>
      <c r="AA25">
        <v>8.9999999999999993E-3</v>
      </c>
      <c r="AB25">
        <v>5.7000000000000002E-2</v>
      </c>
      <c r="AC25">
        <v>0.10100000000000001</v>
      </c>
      <c r="AD25">
        <v>0.14499999999999999</v>
      </c>
      <c r="AE25">
        <v>9.5000000000000001E-2</v>
      </c>
      <c r="AF25">
        <v>0.06</v>
      </c>
      <c r="AG25">
        <v>8.9999999999999993E-3</v>
      </c>
      <c r="AH25">
        <v>4.3999999999999997E-2</v>
      </c>
      <c r="AI25">
        <v>0.153</v>
      </c>
    </row>
    <row r="26" spans="1:35" x14ac:dyDescent="0.25">
      <c r="A26" t="s">
        <v>1318</v>
      </c>
      <c r="B26" t="s">
        <v>31</v>
      </c>
      <c r="C26" s="25">
        <v>43700.686608796299</v>
      </c>
      <c r="D26" s="741" t="s">
        <v>969</v>
      </c>
      <c r="E26" s="424">
        <f t="array" ref="E26">SUMPRODUCT(IF(AMP3_4[[#This Row],[Dim 1_1]:[T 8]]-$F$4:$AI$4&lt;0,1,0)+IF($F$5:$AI$5-AMP3_4[[#This Row],[Dim 1_1]:[T 8]]&lt;0,1,0),IF(ISNUMBER(AMP3_4[[#This Row],[Dim 1_1]:[T 8]])=TRUE,1,0))</f>
        <v>0</v>
      </c>
      <c r="H26">
        <v>155.94499999999999</v>
      </c>
      <c r="I26">
        <v>156.02000000000001</v>
      </c>
      <c r="J26">
        <v>168.732</v>
      </c>
      <c r="K26">
        <v>168.56800000000001</v>
      </c>
      <c r="L26">
        <v>156.102</v>
      </c>
      <c r="M26">
        <v>155.94300000000001</v>
      </c>
      <c r="N26">
        <v>27.132000000000001</v>
      </c>
      <c r="O26">
        <v>27.332000000000001</v>
      </c>
      <c r="R26">
        <v>17.236999999999998</v>
      </c>
      <c r="S26">
        <v>17.228999999999999</v>
      </c>
      <c r="T26">
        <v>36.811</v>
      </c>
      <c r="U26">
        <v>37.899000000000001</v>
      </c>
      <c r="W26">
        <v>0.186</v>
      </c>
      <c r="X26">
        <v>-0.49399999999999999</v>
      </c>
      <c r="Z26">
        <v>6.8000000000000005E-2</v>
      </c>
      <c r="AA26">
        <v>-9.8000000000000004E-2</v>
      </c>
      <c r="AB26">
        <v>0.186</v>
      </c>
      <c r="AC26">
        <v>-0.20200000000000001</v>
      </c>
      <c r="AD26">
        <v>0.14399999999999999</v>
      </c>
      <c r="AE26">
        <v>-0.49399999999999999</v>
      </c>
      <c r="AF26">
        <v>6.8000000000000005E-2</v>
      </c>
      <c r="AG26">
        <v>3.7999999999999999E-2</v>
      </c>
      <c r="AH26">
        <v>-9.8000000000000004E-2</v>
      </c>
      <c r="AI26">
        <v>3.6999999999999998E-2</v>
      </c>
    </row>
    <row r="27" spans="1:35" x14ac:dyDescent="0.25">
      <c r="A27" t="s">
        <v>1319</v>
      </c>
      <c r="B27" t="s">
        <v>32</v>
      </c>
      <c r="C27" s="25">
        <v>43701.343425925923</v>
      </c>
      <c r="D27" s="741" t="s">
        <v>969</v>
      </c>
      <c r="E27" s="424">
        <f t="array" ref="E27">SUMPRODUCT(IF(AMP3_4[[#This Row],[Dim 1_1]:[T 8]]-$F$4:$AI$4&lt;0,1,0)+IF($F$5:$AI$5-AMP3_4[[#This Row],[Dim 1_1]:[T 8]]&lt;0,1,0),IF(ISNUMBER(AMP3_4[[#This Row],[Dim 1_1]:[T 8]])=TRUE,1,0))</f>
        <v>0</v>
      </c>
      <c r="F27">
        <v>41.036999999999999</v>
      </c>
      <c r="G27">
        <v>40.933</v>
      </c>
      <c r="H27">
        <v>155.745</v>
      </c>
      <c r="I27">
        <v>155.70500000000001</v>
      </c>
      <c r="L27">
        <v>155.84700000000001</v>
      </c>
      <c r="M27">
        <v>155.63900000000001</v>
      </c>
      <c r="N27">
        <v>27.364999999999998</v>
      </c>
      <c r="O27">
        <v>27.48</v>
      </c>
      <c r="R27">
        <v>17.247</v>
      </c>
      <c r="S27">
        <v>17.247</v>
      </c>
      <c r="T27">
        <v>34.027999999999999</v>
      </c>
      <c r="U27">
        <v>34.439</v>
      </c>
      <c r="W27">
        <v>0.111</v>
      </c>
      <c r="X27">
        <v>6.4000000000000001E-2</v>
      </c>
      <c r="Z27">
        <v>0.20499999999999999</v>
      </c>
      <c r="AA27">
        <v>0.1</v>
      </c>
      <c r="AB27">
        <v>6.8000000000000005E-2</v>
      </c>
      <c r="AC27">
        <v>0.105</v>
      </c>
      <c r="AD27">
        <v>0.111</v>
      </c>
      <c r="AE27">
        <v>6.4000000000000001E-2</v>
      </c>
      <c r="AF27">
        <v>0.128</v>
      </c>
      <c r="AG27">
        <v>0.1</v>
      </c>
      <c r="AH27">
        <v>0.126</v>
      </c>
      <c r="AI27">
        <v>0.20499999999999999</v>
      </c>
    </row>
    <row r="28" spans="1:35" x14ac:dyDescent="0.25">
      <c r="A28" t="s">
        <v>1320</v>
      </c>
      <c r="B28" t="s">
        <v>31</v>
      </c>
      <c r="C28" s="25">
        <v>43701.345208333332</v>
      </c>
      <c r="D28" s="741" t="s">
        <v>969</v>
      </c>
      <c r="E28" s="424">
        <f t="array" ref="E28">SUMPRODUCT(IF(AMP3_4[[#This Row],[Dim 1_1]:[T 8]]-$F$4:$AI$4&lt;0,1,0)+IF($F$5:$AI$5-AMP3_4[[#This Row],[Dim 1_1]:[T 8]]&lt;0,1,0),IF(ISNUMBER(AMP3_4[[#This Row],[Dim 1_1]:[T 8]])=TRUE,1,0))</f>
        <v>0</v>
      </c>
      <c r="H28">
        <v>155.983</v>
      </c>
      <c r="I28">
        <v>156.048</v>
      </c>
      <c r="J28">
        <v>168.834</v>
      </c>
      <c r="K28">
        <v>168.63900000000001</v>
      </c>
      <c r="L28">
        <v>156.16</v>
      </c>
      <c r="M28">
        <v>155.983</v>
      </c>
      <c r="N28">
        <v>27.096</v>
      </c>
      <c r="O28">
        <v>27.315999999999999</v>
      </c>
      <c r="R28">
        <v>17.225999999999999</v>
      </c>
      <c r="S28">
        <v>17.222999999999999</v>
      </c>
      <c r="T28">
        <v>36.478999999999999</v>
      </c>
      <c r="U28">
        <v>36.606999999999999</v>
      </c>
      <c r="W28">
        <v>0.28799999999999998</v>
      </c>
      <c r="X28">
        <v>-0.36799999999999999</v>
      </c>
      <c r="Z28">
        <v>0.23200000000000001</v>
      </c>
      <c r="AA28">
        <v>6.7000000000000004E-2</v>
      </c>
      <c r="AB28">
        <v>0.28799999999999998</v>
      </c>
      <c r="AC28">
        <v>-0.114</v>
      </c>
      <c r="AD28">
        <v>0.27900000000000003</v>
      </c>
      <c r="AE28">
        <v>-0.36799999999999999</v>
      </c>
      <c r="AF28">
        <v>0.20399999999999999</v>
      </c>
      <c r="AG28">
        <v>0.21199999999999999</v>
      </c>
      <c r="AH28">
        <v>6.7000000000000004E-2</v>
      </c>
      <c r="AI28">
        <v>0.23200000000000001</v>
      </c>
    </row>
    <row r="29" spans="1:35" x14ac:dyDescent="0.25">
      <c r="A29" t="s">
        <v>1321</v>
      </c>
      <c r="B29" t="s">
        <v>32</v>
      </c>
      <c r="C29" s="25">
        <v>43701.416527777779</v>
      </c>
      <c r="D29" s="741" t="s">
        <v>969</v>
      </c>
      <c r="E29" s="424">
        <f t="array" ref="E29">SUMPRODUCT(IF(AMP3_4[[#This Row],[Dim 1_1]:[T 8]]-$F$4:$AI$4&lt;0,1,0)+IF($F$5:$AI$5-AMP3_4[[#This Row],[Dim 1_1]:[T 8]]&lt;0,1,0),IF(ISNUMBER(AMP3_4[[#This Row],[Dim 1_1]:[T 8]])=TRUE,1,0))</f>
        <v>0</v>
      </c>
      <c r="F29">
        <v>41.064</v>
      </c>
      <c r="G29">
        <v>40.82</v>
      </c>
      <c r="H29">
        <v>155.71199999999999</v>
      </c>
      <c r="I29">
        <v>155.73400000000001</v>
      </c>
      <c r="L29">
        <v>155.80099999999999</v>
      </c>
      <c r="M29">
        <v>155.64599999999999</v>
      </c>
      <c r="N29">
        <v>27.449000000000002</v>
      </c>
      <c r="O29">
        <v>27.495000000000001</v>
      </c>
      <c r="R29">
        <v>17.222000000000001</v>
      </c>
      <c r="S29">
        <v>17.228000000000002</v>
      </c>
      <c r="T29">
        <v>33.878999999999998</v>
      </c>
      <c r="U29">
        <v>34.415999999999997</v>
      </c>
      <c r="W29">
        <v>0.151</v>
      </c>
      <c r="X29">
        <v>4.2999999999999997E-2</v>
      </c>
      <c r="Z29">
        <v>0.158</v>
      </c>
      <c r="AA29">
        <v>8.5999999999999993E-2</v>
      </c>
      <c r="AB29">
        <v>9.4E-2</v>
      </c>
      <c r="AC29">
        <v>0.151</v>
      </c>
      <c r="AD29">
        <v>0.104</v>
      </c>
      <c r="AE29">
        <v>4.2999999999999997E-2</v>
      </c>
      <c r="AF29">
        <v>0.13600000000000001</v>
      </c>
      <c r="AG29">
        <v>0.105</v>
      </c>
      <c r="AH29">
        <v>8.5999999999999993E-2</v>
      </c>
      <c r="AI29">
        <v>0.158</v>
      </c>
    </row>
    <row r="30" spans="1:35" x14ac:dyDescent="0.25">
      <c r="A30" t="s">
        <v>1322</v>
      </c>
      <c r="B30" t="s">
        <v>31</v>
      </c>
      <c r="C30" s="25">
        <v>43701.418182870373</v>
      </c>
      <c r="D30" s="741" t="s">
        <v>969</v>
      </c>
      <c r="E30" s="424">
        <f t="array" ref="E30">SUMPRODUCT(IF(AMP3_4[[#This Row],[Dim 1_1]:[T 8]]-$F$4:$AI$4&lt;0,1,0)+IF($F$5:$AI$5-AMP3_4[[#This Row],[Dim 1_1]:[T 8]]&lt;0,1,0),IF(ISNUMBER(AMP3_4[[#This Row],[Dim 1_1]:[T 8]])=TRUE,1,0))</f>
        <v>0</v>
      </c>
      <c r="H30">
        <v>155.87299999999999</v>
      </c>
      <c r="I30">
        <v>155.95500000000001</v>
      </c>
      <c r="J30">
        <v>168.679</v>
      </c>
      <c r="K30">
        <v>168.59100000000001</v>
      </c>
      <c r="L30">
        <v>156.03399999999999</v>
      </c>
      <c r="M30">
        <v>155.852</v>
      </c>
      <c r="N30">
        <v>27.192</v>
      </c>
      <c r="O30">
        <v>27.420999999999999</v>
      </c>
      <c r="R30">
        <v>17.266999999999999</v>
      </c>
      <c r="S30">
        <v>17.263000000000002</v>
      </c>
      <c r="T30">
        <v>37.064999999999998</v>
      </c>
      <c r="U30">
        <v>38.225000000000001</v>
      </c>
      <c r="W30">
        <v>0.28599999999999998</v>
      </c>
      <c r="X30">
        <v>-0.45400000000000001</v>
      </c>
      <c r="Z30">
        <v>0.14499999999999999</v>
      </c>
      <c r="AA30">
        <v>-0.10100000000000001</v>
      </c>
      <c r="AB30">
        <v>0.28599999999999998</v>
      </c>
      <c r="AC30">
        <v>-0.126</v>
      </c>
      <c r="AD30">
        <v>8.5999999999999993E-2</v>
      </c>
      <c r="AE30">
        <v>-0.45400000000000001</v>
      </c>
      <c r="AF30">
        <v>0.14499999999999999</v>
      </c>
      <c r="AG30">
        <v>0.129</v>
      </c>
      <c r="AH30">
        <v>-0.10100000000000001</v>
      </c>
      <c r="AI30">
        <v>4.9000000000000002E-2</v>
      </c>
    </row>
    <row r="31" spans="1:35" x14ac:dyDescent="0.25">
      <c r="A31" t="s">
        <v>1323</v>
      </c>
      <c r="B31" t="s">
        <v>32</v>
      </c>
      <c r="C31" s="25">
        <v>43701.495196759257</v>
      </c>
      <c r="D31" s="741" t="s">
        <v>969</v>
      </c>
      <c r="E31" s="424">
        <f t="array" ref="E31">SUMPRODUCT(IF(AMP3_4[[#This Row],[Dim 1_1]:[T 8]]-$F$4:$AI$4&lt;0,1,0)+IF($F$5:$AI$5-AMP3_4[[#This Row],[Dim 1_1]:[T 8]]&lt;0,1,0),IF(ISNUMBER(AMP3_4[[#This Row],[Dim 1_1]:[T 8]])=TRUE,1,0))</f>
        <v>0</v>
      </c>
      <c r="F31">
        <v>40.997</v>
      </c>
      <c r="G31">
        <v>40.817999999999998</v>
      </c>
      <c r="H31">
        <v>155.76499999999999</v>
      </c>
      <c r="I31">
        <v>155.80500000000001</v>
      </c>
      <c r="L31">
        <v>155.874</v>
      </c>
      <c r="M31">
        <v>155.66900000000001</v>
      </c>
      <c r="N31">
        <v>27.358000000000001</v>
      </c>
      <c r="O31">
        <v>27.512</v>
      </c>
      <c r="R31">
        <v>17.224</v>
      </c>
      <c r="S31">
        <v>17.233000000000001</v>
      </c>
      <c r="T31">
        <v>34.006999999999998</v>
      </c>
      <c r="U31">
        <v>33.892000000000003</v>
      </c>
      <c r="W31">
        <v>9.0999999999999998E-2</v>
      </c>
      <c r="X31">
        <v>3.1E-2</v>
      </c>
      <c r="Z31">
        <v>0.121</v>
      </c>
      <c r="AA31">
        <v>2.3E-2</v>
      </c>
      <c r="AB31">
        <v>5.0999999999999997E-2</v>
      </c>
      <c r="AC31">
        <v>9.0999999999999998E-2</v>
      </c>
      <c r="AD31">
        <v>8.8999999999999996E-2</v>
      </c>
      <c r="AE31">
        <v>3.1E-2</v>
      </c>
      <c r="AF31">
        <v>6.9000000000000006E-2</v>
      </c>
      <c r="AG31">
        <v>4.3999999999999997E-2</v>
      </c>
      <c r="AH31">
        <v>2.3E-2</v>
      </c>
      <c r="AI31">
        <v>0.121</v>
      </c>
    </row>
    <row r="32" spans="1:35" x14ac:dyDescent="0.25">
      <c r="A32" t="s">
        <v>1324</v>
      </c>
      <c r="B32" t="s">
        <v>31</v>
      </c>
      <c r="C32" s="25">
        <v>43701.496863425928</v>
      </c>
      <c r="D32" s="741" t="s">
        <v>969</v>
      </c>
      <c r="E32" s="424">
        <f t="array" ref="E32">SUMPRODUCT(IF(AMP3_4[[#This Row],[Dim 1_1]:[T 8]]-$F$4:$AI$4&lt;0,1,0)+IF($F$5:$AI$5-AMP3_4[[#This Row],[Dim 1_1]:[T 8]]&lt;0,1,0),IF(ISNUMBER(AMP3_4[[#This Row],[Dim 1_1]:[T 8]])=TRUE,1,0))</f>
        <v>0</v>
      </c>
      <c r="H32">
        <v>155.95699999999999</v>
      </c>
      <c r="I32">
        <v>156.017</v>
      </c>
      <c r="J32">
        <v>168.709</v>
      </c>
      <c r="K32">
        <v>168.51400000000001</v>
      </c>
      <c r="L32">
        <v>156.15199999999999</v>
      </c>
      <c r="M32">
        <v>155.97399999999999</v>
      </c>
      <c r="N32">
        <v>27.106000000000002</v>
      </c>
      <c r="O32">
        <v>27.33</v>
      </c>
      <c r="R32">
        <v>17.233000000000001</v>
      </c>
      <c r="S32">
        <v>17.189</v>
      </c>
      <c r="T32">
        <v>36.271999999999998</v>
      </c>
      <c r="U32">
        <v>37.396000000000001</v>
      </c>
      <c r="W32">
        <v>0.186</v>
      </c>
      <c r="X32">
        <v>-0.45900000000000002</v>
      </c>
      <c r="Z32">
        <v>0.10100000000000001</v>
      </c>
      <c r="AA32">
        <v>-4.7E-2</v>
      </c>
      <c r="AB32">
        <v>0.17899999999999999</v>
      </c>
      <c r="AC32">
        <v>-0.215</v>
      </c>
      <c r="AD32">
        <v>0.186</v>
      </c>
      <c r="AE32">
        <v>-0.45900000000000002</v>
      </c>
      <c r="AF32">
        <v>7.0999999999999994E-2</v>
      </c>
      <c r="AG32">
        <v>6.7000000000000004E-2</v>
      </c>
      <c r="AH32">
        <v>-4.7E-2</v>
      </c>
      <c r="AI32">
        <v>0.10100000000000001</v>
      </c>
    </row>
    <row r="33" spans="1:35" x14ac:dyDescent="0.25">
      <c r="A33" t="s">
        <v>1325</v>
      </c>
      <c r="B33" t="s">
        <v>32</v>
      </c>
      <c r="C33" s="25">
        <v>43701.585358796299</v>
      </c>
      <c r="D33" s="741" t="s">
        <v>969</v>
      </c>
      <c r="E33" s="424">
        <f t="array" ref="E33">SUMPRODUCT(IF(AMP3_4[[#This Row],[Dim 1_1]:[T 8]]-$F$4:$AI$4&lt;0,1,0)+IF($F$5:$AI$5-AMP3_4[[#This Row],[Dim 1_1]:[T 8]]&lt;0,1,0),IF(ISNUMBER(AMP3_4[[#This Row],[Dim 1_1]:[T 8]])=TRUE,1,0))</f>
        <v>1</v>
      </c>
      <c r="F33">
        <v>40.893999999999998</v>
      </c>
      <c r="G33">
        <v>40.706000000000003</v>
      </c>
      <c r="H33">
        <v>155.685</v>
      </c>
      <c r="I33">
        <v>155.76599999999999</v>
      </c>
      <c r="L33">
        <v>155.87200000000001</v>
      </c>
      <c r="M33">
        <v>155.702</v>
      </c>
      <c r="N33">
        <v>27.341999999999999</v>
      </c>
      <c r="O33">
        <v>27.446000000000002</v>
      </c>
      <c r="R33">
        <v>17.222000000000001</v>
      </c>
      <c r="S33">
        <v>17.242000000000001</v>
      </c>
      <c r="T33">
        <v>33.811999999999998</v>
      </c>
      <c r="U33">
        <v>34.253999999999998</v>
      </c>
      <c r="W33">
        <v>6.0999999999999999E-2</v>
      </c>
      <c r="X33">
        <v>-4.1000000000000002E-2</v>
      </c>
      <c r="Z33">
        <v>9.2999999999999999E-2</v>
      </c>
      <c r="AA33">
        <v>-0.01</v>
      </c>
      <c r="AB33">
        <v>2.5999999999999999E-2</v>
      </c>
      <c r="AC33">
        <v>6.0999999999999999E-2</v>
      </c>
      <c r="AD33">
        <v>4.9000000000000002E-2</v>
      </c>
      <c r="AE33">
        <v>-4.1000000000000002E-2</v>
      </c>
      <c r="AF33">
        <v>0.09</v>
      </c>
      <c r="AG33">
        <v>0.05</v>
      </c>
      <c r="AH33">
        <v>-0.01</v>
      </c>
      <c r="AI33">
        <v>9.2999999999999999E-2</v>
      </c>
    </row>
    <row r="34" spans="1:35" x14ac:dyDescent="0.25">
      <c r="A34" t="s">
        <v>1326</v>
      </c>
      <c r="B34" t="s">
        <v>31</v>
      </c>
      <c r="C34" s="25">
        <v>43701.587453703702</v>
      </c>
      <c r="D34" s="741" t="s">
        <v>969</v>
      </c>
      <c r="E34" s="424">
        <f t="array" ref="E34">SUMPRODUCT(IF(AMP3_4[[#This Row],[Dim 1_1]:[T 8]]-$F$4:$AI$4&lt;0,1,0)+IF($F$5:$AI$5-AMP3_4[[#This Row],[Dim 1_1]:[T 8]]&lt;0,1,0),IF(ISNUMBER(AMP3_4[[#This Row],[Dim 1_1]:[T 8]])=TRUE,1,0))</f>
        <v>0</v>
      </c>
      <c r="H34">
        <v>155.947</v>
      </c>
      <c r="I34">
        <v>156.00899999999999</v>
      </c>
      <c r="J34">
        <v>168.648</v>
      </c>
      <c r="K34">
        <v>168.49100000000001</v>
      </c>
      <c r="L34">
        <v>156.13399999999999</v>
      </c>
      <c r="M34">
        <v>155.946</v>
      </c>
      <c r="N34">
        <v>27.137</v>
      </c>
      <c r="O34">
        <v>27.361000000000001</v>
      </c>
      <c r="R34">
        <v>17.225000000000001</v>
      </c>
      <c r="S34">
        <v>17.198</v>
      </c>
      <c r="T34">
        <v>37.972999999999999</v>
      </c>
      <c r="U34">
        <v>38.893000000000001</v>
      </c>
      <c r="W34">
        <v>0.19800000000000001</v>
      </c>
      <c r="X34">
        <v>-0.46400000000000002</v>
      </c>
      <c r="Z34">
        <v>3.6999999999999998E-2</v>
      </c>
      <c r="AA34">
        <v>-0.114</v>
      </c>
      <c r="AB34">
        <v>0.19800000000000001</v>
      </c>
      <c r="AC34">
        <v>-0.184</v>
      </c>
      <c r="AD34">
        <v>0.14799999999999999</v>
      </c>
      <c r="AE34">
        <v>-0.46400000000000002</v>
      </c>
      <c r="AF34">
        <v>0.03</v>
      </c>
      <c r="AG34">
        <v>1.7999999999999999E-2</v>
      </c>
      <c r="AH34">
        <v>-0.114</v>
      </c>
      <c r="AI34">
        <v>3.6999999999999998E-2</v>
      </c>
    </row>
    <row r="35" spans="1:35" x14ac:dyDescent="0.25">
      <c r="A35" t="s">
        <v>1327</v>
      </c>
      <c r="B35" t="s">
        <v>32</v>
      </c>
      <c r="C35" s="25">
        <v>43701.671678240738</v>
      </c>
      <c r="D35" s="741" t="s">
        <v>969</v>
      </c>
      <c r="E35" s="424">
        <f t="array" ref="E35">SUMPRODUCT(IF(AMP3_4[[#This Row],[Dim 1_1]:[T 8]]-$F$4:$AI$4&lt;0,1,0)+IF($F$5:$AI$5-AMP3_4[[#This Row],[Dim 1_1]:[T 8]]&lt;0,1,0),IF(ISNUMBER(AMP3_4[[#This Row],[Dim 1_1]:[T 8]])=TRUE,1,0))</f>
        <v>1</v>
      </c>
      <c r="F35">
        <v>40.984000000000002</v>
      </c>
      <c r="G35">
        <v>40.793999999999997</v>
      </c>
      <c r="H35">
        <v>155.82499999999999</v>
      </c>
      <c r="I35">
        <v>155.791</v>
      </c>
      <c r="L35">
        <v>155.90799999999999</v>
      </c>
      <c r="M35">
        <v>155.71700000000001</v>
      </c>
      <c r="N35">
        <v>27.321000000000002</v>
      </c>
      <c r="O35">
        <v>27.422999999999998</v>
      </c>
      <c r="R35">
        <v>17.241</v>
      </c>
      <c r="S35">
        <v>17.288</v>
      </c>
      <c r="T35">
        <v>33.731000000000002</v>
      </c>
      <c r="U35">
        <v>34.154000000000003</v>
      </c>
      <c r="W35">
        <v>7.2999999999999995E-2</v>
      </c>
      <c r="X35">
        <v>-8.5000000000000006E-2</v>
      </c>
      <c r="Z35">
        <v>3.3000000000000002E-2</v>
      </c>
      <c r="AA35">
        <v>-4.7E-2</v>
      </c>
      <c r="AB35">
        <v>1.2E-2</v>
      </c>
      <c r="AC35">
        <v>7.2999999999999995E-2</v>
      </c>
      <c r="AD35">
        <v>2.4E-2</v>
      </c>
      <c r="AE35">
        <v>-8.5000000000000006E-2</v>
      </c>
      <c r="AF35">
        <v>2.4E-2</v>
      </c>
      <c r="AG35">
        <v>5.0000000000000001E-3</v>
      </c>
      <c r="AH35">
        <v>-4.7E-2</v>
      </c>
      <c r="AI35">
        <v>3.3000000000000002E-2</v>
      </c>
    </row>
    <row r="36" spans="1:35" x14ac:dyDescent="0.25">
      <c r="A36" t="s">
        <v>1328</v>
      </c>
      <c r="B36" t="s">
        <v>31</v>
      </c>
      <c r="C36" s="25">
        <v>43701.674675925926</v>
      </c>
      <c r="D36" s="741" t="s">
        <v>969</v>
      </c>
      <c r="E36" s="424">
        <f t="array" ref="E36">SUMPRODUCT(IF(AMP3_4[[#This Row],[Dim 1_1]:[T 8]]-$F$4:$AI$4&lt;0,1,0)+IF($F$5:$AI$5-AMP3_4[[#This Row],[Dim 1_1]:[T 8]]&lt;0,1,0),IF(ISNUMBER(AMP3_4[[#This Row],[Dim 1_1]:[T 8]])=TRUE,1,0))</f>
        <v>0</v>
      </c>
      <c r="H36">
        <v>155.96199999999999</v>
      </c>
      <c r="I36">
        <v>156.03100000000001</v>
      </c>
      <c r="J36">
        <v>168.792</v>
      </c>
      <c r="K36">
        <v>168.62799999999999</v>
      </c>
      <c r="L36">
        <v>156.15199999999999</v>
      </c>
      <c r="M36">
        <v>155.96600000000001</v>
      </c>
      <c r="N36">
        <v>27.097000000000001</v>
      </c>
      <c r="O36">
        <v>27.338999999999999</v>
      </c>
      <c r="R36">
        <v>17.238</v>
      </c>
      <c r="S36">
        <v>17.143000000000001</v>
      </c>
      <c r="T36">
        <v>37.734999999999999</v>
      </c>
      <c r="U36">
        <v>38.83</v>
      </c>
      <c r="W36">
        <v>0.215</v>
      </c>
      <c r="X36">
        <v>-0.41599999999999998</v>
      </c>
      <c r="Z36">
        <v>0.11899999999999999</v>
      </c>
      <c r="AA36">
        <v>-4.1000000000000002E-2</v>
      </c>
      <c r="AB36">
        <v>0.17</v>
      </c>
      <c r="AC36">
        <v>-0.215</v>
      </c>
      <c r="AD36">
        <v>0.215</v>
      </c>
      <c r="AE36">
        <v>-0.41599999999999998</v>
      </c>
      <c r="AF36">
        <v>2.7E-2</v>
      </c>
      <c r="AG36">
        <v>2.8000000000000001E-2</v>
      </c>
      <c r="AH36">
        <v>-4.1000000000000002E-2</v>
      </c>
      <c r="AI36">
        <v>0.11899999999999999</v>
      </c>
    </row>
    <row r="37" spans="1:35" x14ac:dyDescent="0.25">
      <c r="A37" t="s">
        <v>1329</v>
      </c>
      <c r="B37" t="s">
        <v>32</v>
      </c>
      <c r="C37" s="25">
        <v>43702.3358912037</v>
      </c>
      <c r="D37" s="741" t="s">
        <v>969</v>
      </c>
      <c r="E37" s="424">
        <f t="array" ref="E37">SUMPRODUCT(IF(AMP3_4[[#This Row],[Dim 1_1]:[T 8]]-$F$4:$AI$4&lt;0,1,0)+IF($F$5:$AI$5-AMP3_4[[#This Row],[Dim 1_1]:[T 8]]&lt;0,1,0),IF(ISNUMBER(AMP3_4[[#This Row],[Dim 1_1]:[T 8]])=TRUE,1,0))</f>
        <v>0</v>
      </c>
      <c r="F37">
        <v>41.006</v>
      </c>
      <c r="G37">
        <v>40.865000000000002</v>
      </c>
      <c r="H37">
        <v>155.904</v>
      </c>
      <c r="I37">
        <v>155.84899999999999</v>
      </c>
      <c r="L37">
        <v>155.97499999999999</v>
      </c>
      <c r="M37">
        <v>155.77699999999999</v>
      </c>
      <c r="N37">
        <v>27.271000000000001</v>
      </c>
      <c r="O37">
        <v>27.373999999999999</v>
      </c>
      <c r="R37">
        <v>17.210999999999999</v>
      </c>
      <c r="S37">
        <v>17.177</v>
      </c>
      <c r="T37">
        <v>33.963000000000001</v>
      </c>
      <c r="U37">
        <v>34.454000000000001</v>
      </c>
      <c r="W37">
        <v>8.5999999999999993E-2</v>
      </c>
      <c r="X37">
        <v>-2.4E-2</v>
      </c>
      <c r="Z37">
        <v>0.154</v>
      </c>
      <c r="AA37">
        <v>3.9E-2</v>
      </c>
      <c r="AB37">
        <v>-2.4E-2</v>
      </c>
      <c r="AC37">
        <v>3.4000000000000002E-2</v>
      </c>
      <c r="AD37">
        <v>8.5999999999999993E-2</v>
      </c>
      <c r="AE37">
        <v>6.0000000000000001E-3</v>
      </c>
      <c r="AF37">
        <v>6.3E-2</v>
      </c>
      <c r="AG37">
        <v>3.9E-2</v>
      </c>
      <c r="AH37">
        <v>9.1999999999999998E-2</v>
      </c>
      <c r="AI37">
        <v>0.154</v>
      </c>
    </row>
    <row r="38" spans="1:35" x14ac:dyDescent="0.25">
      <c r="A38" t="s">
        <v>1330</v>
      </c>
      <c r="B38" t="s">
        <v>31</v>
      </c>
      <c r="C38" s="25">
        <v>43702.337534722225</v>
      </c>
      <c r="D38" s="741" t="s">
        <v>969</v>
      </c>
      <c r="E38" s="424">
        <f t="array" ref="E38">SUMPRODUCT(IF(AMP3_4[[#This Row],[Dim 1_1]:[T 8]]-$F$4:$AI$4&lt;0,1,0)+IF($F$5:$AI$5-AMP3_4[[#This Row],[Dim 1_1]:[T 8]]&lt;0,1,0),IF(ISNUMBER(AMP3_4[[#This Row],[Dim 1_1]:[T 8]])=TRUE,1,0))</f>
        <v>0</v>
      </c>
      <c r="H38">
        <v>156.12100000000001</v>
      </c>
      <c r="I38">
        <v>156.15600000000001</v>
      </c>
      <c r="J38">
        <v>168.922</v>
      </c>
      <c r="K38">
        <v>168.71299999999999</v>
      </c>
      <c r="L38">
        <v>156.27799999999999</v>
      </c>
      <c r="M38">
        <v>156.08799999999999</v>
      </c>
      <c r="N38">
        <v>26.972000000000001</v>
      </c>
      <c r="O38">
        <v>27.199000000000002</v>
      </c>
      <c r="R38">
        <v>17.251000000000001</v>
      </c>
      <c r="S38">
        <v>17.190000000000001</v>
      </c>
      <c r="T38">
        <v>37.856000000000002</v>
      </c>
      <c r="U38">
        <v>37.991</v>
      </c>
      <c r="W38">
        <v>0.28499999999999998</v>
      </c>
      <c r="X38">
        <v>-0.4</v>
      </c>
      <c r="Z38">
        <v>0.17100000000000001</v>
      </c>
      <c r="AA38">
        <v>2.9000000000000001E-2</v>
      </c>
      <c r="AB38">
        <v>0.20200000000000001</v>
      </c>
      <c r="AC38">
        <v>-0.19500000000000001</v>
      </c>
      <c r="AD38">
        <v>0.28499999999999998</v>
      </c>
      <c r="AE38">
        <v>-0.4</v>
      </c>
      <c r="AF38">
        <v>7.0000000000000007E-2</v>
      </c>
      <c r="AG38">
        <v>7.6999999999999999E-2</v>
      </c>
      <c r="AH38">
        <v>2.9000000000000001E-2</v>
      </c>
      <c r="AI38">
        <v>0.17100000000000001</v>
      </c>
    </row>
    <row r="39" spans="1:35" x14ac:dyDescent="0.25">
      <c r="A39" t="s">
        <v>1331</v>
      </c>
      <c r="B39" t="s">
        <v>32</v>
      </c>
      <c r="C39" s="25">
        <v>43702.420127314814</v>
      </c>
      <c r="D39" s="741" t="s">
        <v>969</v>
      </c>
      <c r="E39" s="424">
        <f t="array" ref="E39">SUMPRODUCT(IF(AMP3_4[[#This Row],[Dim 1_1]:[T 8]]-$F$4:$AI$4&lt;0,1,0)+IF($F$5:$AI$5-AMP3_4[[#This Row],[Dim 1_1]:[T 8]]&lt;0,1,0),IF(ISNUMBER(AMP3_4[[#This Row],[Dim 1_1]:[T 8]])=TRUE,1,0))</f>
        <v>1</v>
      </c>
      <c r="F39">
        <v>40.978000000000002</v>
      </c>
      <c r="G39">
        <v>40.770000000000003</v>
      </c>
      <c r="H39">
        <v>155.82499999999999</v>
      </c>
      <c r="I39">
        <v>155.78399999999999</v>
      </c>
      <c r="L39">
        <v>155.91399999999999</v>
      </c>
      <c r="M39">
        <v>155.68299999999999</v>
      </c>
      <c r="N39">
        <v>27.323</v>
      </c>
      <c r="O39">
        <v>27.446999999999999</v>
      </c>
      <c r="R39">
        <v>17.248000000000001</v>
      </c>
      <c r="S39">
        <v>17.271999999999998</v>
      </c>
      <c r="T39">
        <v>33.853999999999999</v>
      </c>
      <c r="U39">
        <v>34.295000000000002</v>
      </c>
      <c r="W39">
        <v>8.5000000000000006E-2</v>
      </c>
      <c r="X39">
        <v>3.2000000000000001E-2</v>
      </c>
      <c r="Z39">
        <v>5.8999999999999997E-2</v>
      </c>
      <c r="AA39">
        <v>-0.01</v>
      </c>
      <c r="AB39">
        <v>3.2000000000000001E-2</v>
      </c>
      <c r="AC39">
        <v>8.5000000000000006E-2</v>
      </c>
      <c r="AD39">
        <v>7.0000000000000007E-2</v>
      </c>
      <c r="AE39">
        <v>4.9000000000000002E-2</v>
      </c>
      <c r="AF39">
        <v>-1E-3</v>
      </c>
      <c r="AG39">
        <v>-0.01</v>
      </c>
      <c r="AH39">
        <v>-8.9999999999999993E-3</v>
      </c>
      <c r="AI39">
        <v>5.8999999999999997E-2</v>
      </c>
    </row>
    <row r="40" spans="1:35" x14ac:dyDescent="0.25">
      <c r="A40" t="s">
        <v>1332</v>
      </c>
      <c r="B40" t="s">
        <v>31</v>
      </c>
      <c r="C40" s="25">
        <v>43702.423414351855</v>
      </c>
      <c r="D40" s="741" t="s">
        <v>969</v>
      </c>
      <c r="E40" s="424">
        <f t="array" ref="E40">SUMPRODUCT(IF(AMP3_4[[#This Row],[Dim 1_1]:[T 8]]-$F$4:$AI$4&lt;0,1,0)+IF($F$5:$AI$5-AMP3_4[[#This Row],[Dim 1_1]:[T 8]]&lt;0,1,0),IF(ISNUMBER(AMP3_4[[#This Row],[Dim 1_1]:[T 8]])=TRUE,1,0))</f>
        <v>0</v>
      </c>
      <c r="H40">
        <v>156.035</v>
      </c>
      <c r="I40">
        <v>156.108</v>
      </c>
      <c r="J40">
        <v>168.79300000000001</v>
      </c>
      <c r="K40">
        <v>168.63</v>
      </c>
      <c r="L40">
        <v>156.22800000000001</v>
      </c>
      <c r="M40">
        <v>156.09</v>
      </c>
      <c r="N40">
        <v>27.024000000000001</v>
      </c>
      <c r="O40">
        <v>27.216000000000001</v>
      </c>
      <c r="R40">
        <v>17.254000000000001</v>
      </c>
      <c r="S40">
        <v>17.079999999999998</v>
      </c>
      <c r="T40">
        <v>37.076999999999998</v>
      </c>
      <c r="U40">
        <v>37.606000000000002</v>
      </c>
      <c r="W40">
        <v>0.27100000000000002</v>
      </c>
      <c r="X40">
        <v>-0.36099999999999999</v>
      </c>
      <c r="Z40">
        <v>0.21099999999999999</v>
      </c>
      <c r="AA40">
        <v>3.7999999999999999E-2</v>
      </c>
      <c r="AB40">
        <v>0.123</v>
      </c>
      <c r="AC40">
        <v>-0.27100000000000002</v>
      </c>
      <c r="AD40">
        <v>0.27100000000000002</v>
      </c>
      <c r="AE40">
        <v>-0.36099999999999999</v>
      </c>
      <c r="AF40">
        <v>3.7999999999999999E-2</v>
      </c>
      <c r="AG40">
        <v>4.1000000000000002E-2</v>
      </c>
      <c r="AH40">
        <v>6.6000000000000003E-2</v>
      </c>
      <c r="AI40">
        <v>0.21099999999999999</v>
      </c>
    </row>
    <row r="41" spans="1:35" x14ac:dyDescent="0.25">
      <c r="A41" t="s">
        <v>1333</v>
      </c>
      <c r="B41" t="s">
        <v>32</v>
      </c>
      <c r="C41" s="25">
        <v>43702.510752314818</v>
      </c>
      <c r="D41" s="741" t="s">
        <v>969</v>
      </c>
      <c r="E41" s="424">
        <f t="array" ref="E41">SUMPRODUCT(IF(AMP3_4[[#This Row],[Dim 1_1]:[T 8]]-$F$4:$AI$4&lt;0,1,0)+IF($F$5:$AI$5-AMP3_4[[#This Row],[Dim 1_1]:[T 8]]&lt;0,1,0),IF(ISNUMBER(AMP3_4[[#This Row],[Dim 1_1]:[T 8]])=TRUE,1,0))</f>
        <v>2</v>
      </c>
      <c r="F41">
        <v>40.715000000000003</v>
      </c>
      <c r="G41">
        <v>40.648000000000003</v>
      </c>
      <c r="H41">
        <v>155.87299999999999</v>
      </c>
      <c r="I41">
        <v>155.86500000000001</v>
      </c>
      <c r="L41">
        <v>155.964</v>
      </c>
      <c r="M41">
        <v>155.75899999999999</v>
      </c>
      <c r="N41">
        <v>27.231999999999999</v>
      </c>
      <c r="O41">
        <v>27.341000000000001</v>
      </c>
      <c r="R41">
        <v>17.241</v>
      </c>
      <c r="S41">
        <v>17.254999999999999</v>
      </c>
      <c r="T41">
        <v>33.965000000000003</v>
      </c>
      <c r="U41">
        <v>34.331000000000003</v>
      </c>
      <c r="W41">
        <v>2.7E-2</v>
      </c>
      <c r="X41">
        <v>-8.3000000000000004E-2</v>
      </c>
      <c r="Z41">
        <v>3.9E-2</v>
      </c>
      <c r="AA41">
        <v>-6.3E-2</v>
      </c>
      <c r="AB41">
        <v>-7.4999999999999997E-2</v>
      </c>
      <c r="AC41">
        <v>-2.1999999999999999E-2</v>
      </c>
      <c r="AD41">
        <v>2.7E-2</v>
      </c>
      <c r="AE41">
        <v>-8.3000000000000004E-2</v>
      </c>
      <c r="AF41">
        <v>-2.9000000000000001E-2</v>
      </c>
      <c r="AG41">
        <v>-3.5999999999999997E-2</v>
      </c>
      <c r="AH41">
        <v>-6.3E-2</v>
      </c>
      <c r="AI41">
        <v>3.9E-2</v>
      </c>
    </row>
    <row r="42" spans="1:35" x14ac:dyDescent="0.25">
      <c r="A42" t="s">
        <v>1334</v>
      </c>
      <c r="B42" t="s">
        <v>31</v>
      </c>
      <c r="C42" s="25">
        <v>43702.513148148151</v>
      </c>
      <c r="D42" s="741" t="s">
        <v>969</v>
      </c>
      <c r="E42" s="424">
        <f t="array" ref="E42">SUMPRODUCT(IF(AMP3_4[[#This Row],[Dim 1_1]:[T 8]]-$F$4:$AI$4&lt;0,1,0)+IF($F$5:$AI$5-AMP3_4[[#This Row],[Dim 1_1]:[T 8]]&lt;0,1,0),IF(ISNUMBER(AMP3_4[[#This Row],[Dim 1_1]:[T 8]])=TRUE,1,0))</f>
        <v>0</v>
      </c>
      <c r="H42">
        <v>156.10900000000001</v>
      </c>
      <c r="I42">
        <v>156.096</v>
      </c>
      <c r="J42">
        <v>168.58500000000001</v>
      </c>
      <c r="K42">
        <v>168.45599999999999</v>
      </c>
      <c r="L42">
        <v>156.22399999999999</v>
      </c>
      <c r="M42">
        <v>156.04599999999999</v>
      </c>
      <c r="N42">
        <v>27.036000000000001</v>
      </c>
      <c r="O42">
        <v>27.24</v>
      </c>
      <c r="R42">
        <v>17.207999999999998</v>
      </c>
      <c r="S42">
        <v>17.023</v>
      </c>
      <c r="T42">
        <v>34.82</v>
      </c>
      <c r="U42">
        <v>38.093000000000004</v>
      </c>
      <c r="W42">
        <v>0.38300000000000001</v>
      </c>
      <c r="X42">
        <v>-0.27500000000000002</v>
      </c>
      <c r="Z42">
        <v>0.25700000000000001</v>
      </c>
      <c r="AA42">
        <v>-7.3999999999999996E-2</v>
      </c>
      <c r="AB42">
        <v>0.115</v>
      </c>
      <c r="AC42">
        <v>-0.27500000000000002</v>
      </c>
      <c r="AD42">
        <v>0.38300000000000001</v>
      </c>
      <c r="AE42">
        <v>-0.24299999999999999</v>
      </c>
      <c r="AF42">
        <v>-6.2E-2</v>
      </c>
      <c r="AG42">
        <v>-7.3999999999999996E-2</v>
      </c>
      <c r="AH42">
        <v>0.21299999999999999</v>
      </c>
      <c r="AI42">
        <v>0.25700000000000001</v>
      </c>
    </row>
    <row r="43" spans="1:35" x14ac:dyDescent="0.25">
      <c r="A43" t="s">
        <v>1335</v>
      </c>
      <c r="B43" t="s">
        <v>32</v>
      </c>
      <c r="C43" s="25">
        <v>43702.595509259256</v>
      </c>
      <c r="D43" s="741" t="s">
        <v>969</v>
      </c>
      <c r="E43" s="424">
        <f t="array" ref="E43">SUMPRODUCT(IF(AMP3_4[[#This Row],[Dim 1_1]:[T 8]]-$F$4:$AI$4&lt;0,1,0)+IF($F$5:$AI$5-AMP3_4[[#This Row],[Dim 1_1]:[T 8]]&lt;0,1,0),IF(ISNUMBER(AMP3_4[[#This Row],[Dim 1_1]:[T 8]])=TRUE,1,0))</f>
        <v>1</v>
      </c>
      <c r="F43">
        <v>40.924999999999997</v>
      </c>
      <c r="G43">
        <v>40.747</v>
      </c>
      <c r="H43">
        <v>155.87899999999999</v>
      </c>
      <c r="I43">
        <v>155.83500000000001</v>
      </c>
      <c r="L43">
        <v>155.988</v>
      </c>
      <c r="M43">
        <v>155.76400000000001</v>
      </c>
      <c r="N43">
        <v>27.292000000000002</v>
      </c>
      <c r="O43">
        <v>27.404</v>
      </c>
      <c r="R43">
        <v>17.218</v>
      </c>
      <c r="S43">
        <v>17.213000000000001</v>
      </c>
      <c r="T43">
        <v>33.783000000000001</v>
      </c>
      <c r="U43">
        <v>34.122</v>
      </c>
      <c r="W43">
        <v>2.9000000000000001E-2</v>
      </c>
      <c r="X43">
        <v>-0.06</v>
      </c>
      <c r="Z43">
        <v>2.1999999999999999E-2</v>
      </c>
      <c r="AA43">
        <v>-9.0999999999999998E-2</v>
      </c>
      <c r="AB43">
        <v>-5.0999999999999997E-2</v>
      </c>
      <c r="AC43">
        <v>-6.0000000000000001E-3</v>
      </c>
      <c r="AD43">
        <v>2.9000000000000001E-2</v>
      </c>
      <c r="AE43">
        <v>-0.06</v>
      </c>
      <c r="AF43">
        <v>-4.8000000000000001E-2</v>
      </c>
      <c r="AG43">
        <v>-9.0999999999999998E-2</v>
      </c>
      <c r="AH43">
        <v>4.0000000000000001E-3</v>
      </c>
      <c r="AI43">
        <v>2.1999999999999999E-2</v>
      </c>
    </row>
    <row r="44" spans="1:35" x14ac:dyDescent="0.25">
      <c r="A44" t="s">
        <v>1336</v>
      </c>
      <c r="B44" t="s">
        <v>31</v>
      </c>
      <c r="C44" s="25">
        <v>43702.597222222219</v>
      </c>
      <c r="D44" s="741" t="s">
        <v>969</v>
      </c>
      <c r="E44" s="424">
        <f t="array" ref="E44">SUMPRODUCT(IF(AMP3_4[[#This Row],[Dim 1_1]:[T 8]]-$F$4:$AI$4&lt;0,1,0)+IF($F$5:$AI$5-AMP3_4[[#This Row],[Dim 1_1]:[T 8]]&lt;0,1,0),IF(ISNUMBER(AMP3_4[[#This Row],[Dim 1_1]:[T 8]])=TRUE,1,0))</f>
        <v>0</v>
      </c>
      <c r="H44">
        <v>156.05699999999999</v>
      </c>
      <c r="I44">
        <v>156.11600000000001</v>
      </c>
      <c r="J44">
        <v>168.762</v>
      </c>
      <c r="K44">
        <v>168.52799999999999</v>
      </c>
      <c r="L44">
        <v>156.232</v>
      </c>
      <c r="M44">
        <v>156.071</v>
      </c>
      <c r="N44">
        <v>26.989000000000001</v>
      </c>
      <c r="O44">
        <v>27.206</v>
      </c>
      <c r="R44">
        <v>17.271000000000001</v>
      </c>
      <c r="S44">
        <v>17.25</v>
      </c>
      <c r="T44">
        <v>37.08</v>
      </c>
      <c r="U44">
        <v>37.210999999999999</v>
      </c>
      <c r="W44">
        <v>0.152</v>
      </c>
      <c r="X44">
        <v>-0.50900000000000001</v>
      </c>
      <c r="Z44">
        <v>4.3999999999999997E-2</v>
      </c>
      <c r="AA44">
        <v>-7.8E-2</v>
      </c>
      <c r="AB44">
        <v>7.6999999999999999E-2</v>
      </c>
      <c r="AC44">
        <v>-0.29899999999999999</v>
      </c>
      <c r="AD44">
        <v>0.152</v>
      </c>
      <c r="AE44">
        <v>-0.50900000000000001</v>
      </c>
      <c r="AF44">
        <v>-2.7E-2</v>
      </c>
      <c r="AG44">
        <v>-1.9E-2</v>
      </c>
      <c r="AH44">
        <v>-7.8E-2</v>
      </c>
      <c r="AI44">
        <v>4.3999999999999997E-2</v>
      </c>
    </row>
    <row r="45" spans="1:35" x14ac:dyDescent="0.25">
      <c r="A45" t="s">
        <v>1337</v>
      </c>
      <c r="B45" t="s">
        <v>32</v>
      </c>
      <c r="C45" s="25">
        <v>43702.730810185189</v>
      </c>
      <c r="D45" s="741" t="s">
        <v>969</v>
      </c>
      <c r="E45" s="424">
        <f t="array" ref="E45">SUMPRODUCT(IF(AMP3_4[[#This Row],[Dim 1_1]:[T 8]]-$F$4:$AI$4&lt;0,1,0)+IF($F$5:$AI$5-AMP3_4[[#This Row],[Dim 1_1]:[T 8]]&lt;0,1,0),IF(ISNUMBER(AMP3_4[[#This Row],[Dim 1_1]:[T 8]])=TRUE,1,0))</f>
        <v>1</v>
      </c>
      <c r="F45">
        <v>40.878</v>
      </c>
      <c r="G45">
        <v>40.74</v>
      </c>
      <c r="H45">
        <v>155.898</v>
      </c>
      <c r="I45">
        <v>155.846</v>
      </c>
      <c r="L45">
        <v>155.97200000000001</v>
      </c>
      <c r="M45">
        <v>155.73099999999999</v>
      </c>
      <c r="N45">
        <v>27.225000000000001</v>
      </c>
      <c r="O45">
        <v>27.376000000000001</v>
      </c>
      <c r="R45">
        <v>17.239000000000001</v>
      </c>
      <c r="S45">
        <v>17.18</v>
      </c>
      <c r="T45">
        <v>33.668999999999997</v>
      </c>
      <c r="U45">
        <v>34.19</v>
      </c>
      <c r="W45">
        <v>0.10100000000000001</v>
      </c>
      <c r="X45">
        <v>-8.2000000000000003E-2</v>
      </c>
      <c r="Z45">
        <v>5.1999999999999998E-2</v>
      </c>
      <c r="AA45">
        <v>-0.111</v>
      </c>
      <c r="AB45">
        <v>-8.2000000000000003E-2</v>
      </c>
      <c r="AC45">
        <v>-3.1E-2</v>
      </c>
      <c r="AD45">
        <v>0.10100000000000001</v>
      </c>
      <c r="AE45">
        <v>3.0000000000000001E-3</v>
      </c>
      <c r="AF45">
        <v>-7.0999999999999994E-2</v>
      </c>
      <c r="AG45">
        <v>-0.111</v>
      </c>
      <c r="AH45">
        <v>1.4999999999999999E-2</v>
      </c>
      <c r="AI45">
        <v>5.1999999999999998E-2</v>
      </c>
    </row>
    <row r="46" spans="1:35" x14ac:dyDescent="0.25">
      <c r="A46" t="s">
        <v>1338</v>
      </c>
      <c r="B46" t="s">
        <v>31</v>
      </c>
      <c r="C46" s="25">
        <v>43702.732430555552</v>
      </c>
      <c r="D46" s="741" t="s">
        <v>969</v>
      </c>
      <c r="E46" s="424">
        <f t="array" ref="E46">SUMPRODUCT(IF(AMP3_4[[#This Row],[Dim 1_1]:[T 8]]-$F$4:$AI$4&lt;0,1,0)+IF($F$5:$AI$5-AMP3_4[[#This Row],[Dim 1_1]:[T 8]]&lt;0,1,0),IF(ISNUMBER(AMP3_4[[#This Row],[Dim 1_1]:[T 8]])=TRUE,1,0))</f>
        <v>0</v>
      </c>
      <c r="H46">
        <v>156.07300000000001</v>
      </c>
      <c r="I46">
        <v>156.131</v>
      </c>
      <c r="J46">
        <v>168.768</v>
      </c>
      <c r="K46">
        <v>168.61199999999999</v>
      </c>
      <c r="L46">
        <v>156.256</v>
      </c>
      <c r="M46">
        <v>156.102</v>
      </c>
      <c r="N46">
        <v>27.003</v>
      </c>
      <c r="O46">
        <v>27.196999999999999</v>
      </c>
      <c r="R46">
        <v>17.241</v>
      </c>
      <c r="S46">
        <v>17.093</v>
      </c>
      <c r="T46">
        <v>35.049999999999997</v>
      </c>
      <c r="U46">
        <v>36.100999999999999</v>
      </c>
      <c r="W46">
        <v>0.27600000000000002</v>
      </c>
      <c r="X46">
        <v>-0.35199999999999998</v>
      </c>
      <c r="Z46">
        <v>0.14799999999999999</v>
      </c>
      <c r="AA46">
        <v>-0.09</v>
      </c>
      <c r="AB46">
        <v>4.8000000000000001E-2</v>
      </c>
      <c r="AC46">
        <v>-0.33300000000000002</v>
      </c>
      <c r="AD46">
        <v>0.27600000000000002</v>
      </c>
      <c r="AE46">
        <v>-0.35199999999999998</v>
      </c>
      <c r="AF46">
        <v>-0.09</v>
      </c>
      <c r="AG46">
        <v>-8.6999999999999994E-2</v>
      </c>
      <c r="AH46">
        <v>8.3000000000000004E-2</v>
      </c>
      <c r="AI46">
        <v>0.14799999999999999</v>
      </c>
    </row>
    <row r="47" spans="1:35" x14ac:dyDescent="0.25">
      <c r="A47" t="s">
        <v>1534</v>
      </c>
      <c r="B47" t="s">
        <v>32</v>
      </c>
      <c r="C47" s="25">
        <v>43703.400763888887</v>
      </c>
      <c r="D47" s="741" t="s">
        <v>969</v>
      </c>
      <c r="E47" s="424">
        <f t="array" ref="E47">SUMPRODUCT(IF(AMP3_4[[#This Row],[Dim 1_1]:[T 8]]-$F$4:$AI$4&lt;0,1,0)+IF($F$5:$AI$5-AMP3_4[[#This Row],[Dim 1_1]:[T 8]]&lt;0,1,0),IF(ISNUMBER(AMP3_4[[#This Row],[Dim 1_1]:[T 8]])=TRUE,1,0))</f>
        <v>0</v>
      </c>
      <c r="F47">
        <v>41.188000000000002</v>
      </c>
      <c r="G47">
        <v>40.883000000000003</v>
      </c>
      <c r="H47">
        <v>155.63200000000001</v>
      </c>
      <c r="I47">
        <v>155.672</v>
      </c>
      <c r="L47">
        <v>155.71899999999999</v>
      </c>
      <c r="M47">
        <v>155.54400000000001</v>
      </c>
      <c r="N47">
        <v>27.437000000000001</v>
      </c>
      <c r="O47">
        <v>27.556999999999999</v>
      </c>
      <c r="R47">
        <v>17.256</v>
      </c>
      <c r="S47">
        <v>17.331</v>
      </c>
      <c r="T47">
        <v>34.042000000000002</v>
      </c>
      <c r="U47">
        <v>34.215000000000003</v>
      </c>
      <c r="W47">
        <v>0.23</v>
      </c>
      <c r="X47">
        <v>6.4000000000000001E-2</v>
      </c>
      <c r="Z47">
        <v>0.22</v>
      </c>
      <c r="AA47">
        <v>4.5999999999999999E-2</v>
      </c>
      <c r="AB47">
        <v>0.2</v>
      </c>
      <c r="AC47">
        <v>0.23</v>
      </c>
      <c r="AD47">
        <v>9.2999999999999999E-2</v>
      </c>
      <c r="AE47">
        <v>6.4000000000000001E-2</v>
      </c>
      <c r="AF47">
        <v>0.22</v>
      </c>
      <c r="AG47">
        <v>0.19800000000000001</v>
      </c>
      <c r="AH47">
        <v>4.5999999999999999E-2</v>
      </c>
      <c r="AI47">
        <v>0.20599999999999999</v>
      </c>
    </row>
    <row r="48" spans="1:35" x14ac:dyDescent="0.25">
      <c r="A48" t="s">
        <v>1535</v>
      </c>
      <c r="B48" t="s">
        <v>31</v>
      </c>
      <c r="C48" s="25">
        <v>43703.402430555558</v>
      </c>
      <c r="D48" s="741" t="s">
        <v>969</v>
      </c>
      <c r="E48" s="424">
        <f t="array" ref="E48">SUMPRODUCT(IF(AMP3_4[[#This Row],[Dim 1_1]:[T 8]]-$F$4:$AI$4&lt;0,1,0)+IF($F$5:$AI$5-AMP3_4[[#This Row],[Dim 1_1]:[T 8]]&lt;0,1,0),IF(ISNUMBER(AMP3_4[[#This Row],[Dim 1_1]:[T 8]])=TRUE,1,0))</f>
        <v>0</v>
      </c>
      <c r="H48">
        <v>155.70500000000001</v>
      </c>
      <c r="I48">
        <v>155.76499999999999</v>
      </c>
      <c r="J48">
        <v>168.654</v>
      </c>
      <c r="K48">
        <v>168.42500000000001</v>
      </c>
      <c r="L48">
        <v>155.779</v>
      </c>
      <c r="M48">
        <v>155.64699999999999</v>
      </c>
      <c r="N48">
        <v>27.35</v>
      </c>
      <c r="O48">
        <v>27.561</v>
      </c>
      <c r="R48">
        <v>17.233000000000001</v>
      </c>
      <c r="S48">
        <v>17.248999999999999</v>
      </c>
      <c r="T48">
        <v>36.738</v>
      </c>
      <c r="U48">
        <v>37.707000000000001</v>
      </c>
      <c r="W48">
        <v>0.27100000000000002</v>
      </c>
      <c r="X48">
        <v>-0.25</v>
      </c>
      <c r="Z48">
        <v>0.21199999999999999</v>
      </c>
      <c r="AA48">
        <v>-8.5999999999999993E-2</v>
      </c>
      <c r="AB48">
        <v>0.27100000000000002</v>
      </c>
      <c r="AC48">
        <v>-0.04</v>
      </c>
      <c r="AD48">
        <v>0.16800000000000001</v>
      </c>
      <c r="AE48">
        <v>-0.25</v>
      </c>
      <c r="AF48">
        <v>0.191</v>
      </c>
      <c r="AG48">
        <v>0.21199999999999999</v>
      </c>
      <c r="AH48">
        <v>-8.5999999999999993E-2</v>
      </c>
      <c r="AI48">
        <v>8.6999999999999994E-2</v>
      </c>
    </row>
    <row r="49" spans="1:35" x14ac:dyDescent="0.25">
      <c r="A49" t="s">
        <v>1536</v>
      </c>
      <c r="B49" t="s">
        <v>32</v>
      </c>
      <c r="C49" s="25">
        <v>43703.493935185186</v>
      </c>
      <c r="D49" s="741" t="s">
        <v>969</v>
      </c>
      <c r="E49" s="424">
        <f t="array" ref="E49">SUMPRODUCT(IF(AMP3_4[[#This Row],[Dim 1_1]:[T 8]]-$F$4:$AI$4&lt;0,1,0)+IF($F$5:$AI$5-AMP3_4[[#This Row],[Dim 1_1]:[T 8]]&lt;0,1,0),IF(ISNUMBER(AMP3_4[[#This Row],[Dim 1_1]:[T 8]])=TRUE,1,0))</f>
        <v>0</v>
      </c>
      <c r="F49">
        <v>41.311999999999998</v>
      </c>
      <c r="G49">
        <v>41.27</v>
      </c>
      <c r="H49">
        <v>155.69900000000001</v>
      </c>
      <c r="I49">
        <v>155.631</v>
      </c>
      <c r="L49">
        <v>155.75899999999999</v>
      </c>
      <c r="M49">
        <v>155.59200000000001</v>
      </c>
      <c r="N49">
        <v>27.37</v>
      </c>
      <c r="O49">
        <v>27.536000000000001</v>
      </c>
      <c r="R49">
        <v>17.274000000000001</v>
      </c>
      <c r="S49">
        <v>17.233000000000001</v>
      </c>
      <c r="T49">
        <v>33.918999999999997</v>
      </c>
      <c r="U49">
        <v>34.164999999999999</v>
      </c>
      <c r="W49">
        <v>0.11899999999999999</v>
      </c>
      <c r="X49">
        <v>8.2000000000000003E-2</v>
      </c>
      <c r="Z49">
        <v>0.188</v>
      </c>
      <c r="AA49">
        <v>5.7000000000000002E-2</v>
      </c>
      <c r="AB49">
        <v>8.5999999999999993E-2</v>
      </c>
      <c r="AC49">
        <v>0.11899999999999999</v>
      </c>
      <c r="AD49">
        <v>0.11600000000000001</v>
      </c>
      <c r="AE49">
        <v>8.2000000000000003E-2</v>
      </c>
      <c r="AF49">
        <v>0.16700000000000001</v>
      </c>
      <c r="AG49">
        <v>5.7000000000000002E-2</v>
      </c>
      <c r="AH49">
        <v>0.13600000000000001</v>
      </c>
      <c r="AI49">
        <v>0.188</v>
      </c>
    </row>
    <row r="50" spans="1:35" x14ac:dyDescent="0.25">
      <c r="A50" t="s">
        <v>1537</v>
      </c>
      <c r="B50" t="s">
        <v>31</v>
      </c>
      <c r="C50" s="25">
        <v>43703.495520833334</v>
      </c>
      <c r="D50" s="741" t="s">
        <v>969</v>
      </c>
      <c r="E50" s="424">
        <f t="array" ref="E50">SUMPRODUCT(IF(AMP3_4[[#This Row],[Dim 1_1]:[T 8]]-$F$4:$AI$4&lt;0,1,0)+IF($F$5:$AI$5-AMP3_4[[#This Row],[Dim 1_1]:[T 8]]&lt;0,1,0),IF(ISNUMBER(AMP3_4[[#This Row],[Dim 1_1]:[T 8]])=TRUE,1,0))</f>
        <v>0</v>
      </c>
      <c r="H50">
        <v>155.72</v>
      </c>
      <c r="I50">
        <v>155.779</v>
      </c>
      <c r="J50">
        <v>168.727</v>
      </c>
      <c r="K50">
        <v>168.63499999999999</v>
      </c>
      <c r="L50">
        <v>155.80799999999999</v>
      </c>
      <c r="M50">
        <v>155.66</v>
      </c>
      <c r="N50">
        <v>27.355</v>
      </c>
      <c r="O50">
        <v>27.588000000000001</v>
      </c>
      <c r="R50">
        <v>17.239000000000001</v>
      </c>
      <c r="S50">
        <v>17.271000000000001</v>
      </c>
      <c r="T50">
        <v>37.246000000000002</v>
      </c>
      <c r="U50">
        <v>38.085999999999999</v>
      </c>
      <c r="W50">
        <v>0.253</v>
      </c>
      <c r="X50">
        <v>-0.27400000000000002</v>
      </c>
      <c r="Z50">
        <v>0.184</v>
      </c>
      <c r="AA50">
        <v>-0.12</v>
      </c>
      <c r="AB50">
        <v>0.253</v>
      </c>
      <c r="AC50">
        <v>-4.9000000000000002E-2</v>
      </c>
      <c r="AD50">
        <v>0.16200000000000001</v>
      </c>
      <c r="AE50">
        <v>-0.27400000000000002</v>
      </c>
      <c r="AF50">
        <v>0.17100000000000001</v>
      </c>
      <c r="AG50">
        <v>0.184</v>
      </c>
      <c r="AH50">
        <v>-0.12</v>
      </c>
      <c r="AI50">
        <v>7.9000000000000001E-2</v>
      </c>
    </row>
    <row r="51" spans="1:35" x14ac:dyDescent="0.25">
      <c r="A51" t="s">
        <v>1538</v>
      </c>
      <c r="B51" t="s">
        <v>32</v>
      </c>
      <c r="C51" s="25">
        <v>43703.581678240742</v>
      </c>
      <c r="D51" s="741" t="s">
        <v>969</v>
      </c>
      <c r="E51" s="424">
        <f t="array" ref="E51">SUMPRODUCT(IF(AMP3_4[[#This Row],[Dim 1_1]:[T 8]]-$F$4:$AI$4&lt;0,1,0)+IF($F$5:$AI$5-AMP3_4[[#This Row],[Dim 1_1]:[T 8]]&lt;0,1,0),IF(ISNUMBER(AMP3_4[[#This Row],[Dim 1_1]:[T 8]])=TRUE,1,0))</f>
        <v>0</v>
      </c>
      <c r="F51">
        <v>41.292000000000002</v>
      </c>
      <c r="G51">
        <v>41.26</v>
      </c>
      <c r="H51">
        <v>155.74700000000001</v>
      </c>
      <c r="I51">
        <v>155.74299999999999</v>
      </c>
      <c r="L51">
        <v>155.839</v>
      </c>
      <c r="M51">
        <v>155.67699999999999</v>
      </c>
      <c r="N51">
        <v>27.298999999999999</v>
      </c>
      <c r="O51">
        <v>27.449000000000002</v>
      </c>
      <c r="R51">
        <v>17.234000000000002</v>
      </c>
      <c r="S51">
        <v>17.242000000000001</v>
      </c>
      <c r="T51">
        <v>33.767000000000003</v>
      </c>
      <c r="U51">
        <v>34.186</v>
      </c>
      <c r="W51">
        <v>0.13400000000000001</v>
      </c>
      <c r="X51">
        <v>3.5000000000000003E-2</v>
      </c>
      <c r="Z51">
        <v>0.14699999999999999</v>
      </c>
      <c r="AA51">
        <v>2.5000000000000001E-2</v>
      </c>
      <c r="AB51">
        <v>9.0999999999999998E-2</v>
      </c>
      <c r="AC51">
        <v>0.13400000000000001</v>
      </c>
      <c r="AD51">
        <v>0.13</v>
      </c>
      <c r="AE51">
        <v>3.5000000000000003E-2</v>
      </c>
      <c r="AF51">
        <v>9.8000000000000004E-2</v>
      </c>
      <c r="AG51">
        <v>7.0999999999999994E-2</v>
      </c>
      <c r="AH51">
        <v>2.5000000000000001E-2</v>
      </c>
      <c r="AI51">
        <v>0.14699999999999999</v>
      </c>
    </row>
    <row r="52" spans="1:35" x14ac:dyDescent="0.25">
      <c r="A52" t="s">
        <v>1539</v>
      </c>
      <c r="B52" t="s">
        <v>31</v>
      </c>
      <c r="C52" s="25">
        <v>43703.583240740743</v>
      </c>
      <c r="D52" s="741" t="s">
        <v>969</v>
      </c>
      <c r="E52" s="424">
        <f t="array" ref="E52">SUMPRODUCT(IF(AMP3_4[[#This Row],[Dim 1_1]:[T 8]]-$F$4:$AI$4&lt;0,1,0)+IF($F$5:$AI$5-AMP3_4[[#This Row],[Dim 1_1]:[T 8]]&lt;0,1,0),IF(ISNUMBER(AMP3_4[[#This Row],[Dim 1_1]:[T 8]])=TRUE,1,0))</f>
        <v>0</v>
      </c>
      <c r="H52">
        <v>155.81</v>
      </c>
      <c r="I52">
        <v>155.84200000000001</v>
      </c>
      <c r="J52">
        <v>168.79900000000001</v>
      </c>
      <c r="K52">
        <v>168.756</v>
      </c>
      <c r="L52">
        <v>155.86199999999999</v>
      </c>
      <c r="M52">
        <v>155.714</v>
      </c>
      <c r="N52">
        <v>27.297999999999998</v>
      </c>
      <c r="O52">
        <v>27.553999999999998</v>
      </c>
      <c r="R52">
        <v>17.248999999999999</v>
      </c>
      <c r="S52">
        <v>17.201000000000001</v>
      </c>
      <c r="T52">
        <v>36.276000000000003</v>
      </c>
      <c r="U52">
        <v>37.518000000000001</v>
      </c>
      <c r="W52">
        <v>0.16600000000000001</v>
      </c>
      <c r="X52">
        <v>-0.31</v>
      </c>
      <c r="Z52">
        <v>-1.2999999999999999E-2</v>
      </c>
      <c r="AA52">
        <v>-0.215</v>
      </c>
      <c r="AB52">
        <v>0.16600000000000001</v>
      </c>
      <c r="AC52">
        <v>-0.13200000000000001</v>
      </c>
      <c r="AD52">
        <v>0.156</v>
      </c>
      <c r="AE52">
        <v>-0.31</v>
      </c>
      <c r="AF52">
        <v>-1.9E-2</v>
      </c>
      <c r="AG52">
        <v>-1.2999999999999999E-2</v>
      </c>
      <c r="AH52">
        <v>-0.215</v>
      </c>
      <c r="AI52">
        <v>-5.5E-2</v>
      </c>
    </row>
    <row r="53" spans="1:35" x14ac:dyDescent="0.25">
      <c r="A53" t="s">
        <v>1540</v>
      </c>
      <c r="B53" t="s">
        <v>32</v>
      </c>
      <c r="C53" s="25">
        <v>43703.696458333332</v>
      </c>
      <c r="D53" s="741" t="s">
        <v>969</v>
      </c>
      <c r="E53" s="424">
        <f t="array" ref="E53">SUMPRODUCT(IF(AMP3_4[[#This Row],[Dim 1_1]:[T 8]]-$F$4:$AI$4&lt;0,1,0)+IF($F$5:$AI$5-AMP3_4[[#This Row],[Dim 1_1]:[T 8]]&lt;0,1,0),IF(ISNUMBER(AMP3_4[[#This Row],[Dim 1_1]:[T 8]])=TRUE,1,0))</f>
        <v>0</v>
      </c>
      <c r="F53">
        <v>41.259</v>
      </c>
      <c r="G53">
        <v>41.253</v>
      </c>
      <c r="H53">
        <v>155.72399999999999</v>
      </c>
      <c r="I53">
        <v>155.72200000000001</v>
      </c>
      <c r="L53">
        <v>155.785</v>
      </c>
      <c r="M53">
        <v>155.63900000000001</v>
      </c>
      <c r="N53">
        <v>27.33</v>
      </c>
      <c r="O53">
        <v>27.454000000000001</v>
      </c>
      <c r="R53">
        <v>17.236000000000001</v>
      </c>
      <c r="S53">
        <v>17.297999999999998</v>
      </c>
      <c r="T53">
        <v>33.686999999999998</v>
      </c>
      <c r="U53">
        <v>34.098999999999997</v>
      </c>
      <c r="W53">
        <v>0.11700000000000001</v>
      </c>
      <c r="X53">
        <v>-3.7999999999999999E-2</v>
      </c>
      <c r="Z53">
        <v>9.8000000000000004E-2</v>
      </c>
      <c r="AA53">
        <v>-5.0999999999999997E-2</v>
      </c>
      <c r="AB53">
        <v>7.4999999999999997E-2</v>
      </c>
      <c r="AC53">
        <v>0.11700000000000001</v>
      </c>
      <c r="AD53">
        <v>0.06</v>
      </c>
      <c r="AE53">
        <v>-3.7999999999999999E-2</v>
      </c>
      <c r="AF53">
        <v>9.8000000000000004E-2</v>
      </c>
      <c r="AG53">
        <v>7.0999999999999994E-2</v>
      </c>
      <c r="AH53">
        <v>-5.0999999999999997E-2</v>
      </c>
      <c r="AI53">
        <v>7.1999999999999995E-2</v>
      </c>
    </row>
    <row r="54" spans="1:35" x14ac:dyDescent="0.25">
      <c r="A54" t="s">
        <v>1541</v>
      </c>
      <c r="B54" t="s">
        <v>31</v>
      </c>
      <c r="C54" s="25">
        <v>43703.698935185188</v>
      </c>
      <c r="D54" s="741" t="s">
        <v>969</v>
      </c>
      <c r="E54" s="424">
        <f t="array" ref="E54">SUMPRODUCT(IF(AMP3_4[[#This Row],[Dim 1_1]:[T 8]]-$F$4:$AI$4&lt;0,1,0)+IF($F$5:$AI$5-AMP3_4[[#This Row],[Dim 1_1]:[T 8]]&lt;0,1,0),IF(ISNUMBER(AMP3_4[[#This Row],[Dim 1_1]:[T 8]])=TRUE,1,0))</f>
        <v>0</v>
      </c>
      <c r="H54">
        <v>155.78899999999999</v>
      </c>
      <c r="I54">
        <v>155.83500000000001</v>
      </c>
      <c r="J54">
        <v>168.71199999999999</v>
      </c>
      <c r="K54">
        <v>168.58</v>
      </c>
      <c r="L54">
        <v>155.84899999999999</v>
      </c>
      <c r="M54">
        <v>155.721</v>
      </c>
      <c r="N54">
        <v>27.303999999999998</v>
      </c>
      <c r="O54">
        <v>27.53</v>
      </c>
      <c r="R54">
        <v>17.256</v>
      </c>
      <c r="S54">
        <v>17.167999999999999</v>
      </c>
      <c r="T54">
        <v>37.752000000000002</v>
      </c>
      <c r="U54">
        <v>38.567999999999998</v>
      </c>
      <c r="W54">
        <v>0.156</v>
      </c>
      <c r="X54">
        <v>-0.28000000000000003</v>
      </c>
      <c r="Z54">
        <v>2.1999999999999999E-2</v>
      </c>
      <c r="AA54">
        <v>-0.159</v>
      </c>
      <c r="AB54">
        <v>0.155</v>
      </c>
      <c r="AC54">
        <v>-0.14899999999999999</v>
      </c>
      <c r="AD54">
        <v>0.156</v>
      </c>
      <c r="AE54">
        <v>-0.28000000000000003</v>
      </c>
      <c r="AF54">
        <v>1.7999999999999999E-2</v>
      </c>
      <c r="AG54">
        <v>2.1999999999999999E-2</v>
      </c>
      <c r="AH54">
        <v>-0.159</v>
      </c>
      <c r="AI54">
        <v>6.0000000000000001E-3</v>
      </c>
    </row>
    <row r="55" spans="1:35" x14ac:dyDescent="0.25">
      <c r="A55" t="s">
        <v>1542</v>
      </c>
      <c r="B55" t="s">
        <v>32</v>
      </c>
      <c r="C55" s="25">
        <v>43703.753391203703</v>
      </c>
      <c r="D55" s="741" t="s">
        <v>969</v>
      </c>
      <c r="E55" s="424">
        <f t="array" ref="E55">SUMPRODUCT(IF(AMP3_4[[#This Row],[Dim 1_1]:[T 8]]-$F$4:$AI$4&lt;0,1,0)+IF($F$5:$AI$5-AMP3_4[[#This Row],[Dim 1_1]:[T 8]]&lt;0,1,0),IF(ISNUMBER(AMP3_4[[#This Row],[Dim 1_1]:[T 8]])=TRUE,1,0))</f>
        <v>0</v>
      </c>
      <c r="F55">
        <v>41.268999999999998</v>
      </c>
      <c r="G55">
        <v>41.206000000000003</v>
      </c>
      <c r="H55">
        <v>155.768</v>
      </c>
      <c r="I55">
        <v>155.75</v>
      </c>
      <c r="L55">
        <v>155.84399999999999</v>
      </c>
      <c r="M55">
        <v>155.66999999999999</v>
      </c>
      <c r="N55">
        <v>27.292000000000002</v>
      </c>
      <c r="O55">
        <v>27.443999999999999</v>
      </c>
      <c r="R55">
        <v>17.213000000000001</v>
      </c>
      <c r="S55">
        <v>17.268000000000001</v>
      </c>
      <c r="T55">
        <v>33.625999999999998</v>
      </c>
      <c r="U55">
        <v>34.061</v>
      </c>
      <c r="W55">
        <v>0.10299999999999999</v>
      </c>
      <c r="X55">
        <v>-7.0000000000000001E-3</v>
      </c>
      <c r="Z55">
        <v>7.3999999999999996E-2</v>
      </c>
      <c r="AA55">
        <v>-2.5000000000000001E-2</v>
      </c>
      <c r="AB55">
        <v>7.0999999999999994E-2</v>
      </c>
      <c r="AC55">
        <v>0.10299999999999999</v>
      </c>
      <c r="AD55">
        <v>8.6999999999999994E-2</v>
      </c>
      <c r="AE55">
        <v>-7.0000000000000001E-3</v>
      </c>
      <c r="AF55">
        <v>6.8000000000000005E-2</v>
      </c>
      <c r="AG55">
        <v>3.7999999999999999E-2</v>
      </c>
      <c r="AH55">
        <v>-2.5000000000000001E-2</v>
      </c>
      <c r="AI55">
        <v>7.3999999999999996E-2</v>
      </c>
    </row>
    <row r="56" spans="1:35" x14ac:dyDescent="0.25">
      <c r="A56" t="s">
        <v>1543</v>
      </c>
      <c r="B56" t="s">
        <v>31</v>
      </c>
      <c r="C56" s="25">
        <v>43703.75513888889</v>
      </c>
      <c r="D56" s="741" t="s">
        <v>969</v>
      </c>
      <c r="E56" s="424">
        <f t="array" ref="E56">SUMPRODUCT(IF(AMP3_4[[#This Row],[Dim 1_1]:[T 8]]-$F$4:$AI$4&lt;0,1,0)+IF($F$5:$AI$5-AMP3_4[[#This Row],[Dim 1_1]:[T 8]]&lt;0,1,0),IF(ISNUMBER(AMP3_4[[#This Row],[Dim 1_1]:[T 8]])=TRUE,1,0))</f>
        <v>0</v>
      </c>
      <c r="H56">
        <v>155.81899999999999</v>
      </c>
      <c r="I56">
        <v>155.85599999999999</v>
      </c>
      <c r="J56">
        <v>168.77799999999999</v>
      </c>
      <c r="K56">
        <v>168.66</v>
      </c>
      <c r="L56">
        <v>155.892</v>
      </c>
      <c r="M56">
        <v>155.75299999999999</v>
      </c>
      <c r="N56">
        <v>27.25</v>
      </c>
      <c r="O56">
        <v>27.503</v>
      </c>
      <c r="R56">
        <v>17.244</v>
      </c>
      <c r="S56">
        <v>17.149999999999999</v>
      </c>
      <c r="T56">
        <v>36.698</v>
      </c>
      <c r="U56">
        <v>36.558</v>
      </c>
      <c r="W56">
        <v>0.154</v>
      </c>
      <c r="X56">
        <v>-0.27400000000000002</v>
      </c>
      <c r="Z56">
        <v>1E-3</v>
      </c>
      <c r="AA56">
        <v>-0.16500000000000001</v>
      </c>
      <c r="AB56">
        <v>0.123</v>
      </c>
      <c r="AC56">
        <v>-0.17199999999999999</v>
      </c>
      <c r="AD56">
        <v>0.154</v>
      </c>
      <c r="AE56">
        <v>-0.27400000000000002</v>
      </c>
      <c r="AF56">
        <v>-8.9999999999999993E-3</v>
      </c>
      <c r="AG56">
        <v>0</v>
      </c>
      <c r="AH56">
        <v>-0.16500000000000001</v>
      </c>
      <c r="AI56">
        <v>1E-3</v>
      </c>
    </row>
    <row r="57" spans="1:35" x14ac:dyDescent="0.25">
      <c r="A57" t="s">
        <v>1544</v>
      </c>
      <c r="B57" t="s">
        <v>32</v>
      </c>
      <c r="C57" s="25">
        <v>43703.847083333334</v>
      </c>
      <c r="D57" s="741" t="s">
        <v>969</v>
      </c>
      <c r="E57" s="424">
        <f t="array" ref="E57">SUMPRODUCT(IF(AMP3_4[[#This Row],[Dim 1_1]:[T 8]]-$F$4:$AI$4&lt;0,1,0)+IF($F$5:$AI$5-AMP3_4[[#This Row],[Dim 1_1]:[T 8]]&lt;0,1,0),IF(ISNUMBER(AMP3_4[[#This Row],[Dim 1_1]:[T 8]])=TRUE,1,0))</f>
        <v>0</v>
      </c>
      <c r="F57">
        <v>41.265000000000001</v>
      </c>
      <c r="G57">
        <v>41.183</v>
      </c>
      <c r="H57">
        <v>155.74700000000001</v>
      </c>
      <c r="I57">
        <v>155.708</v>
      </c>
      <c r="L57">
        <v>155.80199999999999</v>
      </c>
      <c r="M57">
        <v>155.59100000000001</v>
      </c>
      <c r="N57">
        <v>27.33</v>
      </c>
      <c r="O57">
        <v>27.515999999999998</v>
      </c>
      <c r="R57">
        <v>17.228000000000002</v>
      </c>
      <c r="S57">
        <v>17.297999999999998</v>
      </c>
      <c r="T57">
        <v>33.817</v>
      </c>
      <c r="U57">
        <v>34.115000000000002</v>
      </c>
      <c r="W57">
        <v>0.22800000000000001</v>
      </c>
      <c r="X57">
        <v>8.3000000000000004E-2</v>
      </c>
      <c r="Z57">
        <v>0.114</v>
      </c>
      <c r="AA57">
        <v>-3.0000000000000001E-3</v>
      </c>
      <c r="AB57">
        <v>0.19400000000000001</v>
      </c>
      <c r="AC57">
        <v>0.22800000000000001</v>
      </c>
      <c r="AD57">
        <v>0.14199999999999999</v>
      </c>
      <c r="AE57">
        <v>8.3000000000000004E-2</v>
      </c>
      <c r="AF57">
        <v>0.114</v>
      </c>
      <c r="AG57">
        <v>9.1999999999999998E-2</v>
      </c>
      <c r="AH57">
        <v>-3.0000000000000001E-3</v>
      </c>
      <c r="AI57">
        <v>9.8000000000000004E-2</v>
      </c>
    </row>
    <row r="58" spans="1:35" x14ac:dyDescent="0.25">
      <c r="A58" t="s">
        <v>1545</v>
      </c>
      <c r="B58" t="s">
        <v>31</v>
      </c>
      <c r="C58" s="25">
        <v>43703.851099537038</v>
      </c>
      <c r="D58" s="741" t="s">
        <v>969</v>
      </c>
      <c r="E58" s="424">
        <f t="array" ref="E58">SUMPRODUCT(IF(AMP3_4[[#This Row],[Dim 1_1]:[T 8]]-$F$4:$AI$4&lt;0,1,0)+IF($F$5:$AI$5-AMP3_4[[#This Row],[Dim 1_1]:[T 8]]&lt;0,1,0),IF(ISNUMBER(AMP3_4[[#This Row],[Dim 1_1]:[T 8]])=TRUE,1,0))</f>
        <v>0</v>
      </c>
      <c r="H58">
        <v>155.79599999999999</v>
      </c>
      <c r="I58">
        <v>155.87899999999999</v>
      </c>
      <c r="J58">
        <v>168.78399999999999</v>
      </c>
      <c r="K58">
        <v>168.642</v>
      </c>
      <c r="L58">
        <v>155.86099999999999</v>
      </c>
      <c r="M58">
        <v>155.75800000000001</v>
      </c>
      <c r="N58">
        <v>27.271000000000001</v>
      </c>
      <c r="O58">
        <v>27.486999999999998</v>
      </c>
      <c r="R58">
        <v>17.227</v>
      </c>
      <c r="S58">
        <v>17.241</v>
      </c>
      <c r="T58">
        <v>37.393999999999998</v>
      </c>
      <c r="U58">
        <v>38.276000000000003</v>
      </c>
      <c r="W58">
        <v>0.13300000000000001</v>
      </c>
      <c r="X58">
        <v>-0.42899999999999999</v>
      </c>
      <c r="Z58">
        <v>1.0999999999999999E-2</v>
      </c>
      <c r="AA58">
        <v>-0.33</v>
      </c>
      <c r="AB58">
        <v>0.13300000000000001</v>
      </c>
      <c r="AC58">
        <v>-0.17100000000000001</v>
      </c>
      <c r="AD58">
        <v>1.6E-2</v>
      </c>
      <c r="AE58">
        <v>-0.42899999999999999</v>
      </c>
      <c r="AF58">
        <v>1.0999999999999999E-2</v>
      </c>
      <c r="AG58">
        <v>0.01</v>
      </c>
      <c r="AH58">
        <v>-0.33</v>
      </c>
      <c r="AI58">
        <v>-0.14899999999999999</v>
      </c>
    </row>
    <row r="59" spans="1:35" x14ac:dyDescent="0.25">
      <c r="A59" t="s">
        <v>1546</v>
      </c>
      <c r="B59" t="s">
        <v>32</v>
      </c>
      <c r="C59" s="25">
        <v>43703.920300925929</v>
      </c>
      <c r="D59" s="741" t="s">
        <v>969</v>
      </c>
      <c r="E59" s="424">
        <f t="array" ref="E59">SUMPRODUCT(IF(AMP3_4[[#This Row],[Dim 1_1]:[T 8]]-$F$4:$AI$4&lt;0,1,0)+IF($F$5:$AI$5-AMP3_4[[#This Row],[Dim 1_1]:[T 8]]&lt;0,1,0),IF(ISNUMBER(AMP3_4[[#This Row],[Dim 1_1]:[T 8]])=TRUE,1,0))</f>
        <v>0</v>
      </c>
      <c r="F59">
        <v>41.353999999999999</v>
      </c>
      <c r="G59">
        <v>41.247</v>
      </c>
      <c r="H59">
        <v>155.74799999999999</v>
      </c>
      <c r="I59">
        <v>155.78399999999999</v>
      </c>
      <c r="L59">
        <v>155.827</v>
      </c>
      <c r="M59">
        <v>155.67599999999999</v>
      </c>
      <c r="N59">
        <v>27.329000000000001</v>
      </c>
      <c r="O59">
        <v>27.423999999999999</v>
      </c>
      <c r="R59">
        <v>17.207000000000001</v>
      </c>
      <c r="S59">
        <v>17.3</v>
      </c>
      <c r="T59">
        <v>33.499000000000002</v>
      </c>
      <c r="U59">
        <v>34.021999999999998</v>
      </c>
      <c r="W59">
        <v>0.105</v>
      </c>
      <c r="X59">
        <v>1.2999999999999999E-2</v>
      </c>
      <c r="Z59">
        <v>5.1999999999999998E-2</v>
      </c>
      <c r="AA59">
        <v>-9.9000000000000005E-2</v>
      </c>
      <c r="AB59">
        <v>7.0000000000000007E-2</v>
      </c>
      <c r="AC59">
        <v>0.105</v>
      </c>
      <c r="AD59">
        <v>1.2999999999999999E-2</v>
      </c>
      <c r="AE59">
        <v>2.3E-2</v>
      </c>
      <c r="AF59">
        <v>5.1999999999999998E-2</v>
      </c>
      <c r="AG59">
        <v>0.01</v>
      </c>
      <c r="AH59">
        <v>-9.9000000000000005E-2</v>
      </c>
      <c r="AI59">
        <v>-2.1000000000000001E-2</v>
      </c>
    </row>
    <row r="60" spans="1:35" x14ac:dyDescent="0.25">
      <c r="A60" t="s">
        <v>1547</v>
      </c>
      <c r="B60" t="s">
        <v>31</v>
      </c>
      <c r="C60" s="25">
        <v>43703.932627314818</v>
      </c>
      <c r="D60" s="741" t="s">
        <v>969</v>
      </c>
      <c r="E60" s="424">
        <f t="array" ref="E60">SUMPRODUCT(IF(AMP3_4[[#This Row],[Dim 1_1]:[T 8]]-$F$4:$AI$4&lt;0,1,0)+IF($F$5:$AI$5-AMP3_4[[#This Row],[Dim 1_1]:[T 8]]&lt;0,1,0),IF(ISNUMBER(AMP3_4[[#This Row],[Dim 1_1]:[T 8]])=TRUE,1,0))</f>
        <v>0</v>
      </c>
      <c r="H60">
        <v>155.78899999999999</v>
      </c>
      <c r="I60">
        <v>155.85599999999999</v>
      </c>
      <c r="J60">
        <v>168.81700000000001</v>
      </c>
      <c r="K60">
        <v>168.67099999999999</v>
      </c>
      <c r="L60">
        <v>155.87700000000001</v>
      </c>
      <c r="M60">
        <v>155.779</v>
      </c>
      <c r="N60">
        <v>27.273</v>
      </c>
      <c r="O60">
        <v>27.492000000000001</v>
      </c>
      <c r="R60">
        <v>17.266999999999999</v>
      </c>
      <c r="S60">
        <v>17.247</v>
      </c>
      <c r="T60">
        <v>37.853999999999999</v>
      </c>
      <c r="U60">
        <v>38.259</v>
      </c>
      <c r="W60">
        <v>0.127</v>
      </c>
      <c r="X60">
        <v>-0.27200000000000002</v>
      </c>
      <c r="Z60">
        <v>1.0999999999999999E-2</v>
      </c>
      <c r="AA60">
        <v>-0.17599999999999999</v>
      </c>
      <c r="AB60">
        <v>0.123</v>
      </c>
      <c r="AC60">
        <v>-0.17399999999999999</v>
      </c>
      <c r="AD60">
        <v>0.127</v>
      </c>
      <c r="AE60">
        <v>-0.27200000000000002</v>
      </c>
      <c r="AF60">
        <v>1.0999999999999999E-2</v>
      </c>
      <c r="AG60">
        <v>6.0000000000000001E-3</v>
      </c>
      <c r="AH60">
        <v>-0.17599999999999999</v>
      </c>
      <c r="AI60">
        <v>-1.0999999999999999E-2</v>
      </c>
    </row>
    <row r="61" spans="1:35" x14ac:dyDescent="0.25">
      <c r="A61" t="s">
        <v>1548</v>
      </c>
      <c r="B61" t="s">
        <v>32</v>
      </c>
      <c r="C61" s="25">
        <v>43704.017384259256</v>
      </c>
      <c r="D61" s="741" t="s">
        <v>969</v>
      </c>
      <c r="E61" s="424">
        <f t="array" ref="E61">SUMPRODUCT(IF(AMP3_4[[#This Row],[Dim 1_1]:[T 8]]-$F$4:$AI$4&lt;0,1,0)+IF($F$5:$AI$5-AMP3_4[[#This Row],[Dim 1_1]:[T 8]]&lt;0,1,0),IF(ISNUMBER(AMP3_4[[#This Row],[Dim 1_1]:[T 8]])=TRUE,1,0))</f>
        <v>0</v>
      </c>
      <c r="F61">
        <v>41.265000000000001</v>
      </c>
      <c r="G61">
        <v>41.215000000000003</v>
      </c>
      <c r="H61">
        <v>155.75200000000001</v>
      </c>
      <c r="I61">
        <v>155.74700000000001</v>
      </c>
      <c r="L61">
        <v>155.88499999999999</v>
      </c>
      <c r="M61">
        <v>155.65299999999999</v>
      </c>
      <c r="N61">
        <v>27.242999999999999</v>
      </c>
      <c r="O61">
        <v>27.457000000000001</v>
      </c>
      <c r="R61">
        <v>17.184000000000001</v>
      </c>
      <c r="S61">
        <v>17.170000000000002</v>
      </c>
      <c r="T61">
        <v>33.652000000000001</v>
      </c>
      <c r="U61">
        <v>34.012</v>
      </c>
      <c r="W61">
        <v>0.121</v>
      </c>
      <c r="X61">
        <v>0</v>
      </c>
      <c r="Z61">
        <v>0.17199999999999999</v>
      </c>
      <c r="AA61">
        <v>6.9000000000000006E-2</v>
      </c>
      <c r="AB61">
        <v>4.7E-2</v>
      </c>
      <c r="AC61">
        <v>7.8E-2</v>
      </c>
      <c r="AD61">
        <v>0.121</v>
      </c>
      <c r="AE61">
        <v>0</v>
      </c>
      <c r="AF61">
        <v>0.11</v>
      </c>
      <c r="AG61">
        <v>6.9000000000000006E-2</v>
      </c>
      <c r="AH61">
        <v>7.0999999999999994E-2</v>
      </c>
      <c r="AI61">
        <v>0.17199999999999999</v>
      </c>
    </row>
    <row r="62" spans="1:35" x14ac:dyDescent="0.25">
      <c r="A62" t="s">
        <v>1549</v>
      </c>
      <c r="B62" t="s">
        <v>31</v>
      </c>
      <c r="C62" s="25">
        <v>43704.019097222219</v>
      </c>
      <c r="D62" s="741" t="s">
        <v>969</v>
      </c>
      <c r="E62" s="424">
        <f t="array" ref="E62">SUMPRODUCT(IF(AMP3_4[[#This Row],[Dim 1_1]:[T 8]]-$F$4:$AI$4&lt;0,1,0)+IF($F$5:$AI$5-AMP3_4[[#This Row],[Dim 1_1]:[T 8]]&lt;0,1,0),IF(ISNUMBER(AMP3_4[[#This Row],[Dim 1_1]:[T 8]])=TRUE,1,0))</f>
        <v>0</v>
      </c>
      <c r="H62">
        <v>155.93100000000001</v>
      </c>
      <c r="I62">
        <v>155.90299999999999</v>
      </c>
      <c r="J62">
        <v>168.79</v>
      </c>
      <c r="K62">
        <v>168.63399999999999</v>
      </c>
      <c r="L62">
        <v>155.96799999999999</v>
      </c>
      <c r="M62">
        <v>155.80600000000001</v>
      </c>
      <c r="N62">
        <v>27.190999999999999</v>
      </c>
      <c r="O62">
        <v>27.466999999999999</v>
      </c>
      <c r="R62">
        <v>17.257000000000001</v>
      </c>
      <c r="S62">
        <v>17.202000000000002</v>
      </c>
      <c r="T62">
        <v>34.633000000000003</v>
      </c>
      <c r="U62">
        <v>36.625999999999998</v>
      </c>
      <c r="W62">
        <v>0.191</v>
      </c>
      <c r="X62">
        <v>-0.29599999999999999</v>
      </c>
      <c r="Z62">
        <v>-1.2999999999999999E-2</v>
      </c>
      <c r="AA62">
        <v>-0.13400000000000001</v>
      </c>
      <c r="AB62">
        <v>0.13100000000000001</v>
      </c>
      <c r="AC62">
        <v>-0.16200000000000001</v>
      </c>
      <c r="AD62">
        <v>0.191</v>
      </c>
      <c r="AE62">
        <v>-0.29599999999999999</v>
      </c>
      <c r="AF62">
        <v>-1.2999999999999999E-2</v>
      </c>
      <c r="AG62">
        <v>-0.03</v>
      </c>
      <c r="AH62">
        <v>-0.13400000000000001</v>
      </c>
      <c r="AI62">
        <v>-1.7999999999999999E-2</v>
      </c>
    </row>
    <row r="63" spans="1:35" x14ac:dyDescent="0.25">
      <c r="A63" t="s">
        <v>1550</v>
      </c>
      <c r="B63" t="s">
        <v>32</v>
      </c>
      <c r="C63" s="25">
        <v>43704.043587962966</v>
      </c>
      <c r="D63" s="741" t="s">
        <v>969</v>
      </c>
      <c r="E63" s="424">
        <f t="array" ref="E63">SUMPRODUCT(IF(AMP3_4[[#This Row],[Dim 1_1]:[T 8]]-$F$4:$AI$4&lt;0,1,0)+IF($F$5:$AI$5-AMP3_4[[#This Row],[Dim 1_1]:[T 8]]&lt;0,1,0),IF(ISNUMBER(AMP3_4[[#This Row],[Dim 1_1]:[T 8]])=TRUE,1,0))</f>
        <v>0</v>
      </c>
      <c r="F63">
        <v>41.216000000000001</v>
      </c>
      <c r="G63">
        <v>41.067999999999998</v>
      </c>
      <c r="H63">
        <v>155.82400000000001</v>
      </c>
      <c r="I63">
        <v>155.80199999999999</v>
      </c>
      <c r="L63">
        <v>155.886</v>
      </c>
      <c r="M63">
        <v>155.696</v>
      </c>
      <c r="N63">
        <v>27.251000000000001</v>
      </c>
      <c r="O63">
        <v>27.422999999999998</v>
      </c>
      <c r="R63">
        <v>17.227</v>
      </c>
      <c r="S63">
        <v>17.225000000000001</v>
      </c>
      <c r="T63">
        <v>33.540999999999997</v>
      </c>
      <c r="U63">
        <v>34.006</v>
      </c>
      <c r="W63">
        <v>0.10100000000000001</v>
      </c>
      <c r="X63">
        <v>5.3999999999999999E-2</v>
      </c>
      <c r="Z63">
        <v>0.105</v>
      </c>
      <c r="AA63">
        <v>8.9999999999999993E-3</v>
      </c>
      <c r="AB63">
        <v>5.7000000000000002E-2</v>
      </c>
      <c r="AC63">
        <v>0.10100000000000001</v>
      </c>
      <c r="AD63">
        <v>0.10100000000000001</v>
      </c>
      <c r="AE63">
        <v>5.3999999999999999E-2</v>
      </c>
      <c r="AF63">
        <v>3.4000000000000002E-2</v>
      </c>
      <c r="AG63">
        <v>8.9999999999999993E-3</v>
      </c>
      <c r="AH63">
        <v>2.1999999999999999E-2</v>
      </c>
      <c r="AI63">
        <v>0.105</v>
      </c>
    </row>
    <row r="64" spans="1:35" x14ac:dyDescent="0.25">
      <c r="A64" t="s">
        <v>1551</v>
      </c>
      <c r="B64" t="s">
        <v>31</v>
      </c>
      <c r="C64" s="25">
        <v>43704.045104166667</v>
      </c>
      <c r="D64" s="741" t="s">
        <v>969</v>
      </c>
      <c r="E64" s="424">
        <f t="array" ref="E64">SUMPRODUCT(IF(AMP3_4[[#This Row],[Dim 1_1]:[T 8]]-$F$4:$AI$4&lt;0,1,0)+IF($F$5:$AI$5-AMP3_4[[#This Row],[Dim 1_1]:[T 8]]&lt;0,1,0),IF(ISNUMBER(AMP3_4[[#This Row],[Dim 1_1]:[T 8]])=TRUE,1,0))</f>
        <v>0</v>
      </c>
      <c r="H64">
        <v>155.87799999999999</v>
      </c>
      <c r="I64">
        <v>155.916</v>
      </c>
      <c r="J64">
        <v>168.74600000000001</v>
      </c>
      <c r="K64">
        <v>168.63499999999999</v>
      </c>
      <c r="L64">
        <v>155.97300000000001</v>
      </c>
      <c r="M64">
        <v>155.834</v>
      </c>
      <c r="N64">
        <v>27.187999999999999</v>
      </c>
      <c r="O64">
        <v>27.443000000000001</v>
      </c>
      <c r="R64">
        <v>17.213000000000001</v>
      </c>
      <c r="S64">
        <v>17.088999999999999</v>
      </c>
      <c r="T64">
        <v>37.54</v>
      </c>
      <c r="U64">
        <v>37.777000000000001</v>
      </c>
      <c r="W64">
        <v>0.16600000000000001</v>
      </c>
      <c r="X64">
        <v>-0.27500000000000002</v>
      </c>
      <c r="Z64">
        <v>3.5000000000000003E-2</v>
      </c>
      <c r="AA64">
        <v>-0.123</v>
      </c>
      <c r="AB64">
        <v>8.4000000000000005E-2</v>
      </c>
      <c r="AC64">
        <v>-0.217</v>
      </c>
      <c r="AD64">
        <v>0.16600000000000001</v>
      </c>
      <c r="AE64">
        <v>-0.27500000000000002</v>
      </c>
      <c r="AF64">
        <v>1.2E-2</v>
      </c>
      <c r="AG64">
        <v>4.0000000000000001E-3</v>
      </c>
      <c r="AH64">
        <v>-0.123</v>
      </c>
      <c r="AI64">
        <v>3.5000000000000003E-2</v>
      </c>
    </row>
    <row r="65" spans="1:35" x14ac:dyDescent="0.25">
      <c r="A65" t="s">
        <v>1552</v>
      </c>
      <c r="B65" t="s">
        <v>32</v>
      </c>
      <c r="C65" s="25">
        <v>43704.312256944446</v>
      </c>
      <c r="D65" s="741" t="s">
        <v>969</v>
      </c>
      <c r="E65" s="424">
        <f t="array" ref="E65">SUMPRODUCT(IF(AMP3_4[[#This Row],[Dim 1_1]:[T 8]]-$F$4:$AI$4&lt;0,1,0)+IF($F$5:$AI$5-AMP3_4[[#This Row],[Dim 1_1]:[T 8]]&lt;0,1,0),IF(ISNUMBER(AMP3_4[[#This Row],[Dim 1_1]:[T 8]])=TRUE,1,0))</f>
        <v>0</v>
      </c>
      <c r="F65">
        <v>41.274000000000001</v>
      </c>
      <c r="G65">
        <v>41.256999999999998</v>
      </c>
      <c r="H65">
        <v>155.79300000000001</v>
      </c>
      <c r="I65">
        <v>155.78100000000001</v>
      </c>
      <c r="L65">
        <v>155.852</v>
      </c>
      <c r="M65">
        <v>155.66499999999999</v>
      </c>
      <c r="N65">
        <v>27.279</v>
      </c>
      <c r="O65">
        <v>27.468</v>
      </c>
      <c r="R65">
        <v>17.231000000000002</v>
      </c>
      <c r="S65">
        <v>17.257999999999999</v>
      </c>
      <c r="T65">
        <v>33.826000000000001</v>
      </c>
      <c r="U65">
        <v>34.127000000000002</v>
      </c>
      <c r="W65">
        <v>0.123</v>
      </c>
      <c r="X65">
        <v>3.5000000000000003E-2</v>
      </c>
      <c r="Z65">
        <v>0.13100000000000001</v>
      </c>
      <c r="AA65">
        <v>6.8000000000000005E-2</v>
      </c>
      <c r="AB65">
        <v>0.10100000000000001</v>
      </c>
      <c r="AC65">
        <v>0.11899999999999999</v>
      </c>
      <c r="AD65">
        <v>0.123</v>
      </c>
      <c r="AE65">
        <v>3.5000000000000003E-2</v>
      </c>
      <c r="AF65">
        <v>0.13100000000000001</v>
      </c>
      <c r="AG65">
        <v>9.4E-2</v>
      </c>
      <c r="AH65">
        <v>6.8000000000000005E-2</v>
      </c>
      <c r="AI65">
        <v>0.13</v>
      </c>
    </row>
    <row r="66" spans="1:35" x14ac:dyDescent="0.25">
      <c r="A66" t="s">
        <v>1553</v>
      </c>
      <c r="B66" t="s">
        <v>31</v>
      </c>
      <c r="C66" s="25">
        <v>43704.314305555556</v>
      </c>
      <c r="D66" s="741" t="s">
        <v>969</v>
      </c>
      <c r="E66" s="424">
        <f t="array" ref="E66">SUMPRODUCT(IF(AMP3_4[[#This Row],[Dim 1_1]:[T 8]]-$F$4:$AI$4&lt;0,1,0)+IF($F$5:$AI$5-AMP3_4[[#This Row],[Dim 1_1]:[T 8]]&lt;0,1,0),IF(ISNUMBER(AMP3_4[[#This Row],[Dim 1_1]:[T 8]])=TRUE,1,0))</f>
        <v>0</v>
      </c>
      <c r="H66">
        <v>155.83199999999999</v>
      </c>
      <c r="I66">
        <v>155.88900000000001</v>
      </c>
      <c r="J66">
        <v>168.82900000000001</v>
      </c>
      <c r="K66">
        <v>168.68700000000001</v>
      </c>
      <c r="L66">
        <v>155.917</v>
      </c>
      <c r="M66">
        <v>155.79400000000001</v>
      </c>
      <c r="N66">
        <v>27.241</v>
      </c>
      <c r="O66">
        <v>27.481000000000002</v>
      </c>
      <c r="R66">
        <v>17.248999999999999</v>
      </c>
      <c r="S66">
        <v>17.140999999999998</v>
      </c>
      <c r="T66">
        <v>36.729999999999997</v>
      </c>
      <c r="U66">
        <v>37.896000000000001</v>
      </c>
      <c r="W66">
        <v>0.23100000000000001</v>
      </c>
      <c r="X66">
        <v>-0.16900000000000001</v>
      </c>
      <c r="Z66">
        <v>0.105</v>
      </c>
      <c r="AA66">
        <v>-5.7000000000000002E-2</v>
      </c>
      <c r="AB66">
        <v>0.19500000000000001</v>
      </c>
      <c r="AC66">
        <v>-0.125</v>
      </c>
      <c r="AD66">
        <v>0.23100000000000001</v>
      </c>
      <c r="AE66">
        <v>-0.16900000000000001</v>
      </c>
      <c r="AF66">
        <v>8.3000000000000004E-2</v>
      </c>
      <c r="AG66">
        <v>7.9000000000000001E-2</v>
      </c>
      <c r="AH66">
        <v>-5.7000000000000002E-2</v>
      </c>
      <c r="AI66">
        <v>0.105</v>
      </c>
    </row>
    <row r="67" spans="1:35" x14ac:dyDescent="0.25">
      <c r="A67" t="s">
        <v>1554</v>
      </c>
      <c r="B67" t="s">
        <v>32</v>
      </c>
      <c r="C67" s="25">
        <v>43704.39334490741</v>
      </c>
      <c r="D67" s="741" t="s">
        <v>969</v>
      </c>
      <c r="E67" s="424">
        <f t="array" ref="E67">SUMPRODUCT(IF(AMP3_4[[#This Row],[Dim 1_1]:[T 8]]-$F$4:$AI$4&lt;0,1,0)+IF($F$5:$AI$5-AMP3_4[[#This Row],[Dim 1_1]:[T 8]]&lt;0,1,0),IF(ISNUMBER(AMP3_4[[#This Row],[Dim 1_1]:[T 8]])=TRUE,1,0))</f>
        <v>0</v>
      </c>
      <c r="F67">
        <v>41.18</v>
      </c>
      <c r="G67">
        <v>40.948999999999998</v>
      </c>
      <c r="H67">
        <v>155.81399999999999</v>
      </c>
      <c r="I67">
        <v>155.80000000000001</v>
      </c>
      <c r="L67">
        <v>155.90799999999999</v>
      </c>
      <c r="M67">
        <v>155.69499999999999</v>
      </c>
      <c r="N67">
        <v>27.263000000000002</v>
      </c>
      <c r="O67">
        <v>27.416</v>
      </c>
      <c r="R67">
        <v>17.207999999999998</v>
      </c>
      <c r="S67">
        <v>17.204999999999998</v>
      </c>
      <c r="T67">
        <v>33.649000000000001</v>
      </c>
      <c r="U67">
        <v>34.018000000000001</v>
      </c>
      <c r="W67">
        <v>0.11</v>
      </c>
      <c r="X67">
        <v>1.2999999999999999E-2</v>
      </c>
      <c r="Z67">
        <v>0.124</v>
      </c>
      <c r="AA67">
        <v>-0.03</v>
      </c>
      <c r="AB67">
        <v>1.2999999999999999E-2</v>
      </c>
      <c r="AC67">
        <v>6.3E-2</v>
      </c>
      <c r="AD67">
        <v>0.11</v>
      </c>
      <c r="AE67">
        <v>0.09</v>
      </c>
      <c r="AF67">
        <v>-0.03</v>
      </c>
      <c r="AG67">
        <v>2E-3</v>
      </c>
      <c r="AH67">
        <v>4.1000000000000002E-2</v>
      </c>
      <c r="AI67">
        <v>0.124</v>
      </c>
    </row>
    <row r="68" spans="1:35" x14ac:dyDescent="0.25">
      <c r="A68" t="s">
        <v>1555</v>
      </c>
      <c r="B68" t="s">
        <v>31</v>
      </c>
      <c r="C68" s="25">
        <v>43704.395787037036</v>
      </c>
      <c r="D68" s="741" t="s">
        <v>969</v>
      </c>
      <c r="E68" s="424">
        <f t="array" ref="E68">SUMPRODUCT(IF(AMP3_4[[#This Row],[Dim 1_1]:[T 8]]-$F$4:$AI$4&lt;0,1,0)+IF($F$5:$AI$5-AMP3_4[[#This Row],[Dim 1_1]:[T 8]]&lt;0,1,0),IF(ISNUMBER(AMP3_4[[#This Row],[Dim 1_1]:[T 8]])=TRUE,1,0))</f>
        <v>0</v>
      </c>
      <c r="H68">
        <v>155.87700000000001</v>
      </c>
      <c r="I68">
        <v>155.90100000000001</v>
      </c>
      <c r="J68">
        <v>168.761</v>
      </c>
      <c r="K68">
        <v>168.66499999999999</v>
      </c>
      <c r="L68">
        <v>155.95500000000001</v>
      </c>
      <c r="M68">
        <v>155.79400000000001</v>
      </c>
      <c r="N68">
        <v>27.178999999999998</v>
      </c>
      <c r="O68">
        <v>27.469000000000001</v>
      </c>
      <c r="R68">
        <v>17.263000000000002</v>
      </c>
      <c r="S68">
        <v>17.18</v>
      </c>
      <c r="T68">
        <v>37.798999999999999</v>
      </c>
      <c r="U68">
        <v>38.643000000000001</v>
      </c>
      <c r="W68">
        <v>0.16500000000000001</v>
      </c>
      <c r="X68">
        <v>-0.29299999999999998</v>
      </c>
      <c r="Z68">
        <v>0.112</v>
      </c>
      <c r="AA68">
        <v>-0.109</v>
      </c>
      <c r="AB68">
        <v>0.16500000000000001</v>
      </c>
      <c r="AC68">
        <v>-0.13400000000000001</v>
      </c>
      <c r="AD68">
        <v>0.159</v>
      </c>
      <c r="AE68">
        <v>-0.29299999999999998</v>
      </c>
      <c r="AF68">
        <v>0.112</v>
      </c>
      <c r="AG68">
        <v>8.4000000000000005E-2</v>
      </c>
      <c r="AH68">
        <v>-0.109</v>
      </c>
      <c r="AI68">
        <v>5.2999999999999999E-2</v>
      </c>
    </row>
    <row r="69" spans="1:35" x14ac:dyDescent="0.25">
      <c r="A69" t="s">
        <v>1556</v>
      </c>
      <c r="B69" t="s">
        <v>32</v>
      </c>
      <c r="C69" s="25">
        <v>43704.495856481481</v>
      </c>
      <c r="D69" s="741" t="s">
        <v>969</v>
      </c>
      <c r="E69" s="424">
        <f t="array" ref="E69">SUMPRODUCT(IF(AMP3_4[[#This Row],[Dim 1_1]:[T 8]]-$F$4:$AI$4&lt;0,1,0)+IF($F$5:$AI$5-AMP3_4[[#This Row],[Dim 1_1]:[T 8]]&lt;0,1,0),IF(ISNUMBER(AMP3_4[[#This Row],[Dim 1_1]:[T 8]])=TRUE,1,0))</f>
        <v>0</v>
      </c>
      <c r="F69">
        <v>41.125</v>
      </c>
      <c r="G69">
        <v>41.072000000000003</v>
      </c>
      <c r="H69">
        <v>155.88300000000001</v>
      </c>
      <c r="I69">
        <v>155.869</v>
      </c>
      <c r="L69">
        <v>155.946</v>
      </c>
      <c r="M69">
        <v>155.76499999999999</v>
      </c>
      <c r="N69">
        <v>27.199000000000002</v>
      </c>
      <c r="O69">
        <v>27.347000000000001</v>
      </c>
      <c r="R69">
        <v>17.209</v>
      </c>
      <c r="S69">
        <v>17.2</v>
      </c>
      <c r="T69">
        <v>33.515999999999998</v>
      </c>
      <c r="U69">
        <v>34.015000000000001</v>
      </c>
      <c r="W69">
        <v>5.6000000000000001E-2</v>
      </c>
      <c r="X69">
        <v>-4.7E-2</v>
      </c>
      <c r="Z69">
        <v>5.1999999999999998E-2</v>
      </c>
      <c r="AA69">
        <v>-4.8000000000000001E-2</v>
      </c>
      <c r="AB69">
        <v>-4.7E-2</v>
      </c>
      <c r="AC69">
        <v>-8.0000000000000002E-3</v>
      </c>
      <c r="AD69">
        <v>5.6000000000000001E-2</v>
      </c>
      <c r="AE69">
        <v>-4.1000000000000002E-2</v>
      </c>
      <c r="AF69">
        <v>-2.8000000000000001E-2</v>
      </c>
      <c r="AG69">
        <v>-4.8000000000000001E-2</v>
      </c>
      <c r="AH69">
        <v>-3.5000000000000003E-2</v>
      </c>
      <c r="AI69">
        <v>5.1999999999999998E-2</v>
      </c>
    </row>
    <row r="70" spans="1:35" x14ac:dyDescent="0.25">
      <c r="A70" t="s">
        <v>1557</v>
      </c>
      <c r="B70" t="s">
        <v>31</v>
      </c>
      <c r="C70" s="25">
        <v>43704.497928240744</v>
      </c>
      <c r="D70" s="741" t="s">
        <v>969</v>
      </c>
      <c r="E70" s="424">
        <f t="array" ref="E70">SUMPRODUCT(IF(AMP3_4[[#This Row],[Dim 1_1]:[T 8]]-$F$4:$AI$4&lt;0,1,0)+IF($F$5:$AI$5-AMP3_4[[#This Row],[Dim 1_1]:[T 8]]&lt;0,1,0),IF(ISNUMBER(AMP3_4[[#This Row],[Dim 1_1]:[T 8]])=TRUE,1,0))</f>
        <v>0</v>
      </c>
      <c r="H70">
        <v>155.89099999999999</v>
      </c>
      <c r="I70">
        <v>155.94900000000001</v>
      </c>
      <c r="J70">
        <v>168.81</v>
      </c>
      <c r="K70">
        <v>168.709</v>
      </c>
      <c r="L70">
        <v>155.99100000000001</v>
      </c>
      <c r="M70">
        <v>155.86500000000001</v>
      </c>
      <c r="N70">
        <v>27.158999999999999</v>
      </c>
      <c r="O70">
        <v>27.398</v>
      </c>
      <c r="R70">
        <v>17.263999999999999</v>
      </c>
      <c r="S70">
        <v>17.102</v>
      </c>
      <c r="T70">
        <v>37.143000000000001</v>
      </c>
      <c r="U70">
        <v>37.387</v>
      </c>
      <c r="W70">
        <v>0.16600000000000001</v>
      </c>
      <c r="X70">
        <v>-0.30499999999999999</v>
      </c>
      <c r="Z70">
        <v>3.0000000000000001E-3</v>
      </c>
      <c r="AA70">
        <v>-0.182</v>
      </c>
      <c r="AB70">
        <v>0.08</v>
      </c>
      <c r="AC70">
        <v>-0.214</v>
      </c>
      <c r="AD70">
        <v>0.16600000000000001</v>
      </c>
      <c r="AE70">
        <v>-0.30499999999999999</v>
      </c>
      <c r="AF70">
        <v>-5.3999999999999999E-2</v>
      </c>
      <c r="AG70">
        <v>-4.5999999999999999E-2</v>
      </c>
      <c r="AH70">
        <v>-0.182</v>
      </c>
      <c r="AI70">
        <v>3.0000000000000001E-3</v>
      </c>
    </row>
    <row r="71" spans="1:35" x14ac:dyDescent="0.25">
      <c r="A71" t="s">
        <v>1558</v>
      </c>
      <c r="B71" t="s">
        <v>32</v>
      </c>
      <c r="C71" s="25">
        <v>43704.563125000001</v>
      </c>
      <c r="D71" s="741" t="s">
        <v>969</v>
      </c>
      <c r="E71" s="424">
        <f t="array" ref="E71">SUMPRODUCT(IF(AMP3_4[[#This Row],[Dim 1_1]:[T 8]]-$F$4:$AI$4&lt;0,1,0)+IF($F$5:$AI$5-AMP3_4[[#This Row],[Dim 1_1]:[T 8]]&lt;0,1,0),IF(ISNUMBER(AMP3_4[[#This Row],[Dim 1_1]:[T 8]])=TRUE,1,0))</f>
        <v>0</v>
      </c>
      <c r="F71">
        <v>41.136000000000003</v>
      </c>
      <c r="G71">
        <v>40.944000000000003</v>
      </c>
      <c r="H71">
        <v>155.822</v>
      </c>
      <c r="I71">
        <v>155.81200000000001</v>
      </c>
      <c r="L71">
        <v>155.869</v>
      </c>
      <c r="M71">
        <v>155.71299999999999</v>
      </c>
      <c r="N71">
        <v>27.28</v>
      </c>
      <c r="O71">
        <v>27.425999999999998</v>
      </c>
      <c r="R71">
        <v>17.238</v>
      </c>
      <c r="S71">
        <v>17.318999999999999</v>
      </c>
      <c r="T71">
        <v>34.405999999999999</v>
      </c>
      <c r="U71">
        <v>33.100999999999999</v>
      </c>
      <c r="W71">
        <v>0.114</v>
      </c>
      <c r="X71">
        <v>1.7999999999999999E-2</v>
      </c>
      <c r="Z71">
        <v>2.9000000000000001E-2</v>
      </c>
      <c r="AA71">
        <v>-8.8999999999999996E-2</v>
      </c>
      <c r="AB71">
        <v>7.1999999999999995E-2</v>
      </c>
      <c r="AC71">
        <v>0.114</v>
      </c>
      <c r="AD71">
        <v>1.7999999999999999E-2</v>
      </c>
      <c r="AE71">
        <v>4.5999999999999999E-2</v>
      </c>
      <c r="AF71">
        <v>2.9000000000000001E-2</v>
      </c>
      <c r="AG71">
        <v>-6.0000000000000001E-3</v>
      </c>
      <c r="AH71">
        <v>-8.8999999999999996E-2</v>
      </c>
      <c r="AI71">
        <v>-2.8000000000000001E-2</v>
      </c>
    </row>
    <row r="72" spans="1:35" x14ac:dyDescent="0.25">
      <c r="A72" t="s">
        <v>1559</v>
      </c>
      <c r="B72" t="s">
        <v>31</v>
      </c>
      <c r="C72" s="25">
        <v>43704.56521990741</v>
      </c>
      <c r="D72" s="741" t="s">
        <v>969</v>
      </c>
      <c r="E72" s="424">
        <f t="array" ref="E72">SUMPRODUCT(IF(AMP3_4[[#This Row],[Dim 1_1]:[T 8]]-$F$4:$AI$4&lt;0,1,0)+IF($F$5:$AI$5-AMP3_4[[#This Row],[Dim 1_1]:[T 8]]&lt;0,1,0),IF(ISNUMBER(AMP3_4[[#This Row],[Dim 1_1]:[T 8]])=TRUE,1,0))</f>
        <v>0</v>
      </c>
      <c r="H72">
        <v>155.83199999999999</v>
      </c>
      <c r="I72">
        <v>155.89599999999999</v>
      </c>
      <c r="J72">
        <v>168.73699999999999</v>
      </c>
      <c r="K72">
        <v>168.59200000000001</v>
      </c>
      <c r="L72">
        <v>155.93199999999999</v>
      </c>
      <c r="M72">
        <v>155.81</v>
      </c>
      <c r="N72">
        <v>27.221</v>
      </c>
      <c r="O72">
        <v>27.463999999999999</v>
      </c>
      <c r="R72">
        <v>17.254000000000001</v>
      </c>
      <c r="S72">
        <v>17.134</v>
      </c>
      <c r="T72">
        <v>37.801000000000002</v>
      </c>
      <c r="U72">
        <v>39.006999999999998</v>
      </c>
      <c r="W72">
        <v>0.14199999999999999</v>
      </c>
      <c r="X72">
        <v>-0.22500000000000001</v>
      </c>
      <c r="Z72">
        <v>-2.3E-2</v>
      </c>
      <c r="AA72">
        <v>-0.214</v>
      </c>
      <c r="AB72">
        <v>0.104</v>
      </c>
      <c r="AC72">
        <v>-0.185</v>
      </c>
      <c r="AD72">
        <v>0.14199999999999999</v>
      </c>
      <c r="AE72">
        <v>-0.22500000000000001</v>
      </c>
      <c r="AF72">
        <v>-4.4999999999999998E-2</v>
      </c>
      <c r="AG72">
        <v>-5.7000000000000002E-2</v>
      </c>
      <c r="AH72">
        <v>-0.214</v>
      </c>
      <c r="AI72">
        <v>-2.3E-2</v>
      </c>
    </row>
    <row r="73" spans="1:35" x14ac:dyDescent="0.25">
      <c r="A73" t="s">
        <v>1560</v>
      </c>
      <c r="B73" t="s">
        <v>32</v>
      </c>
      <c r="C73" s="25">
        <v>43704.690601851849</v>
      </c>
      <c r="D73" s="741" t="s">
        <v>969</v>
      </c>
      <c r="E73" s="424">
        <f t="array" ref="E73">SUMPRODUCT(IF(AMP3_4[[#This Row],[Dim 1_1]:[T 8]]-$F$4:$AI$4&lt;0,1,0)+IF($F$5:$AI$5-AMP3_4[[#This Row],[Dim 1_1]:[T 8]]&lt;0,1,0),IF(ISNUMBER(AMP3_4[[#This Row],[Dim 1_1]:[T 8]])=TRUE,1,0))</f>
        <v>0</v>
      </c>
      <c r="F73">
        <v>41.223999999999997</v>
      </c>
      <c r="G73">
        <v>41.185000000000002</v>
      </c>
      <c r="H73">
        <v>155.80799999999999</v>
      </c>
      <c r="I73">
        <v>155.82499999999999</v>
      </c>
      <c r="L73">
        <v>155.90299999999999</v>
      </c>
      <c r="M73">
        <v>155.751</v>
      </c>
      <c r="N73">
        <v>27.218</v>
      </c>
      <c r="O73">
        <v>27.341000000000001</v>
      </c>
      <c r="R73">
        <v>17.204999999999998</v>
      </c>
      <c r="S73">
        <v>17.257000000000001</v>
      </c>
      <c r="T73">
        <v>33.594000000000001</v>
      </c>
      <c r="U73">
        <v>33.917999999999999</v>
      </c>
      <c r="W73">
        <v>-1.6E-2</v>
      </c>
      <c r="X73">
        <v>-0.18</v>
      </c>
      <c r="Z73">
        <v>1.2999999999999999E-2</v>
      </c>
      <c r="AA73">
        <v>-5.1999999999999998E-2</v>
      </c>
      <c r="AB73">
        <v>-5.8000000000000003E-2</v>
      </c>
      <c r="AC73">
        <v>-1.6E-2</v>
      </c>
      <c r="AD73">
        <v>-4.1000000000000002E-2</v>
      </c>
      <c r="AE73">
        <v>-0.18</v>
      </c>
      <c r="AF73">
        <v>1.2999999999999999E-2</v>
      </c>
      <c r="AG73">
        <v>-2.8000000000000001E-2</v>
      </c>
      <c r="AH73">
        <v>-5.1999999999999998E-2</v>
      </c>
      <c r="AI73">
        <v>0</v>
      </c>
    </row>
    <row r="74" spans="1:35" x14ac:dyDescent="0.25">
      <c r="A74" t="s">
        <v>1561</v>
      </c>
      <c r="B74" t="s">
        <v>31</v>
      </c>
      <c r="C74" s="25">
        <v>43704.692152777781</v>
      </c>
      <c r="D74" s="741" t="s">
        <v>969</v>
      </c>
      <c r="E74" s="424">
        <f t="array" ref="E74">SUMPRODUCT(IF(AMP3_4[[#This Row],[Dim 1_1]:[T 8]]-$F$4:$AI$4&lt;0,1,0)+IF($F$5:$AI$5-AMP3_4[[#This Row],[Dim 1_1]:[T 8]]&lt;0,1,0),IF(ISNUMBER(AMP3_4[[#This Row],[Dim 1_1]:[T 8]])=TRUE,1,0))</f>
        <v>0</v>
      </c>
      <c r="H74">
        <v>155.87299999999999</v>
      </c>
      <c r="I74">
        <v>155.91499999999999</v>
      </c>
      <c r="J74">
        <v>168.81899999999999</v>
      </c>
      <c r="K74">
        <v>168.679</v>
      </c>
      <c r="L74">
        <v>155.95699999999999</v>
      </c>
      <c r="M74">
        <v>155.834</v>
      </c>
      <c r="N74">
        <v>27.228999999999999</v>
      </c>
      <c r="O74">
        <v>27.46</v>
      </c>
      <c r="R74">
        <v>17.222000000000001</v>
      </c>
      <c r="S74">
        <v>17.088999999999999</v>
      </c>
      <c r="T74">
        <v>36.734000000000002</v>
      </c>
      <c r="U74">
        <v>37.634999999999998</v>
      </c>
      <c r="W74">
        <v>0.159</v>
      </c>
      <c r="X74">
        <v>-0.28199999999999997</v>
      </c>
      <c r="Z74">
        <v>-5.0000000000000001E-3</v>
      </c>
      <c r="AA74">
        <v>-0.18</v>
      </c>
      <c r="AB74">
        <v>8.3000000000000004E-2</v>
      </c>
      <c r="AC74">
        <v>-0.20499999999999999</v>
      </c>
      <c r="AD74">
        <v>0.159</v>
      </c>
      <c r="AE74">
        <v>-0.28199999999999997</v>
      </c>
      <c r="AF74">
        <v>-6.3E-2</v>
      </c>
      <c r="AG74">
        <v>-0.06</v>
      </c>
      <c r="AH74">
        <v>-0.18</v>
      </c>
      <c r="AI74">
        <v>-5.0000000000000001E-3</v>
      </c>
    </row>
    <row r="75" spans="1:35" x14ac:dyDescent="0.25">
      <c r="A75" t="s">
        <v>1562</v>
      </c>
      <c r="B75" t="s">
        <v>32</v>
      </c>
      <c r="C75" s="25">
        <v>43704.812905092593</v>
      </c>
      <c r="D75" s="741" t="s">
        <v>969</v>
      </c>
      <c r="E75" s="424">
        <f t="array" ref="E75">SUMPRODUCT(IF(AMP3_4[[#This Row],[Dim 1_1]:[T 8]]-$F$4:$AI$4&lt;0,1,0)+IF($F$5:$AI$5-AMP3_4[[#This Row],[Dim 1_1]:[T 8]]&lt;0,1,0),IF(ISNUMBER(AMP3_4[[#This Row],[Dim 1_1]:[T 8]])=TRUE,1,0))</f>
        <v>0</v>
      </c>
      <c r="F75">
        <v>41.014000000000003</v>
      </c>
      <c r="G75">
        <v>40.941000000000003</v>
      </c>
      <c r="H75">
        <v>155.941</v>
      </c>
      <c r="I75">
        <v>156.11000000000001</v>
      </c>
      <c r="L75">
        <v>156.01300000000001</v>
      </c>
      <c r="M75">
        <v>155.84299999999999</v>
      </c>
      <c r="N75">
        <v>27.117999999999999</v>
      </c>
      <c r="O75">
        <v>27.260999999999999</v>
      </c>
      <c r="R75">
        <v>17.22</v>
      </c>
      <c r="S75">
        <v>17.2</v>
      </c>
      <c r="T75">
        <v>33.591999999999999</v>
      </c>
      <c r="U75">
        <v>34.026000000000003</v>
      </c>
      <c r="W75">
        <v>0.11700000000000001</v>
      </c>
      <c r="X75">
        <v>-0.13600000000000001</v>
      </c>
      <c r="Z75">
        <v>-2.4E-2</v>
      </c>
      <c r="AA75">
        <v>-0.221</v>
      </c>
      <c r="AB75">
        <v>-0.13600000000000001</v>
      </c>
      <c r="AC75">
        <v>-9.5000000000000001E-2</v>
      </c>
      <c r="AD75">
        <v>9.8000000000000004E-2</v>
      </c>
      <c r="AE75">
        <v>0.11700000000000001</v>
      </c>
      <c r="AF75">
        <v>-0.19500000000000001</v>
      </c>
      <c r="AG75">
        <v>-0.221</v>
      </c>
      <c r="AH75">
        <v>-2.4E-2</v>
      </c>
      <c r="AI75">
        <v>-0.13500000000000001</v>
      </c>
    </row>
    <row r="76" spans="1:35" x14ac:dyDescent="0.25">
      <c r="A76" t="s">
        <v>1563</v>
      </c>
      <c r="B76" t="s">
        <v>31</v>
      </c>
      <c r="C76" s="25">
        <v>43704.814432870371</v>
      </c>
      <c r="D76" s="741" t="s">
        <v>969</v>
      </c>
      <c r="E76" s="424">
        <f t="array" ref="E76">SUMPRODUCT(IF(AMP3_4[[#This Row],[Dim 1_1]:[T 8]]-$F$4:$AI$4&lt;0,1,0)+IF($F$5:$AI$5-AMP3_4[[#This Row],[Dim 1_1]:[T 8]]&lt;0,1,0),IF(ISNUMBER(AMP3_4[[#This Row],[Dim 1_1]:[T 8]])=TRUE,1,0))</f>
        <v>5</v>
      </c>
      <c r="H76">
        <v>156.066</v>
      </c>
      <c r="I76">
        <v>156.465</v>
      </c>
      <c r="J76">
        <v>168.828</v>
      </c>
      <c r="K76">
        <v>168.65299999999999</v>
      </c>
      <c r="L76">
        <v>156.059</v>
      </c>
      <c r="M76">
        <v>155.94999999999999</v>
      </c>
      <c r="N76">
        <v>27.097000000000001</v>
      </c>
      <c r="O76">
        <v>27.321000000000002</v>
      </c>
      <c r="R76">
        <v>17.225000000000001</v>
      </c>
      <c r="S76">
        <v>17.178999999999998</v>
      </c>
      <c r="T76">
        <v>36.709000000000003</v>
      </c>
      <c r="U76">
        <v>38.515999999999998</v>
      </c>
      <c r="W76">
        <v>5.1999999999999998E-2</v>
      </c>
      <c r="X76">
        <v>-0.84399999999999997</v>
      </c>
      <c r="Z76">
        <v>-0.159</v>
      </c>
      <c r="AA76">
        <v>-1.1619999999999999</v>
      </c>
      <c r="AB76">
        <v>5.1999999999999998E-2</v>
      </c>
      <c r="AC76">
        <v>-0.252</v>
      </c>
      <c r="AD76">
        <v>-0.43</v>
      </c>
      <c r="AE76">
        <v>-0.84399999999999997</v>
      </c>
      <c r="AF76">
        <v>-0.159</v>
      </c>
      <c r="AG76">
        <v>-0.17699999999999999</v>
      </c>
      <c r="AH76">
        <v>-1.1619999999999999</v>
      </c>
      <c r="AI76">
        <v>-0.99199999999999999</v>
      </c>
    </row>
    <row r="77" spans="1:35" x14ac:dyDescent="0.25">
      <c r="A77" t="s">
        <v>1564</v>
      </c>
      <c r="B77" t="s">
        <v>31</v>
      </c>
      <c r="C77" s="25">
        <v>43704.891041666669</v>
      </c>
      <c r="D77" s="741" t="s">
        <v>969</v>
      </c>
      <c r="E77" s="424">
        <f t="array" ref="E77">SUMPRODUCT(IF(AMP3_4[[#This Row],[Dim 1_1]:[T 8]]-$F$4:$AI$4&lt;0,1,0)+IF($F$5:$AI$5-AMP3_4[[#This Row],[Dim 1_1]:[T 8]]&lt;0,1,0),IF(ISNUMBER(AMP3_4[[#This Row],[Dim 1_1]:[T 8]])=TRUE,1,0))</f>
        <v>0</v>
      </c>
      <c r="H77">
        <v>155.81899999999999</v>
      </c>
      <c r="I77">
        <v>155.88399999999999</v>
      </c>
      <c r="J77">
        <v>168.684</v>
      </c>
      <c r="K77">
        <v>168.58</v>
      </c>
      <c r="L77">
        <v>155.91200000000001</v>
      </c>
      <c r="M77">
        <v>155.82599999999999</v>
      </c>
      <c r="N77">
        <v>27.234999999999999</v>
      </c>
      <c r="O77">
        <v>27.427</v>
      </c>
      <c r="R77">
        <v>17.228000000000002</v>
      </c>
      <c r="S77">
        <v>17.295000000000002</v>
      </c>
      <c r="T77">
        <v>37.334000000000003</v>
      </c>
      <c r="U77">
        <v>38.161000000000001</v>
      </c>
      <c r="W77">
        <v>6.6000000000000003E-2</v>
      </c>
      <c r="X77">
        <v>-0.45400000000000001</v>
      </c>
      <c r="Z77">
        <v>-4.5999999999999999E-2</v>
      </c>
      <c r="AA77">
        <v>-0.35899999999999999</v>
      </c>
      <c r="AB77">
        <v>6.6000000000000003E-2</v>
      </c>
      <c r="AC77">
        <v>-0.223</v>
      </c>
      <c r="AD77">
        <v>-5.7000000000000002E-2</v>
      </c>
      <c r="AE77">
        <v>-0.45400000000000001</v>
      </c>
      <c r="AF77">
        <v>-4.5999999999999999E-2</v>
      </c>
      <c r="AG77">
        <v>-5.7000000000000002E-2</v>
      </c>
      <c r="AH77">
        <v>-0.35899999999999999</v>
      </c>
      <c r="AI77">
        <v>-0.19700000000000001</v>
      </c>
    </row>
    <row r="78" spans="1:35" x14ac:dyDescent="0.25">
      <c r="A78" t="s">
        <v>1565</v>
      </c>
      <c r="B78" t="s">
        <v>32</v>
      </c>
      <c r="C78" s="25">
        <v>43704.892743055556</v>
      </c>
      <c r="D78" s="741" t="s">
        <v>969</v>
      </c>
      <c r="E78" s="424">
        <f t="array" ref="E78">SUMPRODUCT(IF(AMP3_4[[#This Row],[Dim 1_1]:[T 8]]-$F$4:$AI$4&lt;0,1,0)+IF($F$5:$AI$5-AMP3_4[[#This Row],[Dim 1_1]:[T 8]]&lt;0,1,0),IF(ISNUMBER(AMP3_4[[#This Row],[Dim 1_1]:[T 8]])=TRUE,1,0))</f>
        <v>0</v>
      </c>
      <c r="F78">
        <v>41.125999999999998</v>
      </c>
      <c r="G78">
        <v>40.994999999999997</v>
      </c>
      <c r="H78">
        <v>155.81299999999999</v>
      </c>
      <c r="I78">
        <v>155.816</v>
      </c>
      <c r="L78">
        <v>155.88900000000001</v>
      </c>
      <c r="M78">
        <v>155.71899999999999</v>
      </c>
      <c r="N78">
        <v>27.253</v>
      </c>
      <c r="O78">
        <v>27.396000000000001</v>
      </c>
      <c r="R78">
        <v>17.239000000000001</v>
      </c>
      <c r="S78">
        <v>17.073</v>
      </c>
      <c r="T78">
        <v>33.494</v>
      </c>
      <c r="U78">
        <v>34.158000000000001</v>
      </c>
      <c r="W78">
        <v>0.21099999999999999</v>
      </c>
      <c r="X78">
        <v>4.0000000000000001E-3</v>
      </c>
      <c r="Z78">
        <v>0.22500000000000001</v>
      </c>
      <c r="AA78">
        <v>3.0000000000000001E-3</v>
      </c>
      <c r="AB78">
        <v>4.0000000000000001E-3</v>
      </c>
      <c r="AC78">
        <v>4.2000000000000003E-2</v>
      </c>
      <c r="AD78">
        <v>0.21099999999999999</v>
      </c>
      <c r="AE78">
        <v>0.129</v>
      </c>
      <c r="AF78">
        <v>3.1E-2</v>
      </c>
      <c r="AG78">
        <v>3.0000000000000001E-3</v>
      </c>
      <c r="AH78">
        <v>0.154</v>
      </c>
      <c r="AI78">
        <v>0.22500000000000001</v>
      </c>
    </row>
    <row r="79" spans="1:35" x14ac:dyDescent="0.25">
      <c r="A79" t="s">
        <v>1566</v>
      </c>
      <c r="B79" t="s">
        <v>32</v>
      </c>
      <c r="C79" s="25">
        <v>43704.990601851852</v>
      </c>
      <c r="D79" s="741" t="s">
        <v>969</v>
      </c>
      <c r="E79" s="424">
        <f t="array" ref="E79">SUMPRODUCT(IF(AMP3_4[[#This Row],[Dim 1_1]:[T 8]]-$F$4:$AI$4&lt;0,1,0)+IF($F$5:$AI$5-AMP3_4[[#This Row],[Dim 1_1]:[T 8]]&lt;0,1,0),IF(ISNUMBER(AMP3_4[[#This Row],[Dim 1_1]:[T 8]])=TRUE,1,0))</f>
        <v>0</v>
      </c>
      <c r="F79">
        <v>41.258000000000003</v>
      </c>
      <c r="G79">
        <v>41.088999999999999</v>
      </c>
      <c r="H79">
        <v>155.744</v>
      </c>
      <c r="I79">
        <v>155.78</v>
      </c>
      <c r="L79">
        <v>155.83699999999999</v>
      </c>
      <c r="M79">
        <v>155.67099999999999</v>
      </c>
      <c r="N79">
        <v>27.314</v>
      </c>
      <c r="O79">
        <v>27.436</v>
      </c>
      <c r="R79">
        <v>17.198</v>
      </c>
      <c r="S79">
        <v>17.245000000000001</v>
      </c>
      <c r="T79">
        <v>33.472000000000001</v>
      </c>
      <c r="U79">
        <v>33.872</v>
      </c>
      <c r="W79">
        <v>9.1999999999999998E-2</v>
      </c>
      <c r="X79">
        <v>2.8000000000000001E-2</v>
      </c>
      <c r="Z79">
        <v>5.6000000000000001E-2</v>
      </c>
      <c r="AA79">
        <v>-8.2000000000000003E-2</v>
      </c>
      <c r="AB79">
        <v>5.2999999999999999E-2</v>
      </c>
      <c r="AC79">
        <v>9.1999999999999998E-2</v>
      </c>
      <c r="AD79">
        <v>2.8000000000000001E-2</v>
      </c>
      <c r="AE79">
        <v>3.2000000000000001E-2</v>
      </c>
      <c r="AF79">
        <v>5.6000000000000001E-2</v>
      </c>
      <c r="AG79">
        <v>4.2000000000000003E-2</v>
      </c>
      <c r="AH79">
        <v>-8.2000000000000003E-2</v>
      </c>
      <c r="AI79">
        <v>5.6000000000000001E-2</v>
      </c>
    </row>
    <row r="80" spans="1:35" x14ac:dyDescent="0.25">
      <c r="A80" t="s">
        <v>1567</v>
      </c>
      <c r="B80" t="s">
        <v>31</v>
      </c>
      <c r="C80" s="25">
        <v>43704.9921412037</v>
      </c>
      <c r="D80" s="741" t="s">
        <v>969</v>
      </c>
      <c r="E80" s="424">
        <f t="array" ref="E80">SUMPRODUCT(IF(AMP3_4[[#This Row],[Dim 1_1]:[T 8]]-$F$4:$AI$4&lt;0,1,0)+IF($F$5:$AI$5-AMP3_4[[#This Row],[Dim 1_1]:[T 8]]&lt;0,1,0),IF(ISNUMBER(AMP3_4[[#This Row],[Dim 1_1]:[T 8]])=TRUE,1,0))</f>
        <v>0</v>
      </c>
      <c r="H80">
        <v>155.81399999999999</v>
      </c>
      <c r="I80">
        <v>155.88499999999999</v>
      </c>
      <c r="J80">
        <v>168.72200000000001</v>
      </c>
      <c r="K80">
        <v>168.54499999999999</v>
      </c>
      <c r="L80">
        <v>155.88200000000001</v>
      </c>
      <c r="M80">
        <v>155.77600000000001</v>
      </c>
      <c r="N80">
        <v>27.26</v>
      </c>
      <c r="O80">
        <v>27.466000000000001</v>
      </c>
      <c r="R80">
        <v>17.254999999999999</v>
      </c>
      <c r="S80">
        <v>17.100000000000001</v>
      </c>
      <c r="T80">
        <v>37.76</v>
      </c>
      <c r="U80">
        <v>38.094000000000001</v>
      </c>
      <c r="W80">
        <v>0.14399999999999999</v>
      </c>
      <c r="X80">
        <v>-0.29599999999999999</v>
      </c>
      <c r="Z80">
        <v>-1.2E-2</v>
      </c>
      <c r="AA80">
        <v>-0.192</v>
      </c>
      <c r="AB80">
        <v>0.14399999999999999</v>
      </c>
      <c r="AC80">
        <v>-0.16</v>
      </c>
      <c r="AD80">
        <v>0.113</v>
      </c>
      <c r="AE80">
        <v>-0.29599999999999999</v>
      </c>
      <c r="AF80">
        <v>-1.4E-2</v>
      </c>
      <c r="AG80">
        <v>-1.2E-2</v>
      </c>
      <c r="AH80">
        <v>-0.192</v>
      </c>
      <c r="AI80">
        <v>-5.3999999999999999E-2</v>
      </c>
    </row>
    <row r="81" spans="1:35" x14ac:dyDescent="0.25">
      <c r="A81" t="s">
        <v>1881</v>
      </c>
      <c r="B81" t="s">
        <v>32</v>
      </c>
      <c r="C81" s="25">
        <v>43705.536643518521</v>
      </c>
      <c r="D81" s="741" t="s">
        <v>969</v>
      </c>
      <c r="E81" s="424">
        <f t="array" ref="E81">SUMPRODUCT(IF(AMP3_4[[#This Row],[Dim 1_1]:[T 8]]-$F$4:$AI$4&lt;0,1,0)+IF($F$5:$AI$5-AMP3_4[[#This Row],[Dim 1_1]:[T 8]]&lt;0,1,0),IF(ISNUMBER(AMP3_4[[#This Row],[Dim 1_1]:[T 8]])=TRUE,1,0))</f>
        <v>0</v>
      </c>
      <c r="F81">
        <v>41.152999999999999</v>
      </c>
      <c r="G81">
        <v>41.039000000000001</v>
      </c>
      <c r="H81">
        <v>155.86699999999999</v>
      </c>
      <c r="I81">
        <v>155.845</v>
      </c>
      <c r="L81">
        <v>155.995</v>
      </c>
      <c r="M81">
        <v>155.83500000000001</v>
      </c>
      <c r="N81">
        <v>27.146999999999998</v>
      </c>
      <c r="O81">
        <v>27.308</v>
      </c>
      <c r="R81">
        <v>17.231000000000002</v>
      </c>
      <c r="S81">
        <v>17.244</v>
      </c>
      <c r="T81">
        <v>33.682000000000002</v>
      </c>
      <c r="U81">
        <v>34.371000000000002</v>
      </c>
      <c r="W81">
        <v>-6.0999999999999999E-2</v>
      </c>
      <c r="X81">
        <v>-0.14799999999999999</v>
      </c>
      <c r="Z81">
        <v>4.8000000000000001E-2</v>
      </c>
      <c r="AA81">
        <v>-0.05</v>
      </c>
      <c r="AB81">
        <v>-0.10299999999999999</v>
      </c>
      <c r="AC81">
        <v>-6.3E-2</v>
      </c>
      <c r="AD81">
        <v>-6.0999999999999999E-2</v>
      </c>
      <c r="AE81">
        <v>-0.14799999999999999</v>
      </c>
      <c r="AF81">
        <v>-1E-3</v>
      </c>
      <c r="AG81">
        <v>-1.7000000000000001E-2</v>
      </c>
      <c r="AH81">
        <v>-0.05</v>
      </c>
      <c r="AI81">
        <v>4.8000000000000001E-2</v>
      </c>
    </row>
    <row r="82" spans="1:35" x14ac:dyDescent="0.25">
      <c r="A82" t="s">
        <v>1882</v>
      </c>
      <c r="B82" t="s">
        <v>31</v>
      </c>
      <c r="C82" s="25">
        <v>43705.538668981484</v>
      </c>
      <c r="D82" s="741" t="s">
        <v>969</v>
      </c>
      <c r="E82" s="424">
        <f t="array" ref="E82">SUMPRODUCT(IF(AMP3_4[[#This Row],[Dim 1_1]:[T 8]]-$F$4:$AI$4&lt;0,1,0)+IF($F$5:$AI$5-AMP3_4[[#This Row],[Dim 1_1]:[T 8]]&lt;0,1,0),IF(ISNUMBER(AMP3_4[[#This Row],[Dim 1_1]:[T 8]])=TRUE,1,0))</f>
        <v>0</v>
      </c>
      <c r="H82">
        <v>155.93700000000001</v>
      </c>
      <c r="I82">
        <v>155.97499999999999</v>
      </c>
      <c r="J82">
        <v>168.79400000000001</v>
      </c>
      <c r="K82">
        <v>168.70699999999999</v>
      </c>
      <c r="L82">
        <v>155.94800000000001</v>
      </c>
      <c r="M82">
        <v>155.84800000000001</v>
      </c>
      <c r="N82">
        <v>27.244</v>
      </c>
      <c r="O82">
        <v>27.443999999999999</v>
      </c>
      <c r="R82">
        <v>17.265999999999998</v>
      </c>
      <c r="S82">
        <v>17.199000000000002</v>
      </c>
      <c r="T82">
        <v>36.966000000000001</v>
      </c>
      <c r="U82">
        <v>37.613</v>
      </c>
      <c r="W82">
        <v>0.13100000000000001</v>
      </c>
      <c r="X82">
        <v>-0.28699999999999998</v>
      </c>
      <c r="Z82">
        <v>-0.02</v>
      </c>
      <c r="AA82">
        <v>-0.156</v>
      </c>
      <c r="AB82">
        <v>0.10299999999999999</v>
      </c>
      <c r="AC82">
        <v>-0.187</v>
      </c>
      <c r="AD82">
        <v>0.13100000000000001</v>
      </c>
      <c r="AE82">
        <v>-0.28699999999999998</v>
      </c>
      <c r="AF82">
        <v>-4.2000000000000003E-2</v>
      </c>
      <c r="AG82">
        <v>-4.5999999999999999E-2</v>
      </c>
      <c r="AH82">
        <v>-0.156</v>
      </c>
      <c r="AI82">
        <v>-0.02</v>
      </c>
    </row>
    <row r="83" spans="1:35" x14ac:dyDescent="0.25">
      <c r="A83" t="s">
        <v>1883</v>
      </c>
      <c r="B83" t="s">
        <v>32</v>
      </c>
      <c r="C83" s="25">
        <v>43705.716666666667</v>
      </c>
      <c r="D83" s="741" t="s">
        <v>969</v>
      </c>
      <c r="E83" s="424">
        <f t="array" ref="E83">SUMPRODUCT(IF(AMP3_4[[#This Row],[Dim 1_1]:[T 8]]-$F$4:$AI$4&lt;0,1,0)+IF($F$5:$AI$5-AMP3_4[[#This Row],[Dim 1_1]:[T 8]]&lt;0,1,0),IF(ISNUMBER(AMP3_4[[#This Row],[Dim 1_1]:[T 8]])=TRUE,1,0))</f>
        <v>0</v>
      </c>
      <c r="F83">
        <v>41.127000000000002</v>
      </c>
      <c r="G83">
        <v>41.097999999999999</v>
      </c>
      <c r="H83">
        <v>155.88300000000001</v>
      </c>
      <c r="I83">
        <v>155.864</v>
      </c>
      <c r="L83">
        <v>155.94499999999999</v>
      </c>
      <c r="M83">
        <v>155.79499999999999</v>
      </c>
      <c r="N83">
        <v>27.195</v>
      </c>
      <c r="O83">
        <v>27.314</v>
      </c>
      <c r="R83">
        <v>17.209</v>
      </c>
      <c r="S83">
        <v>17.138000000000002</v>
      </c>
      <c r="T83">
        <v>33.558999999999997</v>
      </c>
      <c r="U83">
        <v>34.1</v>
      </c>
      <c r="W83">
        <v>7.1999999999999995E-2</v>
      </c>
      <c r="X83">
        <v>-5.7000000000000002E-2</v>
      </c>
      <c r="Z83">
        <v>0.13400000000000001</v>
      </c>
      <c r="AA83">
        <v>-7.0000000000000001E-3</v>
      </c>
      <c r="AB83">
        <v>-5.7000000000000002E-2</v>
      </c>
      <c r="AC83">
        <v>-6.0000000000000001E-3</v>
      </c>
      <c r="AD83">
        <v>7.1999999999999995E-2</v>
      </c>
      <c r="AE83">
        <v>0.04</v>
      </c>
      <c r="AF83">
        <v>1.9E-2</v>
      </c>
      <c r="AG83">
        <v>-7.0000000000000001E-3</v>
      </c>
      <c r="AH83">
        <v>5.7000000000000002E-2</v>
      </c>
      <c r="AI83">
        <v>0.13400000000000001</v>
      </c>
    </row>
    <row r="84" spans="1:35" x14ac:dyDescent="0.25">
      <c r="A84" t="s">
        <v>1884</v>
      </c>
      <c r="B84" t="s">
        <v>31</v>
      </c>
      <c r="C84" s="25">
        <v>43705.718159722222</v>
      </c>
      <c r="D84" s="741" t="s">
        <v>969</v>
      </c>
      <c r="E84" s="424">
        <f t="array" ref="E84">SUMPRODUCT(IF(AMP3_4[[#This Row],[Dim 1_1]:[T 8]]-$F$4:$AI$4&lt;0,1,0)+IF($F$5:$AI$5-AMP3_4[[#This Row],[Dim 1_1]:[T 8]]&lt;0,1,0),IF(ISNUMBER(AMP3_4[[#This Row],[Dim 1_1]:[T 8]])=TRUE,1,0))</f>
        <v>0</v>
      </c>
      <c r="H84">
        <v>155.892</v>
      </c>
      <c r="I84">
        <v>155.94200000000001</v>
      </c>
      <c r="J84">
        <v>168.797</v>
      </c>
      <c r="K84">
        <v>168.67400000000001</v>
      </c>
      <c r="L84">
        <v>156.006</v>
      </c>
      <c r="M84">
        <v>155.869</v>
      </c>
      <c r="N84">
        <v>27.184000000000001</v>
      </c>
      <c r="O84">
        <v>27.417999999999999</v>
      </c>
      <c r="R84">
        <v>17.242999999999999</v>
      </c>
      <c r="S84">
        <v>17.22</v>
      </c>
      <c r="T84">
        <v>38.015000000000001</v>
      </c>
      <c r="U84">
        <v>39.643000000000001</v>
      </c>
      <c r="W84">
        <v>8.2000000000000003E-2</v>
      </c>
      <c r="X84">
        <v>-0.40699999999999997</v>
      </c>
      <c r="Z84">
        <v>8.9999999999999993E-3</v>
      </c>
      <c r="AA84">
        <v>-0.22900000000000001</v>
      </c>
      <c r="AB84">
        <v>8.2000000000000003E-2</v>
      </c>
      <c r="AC84">
        <v>-0.23100000000000001</v>
      </c>
      <c r="AD84">
        <v>5.7000000000000002E-2</v>
      </c>
      <c r="AE84">
        <v>-0.40699999999999997</v>
      </c>
      <c r="AF84">
        <v>-8.9999999999999993E-3</v>
      </c>
      <c r="AG84">
        <v>8.9999999999999993E-3</v>
      </c>
      <c r="AH84">
        <v>-0.22900000000000001</v>
      </c>
      <c r="AI84">
        <v>-5.1999999999999998E-2</v>
      </c>
    </row>
    <row r="85" spans="1:35" x14ac:dyDescent="0.25">
      <c r="A85" t="s">
        <v>1885</v>
      </c>
      <c r="B85" t="s">
        <v>32</v>
      </c>
      <c r="C85" s="25">
        <v>43705.729456018518</v>
      </c>
      <c r="D85" s="741" t="s">
        <v>969</v>
      </c>
      <c r="E85" s="424">
        <f t="array" ref="E85">SUMPRODUCT(IF(AMP3_4[[#This Row],[Dim 1_1]:[T 8]]-$F$4:$AI$4&lt;0,1,0)+IF($F$5:$AI$5-AMP3_4[[#This Row],[Dim 1_1]:[T 8]]&lt;0,1,0),IF(ISNUMBER(AMP3_4[[#This Row],[Dim 1_1]:[T 8]])=TRUE,1,0))</f>
        <v>0</v>
      </c>
      <c r="F85">
        <v>41.094999999999999</v>
      </c>
      <c r="G85">
        <v>41.064</v>
      </c>
      <c r="H85">
        <v>155.84399999999999</v>
      </c>
      <c r="I85">
        <v>155.851</v>
      </c>
      <c r="L85">
        <v>155.92400000000001</v>
      </c>
      <c r="M85">
        <v>155.755</v>
      </c>
      <c r="N85">
        <v>27.172999999999998</v>
      </c>
      <c r="O85">
        <v>27.303000000000001</v>
      </c>
      <c r="R85">
        <v>17.210999999999999</v>
      </c>
      <c r="S85">
        <v>17.158000000000001</v>
      </c>
      <c r="T85">
        <v>33.610999999999997</v>
      </c>
      <c r="U85">
        <v>34.067999999999998</v>
      </c>
      <c r="W85">
        <v>0.113</v>
      </c>
      <c r="X85">
        <v>2.9000000000000001E-2</v>
      </c>
      <c r="Z85">
        <v>0.127</v>
      </c>
      <c r="AA85">
        <v>5.1999999999999998E-2</v>
      </c>
      <c r="AB85">
        <v>2.9000000000000001E-2</v>
      </c>
      <c r="AC85">
        <v>7.5999999999999998E-2</v>
      </c>
      <c r="AD85">
        <v>0.106</v>
      </c>
      <c r="AE85">
        <v>0.113</v>
      </c>
      <c r="AF85">
        <v>8.8999999999999996E-2</v>
      </c>
      <c r="AG85">
        <v>5.1999999999999998E-2</v>
      </c>
      <c r="AH85">
        <v>5.1999999999999998E-2</v>
      </c>
      <c r="AI85">
        <v>0.127</v>
      </c>
    </row>
    <row r="86" spans="1:35" x14ac:dyDescent="0.25">
      <c r="A86" t="s">
        <v>1886</v>
      </c>
      <c r="B86" t="s">
        <v>31</v>
      </c>
      <c r="C86" s="25">
        <v>43705.73133101852</v>
      </c>
      <c r="D86" s="741" t="s">
        <v>969</v>
      </c>
      <c r="E86" s="424">
        <f t="array" ref="E86">SUMPRODUCT(IF(AMP3_4[[#This Row],[Dim 1_1]:[T 8]]-$F$4:$AI$4&lt;0,1,0)+IF($F$5:$AI$5-AMP3_4[[#This Row],[Dim 1_1]:[T 8]]&lt;0,1,0),IF(ISNUMBER(AMP3_4[[#This Row],[Dim 1_1]:[T 8]])=TRUE,1,0))</f>
        <v>0</v>
      </c>
      <c r="H86">
        <v>155.86000000000001</v>
      </c>
      <c r="I86">
        <v>155.904</v>
      </c>
      <c r="J86">
        <v>168.69200000000001</v>
      </c>
      <c r="K86">
        <v>168.56200000000001</v>
      </c>
      <c r="L86">
        <v>155.93299999999999</v>
      </c>
      <c r="M86">
        <v>155.80600000000001</v>
      </c>
      <c r="N86">
        <v>27.244</v>
      </c>
      <c r="O86">
        <v>27.469000000000001</v>
      </c>
      <c r="R86">
        <v>17.231999999999999</v>
      </c>
      <c r="S86">
        <v>17.167000000000002</v>
      </c>
      <c r="T86">
        <v>37.204000000000001</v>
      </c>
      <c r="U86">
        <v>38.064</v>
      </c>
      <c r="W86">
        <v>0.14399999999999999</v>
      </c>
      <c r="X86">
        <v>-0.34599999999999997</v>
      </c>
      <c r="Z86">
        <v>-8.5999999999999993E-2</v>
      </c>
      <c r="AA86">
        <v>-0.246</v>
      </c>
      <c r="AB86">
        <v>0.14399999999999999</v>
      </c>
      <c r="AC86">
        <v>-0.16300000000000001</v>
      </c>
      <c r="AD86">
        <v>9.8000000000000004E-2</v>
      </c>
      <c r="AE86">
        <v>-0.34599999999999997</v>
      </c>
      <c r="AF86">
        <v>-8.5999999999999993E-2</v>
      </c>
      <c r="AG86">
        <v>-0.10299999999999999</v>
      </c>
      <c r="AH86">
        <v>-0.246</v>
      </c>
      <c r="AI86">
        <v>-0.14399999999999999</v>
      </c>
    </row>
    <row r="87" spans="1:35" x14ac:dyDescent="0.25">
      <c r="A87" t="s">
        <v>1887</v>
      </c>
      <c r="B87" t="s">
        <v>32</v>
      </c>
      <c r="C87" s="25">
        <v>43705.840196759258</v>
      </c>
      <c r="D87" s="741" t="s">
        <v>969</v>
      </c>
      <c r="E87" s="424">
        <f t="array" ref="E87">SUMPRODUCT(IF(AMP3_4[[#This Row],[Dim 1_1]:[T 8]]-$F$4:$AI$4&lt;0,1,0)+IF($F$5:$AI$5-AMP3_4[[#This Row],[Dim 1_1]:[T 8]]&lt;0,1,0),IF(ISNUMBER(AMP3_4[[#This Row],[Dim 1_1]:[T 8]])=TRUE,1,0))</f>
        <v>0</v>
      </c>
      <c r="F87">
        <v>41.17</v>
      </c>
      <c r="G87">
        <v>40.987000000000002</v>
      </c>
      <c r="H87">
        <v>155.85400000000001</v>
      </c>
      <c r="I87">
        <v>155.85400000000001</v>
      </c>
      <c r="L87">
        <v>155.90700000000001</v>
      </c>
      <c r="M87">
        <v>155.733</v>
      </c>
      <c r="N87">
        <v>27.225999999999999</v>
      </c>
      <c r="O87">
        <v>27.347999999999999</v>
      </c>
      <c r="R87">
        <v>17.210999999999999</v>
      </c>
      <c r="S87">
        <v>17.140999999999998</v>
      </c>
      <c r="T87">
        <v>33.472999999999999</v>
      </c>
      <c r="U87">
        <v>34.134</v>
      </c>
      <c r="W87">
        <v>7.8E-2</v>
      </c>
      <c r="X87">
        <v>-7.8E-2</v>
      </c>
      <c r="Z87">
        <v>4.1000000000000002E-2</v>
      </c>
      <c r="AA87">
        <v>-0.106</v>
      </c>
      <c r="AB87">
        <v>-7.8E-2</v>
      </c>
      <c r="AC87">
        <v>-6.5000000000000002E-2</v>
      </c>
      <c r="AD87">
        <v>7.8E-2</v>
      </c>
      <c r="AE87">
        <v>-1.7000000000000001E-2</v>
      </c>
      <c r="AF87">
        <v>-7.1999999999999995E-2</v>
      </c>
      <c r="AG87">
        <v>-0.106</v>
      </c>
      <c r="AH87">
        <v>-2E-3</v>
      </c>
      <c r="AI87">
        <v>4.1000000000000002E-2</v>
      </c>
    </row>
    <row r="88" spans="1:35" x14ac:dyDescent="0.25">
      <c r="A88" t="s">
        <v>1888</v>
      </c>
      <c r="B88" t="s">
        <v>31</v>
      </c>
      <c r="C88" s="25">
        <v>43705.841689814813</v>
      </c>
      <c r="D88" s="741" t="s">
        <v>969</v>
      </c>
      <c r="E88" s="424">
        <f t="array" ref="E88">SUMPRODUCT(IF(AMP3_4[[#This Row],[Dim 1_1]:[T 8]]-$F$4:$AI$4&lt;0,1,0)+IF($F$5:$AI$5-AMP3_4[[#This Row],[Dim 1_1]:[T 8]]&lt;0,1,0),IF(ISNUMBER(AMP3_4[[#This Row],[Dim 1_1]:[T 8]])=TRUE,1,0))</f>
        <v>0</v>
      </c>
      <c r="H88">
        <v>155.87799999999999</v>
      </c>
      <c r="I88">
        <v>155.94999999999999</v>
      </c>
      <c r="J88">
        <v>168.774</v>
      </c>
      <c r="K88">
        <v>168.70500000000001</v>
      </c>
      <c r="L88">
        <v>155.99199999999999</v>
      </c>
      <c r="M88">
        <v>155.89500000000001</v>
      </c>
      <c r="N88">
        <v>27.167000000000002</v>
      </c>
      <c r="O88">
        <v>27.373999999999999</v>
      </c>
      <c r="R88">
        <v>17.228000000000002</v>
      </c>
      <c r="S88">
        <v>17.248000000000001</v>
      </c>
      <c r="T88">
        <v>39.03</v>
      </c>
      <c r="U88">
        <v>39.884999999999998</v>
      </c>
      <c r="W88">
        <v>3.2000000000000001E-2</v>
      </c>
      <c r="X88">
        <v>-0.44800000000000001</v>
      </c>
      <c r="Z88">
        <v>-8.6999999999999994E-2</v>
      </c>
      <c r="AA88">
        <v>-0.23200000000000001</v>
      </c>
      <c r="AB88">
        <v>3.2000000000000001E-2</v>
      </c>
      <c r="AC88">
        <v>-0.25800000000000001</v>
      </c>
      <c r="AD88">
        <v>-1.4999999999999999E-2</v>
      </c>
      <c r="AE88">
        <v>-0.44800000000000001</v>
      </c>
      <c r="AF88">
        <v>-8.6999999999999994E-2</v>
      </c>
      <c r="AG88">
        <v>-0.109</v>
      </c>
      <c r="AH88">
        <v>-0.23200000000000001</v>
      </c>
      <c r="AI88">
        <v>-0.16500000000000001</v>
      </c>
    </row>
    <row r="89" spans="1:35" x14ac:dyDescent="0.25">
      <c r="A89" t="s">
        <v>1889</v>
      </c>
      <c r="B89" t="s">
        <v>32</v>
      </c>
      <c r="C89" s="25">
        <v>43705.971342592595</v>
      </c>
      <c r="D89" s="741" t="s">
        <v>969</v>
      </c>
      <c r="E89" s="424">
        <f t="array" ref="E89">SUMPRODUCT(IF(AMP3_4[[#This Row],[Dim 1_1]:[T 8]]-$F$4:$AI$4&lt;0,1,0)+IF($F$5:$AI$5-AMP3_4[[#This Row],[Dim 1_1]:[T 8]]&lt;0,1,0),IF(ISNUMBER(AMP3_4[[#This Row],[Dim 1_1]:[T 8]])=TRUE,1,0))</f>
        <v>0</v>
      </c>
      <c r="F89">
        <v>41.212000000000003</v>
      </c>
      <c r="G89">
        <v>41.063000000000002</v>
      </c>
      <c r="H89">
        <v>155.82</v>
      </c>
      <c r="I89">
        <v>155.834</v>
      </c>
      <c r="L89">
        <v>155.90199999999999</v>
      </c>
      <c r="M89">
        <v>155.73500000000001</v>
      </c>
      <c r="N89">
        <v>27.242000000000001</v>
      </c>
      <c r="O89">
        <v>27.372</v>
      </c>
      <c r="R89">
        <v>17.209</v>
      </c>
      <c r="S89">
        <v>17.364999999999998</v>
      </c>
      <c r="T89">
        <v>33.537999999999997</v>
      </c>
      <c r="U89">
        <v>33.826999999999998</v>
      </c>
      <c r="W89">
        <v>3.5999999999999997E-2</v>
      </c>
      <c r="X89">
        <v>-0.151</v>
      </c>
      <c r="Z89">
        <v>1.9E-2</v>
      </c>
      <c r="AA89">
        <v>-0.17599999999999999</v>
      </c>
      <c r="AB89">
        <v>1E-3</v>
      </c>
      <c r="AC89">
        <v>3.5999999999999997E-2</v>
      </c>
      <c r="AD89">
        <v>-0.151</v>
      </c>
      <c r="AE89">
        <v>-0.13800000000000001</v>
      </c>
      <c r="AF89">
        <v>1.9E-2</v>
      </c>
      <c r="AG89">
        <v>-8.9999999999999993E-3</v>
      </c>
      <c r="AH89">
        <v>-0.17599999999999999</v>
      </c>
      <c r="AI89">
        <v>-0.12</v>
      </c>
    </row>
    <row r="90" spans="1:35" x14ac:dyDescent="0.25">
      <c r="A90" t="s">
        <v>1890</v>
      </c>
      <c r="B90" t="s">
        <v>31</v>
      </c>
      <c r="C90" s="25">
        <v>43705.973344907405</v>
      </c>
      <c r="D90" s="741" t="s">
        <v>969</v>
      </c>
      <c r="E90" s="424">
        <f t="array" ref="E90">SUMPRODUCT(IF(AMP3_4[[#This Row],[Dim 1_1]:[T 8]]-$F$4:$AI$4&lt;0,1,0)+IF($F$5:$AI$5-AMP3_4[[#This Row],[Dim 1_1]:[T 8]]&lt;0,1,0),IF(ISNUMBER(AMP3_4[[#This Row],[Dim 1_1]:[T 8]])=TRUE,1,0))</f>
        <v>0</v>
      </c>
      <c r="H90">
        <v>155.858</v>
      </c>
      <c r="I90">
        <v>155.93100000000001</v>
      </c>
      <c r="J90">
        <v>168.78200000000001</v>
      </c>
      <c r="K90">
        <v>168.63</v>
      </c>
      <c r="L90">
        <v>155.958</v>
      </c>
      <c r="M90">
        <v>155.85</v>
      </c>
      <c r="N90">
        <v>27.204000000000001</v>
      </c>
      <c r="O90">
        <v>27.44</v>
      </c>
      <c r="R90">
        <v>17.273</v>
      </c>
      <c r="S90">
        <v>17.088999999999999</v>
      </c>
      <c r="T90">
        <v>37.072000000000003</v>
      </c>
      <c r="U90">
        <v>37.609000000000002</v>
      </c>
      <c r="W90">
        <v>6.8000000000000005E-2</v>
      </c>
      <c r="X90">
        <v>-0.38900000000000001</v>
      </c>
      <c r="Z90">
        <v>-5.1999999999999998E-2</v>
      </c>
      <c r="AA90">
        <v>-0.23499999999999999</v>
      </c>
      <c r="AB90">
        <v>6.8000000000000005E-2</v>
      </c>
      <c r="AC90">
        <v>-0.23</v>
      </c>
      <c r="AD90">
        <v>5.7000000000000002E-2</v>
      </c>
      <c r="AE90">
        <v>-0.38900000000000001</v>
      </c>
      <c r="AF90">
        <v>-5.1999999999999998E-2</v>
      </c>
      <c r="AG90">
        <v>-7.3999999999999996E-2</v>
      </c>
      <c r="AH90">
        <v>-0.23499999999999999</v>
      </c>
      <c r="AI90">
        <v>-9.0999999999999998E-2</v>
      </c>
    </row>
    <row r="91" spans="1:35" x14ac:dyDescent="0.25">
      <c r="A91" t="s">
        <v>1891</v>
      </c>
      <c r="B91" t="s">
        <v>32</v>
      </c>
      <c r="C91" s="25">
        <v>43705.989363425928</v>
      </c>
      <c r="D91" s="741" t="s">
        <v>969</v>
      </c>
      <c r="E91" s="424">
        <f t="array" ref="E91">SUMPRODUCT(IF(AMP3_4[[#This Row],[Dim 1_1]:[T 8]]-$F$4:$AI$4&lt;0,1,0)+IF($F$5:$AI$5-AMP3_4[[#This Row],[Dim 1_1]:[T 8]]&lt;0,1,0),IF(ISNUMBER(AMP3_4[[#This Row],[Dim 1_1]:[T 8]])=TRUE,1,0))</f>
        <v>0</v>
      </c>
      <c r="F91">
        <v>41.384999999999998</v>
      </c>
      <c r="G91">
        <v>41.253</v>
      </c>
      <c r="H91">
        <v>155.679</v>
      </c>
      <c r="I91">
        <v>155.643</v>
      </c>
      <c r="L91">
        <v>155.75</v>
      </c>
      <c r="M91">
        <v>155.535</v>
      </c>
      <c r="N91">
        <v>27.396000000000001</v>
      </c>
      <c r="O91">
        <v>27.600999999999999</v>
      </c>
      <c r="R91">
        <v>17.242999999999999</v>
      </c>
      <c r="S91">
        <v>17.286999999999999</v>
      </c>
      <c r="T91">
        <v>33.874000000000002</v>
      </c>
      <c r="U91">
        <v>33.790999999999997</v>
      </c>
      <c r="W91">
        <v>0.20899999999999999</v>
      </c>
      <c r="X91">
        <v>0.13</v>
      </c>
      <c r="Z91">
        <v>0.126</v>
      </c>
      <c r="AA91">
        <v>0</v>
      </c>
      <c r="AB91">
        <v>0.183</v>
      </c>
      <c r="AC91">
        <v>0.20899999999999999</v>
      </c>
      <c r="AD91">
        <v>0.13</v>
      </c>
      <c r="AE91">
        <v>0.16900000000000001</v>
      </c>
      <c r="AF91">
        <v>6.7000000000000004E-2</v>
      </c>
      <c r="AG91">
        <v>6.0999999999999999E-2</v>
      </c>
      <c r="AH91">
        <v>0</v>
      </c>
      <c r="AI91">
        <v>0.126</v>
      </c>
    </row>
    <row r="92" spans="1:35" x14ac:dyDescent="0.25">
      <c r="A92" t="s">
        <v>1892</v>
      </c>
      <c r="B92" t="s">
        <v>31</v>
      </c>
      <c r="C92" s="25">
        <v>43705.990856481483</v>
      </c>
      <c r="D92" s="741" t="s">
        <v>969</v>
      </c>
      <c r="E92" s="424">
        <f t="array" ref="E92">SUMPRODUCT(IF(AMP3_4[[#This Row],[Dim 1_1]:[T 8]]-$F$4:$AI$4&lt;0,1,0)+IF($F$5:$AI$5-AMP3_4[[#This Row],[Dim 1_1]:[T 8]]&lt;0,1,0),IF(ISNUMBER(AMP3_4[[#This Row],[Dim 1_1]:[T 8]])=TRUE,1,0))</f>
        <v>0</v>
      </c>
      <c r="H92">
        <v>155.71299999999999</v>
      </c>
      <c r="I92">
        <v>155.81100000000001</v>
      </c>
      <c r="J92">
        <v>168.745</v>
      </c>
      <c r="K92">
        <v>168.61500000000001</v>
      </c>
      <c r="L92">
        <v>155.80600000000001</v>
      </c>
      <c r="M92">
        <v>155.721</v>
      </c>
      <c r="N92">
        <v>27.347000000000001</v>
      </c>
      <c r="O92">
        <v>27.533000000000001</v>
      </c>
      <c r="R92">
        <v>17.221</v>
      </c>
      <c r="S92">
        <v>17.216000000000001</v>
      </c>
      <c r="T92">
        <v>38.423999999999999</v>
      </c>
      <c r="U92">
        <v>38.643999999999998</v>
      </c>
      <c r="W92">
        <v>8.8999999999999996E-2</v>
      </c>
      <c r="X92">
        <v>-0.42399999999999999</v>
      </c>
      <c r="Z92">
        <v>3.5999999999999997E-2</v>
      </c>
      <c r="AA92">
        <v>-0.22900000000000001</v>
      </c>
      <c r="AB92">
        <v>8.8999999999999996E-2</v>
      </c>
      <c r="AC92">
        <v>-0.221</v>
      </c>
      <c r="AD92">
        <v>2.8000000000000001E-2</v>
      </c>
      <c r="AE92">
        <v>-0.42399999999999999</v>
      </c>
      <c r="AF92">
        <v>0.01</v>
      </c>
      <c r="AG92">
        <v>3.5999999999999997E-2</v>
      </c>
      <c r="AH92">
        <v>-0.22900000000000001</v>
      </c>
      <c r="AI92">
        <v>-5.5E-2</v>
      </c>
    </row>
    <row r="93" spans="1:35" x14ac:dyDescent="0.25">
      <c r="A93" t="s">
        <v>2206</v>
      </c>
      <c r="B93" t="s">
        <v>32</v>
      </c>
      <c r="C93" s="25">
        <v>43706.344317129631</v>
      </c>
      <c r="D93" s="741" t="s">
        <v>969</v>
      </c>
      <c r="E93" s="424">
        <f t="array" ref="E93">SUMPRODUCT(IF(AMP3_4[[#This Row],[Dim 1_1]:[T 8]]-$F$4:$AI$4&lt;0,1,0)+IF($F$5:$AI$5-AMP3_4[[#This Row],[Dim 1_1]:[T 8]]&lt;0,1,0),IF(ISNUMBER(AMP3_4[[#This Row],[Dim 1_1]:[T 8]])=TRUE,1,0))</f>
        <v>0</v>
      </c>
      <c r="F93">
        <v>41.393999999999998</v>
      </c>
      <c r="G93">
        <v>41.292000000000002</v>
      </c>
      <c r="H93">
        <v>155.72999999999999</v>
      </c>
      <c r="I93">
        <v>155.726</v>
      </c>
      <c r="L93">
        <v>155.78800000000001</v>
      </c>
      <c r="M93">
        <v>155.608</v>
      </c>
      <c r="N93">
        <v>27.353000000000002</v>
      </c>
      <c r="O93">
        <v>27.497</v>
      </c>
      <c r="R93">
        <v>17.234000000000002</v>
      </c>
      <c r="S93">
        <v>17.321000000000002</v>
      </c>
      <c r="T93">
        <v>33.860999999999997</v>
      </c>
      <c r="U93">
        <v>34.124000000000002</v>
      </c>
      <c r="W93">
        <v>0.159</v>
      </c>
      <c r="X93">
        <v>5.8000000000000003E-2</v>
      </c>
      <c r="Z93">
        <v>0.14899999999999999</v>
      </c>
      <c r="AA93">
        <v>-3.0000000000000001E-3</v>
      </c>
      <c r="AB93">
        <v>0.129</v>
      </c>
      <c r="AC93">
        <v>0.159</v>
      </c>
      <c r="AD93">
        <v>5.8000000000000003E-2</v>
      </c>
      <c r="AE93">
        <v>6.8000000000000005E-2</v>
      </c>
      <c r="AF93">
        <v>0.14899999999999999</v>
      </c>
      <c r="AG93">
        <v>0.14499999999999999</v>
      </c>
      <c r="AH93">
        <v>-3.0000000000000001E-3</v>
      </c>
      <c r="AI93">
        <v>0.129</v>
      </c>
    </row>
    <row r="94" spans="1:35" x14ac:dyDescent="0.25">
      <c r="A94" t="s">
        <v>2207</v>
      </c>
      <c r="B94" t="s">
        <v>31</v>
      </c>
      <c r="C94" s="25">
        <v>43706.34642361111</v>
      </c>
      <c r="D94" s="741" t="s">
        <v>969</v>
      </c>
      <c r="E94" s="424">
        <f t="array" ref="E94">SUMPRODUCT(IF(AMP3_4[[#This Row],[Dim 1_1]:[T 8]]-$F$4:$AI$4&lt;0,1,0)+IF($F$5:$AI$5-AMP3_4[[#This Row],[Dim 1_1]:[T 8]]&lt;0,1,0),IF(ISNUMBER(AMP3_4[[#This Row],[Dim 1_1]:[T 8]])=TRUE,1,0))</f>
        <v>0</v>
      </c>
      <c r="H94">
        <v>155.745</v>
      </c>
      <c r="I94">
        <v>155.80600000000001</v>
      </c>
      <c r="J94">
        <v>168.83799999999999</v>
      </c>
      <c r="K94">
        <v>168.75800000000001</v>
      </c>
      <c r="L94">
        <v>155.797</v>
      </c>
      <c r="M94">
        <v>155.65600000000001</v>
      </c>
      <c r="N94">
        <v>27.353999999999999</v>
      </c>
      <c r="O94">
        <v>27.594999999999999</v>
      </c>
      <c r="R94">
        <v>17.254000000000001</v>
      </c>
      <c r="S94">
        <v>17.216999999999999</v>
      </c>
      <c r="T94">
        <v>36.841000000000001</v>
      </c>
      <c r="U94">
        <v>37.741999999999997</v>
      </c>
      <c r="W94">
        <v>0.23</v>
      </c>
      <c r="X94">
        <v>-0.32200000000000001</v>
      </c>
      <c r="Z94">
        <v>0.11700000000000001</v>
      </c>
      <c r="AA94">
        <v>-8.3000000000000004E-2</v>
      </c>
      <c r="AB94">
        <v>0.23</v>
      </c>
      <c r="AC94">
        <v>-0.10199999999999999</v>
      </c>
      <c r="AD94">
        <v>0.16500000000000001</v>
      </c>
      <c r="AE94">
        <v>-0.32200000000000001</v>
      </c>
      <c r="AF94">
        <v>0.115</v>
      </c>
      <c r="AG94">
        <v>0.11700000000000001</v>
      </c>
      <c r="AH94">
        <v>-8.3000000000000004E-2</v>
      </c>
      <c r="AI94">
        <v>6.9000000000000006E-2</v>
      </c>
    </row>
    <row r="95" spans="1:35" x14ac:dyDescent="0.25">
      <c r="A95" t="s">
        <v>2208</v>
      </c>
      <c r="B95" t="s">
        <v>32</v>
      </c>
      <c r="C95" s="25">
        <v>43706.44090277778</v>
      </c>
      <c r="D95" s="741" t="s">
        <v>969</v>
      </c>
      <c r="E95" s="424">
        <f t="array" ref="E95">SUMPRODUCT(IF(AMP3_4[[#This Row],[Dim 1_1]:[T 8]]-$F$4:$AI$4&lt;0,1,0)+IF($F$5:$AI$5-AMP3_4[[#This Row],[Dim 1_1]:[T 8]]&lt;0,1,0),IF(ISNUMBER(AMP3_4[[#This Row],[Dim 1_1]:[T 8]])=TRUE,1,0))</f>
        <v>0</v>
      </c>
      <c r="F95">
        <v>41.277000000000001</v>
      </c>
      <c r="G95">
        <v>40.957999999999998</v>
      </c>
      <c r="H95">
        <v>155.76599999999999</v>
      </c>
      <c r="I95">
        <v>155.78100000000001</v>
      </c>
      <c r="L95">
        <v>155.83199999999999</v>
      </c>
      <c r="M95">
        <v>155.71600000000001</v>
      </c>
      <c r="N95">
        <v>27.31</v>
      </c>
      <c r="O95">
        <v>27.433</v>
      </c>
      <c r="R95">
        <v>17.231000000000002</v>
      </c>
      <c r="S95">
        <v>17.312999999999999</v>
      </c>
      <c r="T95">
        <v>33.741999999999997</v>
      </c>
      <c r="U95">
        <v>34.212000000000003</v>
      </c>
      <c r="W95">
        <v>0.08</v>
      </c>
      <c r="X95">
        <v>-7.6999999999999999E-2</v>
      </c>
      <c r="Z95">
        <v>8.5000000000000006E-2</v>
      </c>
      <c r="AA95">
        <v>-1.7000000000000001E-2</v>
      </c>
      <c r="AB95">
        <v>5.5E-2</v>
      </c>
      <c r="AC95">
        <v>0.08</v>
      </c>
      <c r="AD95">
        <v>4.2999999999999997E-2</v>
      </c>
      <c r="AE95">
        <v>-7.6999999999999999E-2</v>
      </c>
      <c r="AF95">
        <v>8.5000000000000006E-2</v>
      </c>
      <c r="AG95">
        <v>7.2999999999999995E-2</v>
      </c>
      <c r="AH95">
        <v>-1.7000000000000001E-2</v>
      </c>
      <c r="AI95">
        <v>6.6000000000000003E-2</v>
      </c>
    </row>
    <row r="96" spans="1:35" x14ac:dyDescent="0.25">
      <c r="A96" t="s">
        <v>2209</v>
      </c>
      <c r="B96" t="s">
        <v>31</v>
      </c>
      <c r="C96" s="25">
        <v>43706.443020833336</v>
      </c>
      <c r="D96" s="741" t="s">
        <v>969</v>
      </c>
      <c r="E96" s="424">
        <f t="array" ref="E96">SUMPRODUCT(IF(AMP3_4[[#This Row],[Dim 1_1]:[T 8]]-$F$4:$AI$4&lt;0,1,0)+IF($F$5:$AI$5-AMP3_4[[#This Row],[Dim 1_1]:[T 8]]&lt;0,1,0),IF(ISNUMBER(AMP3_4[[#This Row],[Dim 1_1]:[T 8]])=TRUE,1,0))</f>
        <v>0</v>
      </c>
      <c r="H96">
        <v>155.773</v>
      </c>
      <c r="I96">
        <v>155.822</v>
      </c>
      <c r="J96">
        <v>168.76</v>
      </c>
      <c r="K96">
        <v>168.636</v>
      </c>
      <c r="L96">
        <v>155.83000000000001</v>
      </c>
      <c r="M96">
        <v>155.69499999999999</v>
      </c>
      <c r="N96">
        <v>27.312000000000001</v>
      </c>
      <c r="O96">
        <v>27.564</v>
      </c>
      <c r="R96">
        <v>17.277999999999999</v>
      </c>
      <c r="S96">
        <v>17.213999999999999</v>
      </c>
      <c r="T96">
        <v>37.241</v>
      </c>
      <c r="U96">
        <v>38.466000000000001</v>
      </c>
      <c r="W96">
        <v>0.17299999999999999</v>
      </c>
      <c r="X96">
        <v>-0.31900000000000001</v>
      </c>
      <c r="Z96">
        <v>6.4000000000000001E-2</v>
      </c>
      <c r="AA96">
        <v>-0.22</v>
      </c>
      <c r="AB96">
        <v>0.17299999999999999</v>
      </c>
      <c r="AC96">
        <v>-0.16400000000000001</v>
      </c>
      <c r="AD96">
        <v>0.12</v>
      </c>
      <c r="AE96">
        <v>-0.31900000000000001</v>
      </c>
      <c r="AF96">
        <v>0.06</v>
      </c>
      <c r="AG96">
        <v>6.4000000000000001E-2</v>
      </c>
      <c r="AH96">
        <v>-0.22</v>
      </c>
      <c r="AI96">
        <v>-7.0000000000000001E-3</v>
      </c>
    </row>
    <row r="97" spans="1:35" x14ac:dyDescent="0.25">
      <c r="A97" t="s">
        <v>2310</v>
      </c>
      <c r="B97" t="s">
        <v>32</v>
      </c>
      <c r="C97" s="25">
        <v>43706.585057870368</v>
      </c>
      <c r="D97" s="741" t="s">
        <v>2238</v>
      </c>
      <c r="E97" s="424">
        <f t="array" ref="E97">SUMPRODUCT(IF(AMP3_4[[#This Row],[Dim 1_1]:[T 8]]-$F$4:$AI$4&lt;0,1,0)+IF($F$5:$AI$5-AMP3_4[[#This Row],[Dim 1_1]:[T 8]]&lt;0,1,0),IF(ISNUMBER(AMP3_4[[#This Row],[Dim 1_1]:[T 8]])=TRUE,1,0))</f>
        <v>0</v>
      </c>
      <c r="F97">
        <v>41.253999999999998</v>
      </c>
      <c r="G97">
        <v>41.122999999999998</v>
      </c>
      <c r="H97">
        <v>155.79</v>
      </c>
      <c r="I97">
        <v>155.79900000000001</v>
      </c>
      <c r="L97">
        <v>155.84899999999999</v>
      </c>
      <c r="M97">
        <v>155.68</v>
      </c>
      <c r="N97">
        <v>27.315999999999999</v>
      </c>
      <c r="O97">
        <v>27.451000000000001</v>
      </c>
      <c r="R97">
        <v>17.245000000000001</v>
      </c>
      <c r="S97">
        <v>17.224</v>
      </c>
      <c r="T97">
        <v>33.784999999999997</v>
      </c>
      <c r="U97">
        <v>33.881</v>
      </c>
      <c r="W97">
        <v>0.17899999999999999</v>
      </c>
      <c r="X97">
        <v>0.105</v>
      </c>
      <c r="Z97">
        <v>0.14499999999999999</v>
      </c>
      <c r="AA97">
        <v>4.9000000000000002E-2</v>
      </c>
      <c r="AB97">
        <v>0.105</v>
      </c>
      <c r="AC97">
        <v>0.126</v>
      </c>
      <c r="AD97">
        <v>0.17899999999999999</v>
      </c>
      <c r="AE97">
        <v>0.13400000000000001</v>
      </c>
      <c r="AF97">
        <v>7.0999999999999994E-2</v>
      </c>
      <c r="AG97">
        <v>4.9000000000000002E-2</v>
      </c>
      <c r="AH97">
        <v>7.0999999999999994E-2</v>
      </c>
      <c r="AI97">
        <v>0.14499999999999999</v>
      </c>
    </row>
    <row r="98" spans="1:35" x14ac:dyDescent="0.25">
      <c r="A98" t="s">
        <v>2311</v>
      </c>
      <c r="B98" t="s">
        <v>31</v>
      </c>
      <c r="C98" s="25">
        <v>43706.587141203701</v>
      </c>
      <c r="D98" s="741" t="s">
        <v>2238</v>
      </c>
      <c r="E98" s="424">
        <f t="array" ref="E98">SUMPRODUCT(IF(AMP3_4[[#This Row],[Dim 1_1]:[T 8]]-$F$4:$AI$4&lt;0,1,0)+IF($F$5:$AI$5-AMP3_4[[#This Row],[Dim 1_1]:[T 8]]&lt;0,1,0),IF(ISNUMBER(AMP3_4[[#This Row],[Dim 1_1]:[T 8]])=TRUE,1,0))</f>
        <v>0</v>
      </c>
      <c r="H98">
        <v>155.74199999999999</v>
      </c>
      <c r="I98">
        <v>155.839</v>
      </c>
      <c r="J98">
        <v>168.75899999999999</v>
      </c>
      <c r="K98">
        <v>168.66</v>
      </c>
      <c r="L98">
        <v>155.82</v>
      </c>
      <c r="M98">
        <v>155.73500000000001</v>
      </c>
      <c r="N98">
        <v>27.306000000000001</v>
      </c>
      <c r="O98">
        <v>27.498999999999999</v>
      </c>
      <c r="R98">
        <v>17.263999999999999</v>
      </c>
      <c r="S98">
        <v>17.190000000000001</v>
      </c>
      <c r="T98">
        <v>36.234000000000002</v>
      </c>
      <c r="U98">
        <v>37.125999999999998</v>
      </c>
      <c r="W98">
        <v>0.104</v>
      </c>
      <c r="X98">
        <v>-0.40899999999999997</v>
      </c>
      <c r="Z98">
        <v>1.6E-2</v>
      </c>
      <c r="AA98">
        <v>-0.36399999999999999</v>
      </c>
      <c r="AB98">
        <v>0.104</v>
      </c>
      <c r="AC98">
        <v>-0.215</v>
      </c>
      <c r="AD98">
        <v>4.9000000000000002E-2</v>
      </c>
      <c r="AE98">
        <v>-0.40899999999999997</v>
      </c>
      <c r="AF98">
        <v>2E-3</v>
      </c>
      <c r="AG98">
        <v>1.6E-2</v>
      </c>
      <c r="AH98">
        <v>-0.36399999999999999</v>
      </c>
      <c r="AI98">
        <v>-0.04</v>
      </c>
    </row>
    <row r="99" spans="1:35" x14ac:dyDescent="0.25">
      <c r="A99" t="s">
        <v>2312</v>
      </c>
      <c r="B99" t="s">
        <v>32</v>
      </c>
      <c r="C99" s="25">
        <v>43706.629814814813</v>
      </c>
      <c r="D99" s="741" t="s">
        <v>2238</v>
      </c>
      <c r="E99" s="424">
        <f t="array" ref="E99">SUMPRODUCT(IF(AMP3_4[[#This Row],[Dim 1_1]:[T 8]]-$F$4:$AI$4&lt;0,1,0)+IF($F$5:$AI$5-AMP3_4[[#This Row],[Dim 1_1]:[T 8]]&lt;0,1,0),IF(ISNUMBER(AMP3_4[[#This Row],[Dim 1_1]:[T 8]])=TRUE,1,0))</f>
        <v>0</v>
      </c>
      <c r="F99">
        <v>41.305</v>
      </c>
      <c r="G99">
        <v>41.19</v>
      </c>
      <c r="H99">
        <v>155.816</v>
      </c>
      <c r="I99">
        <v>155.81</v>
      </c>
      <c r="L99">
        <v>155.875</v>
      </c>
      <c r="M99">
        <v>155.71100000000001</v>
      </c>
      <c r="N99">
        <v>27.3</v>
      </c>
      <c r="O99">
        <v>27.440999999999999</v>
      </c>
      <c r="R99">
        <v>17.224</v>
      </c>
      <c r="S99">
        <v>17.309999999999999</v>
      </c>
      <c r="T99">
        <v>33.680999999999997</v>
      </c>
      <c r="U99">
        <v>33.899000000000001</v>
      </c>
      <c r="W99">
        <v>7.0000000000000007E-2</v>
      </c>
      <c r="X99">
        <v>3.0000000000000001E-3</v>
      </c>
      <c r="Z99">
        <v>0.03</v>
      </c>
      <c r="AA99">
        <v>-0.114</v>
      </c>
      <c r="AB99">
        <v>3.7999999999999999E-2</v>
      </c>
      <c r="AC99">
        <v>7.0000000000000007E-2</v>
      </c>
      <c r="AD99">
        <v>2.1999999999999999E-2</v>
      </c>
      <c r="AE99">
        <v>3.0000000000000001E-3</v>
      </c>
      <c r="AF99">
        <v>0.03</v>
      </c>
      <c r="AG99">
        <v>-4.0000000000000001E-3</v>
      </c>
      <c r="AH99">
        <v>-0.114</v>
      </c>
      <c r="AI99">
        <v>-7.0000000000000001E-3</v>
      </c>
    </row>
    <row r="100" spans="1:35" x14ac:dyDescent="0.25">
      <c r="A100" t="s">
        <v>2313</v>
      </c>
      <c r="B100" t="s">
        <v>31</v>
      </c>
      <c r="C100" s="25">
        <v>43706.631898148145</v>
      </c>
      <c r="D100" s="741" t="s">
        <v>2238</v>
      </c>
      <c r="E100" s="424">
        <f t="array" ref="E100">SUMPRODUCT(IF(AMP3_4[[#This Row],[Dim 1_1]:[T 8]]-$F$4:$AI$4&lt;0,1,0)+IF($F$5:$AI$5-AMP3_4[[#This Row],[Dim 1_1]:[T 8]]&lt;0,1,0),IF(ISNUMBER(AMP3_4[[#This Row],[Dim 1_1]:[T 8]])=TRUE,1,0))</f>
        <v>0</v>
      </c>
      <c r="H100">
        <v>155.768</v>
      </c>
      <c r="I100">
        <v>155.81100000000001</v>
      </c>
      <c r="J100">
        <v>168.84399999999999</v>
      </c>
      <c r="K100">
        <v>168.63</v>
      </c>
      <c r="L100">
        <v>155.86099999999999</v>
      </c>
      <c r="M100">
        <v>155.733</v>
      </c>
      <c r="N100">
        <v>27.262</v>
      </c>
      <c r="O100">
        <v>27.526</v>
      </c>
      <c r="R100">
        <v>17.193000000000001</v>
      </c>
      <c r="S100">
        <v>17.024999999999999</v>
      </c>
      <c r="T100">
        <v>38.417999999999999</v>
      </c>
      <c r="U100">
        <v>39.084000000000003</v>
      </c>
      <c r="W100">
        <v>0.20200000000000001</v>
      </c>
      <c r="X100">
        <v>-0.255</v>
      </c>
      <c r="Z100">
        <v>0.14099999999999999</v>
      </c>
      <c r="AA100">
        <v>-8.4000000000000005E-2</v>
      </c>
      <c r="AB100">
        <v>0.13700000000000001</v>
      </c>
      <c r="AC100">
        <v>-0.184</v>
      </c>
      <c r="AD100">
        <v>0.20200000000000001</v>
      </c>
      <c r="AE100">
        <v>-0.255</v>
      </c>
      <c r="AF100">
        <v>5.6000000000000001E-2</v>
      </c>
      <c r="AG100">
        <v>6.7000000000000004E-2</v>
      </c>
      <c r="AH100">
        <v>-8.4000000000000005E-2</v>
      </c>
      <c r="AI100">
        <v>0.14099999999999999</v>
      </c>
    </row>
    <row r="101" spans="1:35" x14ac:dyDescent="0.25">
      <c r="A101" t="s">
        <v>2314</v>
      </c>
      <c r="B101" t="s">
        <v>32</v>
      </c>
      <c r="C101" s="25">
        <v>43706.72855324074</v>
      </c>
      <c r="D101" s="741" t="s">
        <v>2238</v>
      </c>
      <c r="E101" s="424">
        <f t="array" ref="E101">SUMPRODUCT(IF(AMP3_4[[#This Row],[Dim 1_1]:[T 8]]-$F$4:$AI$4&lt;0,1,0)+IF($F$5:$AI$5-AMP3_4[[#This Row],[Dim 1_1]:[T 8]]&lt;0,1,0),IF(ISNUMBER(AMP3_4[[#This Row],[Dim 1_1]:[T 8]])=TRUE,1,0))</f>
        <v>0</v>
      </c>
      <c r="F101">
        <v>41.232999999999997</v>
      </c>
      <c r="G101">
        <v>41.067</v>
      </c>
      <c r="H101">
        <v>155.81</v>
      </c>
      <c r="I101">
        <v>155.851</v>
      </c>
      <c r="L101">
        <v>155.88800000000001</v>
      </c>
      <c r="M101">
        <v>155.774</v>
      </c>
      <c r="N101">
        <v>27.256</v>
      </c>
      <c r="O101">
        <v>27.352</v>
      </c>
      <c r="R101">
        <v>17.239999999999998</v>
      </c>
      <c r="S101">
        <v>17.303999999999998</v>
      </c>
      <c r="T101">
        <v>33.664999999999999</v>
      </c>
      <c r="U101">
        <v>34.219000000000001</v>
      </c>
      <c r="W101">
        <v>6.0000000000000001E-3</v>
      </c>
      <c r="X101">
        <v>-0.10100000000000001</v>
      </c>
      <c r="Z101">
        <v>-2.5999999999999999E-2</v>
      </c>
      <c r="AA101">
        <v>-0.13300000000000001</v>
      </c>
      <c r="AB101">
        <v>-3.9E-2</v>
      </c>
      <c r="AC101">
        <v>6.0000000000000001E-3</v>
      </c>
      <c r="AD101">
        <v>-3.5000000000000003E-2</v>
      </c>
      <c r="AE101">
        <v>-0.10100000000000001</v>
      </c>
      <c r="AF101">
        <v>-2.5999999999999999E-2</v>
      </c>
      <c r="AG101">
        <v>-3.5000000000000003E-2</v>
      </c>
      <c r="AH101">
        <v>-0.13300000000000001</v>
      </c>
      <c r="AI101">
        <v>-4.2000000000000003E-2</v>
      </c>
    </row>
    <row r="102" spans="1:35" x14ac:dyDescent="0.25">
      <c r="A102" t="s">
        <v>2315</v>
      </c>
      <c r="B102" t="s">
        <v>31</v>
      </c>
      <c r="C102" s="25">
        <v>43706.730555555558</v>
      </c>
      <c r="D102" s="741" t="s">
        <v>2238</v>
      </c>
      <c r="E102" s="424">
        <f t="array" ref="E102">SUMPRODUCT(IF(AMP3_4[[#This Row],[Dim 1_1]:[T 8]]-$F$4:$AI$4&lt;0,1,0)+IF($F$5:$AI$5-AMP3_4[[#This Row],[Dim 1_1]:[T 8]]&lt;0,1,0),IF(ISNUMBER(AMP3_4[[#This Row],[Dim 1_1]:[T 8]])=TRUE,1,0))</f>
        <v>0</v>
      </c>
      <c r="H102">
        <v>155.81700000000001</v>
      </c>
      <c r="I102">
        <v>155.88800000000001</v>
      </c>
      <c r="J102">
        <v>168.74100000000001</v>
      </c>
      <c r="K102">
        <v>168.59100000000001</v>
      </c>
      <c r="L102">
        <v>155.89400000000001</v>
      </c>
      <c r="M102">
        <v>155.77799999999999</v>
      </c>
      <c r="N102">
        <v>27.262</v>
      </c>
      <c r="O102">
        <v>27.489000000000001</v>
      </c>
      <c r="R102">
        <v>17.216999999999999</v>
      </c>
      <c r="S102">
        <v>17.155999999999999</v>
      </c>
      <c r="T102">
        <v>40.119</v>
      </c>
      <c r="U102">
        <v>40.872999999999998</v>
      </c>
      <c r="W102">
        <v>0.11</v>
      </c>
      <c r="X102">
        <v>-0.35799999999999998</v>
      </c>
      <c r="Z102">
        <v>-3.5999999999999997E-2</v>
      </c>
      <c r="AA102">
        <v>-0.23100000000000001</v>
      </c>
      <c r="AB102">
        <v>9.7000000000000003E-2</v>
      </c>
      <c r="AC102">
        <v>-0.23</v>
      </c>
      <c r="AD102">
        <v>0.11</v>
      </c>
      <c r="AE102">
        <v>-0.35799999999999998</v>
      </c>
      <c r="AF102">
        <v>-4.1000000000000002E-2</v>
      </c>
      <c r="AG102">
        <v>-0.04</v>
      </c>
      <c r="AH102">
        <v>-0.23100000000000001</v>
      </c>
      <c r="AI102">
        <v>-3.5999999999999997E-2</v>
      </c>
    </row>
    <row r="103" spans="1:35" x14ac:dyDescent="0.25">
      <c r="A103" t="s">
        <v>2316</v>
      </c>
      <c r="B103" t="s">
        <v>32</v>
      </c>
      <c r="C103" s="25">
        <v>43706.79515046296</v>
      </c>
      <c r="D103" s="741" t="s">
        <v>2238</v>
      </c>
      <c r="E103" s="424">
        <f t="array" ref="E103">SUMPRODUCT(IF(AMP3_4[[#This Row],[Dim 1_1]:[T 8]]-$F$4:$AI$4&lt;0,1,0)+IF($F$5:$AI$5-AMP3_4[[#This Row],[Dim 1_1]:[T 8]]&lt;0,1,0),IF(ISNUMBER(AMP3_4[[#This Row],[Dim 1_1]:[T 8]])=TRUE,1,0))</f>
        <v>0</v>
      </c>
      <c r="F103">
        <v>41.295999999999999</v>
      </c>
      <c r="G103">
        <v>41.177</v>
      </c>
      <c r="H103">
        <v>155.80500000000001</v>
      </c>
      <c r="I103">
        <v>155.83600000000001</v>
      </c>
      <c r="L103">
        <v>155.86600000000001</v>
      </c>
      <c r="M103">
        <v>155.733</v>
      </c>
      <c r="N103">
        <v>27.288</v>
      </c>
      <c r="O103">
        <v>27.390999999999998</v>
      </c>
      <c r="R103">
        <v>17.216000000000001</v>
      </c>
      <c r="S103">
        <v>17.306999999999999</v>
      </c>
      <c r="T103">
        <v>33.643999999999998</v>
      </c>
      <c r="U103">
        <v>33.94</v>
      </c>
      <c r="W103">
        <v>5.7000000000000002E-2</v>
      </c>
      <c r="X103">
        <v>-5.8999999999999997E-2</v>
      </c>
      <c r="Z103">
        <v>3.7999999999999999E-2</v>
      </c>
      <c r="AA103">
        <v>-8.5999999999999993E-2</v>
      </c>
      <c r="AB103">
        <v>3.3000000000000002E-2</v>
      </c>
      <c r="AC103">
        <v>5.7000000000000002E-2</v>
      </c>
      <c r="AD103">
        <v>5.0000000000000001E-3</v>
      </c>
      <c r="AE103">
        <v>-5.8999999999999997E-2</v>
      </c>
      <c r="AF103">
        <v>3.7999999999999999E-2</v>
      </c>
      <c r="AG103">
        <v>1.0999999999999999E-2</v>
      </c>
      <c r="AH103">
        <v>-8.5999999999999993E-2</v>
      </c>
      <c r="AI103">
        <v>-2.7E-2</v>
      </c>
    </row>
    <row r="104" spans="1:35" x14ac:dyDescent="0.25">
      <c r="A104" t="s">
        <v>2317</v>
      </c>
      <c r="B104" t="s">
        <v>31</v>
      </c>
      <c r="C104" s="25">
        <v>43706.797199074077</v>
      </c>
      <c r="D104" s="741" t="s">
        <v>2238</v>
      </c>
      <c r="E104" s="424">
        <f t="array" ref="E104">SUMPRODUCT(IF(AMP3_4[[#This Row],[Dim 1_1]:[T 8]]-$F$4:$AI$4&lt;0,1,0)+IF($F$5:$AI$5-AMP3_4[[#This Row],[Dim 1_1]:[T 8]]&lt;0,1,0),IF(ISNUMBER(AMP3_4[[#This Row],[Dim 1_1]:[T 8]])=TRUE,1,0))</f>
        <v>0</v>
      </c>
      <c r="H104">
        <v>155.80799999999999</v>
      </c>
      <c r="I104">
        <v>155.88</v>
      </c>
      <c r="J104">
        <v>168.77600000000001</v>
      </c>
      <c r="K104">
        <v>168.55099999999999</v>
      </c>
      <c r="L104">
        <v>155.863</v>
      </c>
      <c r="M104">
        <v>155.761</v>
      </c>
      <c r="N104">
        <v>27.259</v>
      </c>
      <c r="O104">
        <v>27.489000000000001</v>
      </c>
      <c r="R104">
        <v>17.274000000000001</v>
      </c>
      <c r="S104">
        <v>17.125</v>
      </c>
      <c r="T104">
        <v>37.627000000000002</v>
      </c>
      <c r="U104">
        <v>38.895000000000003</v>
      </c>
      <c r="W104">
        <v>0.11799999999999999</v>
      </c>
      <c r="X104">
        <v>-0.36799999999999999</v>
      </c>
      <c r="Z104">
        <v>-1.4E-2</v>
      </c>
      <c r="AA104">
        <v>-0.19700000000000001</v>
      </c>
      <c r="AB104">
        <v>7.8E-2</v>
      </c>
      <c r="AC104">
        <v>-0.23499999999999999</v>
      </c>
      <c r="AD104">
        <v>0.11799999999999999</v>
      </c>
      <c r="AE104">
        <v>-0.36799999999999999</v>
      </c>
      <c r="AF104">
        <v>-6.7000000000000004E-2</v>
      </c>
      <c r="AG104">
        <v>-0.06</v>
      </c>
      <c r="AH104">
        <v>-0.19700000000000001</v>
      </c>
      <c r="AI104">
        <v>-1.4E-2</v>
      </c>
    </row>
    <row r="105" spans="1:35" x14ac:dyDescent="0.25">
      <c r="A105" t="s">
        <v>2318</v>
      </c>
      <c r="B105" t="s">
        <v>32</v>
      </c>
      <c r="C105" s="25">
        <v>43706.929293981484</v>
      </c>
      <c r="D105" s="741" t="s">
        <v>2238</v>
      </c>
      <c r="E105" s="424">
        <f t="array" ref="E105">SUMPRODUCT(IF(AMP3_4[[#This Row],[Dim 1_1]:[T 8]]-$F$4:$AI$4&lt;0,1,0)+IF($F$5:$AI$5-AMP3_4[[#This Row],[Dim 1_1]:[T 8]]&lt;0,1,0),IF(ISNUMBER(AMP3_4[[#This Row],[Dim 1_1]:[T 8]])=TRUE,1,0))</f>
        <v>0</v>
      </c>
      <c r="F105">
        <v>41.377000000000002</v>
      </c>
      <c r="G105">
        <v>41.232999999999997</v>
      </c>
      <c r="H105">
        <v>155.74600000000001</v>
      </c>
      <c r="I105">
        <v>155.75399999999999</v>
      </c>
      <c r="L105">
        <v>155.809</v>
      </c>
      <c r="M105">
        <v>155.62100000000001</v>
      </c>
      <c r="N105">
        <v>27.346</v>
      </c>
      <c r="O105">
        <v>27.484000000000002</v>
      </c>
      <c r="R105">
        <v>17.245000000000001</v>
      </c>
      <c r="S105">
        <v>17.332999999999998</v>
      </c>
      <c r="T105">
        <v>33.36</v>
      </c>
      <c r="U105">
        <v>33.868000000000002</v>
      </c>
      <c r="W105">
        <v>0.15</v>
      </c>
      <c r="X105">
        <v>6.3E-2</v>
      </c>
      <c r="Z105">
        <v>0.11600000000000001</v>
      </c>
      <c r="AA105">
        <v>-1.2E-2</v>
      </c>
      <c r="AB105">
        <v>0.11700000000000001</v>
      </c>
      <c r="AC105">
        <v>0.15</v>
      </c>
      <c r="AD105">
        <v>6.3E-2</v>
      </c>
      <c r="AE105">
        <v>0.10100000000000001</v>
      </c>
      <c r="AF105">
        <v>0.11600000000000001</v>
      </c>
      <c r="AG105">
        <v>9.4E-2</v>
      </c>
      <c r="AH105">
        <v>-1.2E-2</v>
      </c>
      <c r="AI105">
        <v>6.3E-2</v>
      </c>
    </row>
    <row r="106" spans="1:35" x14ac:dyDescent="0.25">
      <c r="A106" t="s">
        <v>2319</v>
      </c>
      <c r="B106" t="s">
        <v>31</v>
      </c>
      <c r="C106" s="25">
        <v>43706.931284722225</v>
      </c>
      <c r="D106" s="741" t="s">
        <v>2238</v>
      </c>
      <c r="E106" s="424">
        <f t="array" ref="E106">SUMPRODUCT(IF(AMP3_4[[#This Row],[Dim 1_1]:[T 8]]-$F$4:$AI$4&lt;0,1,0)+IF($F$5:$AI$5-AMP3_4[[#This Row],[Dim 1_1]:[T 8]]&lt;0,1,0),IF(ISNUMBER(AMP3_4[[#This Row],[Dim 1_1]:[T 8]])=TRUE,1,0))</f>
        <v>0</v>
      </c>
      <c r="H106">
        <v>155.75800000000001</v>
      </c>
      <c r="I106">
        <v>155.81</v>
      </c>
      <c r="J106">
        <v>168.834</v>
      </c>
      <c r="K106">
        <v>168.501</v>
      </c>
      <c r="L106">
        <v>155.84200000000001</v>
      </c>
      <c r="M106">
        <v>155.68799999999999</v>
      </c>
      <c r="N106">
        <v>27.298999999999999</v>
      </c>
      <c r="O106">
        <v>27.541</v>
      </c>
      <c r="R106">
        <v>17.254000000000001</v>
      </c>
      <c r="S106">
        <v>17.158000000000001</v>
      </c>
      <c r="T106">
        <v>39.072000000000003</v>
      </c>
      <c r="U106">
        <v>39.313000000000002</v>
      </c>
      <c r="W106">
        <v>0.152</v>
      </c>
      <c r="X106">
        <v>-0.38100000000000001</v>
      </c>
      <c r="Z106">
        <v>7.3999999999999996E-2</v>
      </c>
      <c r="AA106">
        <v>-0.20100000000000001</v>
      </c>
      <c r="AB106">
        <v>0.152</v>
      </c>
      <c r="AC106">
        <v>-0.158</v>
      </c>
      <c r="AD106">
        <v>6.9000000000000006E-2</v>
      </c>
      <c r="AE106">
        <v>-0.38100000000000001</v>
      </c>
      <c r="AF106">
        <v>7.3999999999999996E-2</v>
      </c>
      <c r="AG106">
        <v>7.0000000000000007E-2</v>
      </c>
      <c r="AH106">
        <v>-0.20100000000000001</v>
      </c>
      <c r="AI106">
        <v>2.9000000000000001E-2</v>
      </c>
    </row>
    <row r="107" spans="1:35" x14ac:dyDescent="0.25">
      <c r="A107" t="s">
        <v>2320</v>
      </c>
      <c r="B107" t="s">
        <v>32</v>
      </c>
      <c r="C107" s="25">
        <v>43707.003865740742</v>
      </c>
      <c r="D107" s="741" t="s">
        <v>2238</v>
      </c>
      <c r="E107" s="424">
        <f t="array" ref="E107">SUMPRODUCT(IF(AMP3_4[[#This Row],[Dim 1_1]:[T 8]]-$F$4:$AI$4&lt;0,1,0)+IF($F$5:$AI$5-AMP3_4[[#This Row],[Dim 1_1]:[T 8]]&lt;0,1,0),IF(ISNUMBER(AMP3_4[[#This Row],[Dim 1_1]:[T 8]])=TRUE,1,0))</f>
        <v>0</v>
      </c>
      <c r="F107">
        <v>41.197000000000003</v>
      </c>
      <c r="G107">
        <v>40.994</v>
      </c>
      <c r="H107">
        <v>155.84399999999999</v>
      </c>
      <c r="I107">
        <v>155.83799999999999</v>
      </c>
      <c r="L107">
        <v>155.91</v>
      </c>
      <c r="M107">
        <v>155.738</v>
      </c>
      <c r="N107">
        <v>27.244</v>
      </c>
      <c r="O107">
        <v>27.387</v>
      </c>
      <c r="R107">
        <v>17.227</v>
      </c>
      <c r="S107">
        <v>17.265999999999998</v>
      </c>
      <c r="T107">
        <v>33.631999999999998</v>
      </c>
      <c r="U107">
        <v>34.052</v>
      </c>
      <c r="W107">
        <v>4.9000000000000002E-2</v>
      </c>
      <c r="X107">
        <v>0</v>
      </c>
      <c r="Z107">
        <v>3.7999999999999999E-2</v>
      </c>
      <c r="AA107">
        <v>-6.0000000000000001E-3</v>
      </c>
      <c r="AB107">
        <v>0</v>
      </c>
      <c r="AC107">
        <v>4.9000000000000002E-2</v>
      </c>
      <c r="AD107">
        <v>2.7E-2</v>
      </c>
      <c r="AE107">
        <v>1.6E-2</v>
      </c>
      <c r="AF107">
        <v>1.6E-2</v>
      </c>
      <c r="AG107">
        <v>-4.0000000000000001E-3</v>
      </c>
      <c r="AH107">
        <v>-6.0000000000000001E-3</v>
      </c>
      <c r="AI107">
        <v>3.7999999999999999E-2</v>
      </c>
    </row>
    <row r="108" spans="1:35" x14ac:dyDescent="0.25">
      <c r="A108" t="s">
        <v>2321</v>
      </c>
      <c r="B108" t="s">
        <v>31</v>
      </c>
      <c r="C108" s="25">
        <v>43707.005983796298</v>
      </c>
      <c r="D108" s="741" t="s">
        <v>2238</v>
      </c>
      <c r="E108" s="424">
        <f t="array" ref="E108">SUMPRODUCT(IF(AMP3_4[[#This Row],[Dim 1_1]:[T 8]]-$F$4:$AI$4&lt;0,1,0)+IF($F$5:$AI$5-AMP3_4[[#This Row],[Dim 1_1]:[T 8]]&lt;0,1,0),IF(ISNUMBER(AMP3_4[[#This Row],[Dim 1_1]:[T 8]])=TRUE,1,0))</f>
        <v>0</v>
      </c>
      <c r="H108">
        <v>155.846</v>
      </c>
      <c r="I108">
        <v>155.89599999999999</v>
      </c>
      <c r="J108">
        <v>168.744</v>
      </c>
      <c r="K108">
        <v>168.54</v>
      </c>
      <c r="L108">
        <v>155.92400000000001</v>
      </c>
      <c r="M108">
        <v>155.77000000000001</v>
      </c>
      <c r="N108">
        <v>27.228999999999999</v>
      </c>
      <c r="O108">
        <v>27.504999999999999</v>
      </c>
      <c r="R108">
        <v>17.273</v>
      </c>
      <c r="S108">
        <v>17.178000000000001</v>
      </c>
      <c r="T108">
        <v>37.014000000000003</v>
      </c>
      <c r="U108">
        <v>38.186</v>
      </c>
      <c r="W108">
        <v>0.14899999999999999</v>
      </c>
      <c r="X108">
        <v>-0.32400000000000001</v>
      </c>
      <c r="Z108">
        <v>1.9E-2</v>
      </c>
      <c r="AA108">
        <v>-0.182</v>
      </c>
      <c r="AB108">
        <v>8.8999999999999996E-2</v>
      </c>
      <c r="AC108">
        <v>-0.23300000000000001</v>
      </c>
      <c r="AD108">
        <v>0.14899999999999999</v>
      </c>
      <c r="AE108">
        <v>-0.32400000000000001</v>
      </c>
      <c r="AF108">
        <v>-6.0999999999999999E-2</v>
      </c>
      <c r="AG108">
        <v>-6.3E-2</v>
      </c>
      <c r="AH108">
        <v>-0.182</v>
      </c>
      <c r="AI108">
        <v>1.9E-2</v>
      </c>
    </row>
    <row r="109" spans="1:35" x14ac:dyDescent="0.25">
      <c r="A109" t="s">
        <v>2322</v>
      </c>
      <c r="B109" t="s">
        <v>32</v>
      </c>
      <c r="C109" s="25">
        <v>43707.341921296298</v>
      </c>
      <c r="D109" s="741" t="s">
        <v>2238</v>
      </c>
      <c r="E109" s="424">
        <f t="array" ref="E109">SUMPRODUCT(IF(AMP3_4[[#This Row],[Dim 1_1]:[T 8]]-$F$4:$AI$4&lt;0,1,0)+IF($F$5:$AI$5-AMP3_4[[#This Row],[Dim 1_1]:[T 8]]&lt;0,1,0),IF(ISNUMBER(AMP3_4[[#This Row],[Dim 1_1]:[T 8]])=TRUE,1,0))</f>
        <v>0</v>
      </c>
      <c r="F109">
        <v>41.268999999999998</v>
      </c>
      <c r="G109">
        <v>41.030999999999999</v>
      </c>
      <c r="H109">
        <v>155.864</v>
      </c>
      <c r="I109">
        <v>155.876</v>
      </c>
      <c r="L109">
        <v>155.95400000000001</v>
      </c>
      <c r="M109">
        <v>155.79400000000001</v>
      </c>
      <c r="N109">
        <v>27.193999999999999</v>
      </c>
      <c r="O109">
        <v>27.337</v>
      </c>
      <c r="R109">
        <v>17.216000000000001</v>
      </c>
      <c r="S109">
        <v>17.292999999999999</v>
      </c>
      <c r="T109">
        <v>33.79</v>
      </c>
      <c r="U109">
        <v>34.171999999999997</v>
      </c>
      <c r="W109">
        <v>3.4000000000000002E-2</v>
      </c>
      <c r="X109">
        <v>-8.0000000000000002E-3</v>
      </c>
      <c r="Z109">
        <v>5.8999999999999997E-2</v>
      </c>
      <c r="AA109">
        <v>-2.4E-2</v>
      </c>
      <c r="AB109">
        <v>-7.0000000000000001E-3</v>
      </c>
      <c r="AC109">
        <v>3.4000000000000002E-2</v>
      </c>
      <c r="AD109">
        <v>-8.0000000000000002E-3</v>
      </c>
      <c r="AE109">
        <v>2E-3</v>
      </c>
      <c r="AF109">
        <v>5.8999999999999997E-2</v>
      </c>
      <c r="AG109">
        <v>2.5999999999999999E-2</v>
      </c>
      <c r="AH109">
        <v>-2.4E-2</v>
      </c>
      <c r="AI109">
        <v>1.6E-2</v>
      </c>
    </row>
    <row r="110" spans="1:35" x14ac:dyDescent="0.25">
      <c r="A110" t="s">
        <v>2323</v>
      </c>
      <c r="B110" t="s">
        <v>31</v>
      </c>
      <c r="C110" s="25">
        <v>43707.344201388885</v>
      </c>
      <c r="D110" s="741" t="s">
        <v>2238</v>
      </c>
      <c r="E110" s="424">
        <f t="array" ref="E110">SUMPRODUCT(IF(AMP3_4[[#This Row],[Dim 1_1]:[T 8]]-$F$4:$AI$4&lt;0,1,0)+IF($F$5:$AI$5-AMP3_4[[#This Row],[Dim 1_1]:[T 8]]&lt;0,1,0),IF(ISNUMBER(AMP3_4[[#This Row],[Dim 1_1]:[T 8]])=TRUE,1,0))</f>
        <v>0</v>
      </c>
      <c r="H110">
        <v>155.91200000000001</v>
      </c>
      <c r="I110">
        <v>155.97399999999999</v>
      </c>
      <c r="J110">
        <v>168.852</v>
      </c>
      <c r="K110">
        <v>168.65600000000001</v>
      </c>
      <c r="L110">
        <v>155.952</v>
      </c>
      <c r="M110">
        <v>155.804</v>
      </c>
      <c r="N110">
        <v>27.207000000000001</v>
      </c>
      <c r="O110">
        <v>27.477</v>
      </c>
      <c r="R110">
        <v>17.263999999999999</v>
      </c>
      <c r="S110">
        <v>17.210999999999999</v>
      </c>
      <c r="T110">
        <v>37.009</v>
      </c>
      <c r="U110">
        <v>39.012999999999998</v>
      </c>
      <c r="W110">
        <v>0.161</v>
      </c>
      <c r="X110">
        <v>-0.32400000000000001</v>
      </c>
      <c r="Z110">
        <v>4.5999999999999999E-2</v>
      </c>
      <c r="AA110">
        <v>-6.5000000000000002E-2</v>
      </c>
      <c r="AB110">
        <v>0.13200000000000001</v>
      </c>
      <c r="AC110">
        <v>-0.17899999999999999</v>
      </c>
      <c r="AD110">
        <v>0.161</v>
      </c>
      <c r="AE110">
        <v>-0.32400000000000001</v>
      </c>
      <c r="AF110">
        <v>4.5999999999999999E-2</v>
      </c>
      <c r="AG110">
        <v>2.1999999999999999E-2</v>
      </c>
      <c r="AH110">
        <v>-6.5000000000000002E-2</v>
      </c>
      <c r="AI110">
        <v>4.1000000000000002E-2</v>
      </c>
    </row>
    <row r="111" spans="1:35" x14ac:dyDescent="0.25">
      <c r="A111" t="s">
        <v>2324</v>
      </c>
      <c r="B111" t="s">
        <v>32</v>
      </c>
      <c r="C111" s="25">
        <v>43707.424791666665</v>
      </c>
      <c r="D111" s="741" t="s">
        <v>2238</v>
      </c>
      <c r="E111" s="424">
        <f t="array" ref="E111">SUMPRODUCT(IF(AMP3_4[[#This Row],[Dim 1_1]:[T 8]]-$F$4:$AI$4&lt;0,1,0)+IF($F$5:$AI$5-AMP3_4[[#This Row],[Dim 1_1]:[T 8]]&lt;0,1,0),IF(ISNUMBER(AMP3_4[[#This Row],[Dim 1_1]:[T 8]])=TRUE,1,0))</f>
        <v>0</v>
      </c>
      <c r="F111">
        <v>41.213999999999999</v>
      </c>
      <c r="G111">
        <v>41.110999999999997</v>
      </c>
      <c r="H111">
        <v>155.85300000000001</v>
      </c>
      <c r="I111">
        <v>155.85499999999999</v>
      </c>
      <c r="L111">
        <v>155.93100000000001</v>
      </c>
      <c r="M111">
        <v>155.779</v>
      </c>
      <c r="N111">
        <v>27.21</v>
      </c>
      <c r="O111">
        <v>27.363</v>
      </c>
      <c r="R111">
        <v>17.22</v>
      </c>
      <c r="S111">
        <v>17.260000000000002</v>
      </c>
      <c r="T111">
        <v>33.728000000000002</v>
      </c>
      <c r="U111">
        <v>34.113999999999997</v>
      </c>
      <c r="W111">
        <v>3.6999999999999998E-2</v>
      </c>
      <c r="X111">
        <v>-1.6E-2</v>
      </c>
      <c r="Z111">
        <v>3.6999999999999998E-2</v>
      </c>
      <c r="AA111">
        <v>-2.1999999999999999E-2</v>
      </c>
      <c r="AB111">
        <v>-1.0999999999999999E-2</v>
      </c>
      <c r="AC111">
        <v>3.6999999999999998E-2</v>
      </c>
      <c r="AD111">
        <v>1.7999999999999999E-2</v>
      </c>
      <c r="AE111">
        <v>-1.6E-2</v>
      </c>
      <c r="AF111">
        <v>3.6999999999999998E-2</v>
      </c>
      <c r="AG111">
        <v>-7.0000000000000001E-3</v>
      </c>
      <c r="AH111">
        <v>-2.1999999999999999E-2</v>
      </c>
      <c r="AI111">
        <v>0.02</v>
      </c>
    </row>
    <row r="112" spans="1:35" x14ac:dyDescent="0.25">
      <c r="A112" t="s">
        <v>2325</v>
      </c>
      <c r="B112" t="s">
        <v>31</v>
      </c>
      <c r="C112" s="25">
        <v>43707.426979166667</v>
      </c>
      <c r="D112" s="741" t="s">
        <v>2238</v>
      </c>
      <c r="E112" s="424">
        <f t="array" ref="E112">SUMPRODUCT(IF(AMP3_4[[#This Row],[Dim 1_1]:[T 8]]-$F$4:$AI$4&lt;0,1,0)+IF($F$5:$AI$5-AMP3_4[[#This Row],[Dim 1_1]:[T 8]]&lt;0,1,0),IF(ISNUMBER(AMP3_4[[#This Row],[Dim 1_1]:[T 8]])=TRUE,1,0))</f>
        <v>0</v>
      </c>
      <c r="H112">
        <v>155.905</v>
      </c>
      <c r="I112">
        <v>155.95500000000001</v>
      </c>
      <c r="J112">
        <v>168.72900000000001</v>
      </c>
      <c r="K112">
        <v>168.65100000000001</v>
      </c>
      <c r="L112">
        <v>155.964</v>
      </c>
      <c r="M112">
        <v>155.84299999999999</v>
      </c>
      <c r="N112">
        <v>27.193000000000001</v>
      </c>
      <c r="O112">
        <v>27.427</v>
      </c>
      <c r="R112">
        <v>17.27</v>
      </c>
      <c r="S112">
        <v>17.231000000000002</v>
      </c>
      <c r="T112">
        <v>37.200000000000003</v>
      </c>
      <c r="U112">
        <v>39.25</v>
      </c>
      <c r="W112">
        <v>0.10199999999999999</v>
      </c>
      <c r="X112">
        <v>-0.307</v>
      </c>
      <c r="Z112">
        <v>-1.0999999999999999E-2</v>
      </c>
      <c r="AA112">
        <v>-0.21299999999999999</v>
      </c>
      <c r="AB112">
        <v>9.4E-2</v>
      </c>
      <c r="AC112">
        <v>-0.20699999999999999</v>
      </c>
      <c r="AD112">
        <v>0.10199999999999999</v>
      </c>
      <c r="AE112">
        <v>-0.307</v>
      </c>
      <c r="AF112">
        <v>-1.0999999999999999E-2</v>
      </c>
      <c r="AG112">
        <v>-0.04</v>
      </c>
      <c r="AH112">
        <v>-0.21299999999999999</v>
      </c>
      <c r="AI112">
        <v>-2.1000000000000001E-2</v>
      </c>
    </row>
    <row r="113" spans="1:35" x14ac:dyDescent="0.25">
      <c r="A113" t="s">
        <v>2470</v>
      </c>
      <c r="B113" t="s">
        <v>32</v>
      </c>
      <c r="C113" s="25">
        <v>43707.532523148147</v>
      </c>
      <c r="D113" s="741" t="s">
        <v>2238</v>
      </c>
      <c r="E113" s="424">
        <f t="array" ref="E113">SUMPRODUCT(IF(AMP3_4[[#This Row],[Dim 1_1]:[T 8]]-$F$4:$AI$4&lt;0,1,0)+IF($F$5:$AI$5-AMP3_4[[#This Row],[Dim 1_1]:[T 8]]&lt;0,1,0),IF(ISNUMBER(AMP3_4[[#This Row],[Dim 1_1]:[T 8]])=TRUE,1,0))</f>
        <v>0</v>
      </c>
      <c r="F113">
        <v>41.338000000000001</v>
      </c>
      <c r="G113">
        <v>41.16</v>
      </c>
      <c r="H113">
        <v>155.786</v>
      </c>
      <c r="I113">
        <v>155.833</v>
      </c>
      <c r="L113">
        <v>155.90299999999999</v>
      </c>
      <c r="M113">
        <v>155.75299999999999</v>
      </c>
      <c r="N113">
        <v>27.201000000000001</v>
      </c>
      <c r="O113">
        <v>27.349</v>
      </c>
      <c r="R113">
        <v>17.2</v>
      </c>
      <c r="S113">
        <v>17.338000000000001</v>
      </c>
      <c r="T113">
        <v>33.972000000000001</v>
      </c>
      <c r="U113">
        <v>33.779000000000003</v>
      </c>
      <c r="W113">
        <v>4.8000000000000001E-2</v>
      </c>
      <c r="X113">
        <v>-0.21299999999999999</v>
      </c>
      <c r="Z113">
        <v>0.122</v>
      </c>
      <c r="AA113">
        <v>-8.5000000000000006E-2</v>
      </c>
      <c r="AB113">
        <v>1E-3</v>
      </c>
      <c r="AC113">
        <v>4.8000000000000001E-2</v>
      </c>
      <c r="AD113">
        <v>-0.11700000000000001</v>
      </c>
      <c r="AE113">
        <v>-0.21299999999999999</v>
      </c>
      <c r="AF113">
        <v>0.122</v>
      </c>
      <c r="AG113">
        <v>8.4000000000000005E-2</v>
      </c>
      <c r="AH113">
        <v>-8.5000000000000006E-2</v>
      </c>
      <c r="AI113">
        <v>-1.6E-2</v>
      </c>
    </row>
    <row r="114" spans="1:35" x14ac:dyDescent="0.25">
      <c r="A114" t="s">
        <v>2471</v>
      </c>
      <c r="B114" t="s">
        <v>31</v>
      </c>
      <c r="C114" s="25">
        <v>43707.54892361111</v>
      </c>
      <c r="D114" s="741" t="s">
        <v>2238</v>
      </c>
      <c r="E114" s="424">
        <f t="array" ref="E114">SUMPRODUCT(IF(AMP3_4[[#This Row],[Dim 1_1]:[T 8]]-$F$4:$AI$4&lt;0,1,0)+IF($F$5:$AI$5-AMP3_4[[#This Row],[Dim 1_1]:[T 8]]&lt;0,1,0),IF(ISNUMBER(AMP3_4[[#This Row],[Dim 1_1]:[T 8]])=TRUE,1,0))</f>
        <v>0</v>
      </c>
      <c r="H114">
        <v>155.89400000000001</v>
      </c>
      <c r="I114">
        <v>155.893</v>
      </c>
      <c r="J114">
        <v>168.86500000000001</v>
      </c>
      <c r="K114">
        <v>168.703</v>
      </c>
      <c r="L114">
        <v>155.94300000000001</v>
      </c>
      <c r="M114">
        <v>155.78200000000001</v>
      </c>
      <c r="N114">
        <v>27.303999999999998</v>
      </c>
      <c r="O114">
        <v>27.559000000000001</v>
      </c>
      <c r="R114">
        <v>17.251999999999999</v>
      </c>
      <c r="S114">
        <v>17.106999999999999</v>
      </c>
      <c r="T114">
        <v>36.156999999999996</v>
      </c>
      <c r="U114">
        <v>37.286999999999999</v>
      </c>
      <c r="W114">
        <v>0.17499999999999999</v>
      </c>
      <c r="X114">
        <v>-0.24299999999999999</v>
      </c>
      <c r="Z114">
        <v>0</v>
      </c>
      <c r="AA114">
        <v>-0.123</v>
      </c>
      <c r="AB114">
        <v>0.17499999999999999</v>
      </c>
      <c r="AC114">
        <v>-0.129</v>
      </c>
      <c r="AD114">
        <v>0.17100000000000001</v>
      </c>
      <c r="AE114">
        <v>-0.24299999999999999</v>
      </c>
      <c r="AF114">
        <v>-1.7999999999999999E-2</v>
      </c>
      <c r="AG114">
        <v>-4.8000000000000001E-2</v>
      </c>
      <c r="AH114">
        <v>-0.123</v>
      </c>
      <c r="AI114">
        <v>0</v>
      </c>
    </row>
    <row r="115" spans="1:35" x14ac:dyDescent="0.25">
      <c r="A115" t="s">
        <v>2472</v>
      </c>
      <c r="B115" t="s">
        <v>32</v>
      </c>
      <c r="C115" s="25">
        <v>43707.616724537038</v>
      </c>
      <c r="D115" s="741" t="s">
        <v>2238</v>
      </c>
      <c r="E115" s="424">
        <f t="array" ref="E115">SUMPRODUCT(IF(AMP3_4[[#This Row],[Dim 1_1]:[T 8]]-$F$4:$AI$4&lt;0,1,0)+IF($F$5:$AI$5-AMP3_4[[#This Row],[Dim 1_1]:[T 8]]&lt;0,1,0),IF(ISNUMBER(AMP3_4[[#This Row],[Dim 1_1]:[T 8]])=TRUE,1,0))</f>
        <v>0</v>
      </c>
      <c r="F115">
        <v>41.234999999999999</v>
      </c>
      <c r="G115">
        <v>41.072000000000003</v>
      </c>
      <c r="H115">
        <v>155.828</v>
      </c>
      <c r="I115">
        <v>155.83000000000001</v>
      </c>
      <c r="L115">
        <v>155.91399999999999</v>
      </c>
      <c r="M115">
        <v>155.74299999999999</v>
      </c>
      <c r="N115">
        <v>27.239000000000001</v>
      </c>
      <c r="O115">
        <v>27.387</v>
      </c>
      <c r="R115">
        <v>17.204999999999998</v>
      </c>
      <c r="S115">
        <v>17.216999999999999</v>
      </c>
      <c r="T115">
        <v>33.634999999999998</v>
      </c>
      <c r="U115">
        <v>34.103999999999999</v>
      </c>
      <c r="W115">
        <v>5.3999999999999999E-2</v>
      </c>
      <c r="X115">
        <v>1E-3</v>
      </c>
      <c r="Z115">
        <v>5.7000000000000002E-2</v>
      </c>
      <c r="AA115">
        <v>2E-3</v>
      </c>
      <c r="AB115">
        <v>1.4E-2</v>
      </c>
      <c r="AC115">
        <v>4.9000000000000002E-2</v>
      </c>
      <c r="AD115">
        <v>5.3999999999999999E-2</v>
      </c>
      <c r="AE115">
        <v>1E-3</v>
      </c>
      <c r="AF115">
        <v>4.8000000000000001E-2</v>
      </c>
      <c r="AG115">
        <v>2E-3</v>
      </c>
      <c r="AH115">
        <v>4.0000000000000001E-3</v>
      </c>
      <c r="AI115">
        <v>5.7000000000000002E-2</v>
      </c>
    </row>
    <row r="116" spans="1:35" x14ac:dyDescent="0.25">
      <c r="A116" t="s">
        <v>2473</v>
      </c>
      <c r="B116" t="s">
        <v>31</v>
      </c>
      <c r="C116" s="25">
        <v>43707.625671296293</v>
      </c>
      <c r="D116" s="741" t="s">
        <v>2238</v>
      </c>
      <c r="E116" s="424">
        <f t="array" ref="E116">SUMPRODUCT(IF(AMP3_4[[#This Row],[Dim 1_1]:[T 8]]-$F$4:$AI$4&lt;0,1,0)+IF($F$5:$AI$5-AMP3_4[[#This Row],[Dim 1_1]:[T 8]]&lt;0,1,0),IF(ISNUMBER(AMP3_4[[#This Row],[Dim 1_1]:[T 8]])=TRUE,1,0))</f>
        <v>0</v>
      </c>
      <c r="H116">
        <v>155.89400000000001</v>
      </c>
      <c r="I116">
        <v>155.965</v>
      </c>
      <c r="J116">
        <v>168.804</v>
      </c>
      <c r="K116">
        <v>168.68600000000001</v>
      </c>
      <c r="L116">
        <v>155.96899999999999</v>
      </c>
      <c r="M116">
        <v>155.85</v>
      </c>
      <c r="N116">
        <v>27.178000000000001</v>
      </c>
      <c r="O116">
        <v>27.414000000000001</v>
      </c>
      <c r="R116">
        <v>17.274999999999999</v>
      </c>
      <c r="S116">
        <v>17.140999999999998</v>
      </c>
      <c r="T116">
        <v>37.463999999999999</v>
      </c>
      <c r="U116">
        <v>36.956000000000003</v>
      </c>
      <c r="W116">
        <v>7.8E-2</v>
      </c>
      <c r="X116">
        <v>-0.39900000000000002</v>
      </c>
      <c r="Z116">
        <v>-1.4E-2</v>
      </c>
      <c r="AA116">
        <v>-0.19600000000000001</v>
      </c>
      <c r="AB116">
        <v>7.8E-2</v>
      </c>
      <c r="AC116">
        <v>-0.22600000000000001</v>
      </c>
      <c r="AD116">
        <v>7.0000000000000007E-2</v>
      </c>
      <c r="AE116">
        <v>-0.39900000000000002</v>
      </c>
      <c r="AF116">
        <v>-1.4E-2</v>
      </c>
      <c r="AG116">
        <v>-2.5000000000000001E-2</v>
      </c>
      <c r="AH116">
        <v>-0.19600000000000001</v>
      </c>
      <c r="AI116">
        <v>-0.02</v>
      </c>
    </row>
    <row r="117" spans="1:35" x14ac:dyDescent="0.25">
      <c r="A117" t="s">
        <v>2474</v>
      </c>
      <c r="B117" t="s">
        <v>32</v>
      </c>
      <c r="C117" s="25">
        <v>43707.695671296293</v>
      </c>
      <c r="D117" s="741" t="s">
        <v>2238</v>
      </c>
      <c r="E117" s="424">
        <f t="array" ref="E117">SUMPRODUCT(IF(AMP3_4[[#This Row],[Dim 1_1]:[T 8]]-$F$4:$AI$4&lt;0,1,0)+IF($F$5:$AI$5-AMP3_4[[#This Row],[Dim 1_1]:[T 8]]&lt;0,1,0),IF(ISNUMBER(AMP3_4[[#This Row],[Dim 1_1]:[T 8]])=TRUE,1,0))</f>
        <v>0</v>
      </c>
      <c r="F117">
        <v>41.195999999999998</v>
      </c>
      <c r="G117">
        <v>41.063000000000002</v>
      </c>
      <c r="H117">
        <v>155.827</v>
      </c>
      <c r="I117">
        <v>155.816</v>
      </c>
      <c r="L117">
        <v>155.93299999999999</v>
      </c>
      <c r="M117">
        <v>155.72200000000001</v>
      </c>
      <c r="N117">
        <v>27.207999999999998</v>
      </c>
      <c r="O117">
        <v>27.390999999999998</v>
      </c>
      <c r="R117">
        <v>17.221</v>
      </c>
      <c r="S117">
        <v>17.244</v>
      </c>
      <c r="T117">
        <v>33.363</v>
      </c>
      <c r="U117">
        <v>34.22</v>
      </c>
      <c r="W117">
        <v>5.7000000000000002E-2</v>
      </c>
      <c r="X117">
        <v>-1E-3</v>
      </c>
      <c r="Z117">
        <v>1.4999999999999999E-2</v>
      </c>
      <c r="AA117">
        <v>-3.5999999999999997E-2</v>
      </c>
      <c r="AB117">
        <v>-1E-3</v>
      </c>
      <c r="AC117">
        <v>4.7E-2</v>
      </c>
      <c r="AD117">
        <v>5.7000000000000002E-2</v>
      </c>
      <c r="AE117">
        <v>7.0000000000000001E-3</v>
      </c>
      <c r="AF117">
        <v>5.0000000000000001E-3</v>
      </c>
      <c r="AG117">
        <v>-3.5999999999999997E-2</v>
      </c>
      <c r="AH117">
        <v>-2.1000000000000001E-2</v>
      </c>
      <c r="AI117">
        <v>1.4999999999999999E-2</v>
      </c>
    </row>
    <row r="118" spans="1:35" x14ac:dyDescent="0.25">
      <c r="A118" t="s">
        <v>2475</v>
      </c>
      <c r="B118" t="s">
        <v>31</v>
      </c>
      <c r="C118" s="25">
        <v>43707.698912037034</v>
      </c>
      <c r="D118" s="741" t="s">
        <v>2238</v>
      </c>
      <c r="E118" s="424">
        <f t="array" ref="E118">SUMPRODUCT(IF(AMP3_4[[#This Row],[Dim 1_1]:[T 8]]-$F$4:$AI$4&lt;0,1,0)+IF($F$5:$AI$5-AMP3_4[[#This Row],[Dim 1_1]:[T 8]]&lt;0,1,0),IF(ISNUMBER(AMP3_4[[#This Row],[Dim 1_1]:[T 8]])=TRUE,1,0))</f>
        <v>0</v>
      </c>
      <c r="H118">
        <v>155.87200000000001</v>
      </c>
      <c r="I118">
        <v>156</v>
      </c>
      <c r="J118">
        <v>168.82499999999999</v>
      </c>
      <c r="K118">
        <v>168.64599999999999</v>
      </c>
      <c r="L118">
        <v>155.99</v>
      </c>
      <c r="M118">
        <v>155.90700000000001</v>
      </c>
      <c r="N118">
        <v>27.16</v>
      </c>
      <c r="O118">
        <v>27.353000000000002</v>
      </c>
      <c r="R118">
        <v>17.286999999999999</v>
      </c>
      <c r="S118">
        <v>17.146999999999998</v>
      </c>
      <c r="T118">
        <v>37.61</v>
      </c>
      <c r="U118">
        <v>37.856999999999999</v>
      </c>
      <c r="W118">
        <v>0.14199999999999999</v>
      </c>
      <c r="X118">
        <v>-0.30499999999999999</v>
      </c>
      <c r="Z118">
        <v>3.9E-2</v>
      </c>
      <c r="AA118">
        <v>-0.13900000000000001</v>
      </c>
      <c r="AB118">
        <v>0.08</v>
      </c>
      <c r="AC118">
        <v>-0.21</v>
      </c>
      <c r="AD118">
        <v>0.14199999999999999</v>
      </c>
      <c r="AE118">
        <v>-0.30499999999999999</v>
      </c>
      <c r="AF118">
        <v>-0.02</v>
      </c>
      <c r="AG118">
        <v>-8.0000000000000002E-3</v>
      </c>
      <c r="AH118">
        <v>-0.13900000000000001</v>
      </c>
      <c r="AI118">
        <v>3.9E-2</v>
      </c>
    </row>
    <row r="119" spans="1:35" x14ac:dyDescent="0.25">
      <c r="A119" t="s">
        <v>2476</v>
      </c>
      <c r="B119" t="s">
        <v>32</v>
      </c>
      <c r="C119" s="25">
        <v>43708.315636574072</v>
      </c>
      <c r="D119" s="741" t="s">
        <v>2238</v>
      </c>
      <c r="E119" s="424">
        <f t="array" ref="E119">SUMPRODUCT(IF(AMP3_4[[#This Row],[Dim 1_1]:[T 8]]-$F$4:$AI$4&lt;0,1,0)+IF($F$5:$AI$5-AMP3_4[[#This Row],[Dim 1_1]:[T 8]]&lt;0,1,0),IF(ISNUMBER(AMP3_4[[#This Row],[Dim 1_1]:[T 8]])=TRUE,1,0))</f>
        <v>0</v>
      </c>
      <c r="F119">
        <v>41.234000000000002</v>
      </c>
      <c r="G119">
        <v>41.216999999999999</v>
      </c>
      <c r="H119">
        <v>155.96199999999999</v>
      </c>
      <c r="I119">
        <v>155.90199999999999</v>
      </c>
      <c r="L119">
        <v>156.137</v>
      </c>
      <c r="M119">
        <v>155.899</v>
      </c>
      <c r="N119">
        <v>26.954000000000001</v>
      </c>
      <c r="O119">
        <v>27.189</v>
      </c>
      <c r="R119">
        <v>17.29</v>
      </c>
      <c r="S119">
        <v>17.263999999999999</v>
      </c>
      <c r="T119">
        <v>33.582999999999998</v>
      </c>
      <c r="U119">
        <v>34.338000000000001</v>
      </c>
      <c r="W119">
        <v>-0.441</v>
      </c>
      <c r="X119">
        <v>-0.50900000000000001</v>
      </c>
      <c r="Z119">
        <v>-0.105</v>
      </c>
      <c r="AA119">
        <v>-0.19500000000000001</v>
      </c>
      <c r="AB119">
        <v>-0.50900000000000001</v>
      </c>
      <c r="AC119">
        <v>-0.44600000000000001</v>
      </c>
      <c r="AD119">
        <v>-0.441</v>
      </c>
      <c r="AE119">
        <v>-0.45500000000000002</v>
      </c>
      <c r="AF119">
        <v>-0.188</v>
      </c>
      <c r="AG119">
        <v>-0.19500000000000001</v>
      </c>
      <c r="AH119">
        <v>-0.188</v>
      </c>
      <c r="AI119">
        <v>-0.105</v>
      </c>
    </row>
    <row r="120" spans="1:35" x14ac:dyDescent="0.25">
      <c r="A120" t="s">
        <v>2477</v>
      </c>
      <c r="B120" t="s">
        <v>31</v>
      </c>
      <c r="C120" s="25">
        <v>43708.317881944444</v>
      </c>
      <c r="D120" s="741" t="s">
        <v>2238</v>
      </c>
      <c r="E120" s="424">
        <f t="array" ref="E120">SUMPRODUCT(IF(AMP3_4[[#This Row],[Dim 1_1]:[T 8]]-$F$4:$AI$4&lt;0,1,0)+IF($F$5:$AI$5-AMP3_4[[#This Row],[Dim 1_1]:[T 8]]&lt;0,1,0),IF(ISNUMBER(AMP3_4[[#This Row],[Dim 1_1]:[T 8]])=TRUE,1,0))</f>
        <v>0</v>
      </c>
      <c r="H120">
        <v>156.03800000000001</v>
      </c>
      <c r="I120">
        <v>156.07400000000001</v>
      </c>
      <c r="J120">
        <v>168.983</v>
      </c>
      <c r="K120">
        <v>168.893</v>
      </c>
      <c r="L120">
        <v>156.114</v>
      </c>
      <c r="M120">
        <v>155.98599999999999</v>
      </c>
      <c r="N120">
        <v>27.105</v>
      </c>
      <c r="O120">
        <v>27.321000000000002</v>
      </c>
      <c r="R120">
        <v>17.303999999999998</v>
      </c>
      <c r="S120">
        <v>17.120999999999999</v>
      </c>
      <c r="T120">
        <v>40.47</v>
      </c>
      <c r="U120">
        <v>39.140999999999998</v>
      </c>
      <c r="W120">
        <v>0.26600000000000001</v>
      </c>
      <c r="X120">
        <v>-0.23400000000000001</v>
      </c>
      <c r="Z120">
        <v>0.35</v>
      </c>
      <c r="AA120">
        <v>0.17499999999999999</v>
      </c>
      <c r="AB120">
        <v>0.10100000000000001</v>
      </c>
      <c r="AC120">
        <v>-0.20599999999999999</v>
      </c>
      <c r="AD120">
        <v>0.26600000000000001</v>
      </c>
      <c r="AE120">
        <v>-0.23400000000000001</v>
      </c>
      <c r="AF120">
        <v>0.17499999999999999</v>
      </c>
      <c r="AG120">
        <v>0.17799999999999999</v>
      </c>
      <c r="AH120">
        <v>0.21199999999999999</v>
      </c>
      <c r="AI120">
        <v>0.35</v>
      </c>
    </row>
    <row r="121" spans="1:35" x14ac:dyDescent="0.25">
      <c r="A121" t="s">
        <v>2478</v>
      </c>
      <c r="B121" t="s">
        <v>32</v>
      </c>
      <c r="C121" s="25">
        <v>43708.406631944446</v>
      </c>
      <c r="D121" s="741" t="s">
        <v>2238</v>
      </c>
      <c r="E121" s="424">
        <f t="array" ref="E121">SUMPRODUCT(IF(AMP3_4[[#This Row],[Dim 1_1]:[T 8]]-$F$4:$AI$4&lt;0,1,0)+IF($F$5:$AI$5-AMP3_4[[#This Row],[Dim 1_1]:[T 8]]&lt;0,1,0),IF(ISNUMBER(AMP3_4[[#This Row],[Dim 1_1]:[T 8]])=TRUE,1,0))</f>
        <v>0</v>
      </c>
      <c r="F121">
        <v>41.152999999999999</v>
      </c>
      <c r="G121">
        <v>41.067</v>
      </c>
      <c r="H121">
        <v>155.84100000000001</v>
      </c>
      <c r="I121">
        <v>155.87700000000001</v>
      </c>
      <c r="L121">
        <v>155.934</v>
      </c>
      <c r="M121">
        <v>155.77500000000001</v>
      </c>
      <c r="N121">
        <v>27.181999999999999</v>
      </c>
      <c r="O121">
        <v>27.335000000000001</v>
      </c>
      <c r="R121">
        <v>17.213000000000001</v>
      </c>
      <c r="S121">
        <v>17.23</v>
      </c>
      <c r="T121">
        <v>33.838999999999999</v>
      </c>
      <c r="U121">
        <v>34.33</v>
      </c>
      <c r="W121">
        <v>0.01</v>
      </c>
      <c r="X121">
        <v>-0.04</v>
      </c>
      <c r="Z121">
        <v>4.9000000000000002E-2</v>
      </c>
      <c r="AA121">
        <v>-4.0000000000000001E-3</v>
      </c>
      <c r="AB121">
        <v>-0.04</v>
      </c>
      <c r="AC121">
        <v>0.01</v>
      </c>
      <c r="AD121">
        <v>7.0000000000000001E-3</v>
      </c>
      <c r="AE121">
        <v>-1.7999999999999999E-2</v>
      </c>
      <c r="AF121">
        <v>3.1E-2</v>
      </c>
      <c r="AG121">
        <v>-4.0000000000000001E-3</v>
      </c>
      <c r="AH121">
        <v>2.8000000000000001E-2</v>
      </c>
      <c r="AI121">
        <v>4.9000000000000002E-2</v>
      </c>
    </row>
    <row r="122" spans="1:35" x14ac:dyDescent="0.25">
      <c r="A122" t="s">
        <v>2479</v>
      </c>
      <c r="B122" t="s">
        <v>31</v>
      </c>
      <c r="C122" s="25">
        <v>43708.410127314812</v>
      </c>
      <c r="D122" s="741" t="s">
        <v>2238</v>
      </c>
      <c r="E122" s="424">
        <f t="array" ref="E122">SUMPRODUCT(IF(AMP3_4[[#This Row],[Dim 1_1]:[T 8]]-$F$4:$AI$4&lt;0,1,0)+IF($F$5:$AI$5-AMP3_4[[#This Row],[Dim 1_1]:[T 8]]&lt;0,1,0),IF(ISNUMBER(AMP3_4[[#This Row],[Dim 1_1]:[T 8]])=TRUE,1,0))</f>
        <v>0</v>
      </c>
      <c r="H122">
        <v>155.92099999999999</v>
      </c>
      <c r="I122">
        <v>155.95699999999999</v>
      </c>
      <c r="J122">
        <v>168.75399999999999</v>
      </c>
      <c r="K122">
        <v>168.642</v>
      </c>
      <c r="L122">
        <v>155.98699999999999</v>
      </c>
      <c r="M122">
        <v>155.84700000000001</v>
      </c>
      <c r="N122">
        <v>27.187000000000001</v>
      </c>
      <c r="O122">
        <v>27.411999999999999</v>
      </c>
      <c r="R122">
        <v>17.266999999999999</v>
      </c>
      <c r="S122">
        <v>17.268000000000001</v>
      </c>
      <c r="T122">
        <v>40.463000000000001</v>
      </c>
      <c r="U122">
        <v>40.881</v>
      </c>
      <c r="W122">
        <v>0.11799999999999999</v>
      </c>
      <c r="X122">
        <v>-0.41199999999999998</v>
      </c>
      <c r="Z122">
        <v>-1.6E-2</v>
      </c>
      <c r="AA122">
        <v>-0.24099999999999999</v>
      </c>
      <c r="AB122">
        <v>0.11799999999999999</v>
      </c>
      <c r="AC122">
        <v>-0.188</v>
      </c>
      <c r="AD122">
        <v>5.2999999999999999E-2</v>
      </c>
      <c r="AE122">
        <v>-0.41199999999999998</v>
      </c>
      <c r="AF122">
        <v>-1.6E-2</v>
      </c>
      <c r="AG122">
        <v>-3.4000000000000002E-2</v>
      </c>
      <c r="AH122">
        <v>-0.24099999999999999</v>
      </c>
      <c r="AI122">
        <v>-8.5000000000000006E-2</v>
      </c>
    </row>
    <row r="123" spans="1:35" x14ac:dyDescent="0.25">
      <c r="A123" t="s">
        <v>2480</v>
      </c>
      <c r="B123" t="s">
        <v>32</v>
      </c>
      <c r="C123" s="25">
        <v>43708.495891203704</v>
      </c>
      <c r="D123" s="741" t="s">
        <v>2238</v>
      </c>
      <c r="E123" s="424">
        <f t="array" ref="E123">SUMPRODUCT(IF(AMP3_4[[#This Row],[Dim 1_1]:[T 8]]-$F$4:$AI$4&lt;0,1,0)+IF($F$5:$AI$5-AMP3_4[[#This Row],[Dim 1_1]:[T 8]]&lt;0,1,0),IF(ISNUMBER(AMP3_4[[#This Row],[Dim 1_1]:[T 8]])=TRUE,1,0))</f>
        <v>0</v>
      </c>
      <c r="F123">
        <v>41.085999999999999</v>
      </c>
      <c r="G123">
        <v>41.003</v>
      </c>
      <c r="H123">
        <v>155.91</v>
      </c>
      <c r="I123">
        <v>155.928</v>
      </c>
      <c r="L123">
        <v>156.10599999999999</v>
      </c>
      <c r="M123">
        <v>155.95699999999999</v>
      </c>
      <c r="N123">
        <v>27.024999999999999</v>
      </c>
      <c r="O123">
        <v>27.149000000000001</v>
      </c>
      <c r="R123">
        <v>17.198</v>
      </c>
      <c r="S123">
        <v>17.196000000000002</v>
      </c>
      <c r="T123">
        <v>33.542000000000002</v>
      </c>
      <c r="U123">
        <v>34.25</v>
      </c>
      <c r="W123">
        <v>-0.05</v>
      </c>
      <c r="X123">
        <v>-0.14299999999999999</v>
      </c>
      <c r="Z123">
        <v>2.9000000000000001E-2</v>
      </c>
      <c r="AA123">
        <v>-6.4000000000000001E-2</v>
      </c>
      <c r="AB123">
        <v>-0.13700000000000001</v>
      </c>
      <c r="AC123">
        <v>-0.09</v>
      </c>
      <c r="AD123">
        <v>-0.05</v>
      </c>
      <c r="AE123">
        <v>-0.14299999999999999</v>
      </c>
      <c r="AF123">
        <v>-6.4000000000000001E-2</v>
      </c>
      <c r="AG123">
        <v>-4.8000000000000001E-2</v>
      </c>
      <c r="AH123">
        <v>2.9000000000000001E-2</v>
      </c>
      <c r="AI123">
        <v>5.0000000000000001E-3</v>
      </c>
    </row>
    <row r="124" spans="1:35" x14ac:dyDescent="0.25">
      <c r="A124" t="s">
        <v>2481</v>
      </c>
      <c r="B124" t="s">
        <v>31</v>
      </c>
      <c r="C124" s="25">
        <v>43708.498067129629</v>
      </c>
      <c r="D124" s="741" t="s">
        <v>2238</v>
      </c>
      <c r="E124" s="424">
        <f t="array" ref="E124">SUMPRODUCT(IF(AMP3_4[[#This Row],[Dim 1_1]:[T 8]]-$F$4:$AI$4&lt;0,1,0)+IF($F$5:$AI$5-AMP3_4[[#This Row],[Dim 1_1]:[T 8]]&lt;0,1,0),IF(ISNUMBER(AMP3_4[[#This Row],[Dim 1_1]:[T 8]])=TRUE,1,0))</f>
        <v>0</v>
      </c>
      <c r="H124">
        <v>156.02199999999999</v>
      </c>
      <c r="I124">
        <v>156.01</v>
      </c>
      <c r="J124">
        <v>168.739</v>
      </c>
      <c r="K124">
        <v>168.64099999999999</v>
      </c>
      <c r="L124">
        <v>155.994</v>
      </c>
      <c r="M124">
        <v>155.85400000000001</v>
      </c>
      <c r="N124">
        <v>27.172000000000001</v>
      </c>
      <c r="O124">
        <v>27.440999999999999</v>
      </c>
      <c r="R124">
        <v>17.268000000000001</v>
      </c>
      <c r="S124">
        <v>17.183</v>
      </c>
      <c r="T124">
        <v>37.151000000000003</v>
      </c>
      <c r="U124">
        <v>39.140999999999998</v>
      </c>
      <c r="W124">
        <v>0.10199999999999999</v>
      </c>
      <c r="X124">
        <v>-0.36899999999999999</v>
      </c>
      <c r="Z124">
        <v>-7.2999999999999995E-2</v>
      </c>
      <c r="AA124">
        <v>-0.219</v>
      </c>
      <c r="AB124">
        <v>0.04</v>
      </c>
      <c r="AC124">
        <v>-0.28599999999999998</v>
      </c>
      <c r="AD124">
        <v>0.10199999999999999</v>
      </c>
      <c r="AE124">
        <v>-0.36899999999999999</v>
      </c>
      <c r="AF124">
        <v>-0.123</v>
      </c>
      <c r="AG124">
        <v>-0.14899999999999999</v>
      </c>
      <c r="AH124">
        <v>-0.219</v>
      </c>
      <c r="AI124">
        <v>-7.2999999999999995E-2</v>
      </c>
    </row>
    <row r="125" spans="1:35" x14ac:dyDescent="0.25">
      <c r="A125" t="s">
        <v>2482</v>
      </c>
      <c r="B125" t="s">
        <v>32</v>
      </c>
      <c r="C125" s="25">
        <v>43708.573483796295</v>
      </c>
      <c r="D125" s="741" t="s">
        <v>2238</v>
      </c>
      <c r="E125" s="424">
        <f t="array" ref="E125">SUMPRODUCT(IF(AMP3_4[[#This Row],[Dim 1_1]:[T 8]]-$F$4:$AI$4&lt;0,1,0)+IF($F$5:$AI$5-AMP3_4[[#This Row],[Dim 1_1]:[T 8]]&lt;0,1,0),IF(ISNUMBER(AMP3_4[[#This Row],[Dim 1_1]:[T 8]])=TRUE,1,0))</f>
        <v>0</v>
      </c>
      <c r="F125">
        <v>41.220999999999997</v>
      </c>
      <c r="G125">
        <v>41.23</v>
      </c>
      <c r="H125">
        <v>155.91200000000001</v>
      </c>
      <c r="I125">
        <v>155.95099999999999</v>
      </c>
      <c r="L125">
        <v>155.94499999999999</v>
      </c>
      <c r="M125">
        <v>155.75899999999999</v>
      </c>
      <c r="N125">
        <v>27.277999999999999</v>
      </c>
      <c r="O125">
        <v>27.369</v>
      </c>
      <c r="R125">
        <v>17.241</v>
      </c>
      <c r="S125">
        <v>17.271999999999998</v>
      </c>
      <c r="T125">
        <v>34.299999999999997</v>
      </c>
      <c r="U125">
        <v>34.488</v>
      </c>
      <c r="W125">
        <v>-4.3999999999999997E-2</v>
      </c>
      <c r="X125">
        <v>-0.22800000000000001</v>
      </c>
      <c r="Z125">
        <v>-3.4000000000000002E-2</v>
      </c>
      <c r="AA125">
        <v>-0.20300000000000001</v>
      </c>
      <c r="AB125">
        <v>-6.3E-2</v>
      </c>
      <c r="AC125">
        <v>-4.3999999999999997E-2</v>
      </c>
      <c r="AD125">
        <v>-5.8000000000000003E-2</v>
      </c>
      <c r="AE125">
        <v>-0.22800000000000001</v>
      </c>
      <c r="AF125">
        <v>-6.3E-2</v>
      </c>
      <c r="AG125">
        <v>-9.7000000000000003E-2</v>
      </c>
      <c r="AH125">
        <v>-0.20300000000000001</v>
      </c>
      <c r="AI125">
        <v>-3.4000000000000002E-2</v>
      </c>
    </row>
    <row r="126" spans="1:35" x14ac:dyDescent="0.25">
      <c r="A126" t="s">
        <v>2483</v>
      </c>
      <c r="B126" t="s">
        <v>31</v>
      </c>
      <c r="C126" s="25">
        <v>43708.575694444444</v>
      </c>
      <c r="D126" s="741" t="s">
        <v>2238</v>
      </c>
      <c r="E126" s="424">
        <f t="array" ref="E126">SUMPRODUCT(IF(AMP3_4[[#This Row],[Dim 1_1]:[T 8]]-$F$4:$AI$4&lt;0,1,0)+IF($F$5:$AI$5-AMP3_4[[#This Row],[Dim 1_1]:[T 8]]&lt;0,1,0),IF(ISNUMBER(AMP3_4[[#This Row],[Dim 1_1]:[T 8]])=TRUE,1,0))</f>
        <v>0</v>
      </c>
      <c r="H126">
        <v>155.876</v>
      </c>
      <c r="I126">
        <v>155.84899999999999</v>
      </c>
      <c r="J126">
        <v>168.71899999999999</v>
      </c>
      <c r="K126">
        <v>168.80199999999999</v>
      </c>
      <c r="L126">
        <v>155.98400000000001</v>
      </c>
      <c r="M126">
        <v>155.797</v>
      </c>
      <c r="N126">
        <v>27.273</v>
      </c>
      <c r="O126">
        <v>27.553000000000001</v>
      </c>
      <c r="R126">
        <v>17.25</v>
      </c>
      <c r="S126">
        <v>17.195</v>
      </c>
      <c r="T126">
        <v>36.134</v>
      </c>
      <c r="U126">
        <v>37.106000000000002</v>
      </c>
      <c r="W126">
        <v>0.10199999999999999</v>
      </c>
      <c r="X126">
        <v>-0.17599999999999999</v>
      </c>
      <c r="Z126">
        <v>0.08</v>
      </c>
      <c r="AA126">
        <v>-6.8000000000000005E-2</v>
      </c>
      <c r="AB126">
        <v>-0.17599999999999999</v>
      </c>
      <c r="AC126">
        <v>1E-3</v>
      </c>
      <c r="AD126">
        <v>-4.3999999999999997E-2</v>
      </c>
      <c r="AE126">
        <v>0.10199999999999999</v>
      </c>
      <c r="AF126">
        <v>1.4E-2</v>
      </c>
      <c r="AG126">
        <v>-6.8000000000000005E-2</v>
      </c>
      <c r="AH126">
        <v>0.08</v>
      </c>
      <c r="AI126">
        <v>5.8999999999999997E-2</v>
      </c>
    </row>
    <row r="127" spans="1:35" x14ac:dyDescent="0.25">
      <c r="A127" t="s">
        <v>2484</v>
      </c>
      <c r="B127" t="s">
        <v>32</v>
      </c>
      <c r="C127" s="25">
        <v>43708.57917824074</v>
      </c>
      <c r="D127" s="741" t="s">
        <v>2238</v>
      </c>
      <c r="E127" s="424">
        <f t="array" ref="E127">SUMPRODUCT(IF(AMP3_4[[#This Row],[Dim 1_1]:[T 8]]-$F$4:$AI$4&lt;0,1,0)+IF($F$5:$AI$5-AMP3_4[[#This Row],[Dim 1_1]:[T 8]]&lt;0,1,0),IF(ISNUMBER(AMP3_4[[#This Row],[Dim 1_1]:[T 8]])=TRUE,1,0))</f>
        <v>0</v>
      </c>
      <c r="F127">
        <v>41.078000000000003</v>
      </c>
      <c r="G127">
        <v>40.953000000000003</v>
      </c>
      <c r="H127">
        <v>155.94300000000001</v>
      </c>
      <c r="I127">
        <v>155.92599999999999</v>
      </c>
      <c r="L127">
        <v>156.03899999999999</v>
      </c>
      <c r="M127">
        <v>155.833</v>
      </c>
      <c r="N127">
        <v>27.103000000000002</v>
      </c>
      <c r="O127">
        <v>27.274999999999999</v>
      </c>
      <c r="R127">
        <v>17.212</v>
      </c>
      <c r="S127">
        <v>17.332999999999998</v>
      </c>
      <c r="T127">
        <v>33.628</v>
      </c>
      <c r="U127">
        <v>33.79</v>
      </c>
      <c r="W127">
        <v>3.2000000000000001E-2</v>
      </c>
      <c r="X127">
        <v>-4.3999999999999997E-2</v>
      </c>
      <c r="Z127">
        <v>-0.08</v>
      </c>
      <c r="AA127">
        <v>-0.19500000000000001</v>
      </c>
      <c r="AB127">
        <v>-1.4E-2</v>
      </c>
      <c r="AC127">
        <v>3.2000000000000001E-2</v>
      </c>
      <c r="AD127">
        <v>1.2999999999999999E-2</v>
      </c>
      <c r="AE127">
        <v>-4.3999999999999997E-2</v>
      </c>
      <c r="AF127">
        <v>-0.08</v>
      </c>
      <c r="AG127">
        <v>-0.121</v>
      </c>
      <c r="AH127">
        <v>-0.19500000000000001</v>
      </c>
      <c r="AI127">
        <v>-0.153</v>
      </c>
    </row>
    <row r="128" spans="1:35" x14ac:dyDescent="0.25">
      <c r="A128" t="s">
        <v>2485</v>
      </c>
      <c r="B128" t="s">
        <v>31</v>
      </c>
      <c r="C128" s="25">
        <v>43708.582766203705</v>
      </c>
      <c r="D128" s="741" t="s">
        <v>2238</v>
      </c>
      <c r="E128" s="424">
        <f t="array" ref="E128">SUMPRODUCT(IF(AMP3_4[[#This Row],[Dim 1_1]:[T 8]]-$F$4:$AI$4&lt;0,1,0)+IF($F$5:$AI$5-AMP3_4[[#This Row],[Dim 1_1]:[T 8]]&lt;0,1,0),IF(ISNUMBER(AMP3_4[[#This Row],[Dim 1_1]:[T 8]])=TRUE,1,0))</f>
        <v>0</v>
      </c>
      <c r="H128">
        <v>156.048</v>
      </c>
      <c r="I128">
        <v>156.072</v>
      </c>
      <c r="J128">
        <v>168.8</v>
      </c>
      <c r="K128">
        <v>168.66900000000001</v>
      </c>
      <c r="L128">
        <v>156.07499999999999</v>
      </c>
      <c r="M128">
        <v>155.94</v>
      </c>
      <c r="N128">
        <v>27.068999999999999</v>
      </c>
      <c r="O128">
        <v>27.335999999999999</v>
      </c>
      <c r="R128">
        <v>17.271000000000001</v>
      </c>
      <c r="S128">
        <v>17.094999999999999</v>
      </c>
      <c r="T128">
        <v>37.28</v>
      </c>
      <c r="U128">
        <v>37.938000000000002</v>
      </c>
      <c r="W128">
        <v>0.1</v>
      </c>
      <c r="X128">
        <v>-0.40300000000000002</v>
      </c>
      <c r="Z128">
        <v>-0.20599999999999999</v>
      </c>
      <c r="AA128">
        <v>-0.42499999999999999</v>
      </c>
      <c r="AB128">
        <v>-0.06</v>
      </c>
      <c r="AC128">
        <v>-0.378</v>
      </c>
      <c r="AD128">
        <v>0.1</v>
      </c>
      <c r="AE128">
        <v>-0.40300000000000002</v>
      </c>
      <c r="AF128">
        <v>-0.315</v>
      </c>
      <c r="AG128">
        <v>-0.33</v>
      </c>
      <c r="AH128">
        <v>-0.42499999999999999</v>
      </c>
      <c r="AI128">
        <v>-0.20599999999999999</v>
      </c>
    </row>
    <row r="129" spans="1:35" x14ac:dyDescent="0.25">
      <c r="A129" t="s">
        <v>2486</v>
      </c>
      <c r="B129" t="s">
        <v>32</v>
      </c>
      <c r="C129" s="25">
        <v>43708.663136574076</v>
      </c>
      <c r="D129" s="741" t="s">
        <v>2238</v>
      </c>
      <c r="E129" s="424">
        <f t="array" ref="E129">SUMPRODUCT(IF(AMP3_4[[#This Row],[Dim 1_1]:[T 8]]-$F$4:$AI$4&lt;0,1,0)+IF($F$5:$AI$5-AMP3_4[[#This Row],[Dim 1_1]:[T 8]]&lt;0,1,0),IF(ISNUMBER(AMP3_4[[#This Row],[Dim 1_1]:[T 8]])=TRUE,1,0))</f>
        <v>0</v>
      </c>
      <c r="F129">
        <v>41.009</v>
      </c>
      <c r="G129">
        <v>40.799999999999997</v>
      </c>
      <c r="H129">
        <v>155.96100000000001</v>
      </c>
      <c r="I129">
        <v>155.952</v>
      </c>
      <c r="L129">
        <v>156.05600000000001</v>
      </c>
      <c r="M129">
        <v>155.887</v>
      </c>
      <c r="N129">
        <v>27.042999999999999</v>
      </c>
      <c r="O129">
        <v>27.207000000000001</v>
      </c>
      <c r="R129">
        <v>17.23</v>
      </c>
      <c r="S129">
        <v>17.178999999999998</v>
      </c>
      <c r="T129">
        <v>33.656999999999996</v>
      </c>
      <c r="U129">
        <v>34.030999999999999</v>
      </c>
      <c r="W129">
        <v>-4.9000000000000002E-2</v>
      </c>
      <c r="X129">
        <v>-0.191</v>
      </c>
      <c r="Z129">
        <v>-3.1E-2</v>
      </c>
      <c r="AA129">
        <v>-0.151</v>
      </c>
      <c r="AB129">
        <v>-0.191</v>
      </c>
      <c r="AC129">
        <v>-0.13800000000000001</v>
      </c>
      <c r="AD129">
        <v>-4.9000000000000002E-2</v>
      </c>
      <c r="AE129">
        <v>-0.11799999999999999</v>
      </c>
      <c r="AF129">
        <v>-0.11</v>
      </c>
      <c r="AG129">
        <v>-0.151</v>
      </c>
      <c r="AH129">
        <v>-6.0999999999999999E-2</v>
      </c>
      <c r="AI129">
        <v>-3.1E-2</v>
      </c>
    </row>
    <row r="130" spans="1:35" x14ac:dyDescent="0.25">
      <c r="A130" t="s">
        <v>2487</v>
      </c>
      <c r="B130" t="s">
        <v>31</v>
      </c>
      <c r="C130" s="25">
        <v>43708.665543981479</v>
      </c>
      <c r="D130" s="741" t="s">
        <v>2238</v>
      </c>
      <c r="E130" s="424">
        <f t="array" ref="E130">SUMPRODUCT(IF(AMP3_4[[#This Row],[Dim 1_1]:[T 8]]-$F$4:$AI$4&lt;0,1,0)+IF($F$5:$AI$5-AMP3_4[[#This Row],[Dim 1_1]:[T 8]]&lt;0,1,0),IF(ISNUMBER(AMP3_4[[#This Row],[Dim 1_1]:[T 8]])=TRUE,1,0))</f>
        <v>0</v>
      </c>
      <c r="H130">
        <v>156.018</v>
      </c>
      <c r="I130">
        <v>156.04300000000001</v>
      </c>
      <c r="J130">
        <v>168.73599999999999</v>
      </c>
      <c r="K130">
        <v>168.637</v>
      </c>
      <c r="L130">
        <v>156.119</v>
      </c>
      <c r="M130">
        <v>155.97900000000001</v>
      </c>
      <c r="N130">
        <v>27.065999999999999</v>
      </c>
      <c r="O130">
        <v>27.314</v>
      </c>
      <c r="R130">
        <v>17.285</v>
      </c>
      <c r="S130">
        <v>17.163</v>
      </c>
      <c r="T130">
        <v>36.703000000000003</v>
      </c>
      <c r="U130">
        <v>38.405999999999999</v>
      </c>
      <c r="W130">
        <v>7.2999999999999995E-2</v>
      </c>
      <c r="X130">
        <v>-0.38900000000000001</v>
      </c>
      <c r="Z130">
        <v>-0.109</v>
      </c>
      <c r="AA130">
        <v>-0.26</v>
      </c>
      <c r="AB130">
        <v>-6.5000000000000002E-2</v>
      </c>
      <c r="AC130">
        <v>-0.38900000000000001</v>
      </c>
      <c r="AD130">
        <v>7.2999999999999995E-2</v>
      </c>
      <c r="AE130">
        <v>-0.38300000000000001</v>
      </c>
      <c r="AF130">
        <v>-0.23100000000000001</v>
      </c>
      <c r="AG130">
        <v>-0.246</v>
      </c>
      <c r="AH130">
        <v>-0.26</v>
      </c>
      <c r="AI130">
        <v>-0.109</v>
      </c>
    </row>
    <row r="131" spans="1:35" x14ac:dyDescent="0.25">
      <c r="A131" t="s">
        <v>2608</v>
      </c>
      <c r="B131" t="s">
        <v>32</v>
      </c>
      <c r="C131" s="25">
        <v>43711.338541666664</v>
      </c>
      <c r="D131" s="741" t="s">
        <v>2238</v>
      </c>
      <c r="E131" s="424">
        <f t="array" ref="E131">SUMPRODUCT(IF(AMP3_4[[#This Row],[Dim 1_1]:[T 8]]-$F$4:$AI$4&lt;0,1,0)+IF($F$5:$AI$5-AMP3_4[[#This Row],[Dim 1_1]:[T 8]]&lt;0,1,0),IF(ISNUMBER(AMP3_4[[#This Row],[Dim 1_1]:[T 8]])=TRUE,1,0))</f>
        <v>0</v>
      </c>
      <c r="F131">
        <v>41.218000000000004</v>
      </c>
      <c r="G131">
        <v>41.000999999999998</v>
      </c>
      <c r="H131">
        <v>155.93</v>
      </c>
      <c r="I131">
        <v>155.91</v>
      </c>
      <c r="L131">
        <v>155.976</v>
      </c>
      <c r="M131">
        <v>155.798</v>
      </c>
      <c r="N131">
        <v>27.132999999999999</v>
      </c>
      <c r="O131">
        <v>27.305</v>
      </c>
      <c r="R131">
        <v>17.241</v>
      </c>
      <c r="S131">
        <v>17.265000000000001</v>
      </c>
      <c r="T131">
        <v>33.700000000000003</v>
      </c>
      <c r="U131">
        <v>34.334000000000003</v>
      </c>
      <c r="W131">
        <v>1E-3</v>
      </c>
      <c r="X131">
        <v>-7.0999999999999994E-2</v>
      </c>
      <c r="Z131">
        <v>4.0000000000000001E-3</v>
      </c>
      <c r="AA131">
        <v>-6.8000000000000005E-2</v>
      </c>
      <c r="AB131">
        <v>-7.0999999999999994E-2</v>
      </c>
      <c r="AC131">
        <v>-1.4999999999999999E-2</v>
      </c>
      <c r="AD131">
        <v>1E-3</v>
      </c>
      <c r="AE131">
        <v>-1.2E-2</v>
      </c>
      <c r="AF131">
        <v>-1.7999999999999999E-2</v>
      </c>
      <c r="AG131">
        <v>-6.8000000000000005E-2</v>
      </c>
      <c r="AH131">
        <v>-5.0000000000000001E-3</v>
      </c>
      <c r="AI131">
        <v>4.0000000000000001E-3</v>
      </c>
    </row>
    <row r="132" spans="1:35" x14ac:dyDescent="0.25">
      <c r="A132" t="s">
        <v>2609</v>
      </c>
      <c r="B132" t="s">
        <v>31</v>
      </c>
      <c r="C132" s="25">
        <v>43711.342048611114</v>
      </c>
      <c r="D132" s="741" t="s">
        <v>2238</v>
      </c>
      <c r="E132" s="424">
        <f t="array" ref="E132">SUMPRODUCT(IF(AMP3_4[[#This Row],[Dim 1_1]:[T 8]]-$F$4:$AI$4&lt;0,1,0)+IF($F$5:$AI$5-AMP3_4[[#This Row],[Dim 1_1]:[T 8]]&lt;0,1,0),IF(ISNUMBER(AMP3_4[[#This Row],[Dim 1_1]:[T 8]])=TRUE,1,0))</f>
        <v>0</v>
      </c>
      <c r="H132">
        <v>155.96899999999999</v>
      </c>
      <c r="I132">
        <v>156.041</v>
      </c>
      <c r="J132">
        <v>168.89099999999999</v>
      </c>
      <c r="K132">
        <v>168.79400000000001</v>
      </c>
      <c r="L132">
        <v>156.08199999999999</v>
      </c>
      <c r="M132">
        <v>155.97499999999999</v>
      </c>
      <c r="N132">
        <v>27.12</v>
      </c>
      <c r="O132">
        <v>27.335999999999999</v>
      </c>
      <c r="R132">
        <v>17.265999999999998</v>
      </c>
      <c r="S132">
        <v>17.126000000000001</v>
      </c>
      <c r="T132">
        <v>36.390999999999998</v>
      </c>
      <c r="U132">
        <v>37.787999999999997</v>
      </c>
      <c r="W132">
        <v>0.182</v>
      </c>
      <c r="X132">
        <v>-0.27300000000000002</v>
      </c>
      <c r="Z132">
        <v>0.112</v>
      </c>
      <c r="AA132">
        <v>-4.1000000000000002E-2</v>
      </c>
      <c r="AB132">
        <v>6.2E-2</v>
      </c>
      <c r="AC132">
        <v>-0.25</v>
      </c>
      <c r="AD132">
        <v>0.182</v>
      </c>
      <c r="AE132">
        <v>-0.27300000000000002</v>
      </c>
      <c r="AF132">
        <v>-2.1999999999999999E-2</v>
      </c>
      <c r="AG132">
        <v>-4.1000000000000002E-2</v>
      </c>
      <c r="AH132">
        <v>7.0000000000000001E-3</v>
      </c>
      <c r="AI132">
        <v>0.112</v>
      </c>
    </row>
    <row r="133" spans="1:35" x14ac:dyDescent="0.25">
      <c r="A133" t="s">
        <v>2610</v>
      </c>
      <c r="B133" t="s">
        <v>32</v>
      </c>
      <c r="C133" s="25">
        <v>43711.395474537036</v>
      </c>
      <c r="D133" s="741" t="s">
        <v>2238</v>
      </c>
      <c r="E133" s="424">
        <f t="array" ref="E133">SUMPRODUCT(IF(AMP3_4[[#This Row],[Dim 1_1]:[T 8]]-$F$4:$AI$4&lt;0,1,0)+IF($F$5:$AI$5-AMP3_4[[#This Row],[Dim 1_1]:[T 8]]&lt;0,1,0),IF(ISNUMBER(AMP3_4[[#This Row],[Dim 1_1]:[T 8]])=TRUE,1,0))</f>
        <v>0</v>
      </c>
      <c r="F133">
        <v>41.148000000000003</v>
      </c>
      <c r="G133">
        <v>41.027999999999999</v>
      </c>
      <c r="H133">
        <v>155.92400000000001</v>
      </c>
      <c r="I133">
        <v>155.876</v>
      </c>
      <c r="L133">
        <v>155.99600000000001</v>
      </c>
      <c r="M133">
        <v>155.749</v>
      </c>
      <c r="N133">
        <v>27.143000000000001</v>
      </c>
      <c r="O133">
        <v>27.347000000000001</v>
      </c>
      <c r="R133">
        <v>17.231999999999999</v>
      </c>
      <c r="S133">
        <v>17.266999999999999</v>
      </c>
      <c r="T133">
        <v>34.204999999999998</v>
      </c>
      <c r="U133">
        <v>33.69</v>
      </c>
      <c r="W133">
        <v>-1.6E-2</v>
      </c>
      <c r="X133">
        <v>-7.4999999999999997E-2</v>
      </c>
      <c r="Z133">
        <v>-0.05</v>
      </c>
      <c r="AA133">
        <v>-9.6000000000000002E-2</v>
      </c>
      <c r="AB133">
        <v>-7.4999999999999997E-2</v>
      </c>
      <c r="AC133">
        <v>-2.7E-2</v>
      </c>
      <c r="AD133">
        <v>-1.6E-2</v>
      </c>
      <c r="AE133">
        <v>-5.2999999999999999E-2</v>
      </c>
      <c r="AF133">
        <v>-5.8000000000000003E-2</v>
      </c>
      <c r="AG133">
        <v>-9.5000000000000001E-2</v>
      </c>
      <c r="AH133">
        <v>-9.6000000000000002E-2</v>
      </c>
      <c r="AI133">
        <v>-0.05</v>
      </c>
    </row>
    <row r="134" spans="1:35" x14ac:dyDescent="0.25">
      <c r="A134" t="s">
        <v>2611</v>
      </c>
      <c r="B134" t="s">
        <v>31</v>
      </c>
      <c r="C134" s="25">
        <v>43711.397569444445</v>
      </c>
      <c r="D134" s="741" t="s">
        <v>2238</v>
      </c>
      <c r="E134" s="424">
        <f t="array" ref="E134">SUMPRODUCT(IF(AMP3_4[[#This Row],[Dim 1_1]:[T 8]]-$F$4:$AI$4&lt;0,1,0)+IF($F$5:$AI$5-AMP3_4[[#This Row],[Dim 1_1]:[T 8]]&lt;0,1,0),IF(ISNUMBER(AMP3_4[[#This Row],[Dim 1_1]:[T 8]])=TRUE,1,0))</f>
        <v>0</v>
      </c>
      <c r="H134">
        <v>155.99700000000001</v>
      </c>
      <c r="I134">
        <v>156.065</v>
      </c>
      <c r="J134">
        <v>168.864</v>
      </c>
      <c r="K134">
        <v>168.75800000000001</v>
      </c>
      <c r="L134">
        <v>156.071</v>
      </c>
      <c r="M134">
        <v>155.98400000000001</v>
      </c>
      <c r="N134">
        <v>27.096</v>
      </c>
      <c r="O134">
        <v>27.308</v>
      </c>
      <c r="R134">
        <v>17.248000000000001</v>
      </c>
      <c r="S134">
        <v>17.152000000000001</v>
      </c>
      <c r="T134">
        <v>37.619</v>
      </c>
      <c r="U134">
        <v>38.756999999999998</v>
      </c>
      <c r="W134">
        <v>0.121</v>
      </c>
      <c r="X134">
        <v>-0.35199999999999998</v>
      </c>
      <c r="Z134">
        <v>2.3E-2</v>
      </c>
      <c r="AA134">
        <v>-0.189</v>
      </c>
      <c r="AB134">
        <v>0.03</v>
      </c>
      <c r="AC134">
        <v>-0.26900000000000002</v>
      </c>
      <c r="AD134">
        <v>0.121</v>
      </c>
      <c r="AE134">
        <v>-0.35199999999999998</v>
      </c>
      <c r="AF134">
        <v>-6.8000000000000005E-2</v>
      </c>
      <c r="AG134">
        <v>-6.8000000000000005E-2</v>
      </c>
      <c r="AH134">
        <v>-0.189</v>
      </c>
      <c r="AI134">
        <v>2.3E-2</v>
      </c>
    </row>
    <row r="135" spans="1:35" x14ac:dyDescent="0.25">
      <c r="A135" t="s">
        <v>2676</v>
      </c>
      <c r="B135" t="s">
        <v>32</v>
      </c>
      <c r="C135" s="25">
        <v>43711.502592592595</v>
      </c>
      <c r="D135" s="741" t="s">
        <v>2238</v>
      </c>
      <c r="E135" s="424">
        <f t="array" ref="E135">SUMPRODUCT(IF(AMP3_4[[#This Row],[Dim 1_1]:[T 8]]-$F$4:$AI$4&lt;0,1,0)+IF($F$5:$AI$5-AMP3_4[[#This Row],[Dim 1_1]:[T 8]]&lt;0,1,0),IF(ISNUMBER(AMP3_4[[#This Row],[Dim 1_1]:[T 8]])=TRUE,1,0))</f>
        <v>0</v>
      </c>
      <c r="F135">
        <v>41.231000000000002</v>
      </c>
      <c r="G135">
        <v>41.075000000000003</v>
      </c>
      <c r="H135">
        <v>155.67699999999999</v>
      </c>
      <c r="I135">
        <v>155.69900000000001</v>
      </c>
      <c r="L135">
        <v>155.73599999999999</v>
      </c>
      <c r="M135">
        <v>155.61799999999999</v>
      </c>
      <c r="N135">
        <v>27.367000000000001</v>
      </c>
      <c r="O135">
        <v>27.521000000000001</v>
      </c>
      <c r="R135">
        <v>17.242000000000001</v>
      </c>
      <c r="S135">
        <v>17.312999999999999</v>
      </c>
      <c r="T135">
        <v>33.76</v>
      </c>
      <c r="U135">
        <v>34.026000000000003</v>
      </c>
      <c r="W135">
        <v>0.14599999999999999</v>
      </c>
      <c r="X135">
        <v>-8.9999999999999993E-3</v>
      </c>
      <c r="Z135">
        <v>0.11700000000000001</v>
      </c>
      <c r="AA135">
        <v>-5.7000000000000002E-2</v>
      </c>
      <c r="AB135">
        <v>0.115</v>
      </c>
      <c r="AC135">
        <v>0.14599999999999999</v>
      </c>
      <c r="AD135">
        <v>4.9000000000000002E-2</v>
      </c>
      <c r="AE135">
        <v>-8.9999999999999993E-3</v>
      </c>
      <c r="AF135">
        <v>0.11700000000000001</v>
      </c>
      <c r="AG135">
        <v>0.10299999999999999</v>
      </c>
      <c r="AH135">
        <v>-5.7000000000000002E-2</v>
      </c>
      <c r="AI135">
        <v>0.113</v>
      </c>
    </row>
    <row r="136" spans="1:35" x14ac:dyDescent="0.25">
      <c r="A136" t="s">
        <v>2677</v>
      </c>
      <c r="B136" t="s">
        <v>31</v>
      </c>
      <c r="C136" s="25">
        <v>43711.504675925928</v>
      </c>
      <c r="D136" s="741" t="s">
        <v>2238</v>
      </c>
      <c r="E136" s="424">
        <f t="array" ref="E136">SUMPRODUCT(IF(AMP3_4[[#This Row],[Dim 1_1]:[T 8]]-$F$4:$AI$4&lt;0,1,0)+IF($F$5:$AI$5-AMP3_4[[#This Row],[Dim 1_1]:[T 8]]&lt;0,1,0),IF(ISNUMBER(AMP3_4[[#This Row],[Dim 1_1]:[T 8]])=TRUE,1,0))</f>
        <v>0</v>
      </c>
      <c r="H136">
        <v>155.68899999999999</v>
      </c>
      <c r="I136">
        <v>155.70500000000001</v>
      </c>
      <c r="J136">
        <v>168.572</v>
      </c>
      <c r="K136">
        <v>168.45599999999999</v>
      </c>
      <c r="L136">
        <v>155.76400000000001</v>
      </c>
      <c r="M136">
        <v>155.58199999999999</v>
      </c>
      <c r="N136">
        <v>27.399000000000001</v>
      </c>
      <c r="O136">
        <v>27.667999999999999</v>
      </c>
      <c r="R136">
        <v>17.207999999999998</v>
      </c>
      <c r="S136">
        <v>17.042000000000002</v>
      </c>
      <c r="T136">
        <v>38.576000000000001</v>
      </c>
      <c r="U136">
        <v>39.796999999999997</v>
      </c>
      <c r="W136">
        <v>0.27600000000000002</v>
      </c>
      <c r="X136">
        <v>-0.152</v>
      </c>
      <c r="Z136">
        <v>0.09</v>
      </c>
      <c r="AA136">
        <v>-7.0000000000000007E-2</v>
      </c>
      <c r="AB136">
        <v>0.23</v>
      </c>
      <c r="AC136">
        <v>-6.4000000000000001E-2</v>
      </c>
      <c r="AD136">
        <v>0.27600000000000002</v>
      </c>
      <c r="AE136">
        <v>-0.152</v>
      </c>
      <c r="AF136">
        <v>0.03</v>
      </c>
      <c r="AG136">
        <v>6.4000000000000001E-2</v>
      </c>
      <c r="AH136">
        <v>-7.0000000000000007E-2</v>
      </c>
      <c r="AI136">
        <v>0.09</v>
      </c>
    </row>
    <row r="137" spans="1:35" x14ac:dyDescent="0.25">
      <c r="A137" t="s">
        <v>2678</v>
      </c>
      <c r="B137" t="s">
        <v>32</v>
      </c>
      <c r="C137" s="25">
        <v>43711.59138888889</v>
      </c>
      <c r="D137" s="741" t="s">
        <v>2238</v>
      </c>
      <c r="E137" s="424">
        <f t="array" ref="E137">SUMPRODUCT(IF(AMP3_4[[#This Row],[Dim 1_1]:[T 8]]-$F$4:$AI$4&lt;0,1,0)+IF($F$5:$AI$5-AMP3_4[[#This Row],[Dim 1_1]:[T 8]]&lt;0,1,0),IF(ISNUMBER(AMP3_4[[#This Row],[Dim 1_1]:[T 8]])=TRUE,1,0))</f>
        <v>0</v>
      </c>
      <c r="F137">
        <v>41.381</v>
      </c>
      <c r="G137">
        <v>41.244</v>
      </c>
      <c r="H137">
        <v>155.71600000000001</v>
      </c>
      <c r="I137">
        <v>155.751</v>
      </c>
      <c r="L137">
        <v>155.815</v>
      </c>
      <c r="M137">
        <v>155.684</v>
      </c>
      <c r="N137">
        <v>27.349</v>
      </c>
      <c r="O137">
        <v>27.459</v>
      </c>
      <c r="R137">
        <v>17.23</v>
      </c>
      <c r="S137">
        <v>17.254000000000001</v>
      </c>
      <c r="T137">
        <v>33.875</v>
      </c>
      <c r="U137">
        <v>33.975000000000001</v>
      </c>
      <c r="W137">
        <v>0.188</v>
      </c>
      <c r="X137">
        <v>6.2E-2</v>
      </c>
      <c r="Z137">
        <v>0.14799999999999999</v>
      </c>
      <c r="AA137">
        <v>2.1999999999999999E-2</v>
      </c>
      <c r="AB137">
        <v>0.107</v>
      </c>
      <c r="AC137">
        <v>0.123</v>
      </c>
      <c r="AD137">
        <v>0.188</v>
      </c>
      <c r="AE137">
        <v>6.2E-2</v>
      </c>
      <c r="AF137">
        <v>8.5999999999999993E-2</v>
      </c>
      <c r="AG137">
        <v>7.0000000000000007E-2</v>
      </c>
      <c r="AH137">
        <v>2.1999999999999999E-2</v>
      </c>
      <c r="AI137">
        <v>0.14799999999999999</v>
      </c>
    </row>
    <row r="138" spans="1:35" x14ac:dyDescent="0.25">
      <c r="A138" t="s">
        <v>2679</v>
      </c>
      <c r="B138" t="s">
        <v>31</v>
      </c>
      <c r="C138" s="25">
        <v>43711.593831018516</v>
      </c>
      <c r="D138" s="741" t="s">
        <v>2238</v>
      </c>
      <c r="E138" s="424">
        <f t="array" ref="E138">SUMPRODUCT(IF(AMP3_4[[#This Row],[Dim 1_1]:[T 8]]-$F$4:$AI$4&lt;0,1,0)+IF($F$5:$AI$5-AMP3_4[[#This Row],[Dim 1_1]:[T 8]]&lt;0,1,0),IF(ISNUMBER(AMP3_4[[#This Row],[Dim 1_1]:[T 8]])=TRUE,1,0))</f>
        <v>0</v>
      </c>
      <c r="H138">
        <v>155.71100000000001</v>
      </c>
      <c r="I138">
        <v>155.767</v>
      </c>
      <c r="J138">
        <v>168.77500000000001</v>
      </c>
      <c r="K138">
        <v>168.68</v>
      </c>
      <c r="L138">
        <v>155.761</v>
      </c>
      <c r="M138">
        <v>155.596</v>
      </c>
      <c r="N138">
        <v>27.381</v>
      </c>
      <c r="O138">
        <v>27.623999999999999</v>
      </c>
      <c r="R138">
        <v>17.295999999999999</v>
      </c>
      <c r="S138">
        <v>17.213999999999999</v>
      </c>
      <c r="T138">
        <v>37.402000000000001</v>
      </c>
      <c r="U138">
        <v>37.673000000000002</v>
      </c>
      <c r="W138">
        <v>0.14399999999999999</v>
      </c>
      <c r="X138">
        <v>-0.34799999999999998</v>
      </c>
      <c r="Z138">
        <v>-8.6999999999999994E-2</v>
      </c>
      <c r="AA138">
        <v>-0.34899999999999998</v>
      </c>
      <c r="AB138">
        <v>0.14399999999999999</v>
      </c>
      <c r="AC138">
        <v>-0.153</v>
      </c>
      <c r="AD138">
        <v>8.3000000000000004E-2</v>
      </c>
      <c r="AE138">
        <v>-0.34799999999999998</v>
      </c>
      <c r="AF138">
        <v>-9.2999999999999999E-2</v>
      </c>
      <c r="AG138">
        <v>-8.6999999999999994E-2</v>
      </c>
      <c r="AH138">
        <v>-0.34899999999999998</v>
      </c>
      <c r="AI138">
        <v>-0.17799999999999999</v>
      </c>
    </row>
    <row r="139" spans="1:35" x14ac:dyDescent="0.25">
      <c r="A139" t="s">
        <v>2680</v>
      </c>
      <c r="B139" t="s">
        <v>32</v>
      </c>
      <c r="C139" s="25">
        <v>43711.696956018517</v>
      </c>
      <c r="D139" s="741" t="s">
        <v>2238</v>
      </c>
      <c r="E139" s="424">
        <f t="array" ref="E139">SUMPRODUCT(IF(AMP3_4[[#This Row],[Dim 1_1]:[T 8]]-$F$4:$AI$4&lt;0,1,0)+IF($F$5:$AI$5-AMP3_4[[#This Row],[Dim 1_1]:[T 8]]&lt;0,1,0),IF(ISNUMBER(AMP3_4[[#This Row],[Dim 1_1]:[T 8]])=TRUE,1,0))</f>
        <v>0</v>
      </c>
      <c r="F139">
        <v>41.235999999999997</v>
      </c>
      <c r="G139">
        <v>41.357999999999997</v>
      </c>
      <c r="H139">
        <v>155.792</v>
      </c>
      <c r="I139">
        <v>155.81399999999999</v>
      </c>
      <c r="L139">
        <v>155.87299999999999</v>
      </c>
      <c r="M139">
        <v>155.75800000000001</v>
      </c>
      <c r="N139">
        <v>27.292999999999999</v>
      </c>
      <c r="O139">
        <v>27.408000000000001</v>
      </c>
      <c r="R139">
        <v>17.271999999999998</v>
      </c>
      <c r="S139">
        <v>17.23</v>
      </c>
      <c r="T139">
        <v>33.713999999999999</v>
      </c>
      <c r="U139">
        <v>34.280999999999999</v>
      </c>
      <c r="W139">
        <v>7.0000000000000007E-2</v>
      </c>
      <c r="X139">
        <v>-8.2000000000000003E-2</v>
      </c>
      <c r="Z139">
        <v>8.1000000000000003E-2</v>
      </c>
      <c r="AA139">
        <v>-5.8000000000000003E-2</v>
      </c>
      <c r="AB139">
        <v>-3.3000000000000002E-2</v>
      </c>
      <c r="AC139">
        <v>-8.0000000000000002E-3</v>
      </c>
      <c r="AD139">
        <v>7.0000000000000007E-2</v>
      </c>
      <c r="AE139">
        <v>-8.2000000000000003E-2</v>
      </c>
      <c r="AF139">
        <v>-5.0999999999999997E-2</v>
      </c>
      <c r="AG139">
        <v>-5.8000000000000003E-2</v>
      </c>
      <c r="AH139">
        <v>0</v>
      </c>
      <c r="AI139">
        <v>8.1000000000000003E-2</v>
      </c>
    </row>
    <row r="140" spans="1:35" x14ac:dyDescent="0.25">
      <c r="A140" t="s">
        <v>2681</v>
      </c>
      <c r="B140" t="s">
        <v>31</v>
      </c>
      <c r="C140" s="25">
        <v>43711.699143518519</v>
      </c>
      <c r="D140" s="741" t="s">
        <v>2238</v>
      </c>
      <c r="E140" s="424">
        <f t="array" ref="E140">SUMPRODUCT(IF(AMP3_4[[#This Row],[Dim 1_1]:[T 8]]-$F$4:$AI$4&lt;0,1,0)+IF($F$5:$AI$5-AMP3_4[[#This Row],[Dim 1_1]:[T 8]]&lt;0,1,0),IF(ISNUMBER(AMP3_4[[#This Row],[Dim 1_1]:[T 8]])=TRUE,1,0))</f>
        <v>0</v>
      </c>
      <c r="H140">
        <v>155.74100000000001</v>
      </c>
      <c r="I140">
        <v>155.786</v>
      </c>
      <c r="J140">
        <v>168.68199999999999</v>
      </c>
      <c r="K140">
        <v>168.922</v>
      </c>
      <c r="L140">
        <v>155.85599999999999</v>
      </c>
      <c r="M140">
        <v>155.68899999999999</v>
      </c>
      <c r="N140">
        <v>27.315999999999999</v>
      </c>
      <c r="O140">
        <v>27.62</v>
      </c>
      <c r="R140">
        <v>17.242999999999999</v>
      </c>
      <c r="S140">
        <v>17.126999999999999</v>
      </c>
      <c r="T140">
        <v>39.106999999999999</v>
      </c>
      <c r="U140">
        <v>39.637999999999998</v>
      </c>
      <c r="W140">
        <v>0.16300000000000001</v>
      </c>
      <c r="X140">
        <v>-0.28899999999999998</v>
      </c>
      <c r="Z140">
        <v>-1E-3</v>
      </c>
      <c r="AA140">
        <v>-0.19700000000000001</v>
      </c>
      <c r="AB140">
        <v>0.127</v>
      </c>
      <c r="AC140">
        <v>-0.16500000000000001</v>
      </c>
      <c r="AD140">
        <v>0.16300000000000001</v>
      </c>
      <c r="AE140">
        <v>-0.28899999999999998</v>
      </c>
      <c r="AF140">
        <v>-2.3E-2</v>
      </c>
      <c r="AG140">
        <v>-1.4E-2</v>
      </c>
      <c r="AH140">
        <v>-0.19700000000000001</v>
      </c>
      <c r="AI140">
        <v>-1E-3</v>
      </c>
    </row>
    <row r="141" spans="1:35" x14ac:dyDescent="0.25">
      <c r="A141" t="s">
        <v>2682</v>
      </c>
      <c r="B141" t="s">
        <v>32</v>
      </c>
      <c r="C141" s="25">
        <v>43711.785717592589</v>
      </c>
      <c r="D141" s="741" t="s">
        <v>2238</v>
      </c>
      <c r="E141" s="424">
        <f t="array" ref="E141">SUMPRODUCT(IF(AMP3_4[[#This Row],[Dim 1_1]:[T 8]]-$F$4:$AI$4&lt;0,1,0)+IF($F$5:$AI$5-AMP3_4[[#This Row],[Dim 1_1]:[T 8]]&lt;0,1,0),IF(ISNUMBER(AMP3_4[[#This Row],[Dim 1_1]:[T 8]])=TRUE,1,0))</f>
        <v>0</v>
      </c>
      <c r="F141">
        <v>41.328000000000003</v>
      </c>
      <c r="G141">
        <v>41.253</v>
      </c>
      <c r="H141">
        <v>155.73400000000001</v>
      </c>
      <c r="I141">
        <v>155.768</v>
      </c>
      <c r="L141">
        <v>155.815</v>
      </c>
      <c r="M141">
        <v>155.66900000000001</v>
      </c>
      <c r="N141">
        <v>27.321000000000002</v>
      </c>
      <c r="O141">
        <v>27.44</v>
      </c>
      <c r="R141">
        <v>17.234999999999999</v>
      </c>
      <c r="S141">
        <v>17.257000000000001</v>
      </c>
      <c r="T141">
        <v>33.627000000000002</v>
      </c>
      <c r="U141">
        <v>33.912999999999997</v>
      </c>
      <c r="W141">
        <v>5.5E-2</v>
      </c>
      <c r="X141">
        <v>-1.7000000000000001E-2</v>
      </c>
      <c r="Z141">
        <v>9.5000000000000001E-2</v>
      </c>
      <c r="AA141">
        <v>-3.1E-2</v>
      </c>
      <c r="AB141">
        <v>3.9E-2</v>
      </c>
      <c r="AC141">
        <v>5.5E-2</v>
      </c>
      <c r="AD141">
        <v>4.0000000000000001E-3</v>
      </c>
      <c r="AE141">
        <v>-1.7000000000000001E-2</v>
      </c>
      <c r="AF141">
        <v>7.5999999999999998E-2</v>
      </c>
      <c r="AG141">
        <v>3.9E-2</v>
      </c>
      <c r="AH141">
        <v>-3.1E-2</v>
      </c>
      <c r="AI141">
        <v>9.5000000000000001E-2</v>
      </c>
    </row>
    <row r="142" spans="1:35" x14ac:dyDescent="0.25">
      <c r="A142" t="s">
        <v>2683</v>
      </c>
      <c r="B142" t="s">
        <v>31</v>
      </c>
      <c r="C142" s="25">
        <v>43711.787812499999</v>
      </c>
      <c r="D142" s="741" t="s">
        <v>2238</v>
      </c>
      <c r="E142" s="424">
        <f t="array" ref="E142">SUMPRODUCT(IF(AMP3_4[[#This Row],[Dim 1_1]:[T 8]]-$F$4:$AI$4&lt;0,1,0)+IF($F$5:$AI$5-AMP3_4[[#This Row],[Dim 1_1]:[T 8]]&lt;0,1,0),IF(ISNUMBER(AMP3_4[[#This Row],[Dim 1_1]:[T 8]])=TRUE,1,0))</f>
        <v>0</v>
      </c>
      <c r="H142">
        <v>155.696</v>
      </c>
      <c r="I142">
        <v>155.745</v>
      </c>
      <c r="J142">
        <v>168.72900000000001</v>
      </c>
      <c r="K142">
        <v>168.584</v>
      </c>
      <c r="L142">
        <v>155.79499999999999</v>
      </c>
      <c r="M142">
        <v>155.61799999999999</v>
      </c>
      <c r="N142">
        <v>27.364000000000001</v>
      </c>
      <c r="O142">
        <v>27.629000000000001</v>
      </c>
      <c r="R142">
        <v>17.254000000000001</v>
      </c>
      <c r="S142">
        <v>17.145</v>
      </c>
      <c r="T142">
        <v>36.447000000000003</v>
      </c>
      <c r="U142">
        <v>39.924999999999997</v>
      </c>
      <c r="W142">
        <v>0.186</v>
      </c>
      <c r="X142">
        <v>-0.187</v>
      </c>
      <c r="Z142">
        <v>3.2000000000000001E-2</v>
      </c>
      <c r="AA142">
        <v>-8.7999999999999995E-2</v>
      </c>
      <c r="AB142">
        <v>0.16800000000000001</v>
      </c>
      <c r="AC142">
        <v>-0.114</v>
      </c>
      <c r="AD142">
        <v>0.186</v>
      </c>
      <c r="AE142">
        <v>-0.187</v>
      </c>
      <c r="AF142">
        <v>2.7E-2</v>
      </c>
      <c r="AG142">
        <v>1.6E-2</v>
      </c>
      <c r="AH142">
        <v>-8.7999999999999995E-2</v>
      </c>
      <c r="AI142">
        <v>3.2000000000000001E-2</v>
      </c>
    </row>
    <row r="143" spans="1:35" x14ac:dyDescent="0.25">
      <c r="A143" t="s">
        <v>2684</v>
      </c>
      <c r="B143" t="s">
        <v>32</v>
      </c>
      <c r="C143" s="25">
        <v>43711.857835648145</v>
      </c>
      <c r="D143" s="741" t="s">
        <v>2238</v>
      </c>
      <c r="E143" s="424">
        <f t="array" ref="E143">SUMPRODUCT(IF(AMP3_4[[#This Row],[Dim 1_1]:[T 8]]-$F$4:$AI$4&lt;0,1,0)+IF($F$5:$AI$5-AMP3_4[[#This Row],[Dim 1_1]:[T 8]]&lt;0,1,0),IF(ISNUMBER(AMP3_4[[#This Row],[Dim 1_1]:[T 8]])=TRUE,1,0))</f>
        <v>0</v>
      </c>
      <c r="F143">
        <v>41.369</v>
      </c>
      <c r="G143">
        <v>41.32</v>
      </c>
      <c r="H143">
        <v>155.733</v>
      </c>
      <c r="I143">
        <v>155.79499999999999</v>
      </c>
      <c r="L143">
        <v>155.828</v>
      </c>
      <c r="M143">
        <v>155.69300000000001</v>
      </c>
      <c r="N143">
        <v>27.338000000000001</v>
      </c>
      <c r="O143">
        <v>27.452999999999999</v>
      </c>
      <c r="R143">
        <v>17.140999999999998</v>
      </c>
      <c r="S143">
        <v>17.198</v>
      </c>
      <c r="T143">
        <v>33.587000000000003</v>
      </c>
      <c r="U143">
        <v>34.030999999999999</v>
      </c>
      <c r="W143">
        <v>0.13900000000000001</v>
      </c>
      <c r="X143">
        <v>0.1</v>
      </c>
      <c r="Z143">
        <v>0.11600000000000001</v>
      </c>
      <c r="AA143">
        <v>4.4999999999999998E-2</v>
      </c>
      <c r="AB143">
        <v>0.107</v>
      </c>
      <c r="AC143">
        <v>0.13900000000000001</v>
      </c>
      <c r="AD143">
        <v>0.104</v>
      </c>
      <c r="AE143">
        <v>0.1</v>
      </c>
      <c r="AF143">
        <v>7.0000000000000007E-2</v>
      </c>
      <c r="AG143">
        <v>4.4999999999999998E-2</v>
      </c>
      <c r="AH143">
        <v>6.9000000000000006E-2</v>
      </c>
      <c r="AI143">
        <v>0.11600000000000001</v>
      </c>
    </row>
    <row r="144" spans="1:35" x14ac:dyDescent="0.25">
      <c r="A144" t="s">
        <v>2685</v>
      </c>
      <c r="B144" t="s">
        <v>31</v>
      </c>
      <c r="C144" s="25">
        <v>43711.860092592593</v>
      </c>
      <c r="D144" s="741" t="s">
        <v>2238</v>
      </c>
      <c r="E144" s="424">
        <f t="array" ref="E144">SUMPRODUCT(IF(AMP3_4[[#This Row],[Dim 1_1]:[T 8]]-$F$4:$AI$4&lt;0,1,0)+IF($F$5:$AI$5-AMP3_4[[#This Row],[Dim 1_1]:[T 8]]&lt;0,1,0),IF(ISNUMBER(AMP3_4[[#This Row],[Dim 1_1]:[T 8]])=TRUE,1,0))</f>
        <v>0</v>
      </c>
      <c r="H144">
        <v>155.71100000000001</v>
      </c>
      <c r="I144">
        <v>155.76900000000001</v>
      </c>
      <c r="J144">
        <v>168.77600000000001</v>
      </c>
      <c r="K144">
        <v>168.63</v>
      </c>
      <c r="L144">
        <v>155.804</v>
      </c>
      <c r="M144">
        <v>155.63200000000001</v>
      </c>
      <c r="N144">
        <v>27.370999999999999</v>
      </c>
      <c r="O144">
        <v>27.637</v>
      </c>
      <c r="R144">
        <v>17.265999999999998</v>
      </c>
      <c r="S144">
        <v>17.207000000000001</v>
      </c>
      <c r="T144">
        <v>37.734000000000002</v>
      </c>
      <c r="U144">
        <v>39.735999999999997</v>
      </c>
      <c r="W144">
        <v>0.126</v>
      </c>
      <c r="X144">
        <v>-0.28699999999999998</v>
      </c>
      <c r="Z144">
        <v>-1.9E-2</v>
      </c>
      <c r="AA144">
        <v>-0.187</v>
      </c>
      <c r="AB144">
        <v>0.126</v>
      </c>
      <c r="AC144">
        <v>-0.16300000000000001</v>
      </c>
      <c r="AD144">
        <v>0.122</v>
      </c>
      <c r="AE144">
        <v>-0.28699999999999998</v>
      </c>
      <c r="AF144">
        <v>-1.9E-2</v>
      </c>
      <c r="AG144">
        <v>-2.4E-2</v>
      </c>
      <c r="AH144">
        <v>-0.187</v>
      </c>
      <c r="AI144">
        <v>-2.5999999999999999E-2</v>
      </c>
    </row>
    <row r="145" spans="1:35" x14ac:dyDescent="0.25">
      <c r="A145" t="s">
        <v>2686</v>
      </c>
      <c r="B145" t="s">
        <v>32</v>
      </c>
      <c r="C145" s="25">
        <v>43711.959548611114</v>
      </c>
      <c r="D145" s="741" t="s">
        <v>2238</v>
      </c>
      <c r="E145" s="424">
        <f t="array" ref="E145">SUMPRODUCT(IF(AMP3_4[[#This Row],[Dim 1_1]:[T 8]]-$F$4:$AI$4&lt;0,1,0)+IF($F$5:$AI$5-AMP3_4[[#This Row],[Dim 1_1]:[T 8]]&lt;0,1,0),IF(ISNUMBER(AMP3_4[[#This Row],[Dim 1_1]:[T 8]])=TRUE,1,0))</f>
        <v>0</v>
      </c>
      <c r="F145">
        <v>41.302999999999997</v>
      </c>
      <c r="G145">
        <v>41.207000000000001</v>
      </c>
      <c r="H145">
        <v>155.81200000000001</v>
      </c>
      <c r="I145">
        <v>155.881</v>
      </c>
      <c r="L145">
        <v>155.87100000000001</v>
      </c>
      <c r="M145">
        <v>155.81200000000001</v>
      </c>
      <c r="N145">
        <v>27.25</v>
      </c>
      <c r="O145">
        <v>27.303000000000001</v>
      </c>
      <c r="R145">
        <v>17.257999999999999</v>
      </c>
      <c r="S145">
        <v>17.248000000000001</v>
      </c>
      <c r="T145">
        <v>33.753999999999998</v>
      </c>
      <c r="U145">
        <v>33.762999999999998</v>
      </c>
      <c r="W145">
        <v>0.04</v>
      </c>
      <c r="X145">
        <v>-7.1999999999999995E-2</v>
      </c>
      <c r="Z145">
        <v>-4.9000000000000002E-2</v>
      </c>
      <c r="AA145">
        <v>-0.17199999999999999</v>
      </c>
      <c r="AB145">
        <v>-6.2E-2</v>
      </c>
      <c r="AC145">
        <v>-0.04</v>
      </c>
      <c r="AD145">
        <v>0.04</v>
      </c>
      <c r="AE145">
        <v>-7.1999999999999995E-2</v>
      </c>
      <c r="AF145">
        <v>-0.124</v>
      </c>
      <c r="AG145">
        <v>-0.17199999999999999</v>
      </c>
      <c r="AH145">
        <v>-6.9000000000000006E-2</v>
      </c>
      <c r="AI145">
        <v>-4.9000000000000002E-2</v>
      </c>
    </row>
    <row r="146" spans="1:35" x14ac:dyDescent="0.25">
      <c r="A146" t="s">
        <v>2687</v>
      </c>
      <c r="B146" t="s">
        <v>31</v>
      </c>
      <c r="C146" s="25">
        <v>43711.961574074077</v>
      </c>
      <c r="D146" s="741" t="s">
        <v>2238</v>
      </c>
      <c r="E146" s="424">
        <f t="array" ref="E146">SUMPRODUCT(IF(AMP3_4[[#This Row],[Dim 1_1]:[T 8]]-$F$4:$AI$4&lt;0,1,0)+IF($F$5:$AI$5-AMP3_4[[#This Row],[Dim 1_1]:[T 8]]&lt;0,1,0),IF(ISNUMBER(AMP3_4[[#This Row],[Dim 1_1]:[T 8]])=TRUE,1,0))</f>
        <v>0</v>
      </c>
      <c r="H146">
        <v>155.80199999999999</v>
      </c>
      <c r="I146">
        <v>155.84100000000001</v>
      </c>
      <c r="J146">
        <v>168.79900000000001</v>
      </c>
      <c r="K146">
        <v>168.76499999999999</v>
      </c>
      <c r="L146">
        <v>155.86000000000001</v>
      </c>
      <c r="M146">
        <v>155.70400000000001</v>
      </c>
      <c r="N146">
        <v>27.303000000000001</v>
      </c>
      <c r="O146">
        <v>27.545999999999999</v>
      </c>
      <c r="R146">
        <v>17.234999999999999</v>
      </c>
      <c r="S146">
        <v>17.181999999999999</v>
      </c>
      <c r="T146">
        <v>36.884</v>
      </c>
      <c r="U146">
        <v>37.457000000000001</v>
      </c>
      <c r="W146">
        <v>4.2999999999999997E-2</v>
      </c>
      <c r="X146">
        <v>-0.42499999999999999</v>
      </c>
      <c r="Z146">
        <v>-0.192</v>
      </c>
      <c r="AA146">
        <v>-0.41299999999999998</v>
      </c>
      <c r="AB146">
        <v>4.2999999999999997E-2</v>
      </c>
      <c r="AC146">
        <v>-0.23699999999999999</v>
      </c>
      <c r="AD146">
        <v>2E-3</v>
      </c>
      <c r="AE146">
        <v>-0.42499999999999999</v>
      </c>
      <c r="AF146">
        <v>-0.192</v>
      </c>
      <c r="AG146">
        <v>-0.19500000000000001</v>
      </c>
      <c r="AH146">
        <v>-0.41299999999999998</v>
      </c>
      <c r="AI146">
        <v>-0.25800000000000001</v>
      </c>
    </row>
    <row r="147" spans="1:35" x14ac:dyDescent="0.25">
      <c r="A147" t="s">
        <v>2688</v>
      </c>
      <c r="B147" t="s">
        <v>32</v>
      </c>
      <c r="C147" s="25">
        <v>43712.034583333334</v>
      </c>
      <c r="D147" s="741" t="s">
        <v>2238</v>
      </c>
      <c r="E147" s="424">
        <f t="array" ref="E147">SUMPRODUCT(IF(AMP3_4[[#This Row],[Dim 1_1]:[T 8]]-$F$4:$AI$4&lt;0,1,0)+IF($F$5:$AI$5-AMP3_4[[#This Row],[Dim 1_1]:[T 8]]&lt;0,1,0),IF(ISNUMBER(AMP3_4[[#This Row],[Dim 1_1]:[T 8]])=TRUE,1,0))</f>
        <v>0</v>
      </c>
      <c r="F147">
        <v>41.305999999999997</v>
      </c>
      <c r="G147">
        <v>41.317</v>
      </c>
      <c r="H147">
        <v>155.744</v>
      </c>
      <c r="I147">
        <v>155.78399999999999</v>
      </c>
      <c r="L147">
        <v>155.83500000000001</v>
      </c>
      <c r="M147">
        <v>155.678</v>
      </c>
      <c r="N147">
        <v>27.295999999999999</v>
      </c>
      <c r="O147">
        <v>27.443999999999999</v>
      </c>
      <c r="R147">
        <v>17.228000000000002</v>
      </c>
      <c r="S147">
        <v>17.233000000000001</v>
      </c>
      <c r="T147">
        <v>33.594000000000001</v>
      </c>
      <c r="U147">
        <v>33.954999999999998</v>
      </c>
      <c r="W147">
        <v>6.4000000000000001E-2</v>
      </c>
      <c r="X147">
        <v>-1.7999999999999999E-2</v>
      </c>
      <c r="Z147">
        <v>9.5000000000000001E-2</v>
      </c>
      <c r="AA147">
        <v>-2.5000000000000001E-2</v>
      </c>
      <c r="AB147">
        <v>4.1000000000000002E-2</v>
      </c>
      <c r="AC147">
        <v>6.4000000000000001E-2</v>
      </c>
      <c r="AD147">
        <v>3.4000000000000002E-2</v>
      </c>
      <c r="AE147">
        <v>-1.7999999999999999E-2</v>
      </c>
      <c r="AF147">
        <v>7.5999999999999998E-2</v>
      </c>
      <c r="AG147">
        <v>5.0999999999999997E-2</v>
      </c>
      <c r="AH147">
        <v>-2.5000000000000001E-2</v>
      </c>
      <c r="AI147">
        <v>9.5000000000000001E-2</v>
      </c>
    </row>
    <row r="148" spans="1:35" x14ac:dyDescent="0.25">
      <c r="A148" t="s">
        <v>2689</v>
      </c>
      <c r="B148" t="s">
        <v>31</v>
      </c>
      <c r="C148" s="25">
        <v>43712.036643518521</v>
      </c>
      <c r="D148" s="741" t="s">
        <v>2238</v>
      </c>
      <c r="E148" s="424">
        <f t="array" ref="E148">SUMPRODUCT(IF(AMP3_4[[#This Row],[Dim 1_1]:[T 8]]-$F$4:$AI$4&lt;0,1,0)+IF($F$5:$AI$5-AMP3_4[[#This Row],[Dim 1_1]:[T 8]]&lt;0,1,0),IF(ISNUMBER(AMP3_4[[#This Row],[Dim 1_1]:[T 8]])=TRUE,1,0))</f>
        <v>0</v>
      </c>
      <c r="H148">
        <v>155.76599999999999</v>
      </c>
      <c r="I148">
        <v>155.715</v>
      </c>
      <c r="J148">
        <v>168.673</v>
      </c>
      <c r="K148">
        <v>168.55099999999999</v>
      </c>
      <c r="L148">
        <v>155.80099999999999</v>
      </c>
      <c r="M148">
        <v>155.65700000000001</v>
      </c>
      <c r="N148">
        <v>27.350999999999999</v>
      </c>
      <c r="O148">
        <v>27.59</v>
      </c>
      <c r="R148">
        <v>17.253</v>
      </c>
      <c r="S148">
        <v>17.178000000000001</v>
      </c>
      <c r="T148">
        <v>36.112000000000002</v>
      </c>
      <c r="U148">
        <v>38.134999999999998</v>
      </c>
      <c r="W148">
        <v>0.17899999999999999</v>
      </c>
      <c r="X148">
        <v>-0.27600000000000002</v>
      </c>
      <c r="Z148">
        <v>3.0000000000000001E-3</v>
      </c>
      <c r="AA148">
        <v>-0.16300000000000001</v>
      </c>
      <c r="AB148">
        <v>0.15</v>
      </c>
      <c r="AC148">
        <v>-0.129</v>
      </c>
      <c r="AD148">
        <v>0.17899999999999999</v>
      </c>
      <c r="AE148">
        <v>-0.27600000000000002</v>
      </c>
      <c r="AF148">
        <v>-3.0000000000000001E-3</v>
      </c>
      <c r="AG148">
        <v>-8.0000000000000002E-3</v>
      </c>
      <c r="AH148">
        <v>-0.16300000000000001</v>
      </c>
      <c r="AI148">
        <v>3.0000000000000001E-3</v>
      </c>
    </row>
    <row r="149" spans="1:35" x14ac:dyDescent="0.25">
      <c r="A149" t="s">
        <v>2690</v>
      </c>
      <c r="B149" t="s">
        <v>32</v>
      </c>
      <c r="C149" s="25">
        <v>43712.321018518516</v>
      </c>
      <c r="D149" s="741" t="s">
        <v>2238</v>
      </c>
      <c r="E149" s="424">
        <f t="array" ref="E149">SUMPRODUCT(IF(AMP3_4[[#This Row],[Dim 1_1]:[T 8]]-$F$4:$AI$4&lt;0,1,0)+IF($F$5:$AI$5-AMP3_4[[#This Row],[Dim 1_1]:[T 8]]&lt;0,1,0),IF(ISNUMBER(AMP3_4[[#This Row],[Dim 1_1]:[T 8]])=TRUE,1,0))</f>
        <v>0</v>
      </c>
      <c r="F149">
        <v>41.371000000000002</v>
      </c>
      <c r="G149">
        <v>41.213999999999999</v>
      </c>
      <c r="H149">
        <v>155.78399999999999</v>
      </c>
      <c r="I149">
        <v>155.85300000000001</v>
      </c>
      <c r="L149">
        <v>155.86500000000001</v>
      </c>
      <c r="M149">
        <v>155.749</v>
      </c>
      <c r="N149">
        <v>27.262</v>
      </c>
      <c r="O149">
        <v>27.359000000000002</v>
      </c>
      <c r="R149">
        <v>17.213999999999999</v>
      </c>
      <c r="S149">
        <v>17.14</v>
      </c>
      <c r="T149">
        <v>33.901000000000003</v>
      </c>
      <c r="U149">
        <v>34.481000000000002</v>
      </c>
      <c r="W149">
        <v>0.14599999999999999</v>
      </c>
      <c r="X149">
        <v>1.7999999999999999E-2</v>
      </c>
      <c r="Z149">
        <v>0.16400000000000001</v>
      </c>
      <c r="AA149">
        <v>2.5999999999999999E-2</v>
      </c>
      <c r="AB149">
        <v>1.7999999999999999E-2</v>
      </c>
      <c r="AC149">
        <v>5.1999999999999998E-2</v>
      </c>
      <c r="AD149">
        <v>0.14599999999999999</v>
      </c>
      <c r="AE149">
        <v>8.2000000000000003E-2</v>
      </c>
      <c r="AF149">
        <v>0.06</v>
      </c>
      <c r="AG149">
        <v>2.5999999999999999E-2</v>
      </c>
      <c r="AH149">
        <v>4.8000000000000001E-2</v>
      </c>
      <c r="AI149">
        <v>0.16400000000000001</v>
      </c>
    </row>
    <row r="150" spans="1:35" x14ac:dyDescent="0.25">
      <c r="A150" t="s">
        <v>2691</v>
      </c>
      <c r="B150" t="s">
        <v>31</v>
      </c>
      <c r="C150" s="25">
        <v>43712.323101851849</v>
      </c>
      <c r="D150" s="741" t="s">
        <v>2238</v>
      </c>
      <c r="E150" s="424">
        <f t="array" ref="E150">SUMPRODUCT(IF(AMP3_4[[#This Row],[Dim 1_1]:[T 8]]-$F$4:$AI$4&lt;0,1,0)+IF($F$5:$AI$5-AMP3_4[[#This Row],[Dim 1_1]:[T 8]]&lt;0,1,0),IF(ISNUMBER(AMP3_4[[#This Row],[Dim 1_1]:[T 8]])=TRUE,1,0))</f>
        <v>0</v>
      </c>
      <c r="H150">
        <v>155.78299999999999</v>
      </c>
      <c r="I150">
        <v>155.81899999999999</v>
      </c>
      <c r="J150">
        <v>168.822</v>
      </c>
      <c r="K150">
        <v>168.685</v>
      </c>
      <c r="L150">
        <v>155.83000000000001</v>
      </c>
      <c r="M150">
        <v>155.684</v>
      </c>
      <c r="N150">
        <v>27.318000000000001</v>
      </c>
      <c r="O150">
        <v>27.562999999999999</v>
      </c>
      <c r="R150">
        <v>17.268999999999998</v>
      </c>
      <c r="S150">
        <v>17.257999999999999</v>
      </c>
      <c r="T150">
        <v>38.485999999999997</v>
      </c>
      <c r="U150">
        <v>39.396999999999998</v>
      </c>
      <c r="W150">
        <v>0.18</v>
      </c>
      <c r="X150">
        <v>-0.32200000000000001</v>
      </c>
      <c r="Z150">
        <v>2.3E-2</v>
      </c>
      <c r="AA150">
        <v>-0.218</v>
      </c>
      <c r="AB150">
        <v>0.18</v>
      </c>
      <c r="AC150">
        <v>-9.8000000000000004E-2</v>
      </c>
      <c r="AD150">
        <v>0.13400000000000001</v>
      </c>
      <c r="AE150">
        <v>-0.32200000000000001</v>
      </c>
      <c r="AF150">
        <v>2.3E-2</v>
      </c>
      <c r="AG150">
        <v>-5.0000000000000001E-3</v>
      </c>
      <c r="AH150">
        <v>-0.218</v>
      </c>
      <c r="AI150">
        <v>-5.0999999999999997E-2</v>
      </c>
    </row>
    <row r="151" spans="1:35" x14ac:dyDescent="0.25">
      <c r="D151" s="25"/>
      <c r="E151" s="740"/>
    </row>
    <row r="152" spans="1:35" x14ac:dyDescent="0.25">
      <c r="D152" s="25"/>
    </row>
    <row r="153" spans="1:35" x14ac:dyDescent="0.25">
      <c r="D153" s="25"/>
    </row>
    <row r="154" spans="1:35" x14ac:dyDescent="0.25">
      <c r="D154" s="25"/>
    </row>
    <row r="155" spans="1:35" x14ac:dyDescent="0.25">
      <c r="D155" s="25"/>
    </row>
    <row r="156" spans="1:35" x14ac:dyDescent="0.25">
      <c r="D156" s="25"/>
    </row>
    <row r="157" spans="1:35" x14ac:dyDescent="0.25">
      <c r="D157" s="25"/>
    </row>
    <row r="158" spans="1:35" x14ac:dyDescent="0.25">
      <c r="D158" s="25"/>
    </row>
    <row r="159" spans="1:35" x14ac:dyDescent="0.25">
      <c r="D159" s="25"/>
    </row>
    <row r="160" spans="1:35" x14ac:dyDescent="0.25">
      <c r="D160" s="25"/>
    </row>
    <row r="161" spans="4:4" x14ac:dyDescent="0.25">
      <c r="D161" s="25"/>
    </row>
    <row r="162" spans="4:4" x14ac:dyDescent="0.25">
      <c r="D162" s="25"/>
    </row>
    <row r="163" spans="4:4" x14ac:dyDescent="0.25">
      <c r="D163" s="25"/>
    </row>
    <row r="164" spans="4:4" x14ac:dyDescent="0.25">
      <c r="D164" s="25"/>
    </row>
    <row r="165" spans="4:4" x14ac:dyDescent="0.25">
      <c r="D165" s="25"/>
    </row>
    <row r="166" spans="4:4" x14ac:dyDescent="0.25">
      <c r="D166" s="25"/>
    </row>
    <row r="167" spans="4:4" x14ac:dyDescent="0.25">
      <c r="D167" s="25"/>
    </row>
    <row r="168" spans="4:4" x14ac:dyDescent="0.25">
      <c r="D168" s="25"/>
    </row>
    <row r="169" spans="4:4" x14ac:dyDescent="0.25">
      <c r="D169" s="25"/>
    </row>
    <row r="170" spans="4:4" x14ac:dyDescent="0.25">
      <c r="D170" s="25"/>
    </row>
    <row r="171" spans="4:4" x14ac:dyDescent="0.25">
      <c r="D171" s="25"/>
    </row>
    <row r="172" spans="4:4" x14ac:dyDescent="0.25">
      <c r="D172" s="25"/>
    </row>
    <row r="173" spans="4:4" x14ac:dyDescent="0.25">
      <c r="D173" s="25"/>
    </row>
    <row r="174" spans="4:4" x14ac:dyDescent="0.25">
      <c r="D174" s="25"/>
    </row>
    <row r="175" spans="4:4" x14ac:dyDescent="0.25">
      <c r="D175" s="25"/>
    </row>
    <row r="176" spans="4:4" x14ac:dyDescent="0.25">
      <c r="D176" s="25"/>
    </row>
    <row r="177" spans="4:4" x14ac:dyDescent="0.25">
      <c r="D177" s="25"/>
    </row>
    <row r="178" spans="4:4" x14ac:dyDescent="0.25">
      <c r="D178" s="25"/>
    </row>
    <row r="179" spans="4:4" x14ac:dyDescent="0.25">
      <c r="D179" s="25"/>
    </row>
    <row r="180" spans="4:4" x14ac:dyDescent="0.25">
      <c r="D180" s="25"/>
    </row>
    <row r="181" spans="4:4" x14ac:dyDescent="0.25">
      <c r="D181" s="25"/>
    </row>
    <row r="182" spans="4:4" x14ac:dyDescent="0.25">
      <c r="D182" s="25"/>
    </row>
    <row r="183" spans="4:4" x14ac:dyDescent="0.25">
      <c r="D183" s="25"/>
    </row>
    <row r="184" spans="4:4" x14ac:dyDescent="0.25">
      <c r="D184" s="25"/>
    </row>
    <row r="185" spans="4:4" x14ac:dyDescent="0.25">
      <c r="D185" s="25"/>
    </row>
    <row r="186" spans="4:4" x14ac:dyDescent="0.25">
      <c r="D186" s="25"/>
    </row>
    <row r="187" spans="4:4" x14ac:dyDescent="0.25">
      <c r="D187" s="25"/>
    </row>
    <row r="188" spans="4:4" x14ac:dyDescent="0.25">
      <c r="D188" s="25"/>
    </row>
    <row r="189" spans="4:4" x14ac:dyDescent="0.25">
      <c r="D189" s="25"/>
    </row>
    <row r="190" spans="4:4" x14ac:dyDescent="0.25">
      <c r="D190" s="25"/>
    </row>
    <row r="191" spans="4:4" x14ac:dyDescent="0.25">
      <c r="D191" s="25"/>
    </row>
    <row r="192" spans="4:4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  <row r="205" spans="4:4" x14ac:dyDescent="0.25">
      <c r="D205" s="25"/>
    </row>
    <row r="206" spans="4:4" x14ac:dyDescent="0.25">
      <c r="D206" s="25"/>
    </row>
    <row r="207" spans="4:4" x14ac:dyDescent="0.25">
      <c r="D207" s="25"/>
    </row>
    <row r="208" spans="4:4" x14ac:dyDescent="0.25">
      <c r="D208" s="25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12" spans="4:4" x14ac:dyDescent="0.25">
      <c r="D212" s="25"/>
    </row>
    <row r="213" spans="4:4" x14ac:dyDescent="0.25">
      <c r="D213" s="25"/>
    </row>
    <row r="214" spans="4:4" x14ac:dyDescent="0.25">
      <c r="D214" s="25"/>
    </row>
    <row r="215" spans="4:4" x14ac:dyDescent="0.25">
      <c r="D215" s="25"/>
    </row>
    <row r="216" spans="4:4" x14ac:dyDescent="0.25">
      <c r="D216" s="25"/>
    </row>
    <row r="217" spans="4:4" x14ac:dyDescent="0.25">
      <c r="D217" s="25"/>
    </row>
  </sheetData>
  <mergeCells count="1">
    <mergeCell ref="E1:E2"/>
  </mergeCells>
  <conditionalFormatting sqref="AJ8:XFD8">
    <cfRule type="notContainsBlanks" priority="11" stopIfTrue="1">
      <formula>LEN(TRIM(AJ8))&gt;0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06" priority="10"/>
  </conditionalFormatting>
  <conditionalFormatting sqref="F6:S7 V6:AI7">
    <cfRule type="cellIs" dxfId="205" priority="5" stopIfTrue="1" operator="notBetween">
      <formula>0.35</formula>
      <formula>-0.35</formula>
    </cfRule>
    <cfRule type="cellIs" dxfId="204" priority="6" operator="notBetween">
      <formula>0.2</formula>
      <formula>-0.2</formula>
    </cfRule>
  </conditionalFormatting>
  <conditionalFormatting sqref="E1 E3:E1048576">
    <cfRule type="cellIs" dxfId="203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202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01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rgb="FFFF0000"/>
  </sheetPr>
  <dimension ref="A1:AI255"/>
  <sheetViews>
    <sheetView workbookViewId="0">
      <pane xSplit="2" ySplit="8" topLeftCell="C33" activePane="bottomRight" state="frozenSplit"/>
      <selection pane="topRight" activeCell="C1" sqref="C1"/>
      <selection pane="bottomLeft" activeCell="A33" sqref="A33"/>
      <selection pane="bottomRight" activeCell="A60" sqref="A60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MIN(AMP4_2[Date])</f>
        <v>43698.507372685184</v>
      </c>
      <c r="D1" s="310"/>
      <c r="E1" s="794" t="s">
        <v>40</v>
      </c>
      <c r="F1" s="2">
        <f>IFERROR(AVERAGEIFS(AMP4_2[[#All],[Dim 1_1]],AMP4_2[[#All],[Blade Part Number]],$B1,AMP4_2[[#All],[Date]],"&gt;"&amp;$A$1,AMP4_2[[#All],[Date]],"&lt;"&amp;$A$2),"")</f>
        <v>41.238444444444454</v>
      </c>
      <c r="G1" s="2">
        <f>IFERROR(AVERAGEIFS(AMP4_2[[#All],[Dim 1_2]],AMP4_2[[#All],[Blade Part Number]],$B1,AMP4_2[[#All],[Date]],"&gt;"&amp;$A$1,AMP4_2[[#All],[Date]],"&lt;"&amp;$A$2),"")</f>
        <v>41.115133333333333</v>
      </c>
      <c r="H1" s="2">
        <f>IFERROR(AVERAGEIFS(AMP4_2[[#All],[Dim 2_1]],AMP4_2[[#All],[Blade Part Number]],$B1,AMP4_2[[#All],[Date]],"&gt;"&amp;$A$1,AMP4_2[[#All],[Date]],"&lt;"&amp;$A$2),"")</f>
        <v>155.8308333333334</v>
      </c>
      <c r="I1" s="2">
        <f>IFERROR(AVERAGEIFS(AMP4_2[[#All],[Dim 2_2]],AMP4_2[[#All],[Blade Part Number]],$B1,AMP4_2[[#All],[Date]],"&gt;"&amp;$A$1,AMP4_2[[#All],[Date]],"&lt;"&amp;$A$2),"")</f>
        <v>155.83046666666669</v>
      </c>
      <c r="J1" s="2" t="str">
        <f>IFERROR(AVERAGEIFS(AMP4_2[[#All],[Dim 3_1]],AMP4_2[[#All],[Blade Part Number]],$B1,AMP4_2[[#All],[Date]],"&gt;"&amp;$A$1,AMP4_2[[#All],[Date]],"&lt;"&amp;$A$2),"")</f>
        <v/>
      </c>
      <c r="K1" s="2" t="str">
        <f>IFERROR(AVERAGEIFS(AMP4_2[[#All],[Dim 3_2]],AMP4_2[[#All],[Blade Part Number]],$B1,AMP4_2[[#All],[Date]],"&gt;"&amp;$A$1,AMP4_2[[#All],[Date]],"&lt;"&amp;$A$2),"")</f>
        <v/>
      </c>
      <c r="L1" s="2">
        <f>IFERROR(AVERAGEIFS(AMP4_2[[#All],[Dim 4_1]],AMP4_2[[#All],[Blade Part Number]],$B1,AMP4_2[[#All],[Date]],"&gt;"&amp;$A$1,AMP4_2[[#All],[Date]],"&lt;"&amp;$A$2),"")</f>
        <v>155.90725555555557</v>
      </c>
      <c r="M1" s="2">
        <f>IFERROR(AVERAGEIFS(AMP4_2[[#All],[Dim 4_2]],AMP4_2[[#All],[Blade Part Number]],$B1,AMP4_2[[#All],[Date]],"&gt;"&amp;$A$1,AMP4_2[[#All],[Date]],"&lt;"&amp;$A$2),"")</f>
        <v>155.62692222222225</v>
      </c>
      <c r="N1" s="2">
        <f>IFERROR(AVERAGEIFS(AMP4_2[[#All],[Dim 5_1]],AMP4_2[[#All],[Blade Part Number]],$B1,AMP4_2[[#All],[Date]],"&gt;"&amp;$A$1,AMP4_2[[#All],[Date]],"&lt;"&amp;$A$2),"")</f>
        <v>27.239888888888892</v>
      </c>
      <c r="O1" s="2">
        <f>IFERROR(AVERAGEIFS(AMP4_2[[#All],[Dim 5_2]],AMP4_2[[#All],[Blade Part Number]],$B1,AMP4_2[[#All],[Date]],"&gt;"&amp;$A$1,AMP4_2[[#All],[Date]],"&lt;"&amp;$A$2),"")</f>
        <v>27.45836666666667</v>
      </c>
      <c r="P1" s="2" t="str">
        <f>IFERROR(AVERAGEIFS(AMP4_2[[#All],[Dim 6]],AMP4_2[[#All],[Blade Part Number]],$B1,AMP4_2[[#All],[Date]],"&gt;"&amp;$A$1,AMP4_2[[#All],[Date]],"&lt;"&amp;$A$2),"")</f>
        <v/>
      </c>
      <c r="Q1" s="2" t="str">
        <f>IFERROR(AVERAGEIFS(AMP4_2[[#All],[Dim 7]],AMP4_2[[#All],[Blade Part Number]],$B1,AMP4_2[[#All],[Date]],"&gt;"&amp;$A$1,AMP4_2[[#All],[Date]],"&lt;"&amp;$A$2),"")</f>
        <v/>
      </c>
      <c r="R1" s="2">
        <f>IFERROR(AVERAGEIFS(AMP4_2[[#All],[Dim 9_1]],AMP4_2[[#All],[Blade Part Number]],$B1,AMP4_2[[#All],[Date]],"&gt;"&amp;$A$1,AMP4_2[[#All],[Date]],"&lt;"&amp;$A$2),"")</f>
        <v>17.244477777777778</v>
      </c>
      <c r="S1" s="2">
        <f>IFERROR(AVERAGEIFS(AMP4_2[[#All],[Dim 9_2]],AMP4_2[[#All],[Blade Part Number]],$B1,AMP4_2[[#All],[Date]],"&gt;"&amp;$A$1,AMP4_2[[#All],[Date]],"&lt;"&amp;$A$2),"")</f>
        <v>17.221755555555546</v>
      </c>
      <c r="T1" s="2">
        <f>IFERROR(AVERAGEIFS(AMP4_2[[#All],[Dim 10_1]],AMP4_2[[#All],[Blade Part Number]],$B1,AMP4_2[[#All],[Date]],"&gt;"&amp;$A$1,AMP4_2[[#All],[Date]],"&lt;"&amp;$A$2),"")</f>
        <v>33.387833333333333</v>
      </c>
      <c r="U1" s="2">
        <f>IFERROR(AVERAGEIFS(AMP4_2[[#All],[Dim 10_2]],AMP4_2[[#All],[Blade Part Number]],$B1,AMP4_2[[#All],[Date]],"&gt;"&amp;$A$1,AMP4_2[[#All],[Date]],"&lt;"&amp;$A$2),"")</f>
        <v>34.247722222222215</v>
      </c>
      <c r="V1" s="2" t="str">
        <f>IFERROR(AVERAGEIFS(AMP4_2[[#All],[Dim 11]],AMP4_2[[#All],[Blade Part Number]],$B1,AMP4_2[[#All],[Date]],"&gt;"&amp;$A$1,AMP4_2[[#All],[Date]],"&lt;"&amp;$A$2),"")</f>
        <v/>
      </c>
      <c r="W1" s="2">
        <f>IFERROR(AVERAGEIFS(AMP4_2[[#All],[Dim 11 Max]],AMP4_2[[#All],[Blade Part Number]],$B1,AMP4_2[[#All],[Date]],"&gt;"&amp;$A$1,AMP4_2[[#All],[Date]],"&lt;"&amp;$A$2),"")</f>
        <v>3.2266666666666659E-2</v>
      </c>
      <c r="X1" s="2">
        <f>IFERROR(AVERAGEIFS(AMP4_2[[#All],[Dim 11 Min]],AMP4_2[[#All],[Blade Part Number]],$B1,AMP4_2[[#All],[Date]],"&gt;"&amp;$A$1,AMP4_2[[#All],[Date]],"&lt;"&amp;$A$2),"")</f>
        <v>-9.4466666666666657E-2</v>
      </c>
      <c r="Y1" s="2" t="str">
        <f>IFERROR(AVERAGEIFS(AMP4_2[[#All],[Dim 12]],AMP4_2[[#All],[Blade Part Number]],$B1,AMP4_2[[#All],[Date]],"&gt;"&amp;$A$1,AMP4_2[[#All],[Date]],"&lt;"&amp;$A$2),"")</f>
        <v/>
      </c>
      <c r="Z1" s="2">
        <f>IFERROR(AVERAGEIFS(AMP4_2[[#All],[Dim 12 Max]],AMP4_2[[#All],[Blade Part Number]],$B1,AMP4_2[[#All],[Date]],"&gt;"&amp;$A$1,AMP4_2[[#All],[Date]],"&lt;"&amp;$A$2),"")</f>
        <v>5.1088888888888899E-2</v>
      </c>
      <c r="AA1" s="2">
        <f>IFERROR(AVERAGEIFS(AMP4_2[[#All],[Dim 12 Min]],AMP4_2[[#All],[Blade Part Number]],$B1,AMP4_2[[#All],[Date]],"&gt;"&amp;$A$1,AMP4_2[[#All],[Date]],"&lt;"&amp;$A$2),"")</f>
        <v>-7.473333333333336E-2</v>
      </c>
      <c r="AB1" s="2">
        <f>IFERROR(AVERAGEIFS(AMP4_2[[#All],[T 1]],AMP4_2[[#All],[Blade Part Number]],$B1,AMP4_2[[#All],[Date]],"&gt;"&amp;$A$1,AMP4_2[[#All],[Date]],"&lt;"&amp;$A$2),"")</f>
        <v>-4.1733333333333351E-2</v>
      </c>
      <c r="AC1" s="2">
        <f>IFERROR(AVERAGEIFS(AMP4_2[[#All],[T 2]],AMP4_2[[#All],[Blade Part Number]],$B1,AMP4_2[[#All],[Date]],"&gt;"&amp;$A$1,AMP4_2[[#All],[Date]],"&lt;"&amp;$A$2),"")</f>
        <v>-6.5333333333333328E-3</v>
      </c>
      <c r="AD1" s="2">
        <f>IFERROR(AVERAGEIFS(AMP4_2[[#All],[T 3]],AMP4_2[[#All],[Blade Part Number]],$B1,AMP4_2[[#All],[Date]],"&gt;"&amp;$A$1,AMP4_2[[#All],[Date]],"&lt;"&amp;$A$2),"")</f>
        <v>-9.2444444444444475E-3</v>
      </c>
      <c r="AE1" s="2">
        <f>IFERROR(AVERAGEIFS(AMP4_2[[#All],[T 4]],AMP4_2[[#All],[Blade Part Number]],$B1,AMP4_2[[#All],[Date]],"&gt;"&amp;$A$1,AMP4_2[[#All],[Date]],"&lt;"&amp;$A$2),"")</f>
        <v>-5.8577777777777777E-2</v>
      </c>
      <c r="AF1" s="2">
        <f>IFERROR(AVERAGEIFS(AMP4_2[[#All],[T 5]],AMP4_2[[#All],[Blade Part Number]],$B1,AMP4_2[[#All],[Date]],"&gt;"&amp;$A$1,AMP4_2[[#All],[Date]],"&lt;"&amp;$A$2),"")</f>
        <v>2.3433333333333337E-2</v>
      </c>
      <c r="AG1" s="2">
        <f>IFERROR(AVERAGEIFS(AMP4_2[[#All],[T 6]],AMP4_2[[#All],[Blade Part Number]],$B1,AMP4_2[[#All],[Date]],"&gt;"&amp;$A$1,AMP4_2[[#All],[Date]],"&lt;"&amp;$A$2),"")</f>
        <v>-4.3255555555555554E-2</v>
      </c>
      <c r="AH1" s="2">
        <f>IFERROR(AVERAGEIFS(AMP4_2[[#All],[T 7]],AMP4_2[[#All],[Blade Part Number]],$B1,AMP4_2[[#All],[Date]],"&gt;"&amp;$A$1,AMP4_2[[#All],[Date]],"&lt;"&amp;$A$2),"")</f>
        <v>-2.5455555555555554E-2</v>
      </c>
      <c r="AI1" s="2">
        <f>IFERROR(AVERAGEIFS(AMP4_2[[#All],[T 8]],AMP4_2[[#All],[Blade Part Number]],$B1,AMP4_2[[#All],[Date]],"&gt;"&amp;$A$1,AMP4_2[[#All],[Date]],"&lt;"&amp;$A$2),"")</f>
        <v>1.0888888888888981E-3</v>
      </c>
    </row>
    <row r="2" spans="1:35" x14ac:dyDescent="0.25">
      <c r="A2" s="1">
        <f>'Offset Solver'!E31</f>
        <v>73050</v>
      </c>
      <c r="B2" s="12" t="s">
        <v>31</v>
      </c>
      <c r="C2" s="25">
        <f>MAX(AMP4_2[Date])</f>
        <v>43712.336053240739</v>
      </c>
      <c r="D2" s="310"/>
      <c r="E2" s="794"/>
      <c r="F2" s="2" t="str">
        <f>IFERROR(AVERAGEIFS(AMP4_2[[#All],[Dim 1_1]],AMP4_2[[#All],[Blade Part Number]],$B2,AMP4_2[[#All],[Date]],"&gt;"&amp;$A$1,AMP4_2[[#All],[Date]],"&lt;"&amp;$A$2),"")</f>
        <v/>
      </c>
      <c r="G2" s="2" t="str">
        <f>IFERROR(AVERAGEIFS(AMP4_2[[#All],[Dim 1_2]],AMP4_2[[#All],[Blade Part Number]],$B2,AMP4_2[[#All],[Date]],"&gt;"&amp;$A$1,AMP4_2[[#All],[Date]],"&lt;"&amp;$A$2),"")</f>
        <v/>
      </c>
      <c r="H2" s="2">
        <f>IFERROR(AVERAGEIFS(AMP4_2[[#All],[Dim 2_1]],AMP4_2[[#All],[Blade Part Number]],$B2,AMP4_2[[#All],[Date]],"&gt;"&amp;$A$1,AMP4_2[[#All],[Date]],"&lt;"&amp;$A$2),"")</f>
        <v>155.83318888888888</v>
      </c>
      <c r="I2" s="2">
        <f>IFERROR(AVERAGEIFS(AMP4_2[[#All],[Dim 2_2]],AMP4_2[[#All],[Blade Part Number]],$B2,AMP4_2[[#All],[Date]],"&gt;"&amp;$A$1,AMP4_2[[#All],[Date]],"&lt;"&amp;$A$2),"")</f>
        <v>155.83763333333329</v>
      </c>
      <c r="J2" s="2">
        <f>IFERROR(AVERAGEIFS(AMP4_2[[#All],[Dim 3_1]],AMP4_2[[#All],[Blade Part Number]],$B2,AMP4_2[[#All],[Date]],"&gt;"&amp;$A$1,AMP4_2[[#All],[Date]],"&lt;"&amp;$A$2),"")</f>
        <v>168.65584444444445</v>
      </c>
      <c r="K2" s="2">
        <f>IFERROR(AVERAGEIFS(AMP4_2[[#All],[Dim 3_2]],AMP4_2[[#All],[Blade Part Number]],$B2,AMP4_2[[#All],[Date]],"&gt;"&amp;$A$1,AMP4_2[[#All],[Date]],"&lt;"&amp;$A$2),"")</f>
        <v>168.55530000000007</v>
      </c>
      <c r="L2" s="2">
        <f>IFERROR(AVERAGEIFS(AMP4_2[[#All],[Dim 4_1]],AMP4_2[[#All],[Blade Part Number]],$B2,AMP4_2[[#All],[Date]],"&gt;"&amp;$A$1,AMP4_2[[#All],[Date]],"&lt;"&amp;$A$2),"")</f>
        <v>155.91267777777782</v>
      </c>
      <c r="M2" s="2">
        <f>IFERROR(AVERAGEIFS(AMP4_2[[#All],[Dim 4_2]],AMP4_2[[#All],[Blade Part Number]],$B2,AMP4_2[[#All],[Date]],"&gt;"&amp;$A$1,AMP4_2[[#All],[Date]],"&lt;"&amp;$A$2),"")</f>
        <v>155.80748888888891</v>
      </c>
      <c r="N2" s="2">
        <f>IFERROR(AVERAGEIFS(AMP4_2[[#All],[Dim 5_1]],AMP4_2[[#All],[Blade Part Number]],$B2,AMP4_2[[#All],[Date]],"&gt;"&amp;$A$1,AMP4_2[[#All],[Date]],"&lt;"&amp;$A$2),"")</f>
        <v>27.282333333333337</v>
      </c>
      <c r="O2" s="2">
        <f>IFERROR(AVERAGEIFS(AMP4_2[[#All],[Dim 5_2]],AMP4_2[[#All],[Blade Part Number]],$B2,AMP4_2[[#All],[Date]],"&gt;"&amp;$A$1,AMP4_2[[#All],[Date]],"&lt;"&amp;$A$2),"")</f>
        <v>27.436766666666667</v>
      </c>
      <c r="P2" s="2" t="str">
        <f>IFERROR(AVERAGEIFS(AMP4_2[[#All],[Dim 6]],AMP4_2[[#All],[Blade Part Number]],$B2,AMP4_2[[#All],[Date]],"&gt;"&amp;$A$1,AMP4_2[[#All],[Date]],"&lt;"&amp;$A$2),"")</f>
        <v/>
      </c>
      <c r="Q2" s="2" t="str">
        <f>IFERROR(AVERAGEIFS(AMP4_2[[#All],[Dim 7]],AMP4_2[[#All],[Blade Part Number]],$B2,AMP4_2[[#All],[Date]],"&gt;"&amp;$A$1,AMP4_2[[#All],[Date]],"&lt;"&amp;$A$2),"")</f>
        <v/>
      </c>
      <c r="R2" s="2">
        <f>IFERROR(AVERAGEIFS(AMP4_2[[#All],[Dim 9_1]],AMP4_2[[#All],[Blade Part Number]],$B2,AMP4_2[[#All],[Date]],"&gt;"&amp;$A$1,AMP4_2[[#All],[Date]],"&lt;"&amp;$A$2),"")</f>
        <v>17.250322222222216</v>
      </c>
      <c r="S2" s="2">
        <f>IFERROR(AVERAGEIFS(AMP4_2[[#All],[Dim 9_2]],AMP4_2[[#All],[Blade Part Number]],$B2,AMP4_2[[#All],[Date]],"&gt;"&amp;$A$1,AMP4_2[[#All],[Date]],"&lt;"&amp;$A$2),"")</f>
        <v>17.245133333333328</v>
      </c>
      <c r="T2" s="2">
        <f>IFERROR(AVERAGEIFS(AMP4_2[[#All],[Dim 10_1]],AMP4_2[[#All],[Blade Part Number]],$B2,AMP4_2[[#All],[Date]],"&gt;"&amp;$A$1,AMP4_2[[#All],[Date]],"&lt;"&amp;$A$2),"")</f>
        <v>37.749233333333322</v>
      </c>
      <c r="U2" s="2">
        <f>IFERROR(AVERAGEIFS(AMP4_2[[#All],[Dim 10_2]],AMP4_2[[#All],[Blade Part Number]],$B2,AMP4_2[[#All],[Date]],"&gt;"&amp;$A$1,AMP4_2[[#All],[Date]],"&lt;"&amp;$A$2),"")</f>
        <v>38.28182222222221</v>
      </c>
      <c r="V2" s="2" t="str">
        <f>IFERROR(AVERAGEIFS(AMP4_2[[#All],[Dim 11]],AMP4_2[[#All],[Blade Part Number]],$B2,AMP4_2[[#All],[Date]],"&gt;"&amp;$A$1,AMP4_2[[#All],[Date]],"&lt;"&amp;$A$2),"")</f>
        <v/>
      </c>
      <c r="W2" s="2">
        <f>IFERROR(AVERAGEIFS(AMP4_2[[#All],[Dim 11 Max]],AMP4_2[[#All],[Blade Part Number]],$B2,AMP4_2[[#All],[Date]],"&gt;"&amp;$A$1,AMP4_2[[#All],[Date]],"&lt;"&amp;$A$2),"")</f>
        <v>6.6255555555555554E-2</v>
      </c>
      <c r="X2" s="2">
        <f>IFERROR(AVERAGEIFS(AMP4_2[[#All],[Dim 11 Min]],AMP4_2[[#All],[Blade Part Number]],$B2,AMP4_2[[#All],[Date]],"&gt;"&amp;$A$1,AMP4_2[[#All],[Date]],"&lt;"&amp;$A$2),"")</f>
        <v>-0.14088888888888887</v>
      </c>
      <c r="Y2" s="2" t="str">
        <f>IFERROR(AVERAGEIFS(AMP4_2[[#All],[Dim 12]],AMP4_2[[#All],[Blade Part Number]],$B2,AMP4_2[[#All],[Date]],"&gt;"&amp;$A$1,AMP4_2[[#All],[Date]],"&lt;"&amp;$A$2),"")</f>
        <v/>
      </c>
      <c r="Z2" s="2">
        <f>IFERROR(AVERAGEIFS(AMP4_2[[#All],[Dim 12 Max]],AMP4_2[[#All],[Blade Part Number]],$B2,AMP4_2[[#All],[Date]],"&gt;"&amp;$A$1,AMP4_2[[#All],[Date]],"&lt;"&amp;$A$2),"")</f>
        <v>4.3955555555555553E-2</v>
      </c>
      <c r="AA2" s="2">
        <f>IFERROR(AVERAGEIFS(AMP4_2[[#All],[Dim 12 Min]],AMP4_2[[#All],[Blade Part Number]],$B2,AMP4_2[[#All],[Date]],"&gt;"&amp;$A$1,AMP4_2[[#All],[Date]],"&lt;"&amp;$A$2),"")</f>
        <v>-5.4922222222222226E-2</v>
      </c>
      <c r="AB2" s="2">
        <f>IFERROR(AVERAGEIFS(AMP4_2[[#All],[T 1]],AMP4_2[[#All],[Blade Part Number]],$B2,AMP4_2[[#All],[Date]],"&gt;"&amp;$A$1,AMP4_2[[#All],[Date]],"&lt;"&amp;$A$2),"")</f>
        <v>1.1399999999999995E-2</v>
      </c>
      <c r="AC2" s="2">
        <f>IFERROR(AVERAGEIFS(AMP4_2[[#All],[T 2]],AMP4_2[[#All],[Blade Part Number]],$B2,AMP4_2[[#All],[Date]],"&gt;"&amp;$A$1,AMP4_2[[#All],[Date]],"&lt;"&amp;$A$2),"")</f>
        <v>-2.8477777777777775E-2</v>
      </c>
      <c r="AD2" s="2">
        <f>IFERROR(AVERAGEIFS(AMP4_2[[#All],[T 3]],AMP4_2[[#All],[Blade Part Number]],$B2,AMP4_2[[#All],[Date]],"&gt;"&amp;$A$1,AMP4_2[[#All],[Date]],"&lt;"&amp;$A$2),"")</f>
        <v>4.9388888888888885E-2</v>
      </c>
      <c r="AE2" s="2">
        <f>IFERROR(AVERAGEIFS(AMP4_2[[#All],[T 4]],AMP4_2[[#All],[Blade Part Number]],$B2,AMP4_2[[#All],[Date]],"&gt;"&amp;$A$1,AMP4_2[[#All],[Date]],"&lt;"&amp;$A$2),"")</f>
        <v>-0.1356</v>
      </c>
      <c r="AF2" s="2">
        <f>IFERROR(AVERAGEIFS(AMP4_2[[#All],[T 5]],AMP4_2[[#All],[Blade Part Number]],$B2,AMP4_2[[#All],[Date]],"&gt;"&amp;$A$1,AMP4_2[[#All],[Date]],"&lt;"&amp;$A$2),"")</f>
        <v>4.2333333333333311E-3</v>
      </c>
      <c r="AG2" s="2">
        <f>IFERROR(AVERAGEIFS(AMP4_2[[#All],[T 6]],AMP4_2[[#All],[Blade Part Number]],$B2,AMP4_2[[#All],[Date]],"&gt;"&amp;$A$1,AMP4_2[[#All],[Date]],"&lt;"&amp;$A$2),"")</f>
        <v>-3.2011111111111143E-2</v>
      </c>
      <c r="AH2" s="2">
        <f>IFERROR(AVERAGEIFS(AMP4_2[[#All],[T 7]],AMP4_2[[#All],[Blade Part Number]],$B2,AMP4_2[[#All],[Date]],"&gt;"&amp;$A$1,AMP4_2[[#All],[Date]],"&lt;"&amp;$A$2),"")</f>
        <v>-3.9222222222222219E-3</v>
      </c>
      <c r="AI2" s="2">
        <f>IFERROR(AVERAGEIFS(AMP4_2[[#All],[T 8]],AMP4_2[[#All],[Blade Part Number]],$B2,AMP4_2[[#All],[Date]],"&gt;"&amp;$A$1,AMP4_2[[#All],[Date]],"&lt;"&amp;$A$2),"")</f>
        <v>1.8199999999999997E-2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-6.1555555555543151E-2</v>
      </c>
      <c r="G6" s="11">
        <f t="shared" si="0"/>
        <v>-0.18486666666666451</v>
      </c>
      <c r="H6" s="11">
        <f t="shared" si="0"/>
        <v>3.0833333333390556E-2</v>
      </c>
      <c r="I6" s="11">
        <f t="shared" si="0"/>
        <v>3.0466666666683295E-2</v>
      </c>
      <c r="J6" s="11" t="str">
        <f t="shared" si="0"/>
        <v/>
      </c>
      <c r="K6" s="11" t="str">
        <f t="shared" si="0"/>
        <v/>
      </c>
      <c r="L6" s="11">
        <f t="shared" si="0"/>
        <v>0.10725555555555388</v>
      </c>
      <c r="M6" s="11">
        <f t="shared" si="0"/>
        <v>-0.17307777777776323</v>
      </c>
      <c r="N6" s="11">
        <f t="shared" si="0"/>
        <v>-0.16011111111110665</v>
      </c>
      <c r="O6" s="11">
        <f t="shared" si="0"/>
        <v>5.8366666666671563E-2</v>
      </c>
      <c r="P6" s="11" t="str">
        <f t="shared" si="0"/>
        <v/>
      </c>
      <c r="Q6" s="11" t="str">
        <f t="shared" si="0"/>
        <v/>
      </c>
      <c r="R6" s="11">
        <f t="shared" si="0"/>
        <v>-5.5222222222219841E-3</v>
      </c>
      <c r="S6" s="11">
        <f t="shared" si="0"/>
        <v>-2.824444444445362E-2</v>
      </c>
      <c r="T6" s="11">
        <f t="shared" si="0"/>
        <v>1.387833333333333</v>
      </c>
      <c r="U6" s="11">
        <f t="shared" si="0"/>
        <v>2.2477222222222153</v>
      </c>
      <c r="V6" s="11" t="str">
        <f t="shared" si="0"/>
        <v/>
      </c>
      <c r="W6" s="11">
        <f t="shared" si="0"/>
        <v>3.2266666666666659E-2</v>
      </c>
      <c r="X6" s="11">
        <f t="shared" si="0"/>
        <v>-9.4466666666666657E-2</v>
      </c>
      <c r="Y6" s="11" t="str">
        <f t="shared" si="0"/>
        <v/>
      </c>
      <c r="Z6" s="11">
        <f t="shared" si="0"/>
        <v>5.1088888888888899E-2</v>
      </c>
      <c r="AA6" s="11">
        <f t="shared" si="0"/>
        <v>-7.473333333333336E-2</v>
      </c>
      <c r="AB6" s="406">
        <f t="shared" si="0"/>
        <v>-4.1733333333333351E-2</v>
      </c>
      <c r="AC6" s="406">
        <f t="shared" si="0"/>
        <v>-6.5333333333333328E-3</v>
      </c>
      <c r="AD6" s="407">
        <f t="shared" si="0"/>
        <v>-9.2444444444444475E-3</v>
      </c>
      <c r="AE6" s="407">
        <f t="shared" si="0"/>
        <v>-5.8577777777777777E-2</v>
      </c>
      <c r="AF6" s="406">
        <f t="shared" si="0"/>
        <v>2.3433333333333337E-2</v>
      </c>
      <c r="AG6" s="406">
        <f t="shared" si="0"/>
        <v>-4.3255555555555554E-2</v>
      </c>
      <c r="AH6" s="407">
        <f t="shared" si="0"/>
        <v>-2.5455555555555554E-2</v>
      </c>
      <c r="AI6" s="407">
        <f t="shared" si="0"/>
        <v>1.0888888888888981E-3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3.3188888888872725E-2</v>
      </c>
      <c r="I7" s="11">
        <f t="shared" si="1"/>
        <v>3.7633333333275232E-2</v>
      </c>
      <c r="J7" s="11">
        <f t="shared" si="1"/>
        <v>-4.4155555555533965E-2</v>
      </c>
      <c r="K7" s="11">
        <f t="shared" si="1"/>
        <v>-0.14469999999991501</v>
      </c>
      <c r="L7" s="11">
        <f t="shared" si="1"/>
        <v>0.11267777777780452</v>
      </c>
      <c r="M7" s="11">
        <f t="shared" si="1"/>
        <v>7.4888888889006466E-3</v>
      </c>
      <c r="N7" s="11">
        <f t="shared" si="1"/>
        <v>-0.11766666666666126</v>
      </c>
      <c r="O7" s="11">
        <f t="shared" si="1"/>
        <v>3.6766666666668613E-2</v>
      </c>
      <c r="P7" s="11" t="str">
        <f t="shared" si="1"/>
        <v/>
      </c>
      <c r="Q7" s="11" t="str">
        <f t="shared" si="1"/>
        <v/>
      </c>
      <c r="R7" s="11">
        <f t="shared" si="1"/>
        <v>3.2222222221633956E-4</v>
      </c>
      <c r="S7" s="11">
        <f t="shared" si="1"/>
        <v>-4.8666666666719038E-3</v>
      </c>
      <c r="T7" s="11">
        <f t="shared" si="1"/>
        <v>5.7492333333333221</v>
      </c>
      <c r="U7" s="11">
        <f t="shared" si="1"/>
        <v>6.2818222222222104</v>
      </c>
      <c r="V7" s="11" t="str">
        <f t="shared" si="1"/>
        <v/>
      </c>
      <c r="W7" s="11">
        <f t="shared" si="1"/>
        <v>6.6255555555555554E-2</v>
      </c>
      <c r="X7" s="11">
        <f t="shared" si="1"/>
        <v>-0.14088888888888887</v>
      </c>
      <c r="Y7" s="11" t="str">
        <f t="shared" si="1"/>
        <v/>
      </c>
      <c r="Z7" s="11">
        <f t="shared" si="1"/>
        <v>4.3955555555555553E-2</v>
      </c>
      <c r="AA7" s="11">
        <f t="shared" si="1"/>
        <v>-5.4922222222222226E-2</v>
      </c>
      <c r="AB7" s="407">
        <f t="shared" si="1"/>
        <v>1.1399999999999995E-2</v>
      </c>
      <c r="AC7" s="407">
        <f t="shared" si="1"/>
        <v>-2.8477777777777775E-2</v>
      </c>
      <c r="AD7" s="406">
        <f t="shared" si="1"/>
        <v>4.9388888888888885E-2</v>
      </c>
      <c r="AE7" s="406">
        <f t="shared" si="1"/>
        <v>-0.1356</v>
      </c>
      <c r="AF7" s="407">
        <f t="shared" si="1"/>
        <v>4.2333333333333311E-3</v>
      </c>
      <c r="AG7" s="407">
        <f t="shared" si="1"/>
        <v>-3.2011111111111143E-2</v>
      </c>
      <c r="AH7" s="406">
        <f t="shared" si="1"/>
        <v>-3.9222222222222219E-3</v>
      </c>
      <c r="AI7" s="406">
        <f t="shared" si="1"/>
        <v>1.8199999999999997E-2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994</v>
      </c>
      <c r="B9" t="s">
        <v>32</v>
      </c>
      <c r="C9" s="25">
        <v>43698.507372685184</v>
      </c>
      <c r="D9" s="741" t="s">
        <v>969</v>
      </c>
      <c r="E9" s="741">
        <f t="array" ref="E9">SUMPRODUCT(IF(AMP6_4[[#This Row],[Dim 1_1]:[T 8]]-$F$4:$AI$4&lt;0,1,0)+IF($F$5:$AI$5-AMP6_4[[#This Row],[Dim 1_1]:[T 8]]&lt;0,1,0),IF(ISNUMBER(AMP6_4[[#This Row],[Dim 1_1]:[T 8]])=TRUE,1,0))</f>
        <v>0</v>
      </c>
      <c r="F9">
        <v>40.985999999999997</v>
      </c>
      <c r="G9">
        <v>40.975999999999999</v>
      </c>
      <c r="H9">
        <v>155.90799999999999</v>
      </c>
      <c r="I9">
        <v>155.899</v>
      </c>
      <c r="L9">
        <v>155.93700000000001</v>
      </c>
      <c r="M9">
        <v>155.62899999999999</v>
      </c>
      <c r="N9">
        <v>27.221</v>
      </c>
      <c r="O9">
        <v>27.501000000000001</v>
      </c>
      <c r="R9">
        <v>17.241</v>
      </c>
      <c r="S9">
        <v>17.155999999999999</v>
      </c>
      <c r="T9">
        <v>33.113999999999997</v>
      </c>
      <c r="U9">
        <v>34.332000000000001</v>
      </c>
      <c r="W9">
        <v>-0.02</v>
      </c>
      <c r="X9">
        <v>-0.217</v>
      </c>
      <c r="Z9">
        <v>-2.8000000000000001E-2</v>
      </c>
      <c r="AA9">
        <v>-0.13900000000000001</v>
      </c>
      <c r="AB9">
        <v>-0.217</v>
      </c>
      <c r="AC9">
        <v>-0.17899999999999999</v>
      </c>
      <c r="AD9">
        <v>-5.8000000000000003E-2</v>
      </c>
      <c r="AE9">
        <v>-0.02</v>
      </c>
      <c r="AF9">
        <v>-5.7000000000000002E-2</v>
      </c>
      <c r="AG9">
        <v>-0.13900000000000001</v>
      </c>
      <c r="AH9">
        <v>-6.8000000000000005E-2</v>
      </c>
      <c r="AI9">
        <v>-2.8000000000000001E-2</v>
      </c>
    </row>
    <row r="10" spans="1:35" x14ac:dyDescent="0.25">
      <c r="A10" t="s">
        <v>995</v>
      </c>
      <c r="B10" t="s">
        <v>31</v>
      </c>
      <c r="C10" s="25">
        <v>43698.509432870371</v>
      </c>
      <c r="D10" s="741" t="s">
        <v>969</v>
      </c>
      <c r="E10" s="741">
        <f t="array" ref="E10">SUMPRODUCT(IF(AMP6_4[[#This Row],[Dim 1_1]:[T 8]]-$F$4:$AI$4&lt;0,1,0)+IF($F$5:$AI$5-AMP6_4[[#This Row],[Dim 1_1]:[T 8]]&lt;0,1,0),IF(ISNUMBER(AMP6_4[[#This Row],[Dim 1_1]:[T 8]])=TRUE,1,0))</f>
        <v>0</v>
      </c>
      <c r="H10">
        <v>156.19200000000001</v>
      </c>
      <c r="I10">
        <v>156.232</v>
      </c>
      <c r="J10">
        <v>168.7</v>
      </c>
      <c r="K10">
        <v>168.55199999999999</v>
      </c>
      <c r="L10">
        <v>156.27699999999999</v>
      </c>
      <c r="M10">
        <v>156.214</v>
      </c>
      <c r="N10">
        <v>26.925000000000001</v>
      </c>
      <c r="O10">
        <v>27.103000000000002</v>
      </c>
      <c r="R10">
        <v>17.260000000000002</v>
      </c>
      <c r="S10">
        <v>17.312999999999999</v>
      </c>
      <c r="T10">
        <v>37.630000000000003</v>
      </c>
      <c r="U10">
        <v>37.301000000000002</v>
      </c>
      <c r="W10">
        <v>-0.193</v>
      </c>
      <c r="X10">
        <v>-0.432</v>
      </c>
      <c r="Z10">
        <v>-0.124</v>
      </c>
      <c r="AA10">
        <v>-0.186</v>
      </c>
      <c r="AB10">
        <v>-0.193</v>
      </c>
      <c r="AC10">
        <v>-0.21199999999999999</v>
      </c>
      <c r="AD10">
        <v>-0.20899999999999999</v>
      </c>
      <c r="AE10">
        <v>-0.432</v>
      </c>
      <c r="AF10">
        <v>-0.124</v>
      </c>
      <c r="AG10">
        <v>-0.17899999999999999</v>
      </c>
      <c r="AH10">
        <v>-0.16600000000000001</v>
      </c>
      <c r="AI10">
        <v>-0.186</v>
      </c>
    </row>
    <row r="11" spans="1:35" x14ac:dyDescent="0.25">
      <c r="A11" t="s">
        <v>996</v>
      </c>
      <c r="B11" t="s">
        <v>32</v>
      </c>
      <c r="C11" s="25">
        <v>43698.611932870372</v>
      </c>
      <c r="D11" s="741" t="s">
        <v>969</v>
      </c>
      <c r="E11" s="741">
        <f t="array" ref="E11">SUMPRODUCT(IF(AMP6_4[[#This Row],[Dim 1_1]:[T 8]]-$F$4:$AI$4&lt;0,1,0)+IF($F$5:$AI$5-AMP6_4[[#This Row],[Dim 1_1]:[T 8]]&lt;0,1,0),IF(ISNUMBER(AMP6_4[[#This Row],[Dim 1_1]:[T 8]])=TRUE,1,0))</f>
        <v>0</v>
      </c>
      <c r="F11">
        <v>41.045999999999999</v>
      </c>
      <c r="G11">
        <v>40.911999999999999</v>
      </c>
      <c r="H11">
        <v>155.71700000000001</v>
      </c>
      <c r="I11">
        <v>155.726</v>
      </c>
      <c r="L11">
        <v>155.72900000000001</v>
      </c>
      <c r="M11">
        <v>155.46600000000001</v>
      </c>
      <c r="N11">
        <v>27.457000000000001</v>
      </c>
      <c r="O11">
        <v>27.702999999999999</v>
      </c>
      <c r="R11">
        <v>17.260000000000002</v>
      </c>
      <c r="S11">
        <v>17.331</v>
      </c>
      <c r="T11">
        <v>33.408000000000001</v>
      </c>
      <c r="U11">
        <v>34.212000000000003</v>
      </c>
      <c r="W11">
        <v>0.11799999999999999</v>
      </c>
      <c r="X11">
        <v>8.8999999999999996E-2</v>
      </c>
      <c r="Z11">
        <v>0.20300000000000001</v>
      </c>
      <c r="AA11">
        <v>0.08</v>
      </c>
      <c r="AB11">
        <v>8.8999999999999996E-2</v>
      </c>
      <c r="AC11">
        <v>0.107</v>
      </c>
      <c r="AD11">
        <v>9.8000000000000004E-2</v>
      </c>
      <c r="AE11">
        <v>0.11799999999999999</v>
      </c>
      <c r="AF11">
        <v>0.20300000000000001</v>
      </c>
      <c r="AG11">
        <v>0.151</v>
      </c>
      <c r="AH11">
        <v>0.08</v>
      </c>
      <c r="AI11">
        <v>0.13500000000000001</v>
      </c>
    </row>
    <row r="12" spans="1:35" x14ac:dyDescent="0.25">
      <c r="A12" t="s">
        <v>997</v>
      </c>
      <c r="B12" t="s">
        <v>31</v>
      </c>
      <c r="C12" s="25">
        <v>43698.613958333335</v>
      </c>
      <c r="D12" s="741" t="s">
        <v>969</v>
      </c>
      <c r="E12" s="741">
        <f t="array" ref="E12">SUMPRODUCT(IF(AMP6_4[[#This Row],[Dim 1_1]:[T 8]]-$F$4:$AI$4&lt;0,1,0)+IF($F$5:$AI$5-AMP6_4[[#This Row],[Dim 1_1]:[T 8]]&lt;0,1,0),IF(ISNUMBER(AMP6_4[[#This Row],[Dim 1_1]:[T 8]])=TRUE,1,0))</f>
        <v>0</v>
      </c>
      <c r="H12">
        <v>155.86000000000001</v>
      </c>
      <c r="I12">
        <v>155.85400000000001</v>
      </c>
      <c r="J12">
        <v>168.41</v>
      </c>
      <c r="K12">
        <v>168.18899999999999</v>
      </c>
      <c r="L12">
        <v>155.93700000000001</v>
      </c>
      <c r="M12">
        <v>155.80600000000001</v>
      </c>
      <c r="N12">
        <v>27.245000000000001</v>
      </c>
      <c r="O12">
        <v>27.472000000000001</v>
      </c>
      <c r="R12">
        <v>17.242000000000001</v>
      </c>
      <c r="S12">
        <v>17.266999999999999</v>
      </c>
      <c r="T12">
        <v>37.673000000000002</v>
      </c>
      <c r="U12">
        <v>38.543999999999997</v>
      </c>
      <c r="W12">
        <v>4.9000000000000002E-2</v>
      </c>
      <c r="X12">
        <v>-0.108</v>
      </c>
      <c r="Z12">
        <v>0.13</v>
      </c>
      <c r="AA12">
        <v>2.4E-2</v>
      </c>
      <c r="AB12">
        <v>2.3E-2</v>
      </c>
      <c r="AC12">
        <v>-3.4000000000000002E-2</v>
      </c>
      <c r="AD12">
        <v>4.9000000000000002E-2</v>
      </c>
      <c r="AE12">
        <v>-0.108</v>
      </c>
      <c r="AF12">
        <v>9.5000000000000001E-2</v>
      </c>
      <c r="AG12">
        <v>6.7000000000000004E-2</v>
      </c>
      <c r="AH12">
        <v>2.4E-2</v>
      </c>
      <c r="AI12">
        <v>0.13</v>
      </c>
    </row>
    <row r="13" spans="1:35" x14ac:dyDescent="0.25">
      <c r="A13" t="s">
        <v>998</v>
      </c>
      <c r="B13" t="s">
        <v>32</v>
      </c>
      <c r="C13" s="25">
        <v>43698.791875000003</v>
      </c>
      <c r="D13" s="741" t="s">
        <v>969</v>
      </c>
      <c r="E13" s="741">
        <f t="array" ref="E13">SUMPRODUCT(IF(AMP6_4[[#This Row],[Dim 1_1]:[T 8]]-$F$4:$AI$4&lt;0,1,0)+IF($F$5:$AI$5-AMP6_4[[#This Row],[Dim 1_1]:[T 8]]&lt;0,1,0),IF(ISNUMBER(AMP6_4[[#This Row],[Dim 1_1]:[T 8]])=TRUE,1,0))</f>
        <v>0</v>
      </c>
      <c r="F13">
        <v>41.03</v>
      </c>
      <c r="G13">
        <v>41.155000000000001</v>
      </c>
      <c r="H13">
        <v>155.846</v>
      </c>
      <c r="I13">
        <v>155.91499999999999</v>
      </c>
      <c r="L13">
        <v>155.82300000000001</v>
      </c>
      <c r="M13">
        <v>155.68</v>
      </c>
      <c r="N13">
        <v>27.274000000000001</v>
      </c>
      <c r="O13">
        <v>27.452999999999999</v>
      </c>
      <c r="R13">
        <v>17.251000000000001</v>
      </c>
      <c r="S13">
        <v>17.286999999999999</v>
      </c>
      <c r="T13">
        <v>33.726999999999997</v>
      </c>
      <c r="U13">
        <v>33.869</v>
      </c>
      <c r="W13">
        <v>-0.13500000000000001</v>
      </c>
      <c r="X13">
        <v>-0.20200000000000001</v>
      </c>
      <c r="Z13">
        <v>3.9E-2</v>
      </c>
      <c r="AA13">
        <v>-1.7000000000000001E-2</v>
      </c>
      <c r="AB13">
        <v>-0.20200000000000001</v>
      </c>
      <c r="AC13">
        <v>-0.17499999999999999</v>
      </c>
      <c r="AD13">
        <v>-0.13500000000000001</v>
      </c>
      <c r="AE13">
        <v>-0.19600000000000001</v>
      </c>
      <c r="AF13">
        <v>3.9E-2</v>
      </c>
      <c r="AG13">
        <v>-1.7000000000000001E-2</v>
      </c>
      <c r="AH13">
        <v>-8.9999999999999993E-3</v>
      </c>
      <c r="AI13">
        <v>-1.0999999999999999E-2</v>
      </c>
    </row>
    <row r="14" spans="1:35" x14ac:dyDescent="0.25">
      <c r="A14" t="s">
        <v>999</v>
      </c>
      <c r="B14" t="s">
        <v>31</v>
      </c>
      <c r="C14" s="25">
        <v>43698.794016203705</v>
      </c>
      <c r="D14" s="741" t="s">
        <v>969</v>
      </c>
      <c r="E14" s="741">
        <f t="array" ref="E14">SUMPRODUCT(IF(AMP6_4[[#This Row],[Dim 1_1]:[T 8]]-$F$4:$AI$4&lt;0,1,0)+IF($F$5:$AI$5-AMP6_4[[#This Row],[Dim 1_1]:[T 8]]&lt;0,1,0),IF(ISNUMBER(AMP6_4[[#This Row],[Dim 1_1]:[T 8]])=TRUE,1,0))</f>
        <v>0</v>
      </c>
      <c r="H14">
        <v>155.98500000000001</v>
      </c>
      <c r="I14">
        <v>156.00700000000001</v>
      </c>
      <c r="J14">
        <v>168.56299999999999</v>
      </c>
      <c r="K14">
        <v>168.733</v>
      </c>
      <c r="L14">
        <v>156.09800000000001</v>
      </c>
      <c r="M14">
        <v>156.012</v>
      </c>
      <c r="N14">
        <v>27.186</v>
      </c>
      <c r="O14">
        <v>27.321999999999999</v>
      </c>
      <c r="R14">
        <v>17.239999999999998</v>
      </c>
      <c r="S14">
        <v>17.28</v>
      </c>
      <c r="T14">
        <v>36.713000000000001</v>
      </c>
      <c r="U14">
        <v>38.621000000000002</v>
      </c>
      <c r="W14">
        <v>8.9999999999999993E-3</v>
      </c>
      <c r="X14">
        <v>-0.16300000000000001</v>
      </c>
      <c r="Z14">
        <v>3.7999999999999999E-2</v>
      </c>
      <c r="AA14">
        <v>-9.1999999999999998E-2</v>
      </c>
      <c r="AB14">
        <v>-0.1</v>
      </c>
      <c r="AC14">
        <v>-0.14199999999999999</v>
      </c>
      <c r="AD14">
        <v>8.9999999999999993E-3</v>
      </c>
      <c r="AE14">
        <v>-0.16300000000000001</v>
      </c>
      <c r="AF14">
        <v>-5.0999999999999997E-2</v>
      </c>
      <c r="AG14">
        <v>-9.1999999999999998E-2</v>
      </c>
      <c r="AH14">
        <v>3.7999999999999999E-2</v>
      </c>
      <c r="AI14">
        <v>2.7E-2</v>
      </c>
    </row>
    <row r="15" spans="1:35" x14ac:dyDescent="0.25">
      <c r="A15" t="s">
        <v>1000</v>
      </c>
      <c r="B15" t="s">
        <v>32</v>
      </c>
      <c r="C15" s="25">
        <v>43698.831250000003</v>
      </c>
      <c r="D15" s="741" t="s">
        <v>969</v>
      </c>
      <c r="E15" s="741">
        <f t="array" ref="E15">SUMPRODUCT(IF(AMP6_4[[#This Row],[Dim 1_1]:[T 8]]-$F$4:$AI$4&lt;0,1,0)+IF($F$5:$AI$5-AMP6_4[[#This Row],[Dim 1_1]:[T 8]]&lt;0,1,0),IF(ISNUMBER(AMP6_4[[#This Row],[Dim 1_1]:[T 8]])=TRUE,1,0))</f>
        <v>0</v>
      </c>
      <c r="F15">
        <v>41.314</v>
      </c>
      <c r="G15">
        <v>41.222999999999999</v>
      </c>
      <c r="H15">
        <v>155.71</v>
      </c>
      <c r="I15">
        <v>155.749</v>
      </c>
      <c r="L15">
        <v>155.739</v>
      </c>
      <c r="M15">
        <v>155.47399999999999</v>
      </c>
      <c r="N15">
        <v>27.422000000000001</v>
      </c>
      <c r="O15">
        <v>27.678999999999998</v>
      </c>
      <c r="R15">
        <v>17.239999999999998</v>
      </c>
      <c r="S15">
        <v>17.295000000000002</v>
      </c>
      <c r="T15">
        <v>33.570999999999998</v>
      </c>
      <c r="U15">
        <v>34.226999999999997</v>
      </c>
      <c r="W15">
        <v>4.1000000000000002E-2</v>
      </c>
      <c r="X15">
        <v>0.01</v>
      </c>
      <c r="Z15">
        <v>0.12</v>
      </c>
      <c r="AA15">
        <v>-0.04</v>
      </c>
      <c r="AB15">
        <v>0.01</v>
      </c>
      <c r="AC15">
        <v>0.04</v>
      </c>
      <c r="AD15">
        <v>1.2999999999999999E-2</v>
      </c>
      <c r="AE15">
        <v>4.1000000000000002E-2</v>
      </c>
      <c r="AF15">
        <v>0.12</v>
      </c>
      <c r="AG15">
        <v>6.0999999999999999E-2</v>
      </c>
      <c r="AH15">
        <v>-0.04</v>
      </c>
      <c r="AI15">
        <v>4.1000000000000002E-2</v>
      </c>
    </row>
    <row r="16" spans="1:35" x14ac:dyDescent="0.25">
      <c r="A16" t="s">
        <v>1001</v>
      </c>
      <c r="B16" t="s">
        <v>31</v>
      </c>
      <c r="C16" s="25">
        <v>43698.833553240744</v>
      </c>
      <c r="D16" s="741" t="s">
        <v>969</v>
      </c>
      <c r="E16" s="741">
        <f t="array" ref="E16">SUMPRODUCT(IF(AMP6_4[[#This Row],[Dim 1_1]:[T 8]]-$F$4:$AI$4&lt;0,1,0)+IF($F$5:$AI$5-AMP6_4[[#This Row],[Dim 1_1]:[T 8]]&lt;0,1,0),IF(ISNUMBER(AMP6_4[[#This Row],[Dim 1_1]:[T 8]])=TRUE,1,0))</f>
        <v>0</v>
      </c>
      <c r="H16">
        <v>155.92500000000001</v>
      </c>
      <c r="I16">
        <v>155.88</v>
      </c>
      <c r="J16">
        <v>168.59200000000001</v>
      </c>
      <c r="K16">
        <v>168.64500000000001</v>
      </c>
      <c r="L16">
        <v>155.94</v>
      </c>
      <c r="M16">
        <v>155.84399999999999</v>
      </c>
      <c r="N16">
        <v>27.242000000000001</v>
      </c>
      <c r="O16">
        <v>27.46</v>
      </c>
      <c r="R16">
        <v>17.268000000000001</v>
      </c>
      <c r="S16">
        <v>17.266999999999999</v>
      </c>
      <c r="T16">
        <v>34.86</v>
      </c>
      <c r="U16">
        <v>35.643999999999998</v>
      </c>
      <c r="W16">
        <v>1.7000000000000001E-2</v>
      </c>
      <c r="X16">
        <v>-0.13200000000000001</v>
      </c>
      <c r="Z16">
        <v>-0.02</v>
      </c>
      <c r="AA16">
        <v>-0.08</v>
      </c>
      <c r="AB16">
        <v>-4.0000000000000001E-3</v>
      </c>
      <c r="AC16">
        <v>-4.8000000000000001E-2</v>
      </c>
      <c r="AD16">
        <v>1.7000000000000001E-2</v>
      </c>
      <c r="AE16">
        <v>-0.13200000000000001</v>
      </c>
      <c r="AF16">
        <v>-0.06</v>
      </c>
      <c r="AG16">
        <v>-0.08</v>
      </c>
      <c r="AH16">
        <v>-4.5999999999999999E-2</v>
      </c>
      <c r="AI16">
        <v>-0.02</v>
      </c>
    </row>
    <row r="17" spans="1:35" x14ac:dyDescent="0.25">
      <c r="A17" t="s">
        <v>1002</v>
      </c>
      <c r="B17" t="s">
        <v>32</v>
      </c>
      <c r="C17" s="25">
        <v>43698.864016203705</v>
      </c>
      <c r="D17" s="741" t="s">
        <v>969</v>
      </c>
      <c r="E17" s="741">
        <f t="array" ref="E17">SUMPRODUCT(IF(AMP6_4[[#This Row],[Dim 1_1]:[T 8]]-$F$4:$AI$4&lt;0,1,0)+IF($F$5:$AI$5-AMP6_4[[#This Row],[Dim 1_1]:[T 8]]&lt;0,1,0),IF(ISNUMBER(AMP6_4[[#This Row],[Dim 1_1]:[T 8]])=TRUE,1,0))</f>
        <v>0</v>
      </c>
      <c r="F17">
        <v>41.232999999999997</v>
      </c>
      <c r="G17">
        <v>41.073</v>
      </c>
      <c r="H17">
        <v>155.72300000000001</v>
      </c>
      <c r="I17">
        <v>155.762</v>
      </c>
      <c r="L17">
        <v>155.73099999999999</v>
      </c>
      <c r="M17">
        <v>155.488</v>
      </c>
      <c r="N17">
        <v>27.451000000000001</v>
      </c>
      <c r="O17">
        <v>27.657</v>
      </c>
      <c r="R17">
        <v>17.241</v>
      </c>
      <c r="S17">
        <v>17.3</v>
      </c>
      <c r="T17">
        <v>33.414999999999999</v>
      </c>
      <c r="U17">
        <v>34.223999999999997</v>
      </c>
      <c r="W17">
        <v>7.3999999999999996E-2</v>
      </c>
      <c r="X17">
        <v>2.9000000000000001E-2</v>
      </c>
      <c r="Z17">
        <v>0.114</v>
      </c>
      <c r="AA17">
        <v>-3.3000000000000002E-2</v>
      </c>
      <c r="AB17">
        <v>2.9000000000000001E-2</v>
      </c>
      <c r="AC17">
        <v>0.06</v>
      </c>
      <c r="AD17">
        <v>4.2000000000000003E-2</v>
      </c>
      <c r="AE17">
        <v>7.3999999999999996E-2</v>
      </c>
      <c r="AF17">
        <v>0.114</v>
      </c>
      <c r="AG17">
        <v>6.2E-2</v>
      </c>
      <c r="AH17">
        <v>-3.3000000000000002E-2</v>
      </c>
      <c r="AI17">
        <v>0.04</v>
      </c>
    </row>
    <row r="18" spans="1:35" x14ac:dyDescent="0.25">
      <c r="A18" t="s">
        <v>1003</v>
      </c>
      <c r="B18" t="s">
        <v>31</v>
      </c>
      <c r="C18" s="25">
        <v>43698.866608796299</v>
      </c>
      <c r="D18" s="741" t="s">
        <v>969</v>
      </c>
      <c r="E18" s="741">
        <f t="array" ref="E18">SUMPRODUCT(IF(AMP6_4[[#This Row],[Dim 1_1]:[T 8]]-$F$4:$AI$4&lt;0,1,0)+IF($F$5:$AI$5-AMP6_4[[#This Row],[Dim 1_1]:[T 8]]&lt;0,1,0),IF(ISNUMBER(AMP6_4[[#This Row],[Dim 1_1]:[T 8]])=TRUE,1,0))</f>
        <v>0</v>
      </c>
      <c r="H18">
        <v>155.90700000000001</v>
      </c>
      <c r="I18">
        <v>155.94</v>
      </c>
      <c r="J18">
        <v>168.62200000000001</v>
      </c>
      <c r="K18">
        <v>168.52799999999999</v>
      </c>
      <c r="L18">
        <v>155.982</v>
      </c>
      <c r="M18">
        <v>155.87700000000001</v>
      </c>
      <c r="N18">
        <v>27.22</v>
      </c>
      <c r="O18">
        <v>27.398</v>
      </c>
      <c r="R18">
        <v>17.271000000000001</v>
      </c>
      <c r="S18">
        <v>17.138000000000002</v>
      </c>
      <c r="T18">
        <v>37.975000000000001</v>
      </c>
      <c r="U18">
        <v>38.25</v>
      </c>
      <c r="W18">
        <v>-2E-3</v>
      </c>
      <c r="X18">
        <v>-0.20599999999999999</v>
      </c>
      <c r="Z18">
        <v>-0.01</v>
      </c>
      <c r="AA18">
        <v>-7.0000000000000007E-2</v>
      </c>
      <c r="AB18">
        <v>-5.7000000000000002E-2</v>
      </c>
      <c r="AC18">
        <v>-9.5000000000000001E-2</v>
      </c>
      <c r="AD18">
        <v>-2E-3</v>
      </c>
      <c r="AE18">
        <v>-0.20599999999999999</v>
      </c>
      <c r="AF18">
        <v>-3.2000000000000001E-2</v>
      </c>
      <c r="AG18">
        <v>-7.0000000000000007E-2</v>
      </c>
      <c r="AH18">
        <v>-4.1000000000000002E-2</v>
      </c>
      <c r="AI18">
        <v>-0.01</v>
      </c>
    </row>
    <row r="19" spans="1:35" x14ac:dyDescent="0.25">
      <c r="A19" t="s">
        <v>1004</v>
      </c>
      <c r="B19" t="s">
        <v>32</v>
      </c>
      <c r="C19" s="25">
        <v>43698.952766203707</v>
      </c>
      <c r="D19" s="741" t="s">
        <v>969</v>
      </c>
      <c r="E19" s="741">
        <f t="array" ref="E19">SUMPRODUCT(IF(AMP6_4[[#This Row],[Dim 1_1]:[T 8]]-$F$4:$AI$4&lt;0,1,0)+IF($F$5:$AI$5-AMP6_4[[#This Row],[Dim 1_1]:[T 8]]&lt;0,1,0),IF(ISNUMBER(AMP6_4[[#This Row],[Dim 1_1]:[T 8]])=TRUE,1,0))</f>
        <v>0</v>
      </c>
      <c r="F19">
        <v>41.32</v>
      </c>
      <c r="G19">
        <v>41.274000000000001</v>
      </c>
      <c r="H19">
        <v>155.77099999999999</v>
      </c>
      <c r="I19">
        <v>155.74799999999999</v>
      </c>
      <c r="L19">
        <v>155.761</v>
      </c>
      <c r="M19">
        <v>155.46299999999999</v>
      </c>
      <c r="N19">
        <v>27.414000000000001</v>
      </c>
      <c r="O19">
        <v>27.704999999999998</v>
      </c>
      <c r="R19">
        <v>17.251999999999999</v>
      </c>
      <c r="S19">
        <v>17.277999999999999</v>
      </c>
      <c r="T19">
        <v>33.619999999999997</v>
      </c>
      <c r="U19">
        <v>34.256</v>
      </c>
      <c r="W19">
        <v>0.04</v>
      </c>
      <c r="X19">
        <v>-7.0000000000000007E-2</v>
      </c>
      <c r="Z19">
        <v>-7.1999999999999995E-2</v>
      </c>
      <c r="AA19">
        <v>-0.14399999999999999</v>
      </c>
      <c r="AB19">
        <v>-7.0000000000000007E-2</v>
      </c>
      <c r="AC19">
        <v>-2.9000000000000001E-2</v>
      </c>
      <c r="AD19">
        <v>-4.1000000000000002E-2</v>
      </c>
      <c r="AE19">
        <v>0.04</v>
      </c>
      <c r="AF19">
        <v>-7.1999999999999995E-2</v>
      </c>
      <c r="AG19">
        <v>-0.14399999999999999</v>
      </c>
      <c r="AH19">
        <v>-0.114</v>
      </c>
      <c r="AI19">
        <v>-0.109</v>
      </c>
    </row>
    <row r="20" spans="1:35" x14ac:dyDescent="0.25">
      <c r="A20" t="s">
        <v>1005</v>
      </c>
      <c r="B20" t="s">
        <v>31</v>
      </c>
      <c r="C20" s="25">
        <v>43698.954791666663</v>
      </c>
      <c r="D20" s="741" t="s">
        <v>969</v>
      </c>
      <c r="E20" s="741">
        <f t="array" ref="E20">SUMPRODUCT(IF(AMP6_4[[#This Row],[Dim 1_1]:[T 8]]-$F$4:$AI$4&lt;0,1,0)+IF($F$5:$AI$5-AMP6_4[[#This Row],[Dim 1_1]:[T 8]]&lt;0,1,0),IF(ISNUMBER(AMP6_4[[#This Row],[Dim 1_1]:[T 8]])=TRUE,1,0))</f>
        <v>0</v>
      </c>
      <c r="H20">
        <v>155.953</v>
      </c>
      <c r="I20">
        <v>156.02699999999999</v>
      </c>
      <c r="J20">
        <v>168.75299999999999</v>
      </c>
      <c r="K20">
        <v>168.72800000000001</v>
      </c>
      <c r="L20">
        <v>156.03299999999999</v>
      </c>
      <c r="M20">
        <v>156.017</v>
      </c>
      <c r="N20">
        <v>27.167000000000002</v>
      </c>
      <c r="O20">
        <v>27.274000000000001</v>
      </c>
      <c r="R20">
        <v>17.263999999999999</v>
      </c>
      <c r="S20">
        <v>17.221</v>
      </c>
      <c r="T20">
        <v>37.027999999999999</v>
      </c>
      <c r="U20">
        <v>37.113999999999997</v>
      </c>
      <c r="W20">
        <v>-7.0999999999999994E-2</v>
      </c>
      <c r="X20">
        <v>-0.25</v>
      </c>
      <c r="Z20">
        <v>-2.3E-2</v>
      </c>
      <c r="AA20">
        <v>-0.128</v>
      </c>
      <c r="AB20">
        <v>-0.17100000000000001</v>
      </c>
      <c r="AC20">
        <v>-0.21</v>
      </c>
      <c r="AD20">
        <v>-7.0999999999999994E-2</v>
      </c>
      <c r="AE20">
        <v>-0.25</v>
      </c>
      <c r="AF20">
        <v>-0.113</v>
      </c>
      <c r="AG20">
        <v>-0.128</v>
      </c>
      <c r="AH20">
        <v>-2.3E-2</v>
      </c>
      <c r="AI20">
        <v>-4.2999999999999997E-2</v>
      </c>
    </row>
    <row r="21" spans="1:35" x14ac:dyDescent="0.25">
      <c r="A21" t="s">
        <v>1006</v>
      </c>
      <c r="B21" t="s">
        <v>32</v>
      </c>
      <c r="C21" s="25">
        <v>43699.03502314815</v>
      </c>
      <c r="D21" s="741" t="s">
        <v>969</v>
      </c>
      <c r="E21" s="741">
        <f t="array" ref="E21">SUMPRODUCT(IF(AMP6_4[[#This Row],[Dim 1_1]:[T 8]]-$F$4:$AI$4&lt;0,1,0)+IF($F$5:$AI$5-AMP6_4[[#This Row],[Dim 1_1]:[T 8]]&lt;0,1,0),IF(ISNUMBER(AMP6_4[[#This Row],[Dim 1_1]:[T 8]])=TRUE,1,0))</f>
        <v>0</v>
      </c>
      <c r="F21">
        <v>41.223999999999997</v>
      </c>
      <c r="G21">
        <v>41.143000000000001</v>
      </c>
      <c r="H21">
        <v>155.77099999999999</v>
      </c>
      <c r="I21">
        <v>155.77500000000001</v>
      </c>
      <c r="L21">
        <v>155.75</v>
      </c>
      <c r="M21">
        <v>155.476</v>
      </c>
      <c r="N21">
        <v>27.393999999999998</v>
      </c>
      <c r="O21">
        <v>27.652999999999999</v>
      </c>
      <c r="R21">
        <v>17.248999999999999</v>
      </c>
      <c r="S21">
        <v>17.266999999999999</v>
      </c>
      <c r="T21">
        <v>33.402000000000001</v>
      </c>
      <c r="U21">
        <v>34.186</v>
      </c>
      <c r="W21">
        <v>4.9000000000000002E-2</v>
      </c>
      <c r="X21">
        <v>-3.5999999999999997E-2</v>
      </c>
      <c r="Z21">
        <v>2.4E-2</v>
      </c>
      <c r="AA21">
        <v>-5.6000000000000001E-2</v>
      </c>
      <c r="AB21">
        <v>-3.5999999999999997E-2</v>
      </c>
      <c r="AC21">
        <v>-1.2999999999999999E-2</v>
      </c>
      <c r="AD21">
        <v>4.9000000000000002E-2</v>
      </c>
      <c r="AE21">
        <v>3.3000000000000002E-2</v>
      </c>
      <c r="AF21">
        <v>2.4E-2</v>
      </c>
      <c r="AG21">
        <v>-5.6000000000000001E-2</v>
      </c>
      <c r="AH21">
        <v>-2.5000000000000001E-2</v>
      </c>
      <c r="AI21">
        <v>0.01</v>
      </c>
    </row>
    <row r="22" spans="1:35" x14ac:dyDescent="0.25">
      <c r="A22" t="s">
        <v>1007</v>
      </c>
      <c r="B22" t="s">
        <v>31</v>
      </c>
      <c r="C22" s="25">
        <v>43699.038958333331</v>
      </c>
      <c r="D22" s="741" t="s">
        <v>969</v>
      </c>
      <c r="E22" s="741">
        <f t="array" ref="E22">SUMPRODUCT(IF(AMP6_4[[#This Row],[Dim 1_1]:[T 8]]-$F$4:$AI$4&lt;0,1,0)+IF($F$5:$AI$5-AMP6_4[[#This Row],[Dim 1_1]:[T 8]]&lt;0,1,0),IF(ISNUMBER(AMP6_4[[#This Row],[Dim 1_1]:[T 8]])=TRUE,1,0))</f>
        <v>0</v>
      </c>
      <c r="H22">
        <v>155.97499999999999</v>
      </c>
      <c r="I22">
        <v>155.99299999999999</v>
      </c>
      <c r="J22">
        <v>168.648</v>
      </c>
      <c r="K22">
        <v>168.68700000000001</v>
      </c>
      <c r="L22">
        <v>156.04400000000001</v>
      </c>
      <c r="M22">
        <v>155.97200000000001</v>
      </c>
      <c r="N22">
        <v>27.16</v>
      </c>
      <c r="O22">
        <v>27.323</v>
      </c>
      <c r="R22">
        <v>17.265999999999998</v>
      </c>
      <c r="S22">
        <v>17.271000000000001</v>
      </c>
      <c r="T22">
        <v>37.249000000000002</v>
      </c>
      <c r="U22">
        <v>36.837000000000003</v>
      </c>
      <c r="W22">
        <v>-4.4999999999999998E-2</v>
      </c>
      <c r="X22">
        <v>-0.219</v>
      </c>
      <c r="Z22">
        <v>-2.9000000000000001E-2</v>
      </c>
      <c r="AA22">
        <v>-0.122</v>
      </c>
      <c r="AB22">
        <v>-0.13700000000000001</v>
      </c>
      <c r="AC22">
        <v>-0.17299999999999999</v>
      </c>
      <c r="AD22">
        <v>-4.4999999999999998E-2</v>
      </c>
      <c r="AE22">
        <v>-0.219</v>
      </c>
      <c r="AF22">
        <v>-8.6999999999999994E-2</v>
      </c>
      <c r="AG22">
        <v>-0.122</v>
      </c>
      <c r="AH22">
        <v>-5.2999999999999999E-2</v>
      </c>
      <c r="AI22">
        <v>-2.9000000000000001E-2</v>
      </c>
    </row>
    <row r="23" spans="1:35" x14ac:dyDescent="0.25">
      <c r="A23" t="s">
        <v>1008</v>
      </c>
      <c r="B23" t="s">
        <v>32</v>
      </c>
      <c r="C23" s="25">
        <v>43699.355381944442</v>
      </c>
      <c r="D23" s="741" t="s">
        <v>969</v>
      </c>
      <c r="E23" s="741">
        <f t="array" ref="E23">SUMPRODUCT(IF(AMP6_4[[#This Row],[Dim 1_1]:[T 8]]-$F$4:$AI$4&lt;0,1,0)+IF($F$5:$AI$5-AMP6_4[[#This Row],[Dim 1_1]:[T 8]]&lt;0,1,0),IF(ISNUMBER(AMP6_4[[#This Row],[Dim 1_1]:[T 8]])=TRUE,1,0))</f>
        <v>0</v>
      </c>
      <c r="F23">
        <v>41.087000000000003</v>
      </c>
      <c r="G23">
        <v>41.194000000000003</v>
      </c>
      <c r="H23">
        <v>155.83099999999999</v>
      </c>
      <c r="I23">
        <v>155.85300000000001</v>
      </c>
      <c r="L23">
        <v>155.84800000000001</v>
      </c>
      <c r="M23">
        <v>155.60599999999999</v>
      </c>
      <c r="N23">
        <v>27.353000000000002</v>
      </c>
      <c r="O23">
        <v>27.58</v>
      </c>
      <c r="R23">
        <v>17.234999999999999</v>
      </c>
      <c r="S23">
        <v>17.338999999999999</v>
      </c>
      <c r="T23">
        <v>33.536000000000001</v>
      </c>
      <c r="U23">
        <v>34.25</v>
      </c>
      <c r="W23">
        <v>4.7E-2</v>
      </c>
      <c r="X23">
        <v>8.0000000000000002E-3</v>
      </c>
      <c r="Z23">
        <v>9.6000000000000002E-2</v>
      </c>
      <c r="AA23">
        <v>-3.9E-2</v>
      </c>
      <c r="AB23">
        <v>8.0000000000000002E-3</v>
      </c>
      <c r="AC23">
        <v>4.7E-2</v>
      </c>
      <c r="AD23">
        <v>1.4999999999999999E-2</v>
      </c>
      <c r="AE23">
        <v>1.6E-2</v>
      </c>
      <c r="AF23">
        <v>9.6000000000000002E-2</v>
      </c>
      <c r="AG23">
        <v>4.3999999999999997E-2</v>
      </c>
      <c r="AH23">
        <v>-3.9E-2</v>
      </c>
      <c r="AI23">
        <v>-1.7000000000000001E-2</v>
      </c>
    </row>
    <row r="24" spans="1:35" x14ac:dyDescent="0.25">
      <c r="A24" t="s">
        <v>1009</v>
      </c>
      <c r="B24" t="s">
        <v>31</v>
      </c>
      <c r="C24" s="25">
        <v>43699.358159722222</v>
      </c>
      <c r="D24" s="741" t="s">
        <v>969</v>
      </c>
      <c r="E24" s="741">
        <f t="array" ref="E24">SUMPRODUCT(IF(AMP6_4[[#This Row],[Dim 1_1]:[T 8]]-$F$4:$AI$4&lt;0,1,0)+IF($F$5:$AI$5-AMP6_4[[#This Row],[Dim 1_1]:[T 8]]&lt;0,1,0),IF(ISNUMBER(AMP6_4[[#This Row],[Dim 1_1]:[T 8]])=TRUE,1,0))</f>
        <v>0</v>
      </c>
      <c r="H24">
        <v>155.952</v>
      </c>
      <c r="I24">
        <v>155.97200000000001</v>
      </c>
      <c r="J24">
        <v>168.53200000000001</v>
      </c>
      <c r="K24">
        <v>168.446</v>
      </c>
      <c r="L24">
        <v>156.02099999999999</v>
      </c>
      <c r="M24">
        <v>155.929</v>
      </c>
      <c r="N24">
        <v>27.149000000000001</v>
      </c>
      <c r="O24">
        <v>27.37</v>
      </c>
      <c r="R24">
        <v>17.271000000000001</v>
      </c>
      <c r="S24">
        <v>17.254000000000001</v>
      </c>
      <c r="T24">
        <v>41.795999999999999</v>
      </c>
      <c r="U24">
        <v>41.243000000000002</v>
      </c>
      <c r="W24">
        <v>3.5000000000000003E-2</v>
      </c>
      <c r="X24">
        <v>-0.126</v>
      </c>
      <c r="Z24">
        <v>7.8E-2</v>
      </c>
      <c r="AA24">
        <v>-4.7E-2</v>
      </c>
      <c r="AB24">
        <v>-8.3000000000000004E-2</v>
      </c>
      <c r="AC24">
        <v>-0.126</v>
      </c>
      <c r="AD24">
        <v>3.5000000000000003E-2</v>
      </c>
      <c r="AE24">
        <v>-0.125</v>
      </c>
      <c r="AF24">
        <v>-4.0000000000000001E-3</v>
      </c>
      <c r="AG24">
        <v>-4.7E-2</v>
      </c>
      <c r="AH24">
        <v>4.1000000000000002E-2</v>
      </c>
      <c r="AI24">
        <v>7.8E-2</v>
      </c>
    </row>
    <row r="25" spans="1:35" x14ac:dyDescent="0.25">
      <c r="A25" t="s">
        <v>1010</v>
      </c>
      <c r="B25" t="s">
        <v>32</v>
      </c>
      <c r="C25" s="25">
        <v>43699.454247685186</v>
      </c>
      <c r="D25" s="741" t="s">
        <v>969</v>
      </c>
      <c r="E25" s="741">
        <f t="array" ref="E25">SUMPRODUCT(IF(AMP6_4[[#This Row],[Dim 1_1]:[T 8]]-$F$4:$AI$4&lt;0,1,0)+IF($F$5:$AI$5-AMP6_4[[#This Row],[Dim 1_1]:[T 8]]&lt;0,1,0),IF(ISNUMBER(AMP6_4[[#This Row],[Dim 1_1]:[T 8]])=TRUE,1,0))</f>
        <v>0</v>
      </c>
      <c r="F25">
        <v>41.32</v>
      </c>
      <c r="G25">
        <v>41.228000000000002</v>
      </c>
      <c r="H25">
        <v>155.87799999999999</v>
      </c>
      <c r="I25">
        <v>155.87899999999999</v>
      </c>
      <c r="L25">
        <v>155.89400000000001</v>
      </c>
      <c r="M25">
        <v>155.64400000000001</v>
      </c>
      <c r="N25">
        <v>27.28</v>
      </c>
      <c r="O25">
        <v>27.516999999999999</v>
      </c>
      <c r="R25">
        <v>17.228000000000002</v>
      </c>
      <c r="S25">
        <v>17.309000000000001</v>
      </c>
      <c r="T25">
        <v>33.405000000000001</v>
      </c>
      <c r="U25">
        <v>34.287999999999997</v>
      </c>
      <c r="W25">
        <v>-0.13600000000000001</v>
      </c>
      <c r="X25">
        <v>-0.23400000000000001</v>
      </c>
      <c r="Z25">
        <v>-5.6000000000000001E-2</v>
      </c>
      <c r="AA25">
        <v>-0.151</v>
      </c>
      <c r="AB25">
        <v>-0.187</v>
      </c>
      <c r="AC25">
        <v>-0.13600000000000001</v>
      </c>
      <c r="AD25">
        <v>-0.14499999999999999</v>
      </c>
      <c r="AE25">
        <v>-0.23400000000000001</v>
      </c>
      <c r="AF25">
        <v>-5.6000000000000001E-2</v>
      </c>
      <c r="AG25">
        <v>-0.128</v>
      </c>
      <c r="AH25">
        <v>-0.13800000000000001</v>
      </c>
      <c r="AI25">
        <v>-0.151</v>
      </c>
    </row>
    <row r="26" spans="1:35" x14ac:dyDescent="0.25">
      <c r="A26" t="s">
        <v>1011</v>
      </c>
      <c r="B26" t="s">
        <v>31</v>
      </c>
      <c r="C26" s="25">
        <v>43699.45648148148</v>
      </c>
      <c r="D26" s="741" t="s">
        <v>969</v>
      </c>
      <c r="E26" s="741">
        <f t="array" ref="E26">SUMPRODUCT(IF(AMP6_4[[#This Row],[Dim 1_1]:[T 8]]-$F$4:$AI$4&lt;0,1,0)+IF($F$5:$AI$5-AMP6_4[[#This Row],[Dim 1_1]:[T 8]]&lt;0,1,0),IF(ISNUMBER(AMP6_4[[#This Row],[Dim 1_1]:[T 8]])=TRUE,1,0))</f>
        <v>0</v>
      </c>
      <c r="H26">
        <v>156.03299999999999</v>
      </c>
      <c r="I26">
        <v>156.04400000000001</v>
      </c>
      <c r="J26">
        <v>168.846</v>
      </c>
      <c r="K26">
        <v>168.74</v>
      </c>
      <c r="L26">
        <v>156.08799999999999</v>
      </c>
      <c r="M26">
        <v>156.001</v>
      </c>
      <c r="N26">
        <v>27.094999999999999</v>
      </c>
      <c r="O26">
        <v>27.295999999999999</v>
      </c>
      <c r="R26">
        <v>17.259</v>
      </c>
      <c r="S26">
        <v>17.257000000000001</v>
      </c>
      <c r="T26">
        <v>37.832000000000001</v>
      </c>
      <c r="U26">
        <v>38.365000000000002</v>
      </c>
      <c r="W26">
        <v>-6.3E-2</v>
      </c>
      <c r="X26">
        <v>-0.27500000000000002</v>
      </c>
      <c r="Z26">
        <v>3.0000000000000001E-3</v>
      </c>
      <c r="AA26">
        <v>-7.6999999999999999E-2</v>
      </c>
      <c r="AB26">
        <v>-0.153</v>
      </c>
      <c r="AC26">
        <v>-0.18099999999999999</v>
      </c>
      <c r="AD26">
        <v>-6.3E-2</v>
      </c>
      <c r="AE26">
        <v>-0.27500000000000002</v>
      </c>
      <c r="AF26">
        <v>-4.2999999999999997E-2</v>
      </c>
      <c r="AG26">
        <v>-7.6999999999999999E-2</v>
      </c>
      <c r="AH26">
        <v>-3.3000000000000002E-2</v>
      </c>
      <c r="AI26">
        <v>3.0000000000000001E-3</v>
      </c>
    </row>
    <row r="27" spans="1:35" x14ac:dyDescent="0.25">
      <c r="A27" t="s">
        <v>1012</v>
      </c>
      <c r="B27" t="s">
        <v>32</v>
      </c>
      <c r="C27" s="25">
        <v>43699.490428240744</v>
      </c>
      <c r="D27" s="741" t="s">
        <v>969</v>
      </c>
      <c r="E27" s="741">
        <f t="array" ref="E27">SUMPRODUCT(IF(AMP6_4[[#This Row],[Dim 1_1]:[T 8]]-$F$4:$AI$4&lt;0,1,0)+IF($F$5:$AI$5-AMP6_4[[#This Row],[Dim 1_1]:[T 8]]&lt;0,1,0),IF(ISNUMBER(AMP6_4[[#This Row],[Dim 1_1]:[T 8]])=TRUE,1,0))</f>
        <v>0</v>
      </c>
      <c r="F27">
        <v>41.213999999999999</v>
      </c>
      <c r="G27">
        <v>41.067999999999998</v>
      </c>
      <c r="H27">
        <v>155.77199999999999</v>
      </c>
      <c r="I27">
        <v>155.80199999999999</v>
      </c>
      <c r="L27">
        <v>155.76</v>
      </c>
      <c r="M27">
        <v>155.517</v>
      </c>
      <c r="N27">
        <v>27.370999999999999</v>
      </c>
      <c r="O27">
        <v>27.603999999999999</v>
      </c>
      <c r="R27">
        <v>17.236000000000001</v>
      </c>
      <c r="S27">
        <v>17.277999999999999</v>
      </c>
      <c r="T27">
        <v>33.555999999999997</v>
      </c>
      <c r="U27">
        <v>34.415999999999997</v>
      </c>
      <c r="W27">
        <v>1.2E-2</v>
      </c>
      <c r="X27">
        <v>-5.6000000000000001E-2</v>
      </c>
      <c r="Z27">
        <v>5.1999999999999998E-2</v>
      </c>
      <c r="AA27">
        <v>-4.2000000000000003E-2</v>
      </c>
      <c r="AB27">
        <v>-5.6000000000000001E-2</v>
      </c>
      <c r="AC27">
        <v>-3.3000000000000002E-2</v>
      </c>
      <c r="AD27">
        <v>-4.3999999999999997E-2</v>
      </c>
      <c r="AE27">
        <v>1.2E-2</v>
      </c>
      <c r="AF27">
        <v>5.1999999999999998E-2</v>
      </c>
      <c r="AG27">
        <v>-1.4999999999999999E-2</v>
      </c>
      <c r="AH27">
        <v>2E-3</v>
      </c>
      <c r="AI27">
        <v>-4.2000000000000003E-2</v>
      </c>
    </row>
    <row r="28" spans="1:35" x14ac:dyDescent="0.25">
      <c r="A28" t="s">
        <v>1013</v>
      </c>
      <c r="B28" t="s">
        <v>31</v>
      </c>
      <c r="C28" s="25">
        <v>43699.492534722223</v>
      </c>
      <c r="D28" s="741" t="s">
        <v>969</v>
      </c>
      <c r="E28" s="741">
        <f t="array" ref="E28">SUMPRODUCT(IF(AMP6_4[[#This Row],[Dim 1_1]:[T 8]]-$F$4:$AI$4&lt;0,1,0)+IF($F$5:$AI$5-AMP6_4[[#This Row],[Dim 1_1]:[T 8]]&lt;0,1,0),IF(ISNUMBER(AMP6_4[[#This Row],[Dim 1_1]:[T 8]])=TRUE,1,0))</f>
        <v>0</v>
      </c>
      <c r="H28">
        <v>155.947</v>
      </c>
      <c r="I28">
        <v>155.98099999999999</v>
      </c>
      <c r="J28">
        <v>168.66399999999999</v>
      </c>
      <c r="K28">
        <v>168.523</v>
      </c>
      <c r="L28">
        <v>156.024</v>
      </c>
      <c r="M28">
        <v>155.965</v>
      </c>
      <c r="N28">
        <v>27.204000000000001</v>
      </c>
      <c r="O28">
        <v>27.346</v>
      </c>
      <c r="R28">
        <v>17.260999999999999</v>
      </c>
      <c r="S28">
        <v>17.318000000000001</v>
      </c>
      <c r="T28">
        <v>36.152000000000001</v>
      </c>
      <c r="U28">
        <v>36.555</v>
      </c>
      <c r="W28">
        <v>-2.3E-2</v>
      </c>
      <c r="X28">
        <v>-0.14099999999999999</v>
      </c>
      <c r="Z28">
        <v>-2.7E-2</v>
      </c>
      <c r="AA28">
        <v>-0.10299999999999999</v>
      </c>
      <c r="AB28">
        <v>-8.4000000000000005E-2</v>
      </c>
      <c r="AC28">
        <v>-0.113</v>
      </c>
      <c r="AD28">
        <v>-2.3E-2</v>
      </c>
      <c r="AE28">
        <v>-0.14099999999999999</v>
      </c>
      <c r="AF28">
        <v>-7.6999999999999999E-2</v>
      </c>
      <c r="AG28">
        <v>-0.10299999999999999</v>
      </c>
      <c r="AH28">
        <v>-6.8000000000000005E-2</v>
      </c>
      <c r="AI28">
        <v>-2.7E-2</v>
      </c>
    </row>
    <row r="29" spans="1:35" x14ac:dyDescent="0.25">
      <c r="A29" t="s">
        <v>1014</v>
      </c>
      <c r="B29" t="s">
        <v>32</v>
      </c>
      <c r="C29" s="25">
        <v>43699.612349537034</v>
      </c>
      <c r="D29" s="741" t="s">
        <v>969</v>
      </c>
      <c r="E29" s="741">
        <f t="array" ref="E29">SUMPRODUCT(IF(AMP6_4[[#This Row],[Dim 1_1]:[T 8]]-$F$4:$AI$4&lt;0,1,0)+IF($F$5:$AI$5-AMP6_4[[#This Row],[Dim 1_1]:[T 8]]&lt;0,1,0),IF(ISNUMBER(AMP6_4[[#This Row],[Dim 1_1]:[T 8]])=TRUE,1,0))</f>
        <v>0</v>
      </c>
      <c r="F29">
        <v>41.2</v>
      </c>
      <c r="G29">
        <v>41.097999999999999</v>
      </c>
      <c r="H29">
        <v>155.82300000000001</v>
      </c>
      <c r="I29">
        <v>155.86199999999999</v>
      </c>
      <c r="L29">
        <v>155.81700000000001</v>
      </c>
      <c r="M29">
        <v>155.57300000000001</v>
      </c>
      <c r="N29">
        <v>27.361000000000001</v>
      </c>
      <c r="O29">
        <v>27.588000000000001</v>
      </c>
      <c r="R29">
        <v>17.236999999999998</v>
      </c>
      <c r="S29">
        <v>17.28</v>
      </c>
      <c r="T29">
        <v>33.319000000000003</v>
      </c>
      <c r="U29">
        <v>34.14</v>
      </c>
      <c r="W29">
        <v>2.7E-2</v>
      </c>
      <c r="X29">
        <v>-3.2000000000000001E-2</v>
      </c>
      <c r="Z29">
        <v>6.3E-2</v>
      </c>
      <c r="AA29">
        <v>-8.2000000000000003E-2</v>
      </c>
      <c r="AB29">
        <v>-8.0000000000000002E-3</v>
      </c>
      <c r="AC29">
        <v>2.7E-2</v>
      </c>
      <c r="AD29">
        <v>-3.2000000000000001E-2</v>
      </c>
      <c r="AE29">
        <v>-2.7E-2</v>
      </c>
      <c r="AF29">
        <v>6.3E-2</v>
      </c>
      <c r="AG29">
        <v>-2.4E-2</v>
      </c>
      <c r="AH29">
        <v>-5.8999999999999997E-2</v>
      </c>
      <c r="AI29">
        <v>-8.2000000000000003E-2</v>
      </c>
    </row>
    <row r="30" spans="1:35" x14ac:dyDescent="0.25">
      <c r="A30" t="s">
        <v>1015</v>
      </c>
      <c r="B30" t="s">
        <v>31</v>
      </c>
      <c r="C30" s="25">
        <v>43699.614432870374</v>
      </c>
      <c r="D30" s="741" t="s">
        <v>969</v>
      </c>
      <c r="E30" s="741">
        <f t="array" ref="E30">SUMPRODUCT(IF(AMP6_4[[#This Row],[Dim 1_1]:[T 8]]-$F$4:$AI$4&lt;0,1,0)+IF($F$5:$AI$5-AMP6_4[[#This Row],[Dim 1_1]:[T 8]]&lt;0,1,0),IF(ISNUMBER(AMP6_4[[#This Row],[Dim 1_1]:[T 8]])=TRUE,1,0))</f>
        <v>0</v>
      </c>
      <c r="H30">
        <v>156.00299999999999</v>
      </c>
      <c r="I30">
        <v>156.03399999999999</v>
      </c>
      <c r="J30">
        <v>168.70400000000001</v>
      </c>
      <c r="K30">
        <v>168.67</v>
      </c>
      <c r="L30">
        <v>156.08099999999999</v>
      </c>
      <c r="M30">
        <v>156.00399999999999</v>
      </c>
      <c r="N30">
        <v>27.113</v>
      </c>
      <c r="O30">
        <v>27.295999999999999</v>
      </c>
      <c r="R30">
        <v>17.242999999999999</v>
      </c>
      <c r="S30">
        <v>17.257000000000001</v>
      </c>
      <c r="T30">
        <v>38.375999999999998</v>
      </c>
      <c r="U30">
        <v>37.956000000000003</v>
      </c>
      <c r="W30">
        <v>-0.109</v>
      </c>
      <c r="X30">
        <v>-0.36399999999999999</v>
      </c>
      <c r="Z30">
        <v>-5.8999999999999997E-2</v>
      </c>
      <c r="AA30">
        <v>-0.14199999999999999</v>
      </c>
      <c r="AB30">
        <v>-0.109</v>
      </c>
      <c r="AC30">
        <v>-0.152</v>
      </c>
      <c r="AD30">
        <v>-0.14599999999999999</v>
      </c>
      <c r="AE30">
        <v>-0.36399999999999999</v>
      </c>
      <c r="AF30">
        <v>-5.8999999999999997E-2</v>
      </c>
      <c r="AG30">
        <v>-9.5000000000000001E-2</v>
      </c>
      <c r="AH30">
        <v>-0.127</v>
      </c>
      <c r="AI30">
        <v>-0.14199999999999999</v>
      </c>
    </row>
    <row r="31" spans="1:35" x14ac:dyDescent="0.25">
      <c r="A31" t="s">
        <v>1016</v>
      </c>
      <c r="B31" t="s">
        <v>32</v>
      </c>
      <c r="C31" s="25">
        <v>43699.667280092595</v>
      </c>
      <c r="D31" s="741" t="s">
        <v>969</v>
      </c>
      <c r="E31" s="741">
        <f t="array" ref="E31">SUMPRODUCT(IF(AMP6_4[[#This Row],[Dim 1_1]:[T 8]]-$F$4:$AI$4&lt;0,1,0)+IF($F$5:$AI$5-AMP6_4[[#This Row],[Dim 1_1]:[T 8]]&lt;0,1,0),IF(ISNUMBER(AMP6_4[[#This Row],[Dim 1_1]:[T 8]])=TRUE,1,0))</f>
        <v>1</v>
      </c>
      <c r="F31">
        <v>40.840000000000003</v>
      </c>
      <c r="G31">
        <v>40.902000000000001</v>
      </c>
      <c r="H31">
        <v>155.90700000000001</v>
      </c>
      <c r="I31">
        <v>155.929</v>
      </c>
      <c r="L31">
        <v>155.911</v>
      </c>
      <c r="M31">
        <v>155.648</v>
      </c>
      <c r="N31">
        <v>27.24</v>
      </c>
      <c r="O31">
        <v>27.484999999999999</v>
      </c>
      <c r="R31">
        <v>17.257999999999999</v>
      </c>
      <c r="S31">
        <v>17.245000000000001</v>
      </c>
      <c r="T31">
        <v>33.334000000000003</v>
      </c>
      <c r="U31">
        <v>34.195</v>
      </c>
      <c r="W31">
        <v>-0.14499999999999999</v>
      </c>
      <c r="X31">
        <v>-0.2</v>
      </c>
      <c r="Z31">
        <v>-8.1000000000000003E-2</v>
      </c>
      <c r="AA31">
        <v>-0.155</v>
      </c>
      <c r="AB31">
        <v>-0.19600000000000001</v>
      </c>
      <c r="AC31">
        <v>-0.157</v>
      </c>
      <c r="AD31">
        <v>-0.14499999999999999</v>
      </c>
      <c r="AE31">
        <v>-0.2</v>
      </c>
      <c r="AF31">
        <v>-8.1000000000000003E-2</v>
      </c>
      <c r="AG31">
        <v>-0.14899999999999999</v>
      </c>
      <c r="AH31">
        <v>-0.155</v>
      </c>
      <c r="AI31">
        <v>-0.152</v>
      </c>
    </row>
    <row r="32" spans="1:35" x14ac:dyDescent="0.25">
      <c r="A32" t="s">
        <v>1017</v>
      </c>
      <c r="B32" t="s">
        <v>31</v>
      </c>
      <c r="C32" s="25">
        <v>43699.670300925929</v>
      </c>
      <c r="D32" s="741" t="s">
        <v>969</v>
      </c>
      <c r="E32" s="741">
        <f t="array" ref="E32">SUMPRODUCT(IF(AMP6_4[[#This Row],[Dim 1_1]:[T 8]]-$F$4:$AI$4&lt;0,1,0)+IF($F$5:$AI$5-AMP6_4[[#This Row],[Dim 1_1]:[T 8]]&lt;0,1,0),IF(ISNUMBER(AMP6_4[[#This Row],[Dim 1_1]:[T 8]])=TRUE,1,0))</f>
        <v>0</v>
      </c>
      <c r="H32">
        <v>156.124</v>
      </c>
      <c r="I32">
        <v>156.149</v>
      </c>
      <c r="J32">
        <v>168.47800000000001</v>
      </c>
      <c r="K32">
        <v>168.54</v>
      </c>
      <c r="L32">
        <v>156.191</v>
      </c>
      <c r="M32">
        <v>156.15899999999999</v>
      </c>
      <c r="N32">
        <v>27.009</v>
      </c>
      <c r="O32">
        <v>27.16</v>
      </c>
      <c r="R32">
        <v>17.254000000000001</v>
      </c>
      <c r="S32">
        <v>17.213000000000001</v>
      </c>
      <c r="T32">
        <v>36.566000000000003</v>
      </c>
      <c r="U32">
        <v>37.079000000000001</v>
      </c>
      <c r="W32">
        <v>-0.13100000000000001</v>
      </c>
      <c r="X32">
        <v>-0.307</v>
      </c>
      <c r="Z32">
        <v>-0.126</v>
      </c>
      <c r="AA32">
        <v>-0.20899999999999999</v>
      </c>
      <c r="AB32">
        <v>-0.22900000000000001</v>
      </c>
      <c r="AC32">
        <v>-0.26800000000000002</v>
      </c>
      <c r="AD32">
        <v>-0.13100000000000001</v>
      </c>
      <c r="AE32">
        <v>-0.307</v>
      </c>
      <c r="AF32">
        <v>-0.16800000000000001</v>
      </c>
      <c r="AG32">
        <v>-0.20899999999999999</v>
      </c>
      <c r="AH32">
        <v>-0.13300000000000001</v>
      </c>
      <c r="AI32">
        <v>-0.126</v>
      </c>
    </row>
    <row r="33" spans="1:35" x14ac:dyDescent="0.25">
      <c r="A33" t="s">
        <v>1173</v>
      </c>
      <c r="B33" t="s">
        <v>32</v>
      </c>
      <c r="C33" s="25">
        <v>43699.749502314815</v>
      </c>
      <c r="D33" s="741" t="s">
        <v>969</v>
      </c>
      <c r="E33" s="741">
        <f t="array" ref="E33">SUMPRODUCT(IF(AMP6_4[[#This Row],[Dim 1_1]:[T 8]]-$F$4:$AI$4&lt;0,1,0)+IF($F$5:$AI$5-AMP6_4[[#This Row],[Dim 1_1]:[T 8]]&lt;0,1,0),IF(ISNUMBER(AMP6_4[[#This Row],[Dim 1_1]:[T 8]])=TRUE,1,0))</f>
        <v>1</v>
      </c>
      <c r="F33">
        <v>41.180999999999997</v>
      </c>
      <c r="G33">
        <v>41.06</v>
      </c>
      <c r="H33">
        <v>155.88999999999999</v>
      </c>
      <c r="I33">
        <v>155.84200000000001</v>
      </c>
      <c r="L33">
        <v>155.881</v>
      </c>
      <c r="M33">
        <v>155.607</v>
      </c>
      <c r="N33">
        <v>27.273</v>
      </c>
      <c r="O33">
        <v>27.515000000000001</v>
      </c>
      <c r="R33">
        <v>17.256</v>
      </c>
      <c r="S33">
        <v>17.268999999999998</v>
      </c>
      <c r="T33">
        <v>33.366999999999997</v>
      </c>
      <c r="U33">
        <v>33.905999999999999</v>
      </c>
      <c r="W33">
        <v>-0.06</v>
      </c>
      <c r="X33">
        <v>-0.14899999999999999</v>
      </c>
      <c r="Z33">
        <v>-2.7E-2</v>
      </c>
      <c r="AA33">
        <v>-0.158</v>
      </c>
      <c r="AB33">
        <v>-0.10100000000000001</v>
      </c>
      <c r="AC33">
        <v>-0.06</v>
      </c>
      <c r="AD33">
        <v>-8.4000000000000005E-2</v>
      </c>
      <c r="AE33">
        <v>-0.14899999999999999</v>
      </c>
      <c r="AF33">
        <v>-2.7E-2</v>
      </c>
      <c r="AG33">
        <v>-0.10100000000000001</v>
      </c>
      <c r="AH33">
        <v>-0.158</v>
      </c>
      <c r="AI33">
        <v>-0.151</v>
      </c>
    </row>
    <row r="34" spans="1:35" x14ac:dyDescent="0.25">
      <c r="A34" t="s">
        <v>1174</v>
      </c>
      <c r="B34" t="s">
        <v>31</v>
      </c>
      <c r="C34" s="25">
        <v>43699.751770833333</v>
      </c>
      <c r="D34" s="741" t="s">
        <v>969</v>
      </c>
      <c r="E34" s="741">
        <f t="array" ref="E34">SUMPRODUCT(IF(AMP6_4[[#This Row],[Dim 1_1]:[T 8]]-$F$4:$AI$4&lt;0,1,0)+IF($F$5:$AI$5-AMP6_4[[#This Row],[Dim 1_1]:[T 8]]&lt;0,1,0),IF(ISNUMBER(AMP6_4[[#This Row],[Dim 1_1]:[T 8]])=TRUE,1,0))</f>
        <v>0</v>
      </c>
      <c r="H34">
        <v>156.036</v>
      </c>
      <c r="I34">
        <v>156.084</v>
      </c>
      <c r="J34">
        <v>168.78700000000001</v>
      </c>
      <c r="K34">
        <v>168.59100000000001</v>
      </c>
      <c r="L34">
        <v>156.101</v>
      </c>
      <c r="M34">
        <v>156.03399999999999</v>
      </c>
      <c r="N34">
        <v>27.088000000000001</v>
      </c>
      <c r="O34">
        <v>27.251000000000001</v>
      </c>
      <c r="R34">
        <v>17.251999999999999</v>
      </c>
      <c r="S34">
        <v>17.244</v>
      </c>
      <c r="T34">
        <v>36.241</v>
      </c>
      <c r="U34">
        <v>36.662999999999997</v>
      </c>
      <c r="W34">
        <v>-0.128</v>
      </c>
      <c r="X34">
        <v>-0.33800000000000002</v>
      </c>
      <c r="Z34">
        <v>-8.7999999999999995E-2</v>
      </c>
      <c r="AA34">
        <v>-0.17199999999999999</v>
      </c>
      <c r="AB34">
        <v>-0.13900000000000001</v>
      </c>
      <c r="AC34">
        <v>-0.16800000000000001</v>
      </c>
      <c r="AD34">
        <v>-0.128</v>
      </c>
      <c r="AE34">
        <v>-0.33800000000000002</v>
      </c>
      <c r="AF34">
        <v>-8.7999999999999995E-2</v>
      </c>
      <c r="AG34">
        <v>-0.13</v>
      </c>
      <c r="AH34">
        <v>-0.17199999999999999</v>
      </c>
      <c r="AI34">
        <v>-0.129</v>
      </c>
    </row>
    <row r="35" spans="1:35" x14ac:dyDescent="0.25">
      <c r="A35" t="s">
        <v>1175</v>
      </c>
      <c r="B35" t="s">
        <v>32</v>
      </c>
      <c r="C35" s="25">
        <v>43699.931863425925</v>
      </c>
      <c r="D35" s="741" t="s">
        <v>969</v>
      </c>
      <c r="E35" s="741">
        <f t="array" ref="E35">SUMPRODUCT(IF(AMP6_4[[#This Row],[Dim 1_1]:[T 8]]-$F$4:$AI$4&lt;0,1,0)+IF($F$5:$AI$5-AMP6_4[[#This Row],[Dim 1_1]:[T 8]]&lt;0,1,0),IF(ISNUMBER(AMP6_4[[#This Row],[Dim 1_1]:[T 8]])=TRUE,1,0))</f>
        <v>1</v>
      </c>
      <c r="F35">
        <v>41.218000000000004</v>
      </c>
      <c r="G35">
        <v>41.045999999999999</v>
      </c>
      <c r="H35">
        <v>155.72200000000001</v>
      </c>
      <c r="I35">
        <v>155.739</v>
      </c>
      <c r="L35">
        <v>155.71</v>
      </c>
      <c r="M35">
        <v>155.44800000000001</v>
      </c>
      <c r="N35">
        <v>27.457000000000001</v>
      </c>
      <c r="O35">
        <v>27.7</v>
      </c>
      <c r="R35">
        <v>17.263000000000002</v>
      </c>
      <c r="S35">
        <v>17.32</v>
      </c>
      <c r="T35">
        <v>33.262</v>
      </c>
      <c r="U35">
        <v>34.231000000000002</v>
      </c>
      <c r="W35">
        <v>8.7999999999999995E-2</v>
      </c>
      <c r="X35">
        <v>-2.1000000000000001E-2</v>
      </c>
      <c r="Z35">
        <v>0.13800000000000001</v>
      </c>
      <c r="AA35">
        <v>-4.0000000000000001E-3</v>
      </c>
      <c r="AB35">
        <v>4.3999999999999997E-2</v>
      </c>
      <c r="AC35">
        <v>8.7999999999999995E-2</v>
      </c>
      <c r="AD35">
        <v>0</v>
      </c>
      <c r="AE35">
        <v>-2.1000000000000001E-2</v>
      </c>
      <c r="AF35">
        <v>0.13800000000000001</v>
      </c>
      <c r="AG35">
        <v>8.5999999999999993E-2</v>
      </c>
      <c r="AH35">
        <v>-4.0000000000000001E-3</v>
      </c>
      <c r="AI35">
        <v>2.9000000000000001E-2</v>
      </c>
    </row>
    <row r="36" spans="1:35" x14ac:dyDescent="0.25">
      <c r="A36" t="s">
        <v>1176</v>
      </c>
      <c r="B36" t="s">
        <v>31</v>
      </c>
      <c r="C36" s="25">
        <v>43699.93414351852</v>
      </c>
      <c r="D36" s="741" t="s">
        <v>969</v>
      </c>
      <c r="E36" s="741">
        <f t="array" ref="E36">SUMPRODUCT(IF(AMP6_4[[#This Row],[Dim 1_1]:[T 8]]-$F$4:$AI$4&lt;0,1,0)+IF($F$5:$AI$5-AMP6_4[[#This Row],[Dim 1_1]:[T 8]]&lt;0,1,0),IF(ISNUMBER(AMP6_4[[#This Row],[Dim 1_1]:[T 8]])=TRUE,1,0))</f>
        <v>0</v>
      </c>
      <c r="H36">
        <v>156.042</v>
      </c>
      <c r="I36">
        <v>156.11099999999999</v>
      </c>
      <c r="J36">
        <v>168.74</v>
      </c>
      <c r="K36">
        <v>168.685</v>
      </c>
      <c r="L36">
        <v>156.125</v>
      </c>
      <c r="M36">
        <v>156.077</v>
      </c>
      <c r="N36">
        <v>27.071000000000002</v>
      </c>
      <c r="O36">
        <v>27.204000000000001</v>
      </c>
      <c r="R36">
        <v>17.227</v>
      </c>
      <c r="S36">
        <v>17.233000000000001</v>
      </c>
      <c r="T36">
        <v>39.573999999999998</v>
      </c>
      <c r="U36">
        <v>40.259</v>
      </c>
      <c r="W36">
        <v>-3.5999999999999997E-2</v>
      </c>
      <c r="X36">
        <v>-0.33500000000000002</v>
      </c>
      <c r="Z36">
        <v>3.9E-2</v>
      </c>
      <c r="AA36">
        <v>-8.5000000000000006E-2</v>
      </c>
      <c r="AB36">
        <v>-3.5999999999999997E-2</v>
      </c>
      <c r="AC36">
        <v>-8.2000000000000003E-2</v>
      </c>
      <c r="AD36">
        <v>-0.109</v>
      </c>
      <c r="AE36">
        <v>-0.33500000000000002</v>
      </c>
      <c r="AF36">
        <v>3.9E-2</v>
      </c>
      <c r="AG36">
        <v>0.03</v>
      </c>
      <c r="AH36">
        <v>-8.5000000000000006E-2</v>
      </c>
      <c r="AI36">
        <v>-4.5999999999999999E-2</v>
      </c>
    </row>
    <row r="37" spans="1:35" x14ac:dyDescent="0.25">
      <c r="A37" t="s">
        <v>1177</v>
      </c>
      <c r="B37" t="s">
        <v>32</v>
      </c>
      <c r="C37" s="25">
        <v>43700.020624999997</v>
      </c>
      <c r="D37" s="741" t="s">
        <v>969</v>
      </c>
      <c r="E37" s="741">
        <f t="array" ref="E37">SUMPRODUCT(IF(AMP6_4[[#This Row],[Dim 1_1]:[T 8]]-$F$4:$AI$4&lt;0,1,0)+IF($F$5:$AI$5-AMP6_4[[#This Row],[Dim 1_1]:[T 8]]&lt;0,1,0),IF(ISNUMBER(AMP6_4[[#This Row],[Dim 1_1]:[T 8]])=TRUE,1,0))</f>
        <v>1</v>
      </c>
      <c r="F37">
        <v>41.265999999999998</v>
      </c>
      <c r="G37">
        <v>41.07</v>
      </c>
      <c r="H37">
        <v>155.77199999999999</v>
      </c>
      <c r="I37">
        <v>155.779</v>
      </c>
      <c r="L37">
        <v>155.785</v>
      </c>
      <c r="M37">
        <v>155.5</v>
      </c>
      <c r="N37">
        <v>27.407</v>
      </c>
      <c r="O37">
        <v>27.661999999999999</v>
      </c>
      <c r="R37">
        <v>17.238</v>
      </c>
      <c r="S37">
        <v>17.286000000000001</v>
      </c>
      <c r="T37">
        <v>33.386000000000003</v>
      </c>
      <c r="U37">
        <v>34.098999999999997</v>
      </c>
      <c r="W37">
        <v>2E-3</v>
      </c>
      <c r="X37">
        <v>-0.14199999999999999</v>
      </c>
      <c r="Z37">
        <v>5.1999999999999998E-2</v>
      </c>
      <c r="AA37">
        <v>-0.112</v>
      </c>
      <c r="AB37">
        <v>-4.3999999999999997E-2</v>
      </c>
      <c r="AC37">
        <v>2E-3</v>
      </c>
      <c r="AD37">
        <v>-7.6999999999999999E-2</v>
      </c>
      <c r="AE37">
        <v>-0.14199999999999999</v>
      </c>
      <c r="AF37">
        <v>5.1999999999999998E-2</v>
      </c>
      <c r="AG37">
        <v>-0.01</v>
      </c>
      <c r="AH37">
        <v>-0.112</v>
      </c>
      <c r="AI37">
        <v>-7.1999999999999995E-2</v>
      </c>
    </row>
    <row r="38" spans="1:35" x14ac:dyDescent="0.25">
      <c r="A38" t="s">
        <v>1178</v>
      </c>
      <c r="B38" t="s">
        <v>31</v>
      </c>
      <c r="C38" s="25">
        <v>43700.022650462961</v>
      </c>
      <c r="D38" s="741" t="s">
        <v>969</v>
      </c>
      <c r="E38" s="741">
        <f t="array" ref="E38">SUMPRODUCT(IF(AMP6_4[[#This Row],[Dim 1_1]:[T 8]]-$F$4:$AI$4&lt;0,1,0)+IF($F$5:$AI$5-AMP6_4[[#This Row],[Dim 1_1]:[T 8]]&lt;0,1,0),IF(ISNUMBER(AMP6_4[[#This Row],[Dim 1_1]:[T 8]])=TRUE,1,0))</f>
        <v>0</v>
      </c>
      <c r="H38">
        <v>156.101</v>
      </c>
      <c r="I38">
        <v>156.17599999999999</v>
      </c>
      <c r="J38">
        <v>168.83500000000001</v>
      </c>
      <c r="K38">
        <v>168.73099999999999</v>
      </c>
      <c r="L38">
        <v>156.16</v>
      </c>
      <c r="M38">
        <v>156.13300000000001</v>
      </c>
      <c r="N38">
        <v>27.018999999999998</v>
      </c>
      <c r="O38">
        <v>27.123999999999999</v>
      </c>
      <c r="R38">
        <v>17.253</v>
      </c>
      <c r="S38">
        <v>17.291</v>
      </c>
      <c r="T38">
        <v>36.984000000000002</v>
      </c>
      <c r="U38">
        <v>37.914999999999999</v>
      </c>
      <c r="W38">
        <v>-9.0999999999999998E-2</v>
      </c>
      <c r="X38">
        <v>-0.38500000000000001</v>
      </c>
      <c r="Z38">
        <v>1.6E-2</v>
      </c>
      <c r="AA38">
        <v>-9.0999999999999998E-2</v>
      </c>
      <c r="AB38">
        <v>-9.0999999999999998E-2</v>
      </c>
      <c r="AC38">
        <v>-0.15</v>
      </c>
      <c r="AD38">
        <v>-0.17799999999999999</v>
      </c>
      <c r="AE38">
        <v>-0.38500000000000001</v>
      </c>
      <c r="AF38">
        <v>1.6E-2</v>
      </c>
      <c r="AG38">
        <v>1.2999999999999999E-2</v>
      </c>
      <c r="AH38">
        <v>-9.0999999999999998E-2</v>
      </c>
      <c r="AI38">
        <v>-7.3999999999999996E-2</v>
      </c>
    </row>
    <row r="39" spans="1:35" x14ac:dyDescent="0.25">
      <c r="A39" t="s">
        <v>1179</v>
      </c>
      <c r="B39" t="s">
        <v>32</v>
      </c>
      <c r="C39" s="25">
        <v>43700.056747685187</v>
      </c>
      <c r="D39" s="741" t="s">
        <v>969</v>
      </c>
      <c r="E39" s="741">
        <f t="array" ref="E39">SUMPRODUCT(IF(AMP6_4[[#This Row],[Dim 1_1]:[T 8]]-$F$4:$AI$4&lt;0,1,0)+IF($F$5:$AI$5-AMP6_4[[#This Row],[Dim 1_1]:[T 8]]&lt;0,1,0),IF(ISNUMBER(AMP6_4[[#This Row],[Dim 1_1]:[T 8]])=TRUE,1,0))</f>
        <v>0</v>
      </c>
      <c r="F39">
        <v>41.036999999999999</v>
      </c>
      <c r="G39">
        <v>40.920999999999999</v>
      </c>
      <c r="H39">
        <v>155.74299999999999</v>
      </c>
      <c r="I39">
        <v>155.761</v>
      </c>
      <c r="L39">
        <v>155.738</v>
      </c>
      <c r="M39">
        <v>155.458</v>
      </c>
      <c r="N39">
        <v>27.414999999999999</v>
      </c>
      <c r="O39">
        <v>27.683</v>
      </c>
      <c r="R39">
        <v>17.263000000000002</v>
      </c>
      <c r="S39">
        <v>17.347000000000001</v>
      </c>
      <c r="T39">
        <v>33.268999999999998</v>
      </c>
      <c r="U39">
        <v>34.021000000000001</v>
      </c>
      <c r="W39">
        <v>2.1000000000000001E-2</v>
      </c>
      <c r="X39">
        <v>-0.17199999999999999</v>
      </c>
      <c r="Z39">
        <v>9.2999999999999999E-2</v>
      </c>
      <c r="AA39">
        <v>-0.151</v>
      </c>
      <c r="AB39">
        <v>-1.4E-2</v>
      </c>
      <c r="AC39">
        <v>2.1000000000000001E-2</v>
      </c>
      <c r="AD39">
        <v>-0.113</v>
      </c>
      <c r="AE39">
        <v>-0.17199999999999999</v>
      </c>
      <c r="AF39">
        <v>9.2999999999999999E-2</v>
      </c>
      <c r="AG39">
        <v>1.2999999999999999E-2</v>
      </c>
      <c r="AH39">
        <v>-0.151</v>
      </c>
      <c r="AI39">
        <v>-8.7999999999999995E-2</v>
      </c>
    </row>
    <row r="40" spans="1:35" x14ac:dyDescent="0.25">
      <c r="A40" t="s">
        <v>1180</v>
      </c>
      <c r="B40" t="s">
        <v>31</v>
      </c>
      <c r="C40" s="25">
        <v>43700.05877314815</v>
      </c>
      <c r="D40" s="741" t="s">
        <v>969</v>
      </c>
      <c r="E40" s="741">
        <f t="array" ref="E40">SUMPRODUCT(IF(AMP6_4[[#This Row],[Dim 1_1]:[T 8]]-$F$4:$AI$4&lt;0,1,0)+IF($F$5:$AI$5-AMP6_4[[#This Row],[Dim 1_1]:[T 8]]&lt;0,1,0),IF(ISNUMBER(AMP6_4[[#This Row],[Dim 1_1]:[T 8]])=TRUE,1,0))</f>
        <v>0</v>
      </c>
      <c r="H40">
        <v>156.083</v>
      </c>
      <c r="I40">
        <v>156.15600000000001</v>
      </c>
      <c r="J40">
        <v>168.68</v>
      </c>
      <c r="K40">
        <v>168.58799999999999</v>
      </c>
      <c r="L40">
        <v>156.18600000000001</v>
      </c>
      <c r="M40">
        <v>156.16</v>
      </c>
      <c r="N40">
        <v>27.04</v>
      </c>
      <c r="O40">
        <v>27.146999999999998</v>
      </c>
      <c r="R40">
        <v>17.2</v>
      </c>
      <c r="S40">
        <v>17.312999999999999</v>
      </c>
      <c r="T40">
        <v>37.06</v>
      </c>
      <c r="U40">
        <v>37.878999999999998</v>
      </c>
      <c r="W40">
        <v>-7.0999999999999994E-2</v>
      </c>
      <c r="X40">
        <v>-0.4</v>
      </c>
      <c r="Z40">
        <v>-1.2E-2</v>
      </c>
      <c r="AA40">
        <v>-0.182</v>
      </c>
      <c r="AB40">
        <v>-7.0999999999999994E-2</v>
      </c>
      <c r="AC40">
        <v>-9.9000000000000005E-2</v>
      </c>
      <c r="AD40">
        <v>-0.161</v>
      </c>
      <c r="AE40">
        <v>-0.4</v>
      </c>
      <c r="AF40">
        <v>-1.2E-2</v>
      </c>
      <c r="AG40">
        <v>-3.3000000000000002E-2</v>
      </c>
      <c r="AH40">
        <v>-0.182</v>
      </c>
      <c r="AI40">
        <v>-0.14399999999999999</v>
      </c>
    </row>
    <row r="41" spans="1:35" x14ac:dyDescent="0.25">
      <c r="A41" t="s">
        <v>1181</v>
      </c>
      <c r="B41" t="s">
        <v>32</v>
      </c>
      <c r="C41" s="25">
        <v>43700.321562500001</v>
      </c>
      <c r="D41" s="741" t="s">
        <v>969</v>
      </c>
      <c r="E41" s="741">
        <f t="array" ref="E41">SUMPRODUCT(IF(AMP6_4[[#This Row],[Dim 1_1]:[T 8]]-$F$4:$AI$4&lt;0,1,0)+IF($F$5:$AI$5-AMP6_4[[#This Row],[Dim 1_1]:[T 8]]&lt;0,1,0),IF(ISNUMBER(AMP6_4[[#This Row],[Dim 1_1]:[T 8]])=TRUE,1,0))</f>
        <v>0</v>
      </c>
      <c r="F41">
        <v>41.005000000000003</v>
      </c>
      <c r="G41">
        <v>40.765999999999998</v>
      </c>
      <c r="H41">
        <v>155.733</v>
      </c>
      <c r="I41">
        <v>155.73500000000001</v>
      </c>
      <c r="L41">
        <v>155.72800000000001</v>
      </c>
      <c r="M41">
        <v>155.43799999999999</v>
      </c>
      <c r="N41">
        <v>27.43</v>
      </c>
      <c r="O41">
        <v>27.672000000000001</v>
      </c>
      <c r="R41">
        <v>17.234000000000002</v>
      </c>
      <c r="S41">
        <v>17.234000000000002</v>
      </c>
      <c r="T41">
        <v>32.503</v>
      </c>
      <c r="U41">
        <v>33.179000000000002</v>
      </c>
      <c r="W41">
        <v>-9.6000000000000002E-2</v>
      </c>
      <c r="X41">
        <v>-0.13900000000000001</v>
      </c>
      <c r="Z41">
        <v>-5.1999999999999998E-2</v>
      </c>
      <c r="AA41">
        <v>-0.22700000000000001</v>
      </c>
      <c r="AB41">
        <v>-0.129</v>
      </c>
      <c r="AC41">
        <v>-9.6000000000000002E-2</v>
      </c>
      <c r="AD41">
        <v>-0.13900000000000001</v>
      </c>
      <c r="AE41">
        <v>-0.13900000000000001</v>
      </c>
      <c r="AF41">
        <v>-5.1999999999999998E-2</v>
      </c>
      <c r="AG41">
        <v>-0.122</v>
      </c>
      <c r="AH41">
        <v>-0.22700000000000001</v>
      </c>
      <c r="AI41">
        <v>-0.158</v>
      </c>
    </row>
    <row r="42" spans="1:35" x14ac:dyDescent="0.25">
      <c r="A42" t="s">
        <v>1182</v>
      </c>
      <c r="B42" t="s">
        <v>31</v>
      </c>
      <c r="C42" s="25">
        <v>43700.324131944442</v>
      </c>
      <c r="D42" s="741" t="s">
        <v>969</v>
      </c>
      <c r="E42" s="741">
        <f t="array" ref="E42">SUMPRODUCT(IF(AMP6_4[[#This Row],[Dim 1_1]:[T 8]]-$F$4:$AI$4&lt;0,1,0)+IF($F$5:$AI$5-AMP6_4[[#This Row],[Dim 1_1]:[T 8]]&lt;0,1,0),IF(ISNUMBER(AMP6_4[[#This Row],[Dim 1_1]:[T 8]])=TRUE,1,0))</f>
        <v>0</v>
      </c>
      <c r="H42">
        <v>156.011</v>
      </c>
      <c r="I42">
        <v>156.089</v>
      </c>
      <c r="J42">
        <v>168.51300000000001</v>
      </c>
      <c r="K42">
        <v>168.3</v>
      </c>
      <c r="L42">
        <v>156.101</v>
      </c>
      <c r="M42">
        <v>156.071</v>
      </c>
      <c r="N42">
        <v>27.125</v>
      </c>
      <c r="O42">
        <v>27.254000000000001</v>
      </c>
      <c r="R42">
        <v>17.225999999999999</v>
      </c>
      <c r="S42">
        <v>17.257999999999999</v>
      </c>
      <c r="T42">
        <v>39.581000000000003</v>
      </c>
      <c r="U42">
        <v>40.71</v>
      </c>
      <c r="W42">
        <v>-0.14599999999999999</v>
      </c>
      <c r="X42">
        <v>-0.53700000000000003</v>
      </c>
      <c r="Z42">
        <v>-0.18</v>
      </c>
      <c r="AA42">
        <v>-0.35399999999999998</v>
      </c>
      <c r="AB42">
        <v>-0.14599999999999999</v>
      </c>
      <c r="AC42">
        <v>-0.192</v>
      </c>
      <c r="AD42">
        <v>-0.311</v>
      </c>
      <c r="AE42">
        <v>-0.53700000000000003</v>
      </c>
      <c r="AF42">
        <v>-0.18</v>
      </c>
      <c r="AG42">
        <v>-0.20699999999999999</v>
      </c>
      <c r="AH42">
        <v>-0.35399999999999998</v>
      </c>
      <c r="AI42">
        <v>-0.32500000000000001</v>
      </c>
    </row>
    <row r="43" spans="1:35" x14ac:dyDescent="0.25">
      <c r="A43" t="s">
        <v>1183</v>
      </c>
      <c r="B43" t="s">
        <v>32</v>
      </c>
      <c r="C43" s="25">
        <v>43700.42491898148</v>
      </c>
      <c r="D43" s="741" t="s">
        <v>969</v>
      </c>
      <c r="E43" s="741">
        <f t="array" ref="E43">SUMPRODUCT(IF(AMP6_4[[#This Row],[Dim 1_1]:[T 8]]-$F$4:$AI$4&lt;0,1,0)+IF($F$5:$AI$5-AMP6_4[[#This Row],[Dim 1_1]:[T 8]]&lt;0,1,0),IF(ISNUMBER(AMP6_4[[#This Row],[Dim 1_1]:[T 8]])=TRUE,1,0))</f>
        <v>0</v>
      </c>
      <c r="F43">
        <v>41.104999999999997</v>
      </c>
      <c r="G43">
        <v>40.936999999999998</v>
      </c>
      <c r="H43">
        <v>155.773</v>
      </c>
      <c r="I43">
        <v>155.756</v>
      </c>
      <c r="L43">
        <v>155.79599999999999</v>
      </c>
      <c r="M43">
        <v>155.471</v>
      </c>
      <c r="N43">
        <v>27.385999999999999</v>
      </c>
      <c r="O43">
        <v>27.707000000000001</v>
      </c>
      <c r="R43">
        <v>17.234999999999999</v>
      </c>
      <c r="S43">
        <v>17.286000000000001</v>
      </c>
      <c r="T43">
        <v>33.19</v>
      </c>
      <c r="U43">
        <v>34.17</v>
      </c>
      <c r="W43">
        <v>7.2999999999999995E-2</v>
      </c>
      <c r="X43">
        <v>-4.2000000000000003E-2</v>
      </c>
      <c r="Z43">
        <v>0.114</v>
      </c>
      <c r="AA43">
        <v>-8.2000000000000003E-2</v>
      </c>
      <c r="AB43">
        <v>6.3E-2</v>
      </c>
      <c r="AC43">
        <v>7.2999999999999995E-2</v>
      </c>
      <c r="AD43">
        <v>2.9000000000000001E-2</v>
      </c>
      <c r="AE43">
        <v>-4.2000000000000003E-2</v>
      </c>
      <c r="AF43">
        <v>0.114</v>
      </c>
      <c r="AG43">
        <v>3.7999999999999999E-2</v>
      </c>
      <c r="AH43">
        <v>-8.2000000000000003E-2</v>
      </c>
      <c r="AI43">
        <v>-8.0000000000000002E-3</v>
      </c>
    </row>
    <row r="44" spans="1:35" x14ac:dyDescent="0.25">
      <c r="A44" t="s">
        <v>1184</v>
      </c>
      <c r="B44" t="s">
        <v>31</v>
      </c>
      <c r="C44" s="25">
        <v>43700.427303240744</v>
      </c>
      <c r="D44" s="741" t="s">
        <v>969</v>
      </c>
      <c r="E44" s="741">
        <f t="array" ref="E44">SUMPRODUCT(IF(AMP6_4[[#This Row],[Dim 1_1]:[T 8]]-$F$4:$AI$4&lt;0,1,0)+IF($F$5:$AI$5-AMP6_4[[#This Row],[Dim 1_1]:[T 8]]&lt;0,1,0),IF(ISNUMBER(AMP6_4[[#This Row],[Dim 1_1]:[T 8]])=TRUE,1,0))</f>
        <v>0</v>
      </c>
      <c r="H44">
        <v>156.08199999999999</v>
      </c>
      <c r="I44">
        <v>156.19399999999999</v>
      </c>
      <c r="J44">
        <v>168.70699999999999</v>
      </c>
      <c r="K44">
        <v>168.52799999999999</v>
      </c>
      <c r="L44">
        <v>156.15799999999999</v>
      </c>
      <c r="M44">
        <v>156.155</v>
      </c>
      <c r="N44">
        <v>27.068000000000001</v>
      </c>
      <c r="O44">
        <v>27.151</v>
      </c>
      <c r="R44">
        <v>17.224</v>
      </c>
      <c r="S44">
        <v>17.303999999999998</v>
      </c>
      <c r="T44">
        <v>38.177</v>
      </c>
      <c r="U44">
        <v>38.436</v>
      </c>
      <c r="W44">
        <v>-0.33700000000000002</v>
      </c>
      <c r="X44">
        <v>-0.58599999999999997</v>
      </c>
      <c r="Z44">
        <v>-0.183</v>
      </c>
      <c r="AA44">
        <v>-0.26100000000000001</v>
      </c>
      <c r="AB44">
        <v>-0.33700000000000002</v>
      </c>
      <c r="AC44">
        <v>-0.36799999999999999</v>
      </c>
      <c r="AD44">
        <v>-0.38500000000000001</v>
      </c>
      <c r="AE44">
        <v>-0.58599999999999997</v>
      </c>
      <c r="AF44">
        <v>-0.183</v>
      </c>
      <c r="AG44">
        <v>-0.23499999999999999</v>
      </c>
      <c r="AH44">
        <v>-0.253</v>
      </c>
      <c r="AI44">
        <v>-0.26100000000000001</v>
      </c>
    </row>
    <row r="45" spans="1:35" x14ac:dyDescent="0.25">
      <c r="A45" t="s">
        <v>1185</v>
      </c>
      <c r="B45" t="s">
        <v>32</v>
      </c>
      <c r="C45" s="25">
        <v>43700.520578703705</v>
      </c>
      <c r="D45" s="741" t="s">
        <v>969</v>
      </c>
      <c r="E45" s="741">
        <f t="array" ref="E45">SUMPRODUCT(IF(AMP6_4[[#This Row],[Dim 1_1]:[T 8]]-$F$4:$AI$4&lt;0,1,0)+IF($F$5:$AI$5-AMP6_4[[#This Row],[Dim 1_1]:[T 8]]&lt;0,1,0),IF(ISNUMBER(AMP6_4[[#This Row],[Dim 1_1]:[T 8]])=TRUE,1,0))</f>
        <v>0</v>
      </c>
      <c r="F45">
        <v>41.07</v>
      </c>
      <c r="G45">
        <v>40.951000000000001</v>
      </c>
      <c r="H45">
        <v>155.816</v>
      </c>
      <c r="I45">
        <v>155.79900000000001</v>
      </c>
      <c r="L45">
        <v>155.86099999999999</v>
      </c>
      <c r="M45">
        <v>155.58199999999999</v>
      </c>
      <c r="N45">
        <v>27.315999999999999</v>
      </c>
      <c r="O45">
        <v>27.594000000000001</v>
      </c>
      <c r="R45">
        <v>17.233000000000001</v>
      </c>
      <c r="S45">
        <v>17.268000000000001</v>
      </c>
      <c r="T45">
        <v>33.423000000000002</v>
      </c>
      <c r="U45">
        <v>34.212000000000003</v>
      </c>
      <c r="W45">
        <v>-2.4E-2</v>
      </c>
      <c r="X45">
        <v>-0.151</v>
      </c>
      <c r="Z45">
        <v>2.1999999999999999E-2</v>
      </c>
      <c r="AA45">
        <v>-8.7999999999999995E-2</v>
      </c>
      <c r="AB45">
        <v>-5.2999999999999999E-2</v>
      </c>
      <c r="AC45">
        <v>-2.4E-2</v>
      </c>
      <c r="AD45">
        <v>-5.6000000000000001E-2</v>
      </c>
      <c r="AE45">
        <v>-0.151</v>
      </c>
      <c r="AF45">
        <v>2.1999999999999999E-2</v>
      </c>
      <c r="AG45">
        <v>-3.9E-2</v>
      </c>
      <c r="AH45">
        <v>-8.7999999999999995E-2</v>
      </c>
      <c r="AI45">
        <v>-7.3999999999999996E-2</v>
      </c>
    </row>
    <row r="46" spans="1:35" x14ac:dyDescent="0.25">
      <c r="A46" t="s">
        <v>1186</v>
      </c>
      <c r="B46" t="s">
        <v>31</v>
      </c>
      <c r="C46" s="25">
        <v>43700.522233796299</v>
      </c>
      <c r="D46" s="741" t="s">
        <v>969</v>
      </c>
      <c r="E46" s="741">
        <f t="array" ref="E46">SUMPRODUCT(IF(AMP6_4[[#This Row],[Dim 1_1]:[T 8]]-$F$4:$AI$4&lt;0,1,0)+IF($F$5:$AI$5-AMP6_4[[#This Row],[Dim 1_1]:[T 8]]&lt;0,1,0),IF(ISNUMBER(AMP6_4[[#This Row],[Dim 1_1]:[T 8]])=TRUE,1,0))</f>
        <v>0</v>
      </c>
      <c r="H46">
        <v>156.17699999999999</v>
      </c>
      <c r="I46">
        <v>156.25299999999999</v>
      </c>
      <c r="J46">
        <v>168.739</v>
      </c>
      <c r="K46">
        <v>168.67400000000001</v>
      </c>
      <c r="L46">
        <v>156.28399999999999</v>
      </c>
      <c r="M46">
        <v>156.24199999999999</v>
      </c>
      <c r="N46">
        <v>26.95</v>
      </c>
      <c r="O46">
        <v>27.082999999999998</v>
      </c>
      <c r="R46">
        <v>17.202999999999999</v>
      </c>
      <c r="S46">
        <v>17.27</v>
      </c>
      <c r="T46">
        <v>38.173999999999999</v>
      </c>
      <c r="U46">
        <v>37.094000000000001</v>
      </c>
      <c r="W46">
        <v>-0.17299999999999999</v>
      </c>
      <c r="X46">
        <v>-0.36</v>
      </c>
      <c r="Z46">
        <v>-4.7E-2</v>
      </c>
      <c r="AA46">
        <v>-0.122</v>
      </c>
      <c r="AB46">
        <v>-0.17299999999999999</v>
      </c>
      <c r="AC46">
        <v>-0.21199999999999999</v>
      </c>
      <c r="AD46">
        <v>-0.17599999999999999</v>
      </c>
      <c r="AE46">
        <v>-0.36</v>
      </c>
      <c r="AF46">
        <v>-4.7E-2</v>
      </c>
      <c r="AG46">
        <v>-7.6999999999999999E-2</v>
      </c>
      <c r="AH46">
        <v>-0.122</v>
      </c>
      <c r="AI46">
        <v>-0.113</v>
      </c>
    </row>
    <row r="47" spans="1:35" x14ac:dyDescent="0.25">
      <c r="A47" t="s">
        <v>1339</v>
      </c>
      <c r="B47" t="s">
        <v>32</v>
      </c>
      <c r="C47" s="25">
        <v>43700.655069444445</v>
      </c>
      <c r="D47" s="741" t="s">
        <v>969</v>
      </c>
      <c r="E47" s="741">
        <f t="array" ref="E47">SUMPRODUCT(IF(AMP6_4[[#This Row],[Dim 1_1]:[T 8]]-$F$4:$AI$4&lt;0,1,0)+IF($F$5:$AI$5-AMP6_4[[#This Row],[Dim 1_1]:[T 8]]&lt;0,1,0),IF(ISNUMBER(AMP6_4[[#This Row],[Dim 1_1]:[T 8]])=TRUE,1,0))</f>
        <v>0</v>
      </c>
      <c r="F47">
        <v>40.954999999999998</v>
      </c>
      <c r="G47">
        <v>40.783000000000001</v>
      </c>
      <c r="H47">
        <v>155.80699999999999</v>
      </c>
      <c r="I47">
        <v>155.79</v>
      </c>
      <c r="L47">
        <v>155.78399999999999</v>
      </c>
      <c r="M47">
        <v>155.50299999999999</v>
      </c>
      <c r="N47">
        <v>27.431999999999999</v>
      </c>
      <c r="O47">
        <v>27.625</v>
      </c>
      <c r="R47">
        <v>17.238</v>
      </c>
      <c r="S47">
        <v>17.257999999999999</v>
      </c>
      <c r="T47">
        <v>33.380000000000003</v>
      </c>
      <c r="U47">
        <v>34.171999999999997</v>
      </c>
      <c r="W47">
        <v>-3.5999999999999997E-2</v>
      </c>
      <c r="X47">
        <v>-0.193</v>
      </c>
      <c r="Z47">
        <v>9.1999999999999998E-2</v>
      </c>
      <c r="AA47">
        <v>-5.8000000000000003E-2</v>
      </c>
      <c r="AB47">
        <v>-6.6000000000000003E-2</v>
      </c>
      <c r="AC47">
        <v>-3.5999999999999997E-2</v>
      </c>
      <c r="AD47">
        <v>-7.6999999999999999E-2</v>
      </c>
      <c r="AE47">
        <v>-0.193</v>
      </c>
      <c r="AF47">
        <v>9.1999999999999998E-2</v>
      </c>
      <c r="AG47">
        <v>1.7999999999999999E-2</v>
      </c>
      <c r="AH47">
        <v>-5.8000000000000003E-2</v>
      </c>
      <c r="AI47">
        <v>-6.0000000000000001E-3</v>
      </c>
    </row>
    <row r="48" spans="1:35" x14ac:dyDescent="0.25">
      <c r="A48" t="s">
        <v>1340</v>
      </c>
      <c r="B48" t="s">
        <v>31</v>
      </c>
      <c r="C48" s="25">
        <v>43700.661319444444</v>
      </c>
      <c r="D48" s="741" t="s">
        <v>969</v>
      </c>
      <c r="E48" s="741">
        <f t="array" ref="E48">SUMPRODUCT(IF(AMP6_4[[#This Row],[Dim 1_1]:[T 8]]-$F$4:$AI$4&lt;0,1,0)+IF($F$5:$AI$5-AMP6_4[[#This Row],[Dim 1_1]:[T 8]]&lt;0,1,0),IF(ISNUMBER(AMP6_4[[#This Row],[Dim 1_1]:[T 8]])=TRUE,1,0))</f>
        <v>0</v>
      </c>
      <c r="H48">
        <v>155.97999999999999</v>
      </c>
      <c r="I48">
        <v>156.06700000000001</v>
      </c>
      <c r="J48">
        <v>168.50399999999999</v>
      </c>
      <c r="K48">
        <v>168.422</v>
      </c>
      <c r="L48">
        <v>156.066</v>
      </c>
      <c r="M48">
        <v>156.06100000000001</v>
      </c>
      <c r="N48">
        <v>27.103000000000002</v>
      </c>
      <c r="O48">
        <v>27.236999999999998</v>
      </c>
      <c r="R48">
        <v>17.202999999999999</v>
      </c>
      <c r="S48">
        <v>17.294</v>
      </c>
      <c r="T48">
        <v>39.787999999999997</v>
      </c>
      <c r="U48">
        <v>36.908000000000001</v>
      </c>
      <c r="W48">
        <v>-4.0000000000000001E-3</v>
      </c>
      <c r="X48">
        <v>-0.40300000000000002</v>
      </c>
      <c r="Z48">
        <v>0.11700000000000001</v>
      </c>
      <c r="AA48">
        <v>-5.1999999999999998E-2</v>
      </c>
      <c r="AB48">
        <v>-4.0000000000000001E-3</v>
      </c>
      <c r="AC48">
        <v>-9.2999999999999999E-2</v>
      </c>
      <c r="AD48">
        <v>-0.151</v>
      </c>
      <c r="AE48">
        <v>-0.40300000000000002</v>
      </c>
      <c r="AF48">
        <v>0.115</v>
      </c>
      <c r="AG48">
        <v>0.11700000000000001</v>
      </c>
      <c r="AH48">
        <v>-5.1999999999999998E-2</v>
      </c>
      <c r="AI48">
        <v>1.7999999999999999E-2</v>
      </c>
    </row>
    <row r="49" spans="1:35" x14ac:dyDescent="0.25">
      <c r="A49" t="s">
        <v>1341</v>
      </c>
      <c r="B49" t="s">
        <v>32</v>
      </c>
      <c r="C49" s="25">
        <v>43700.702245370368</v>
      </c>
      <c r="D49" s="741" t="s">
        <v>969</v>
      </c>
      <c r="E49" s="741">
        <f t="array" ref="E49">SUMPRODUCT(IF(AMP6_4[[#This Row],[Dim 1_1]:[T 8]]-$F$4:$AI$4&lt;0,1,0)+IF($F$5:$AI$5-AMP6_4[[#This Row],[Dim 1_1]:[T 8]]&lt;0,1,0),IF(ISNUMBER(AMP6_4[[#This Row],[Dim 1_1]:[T 8]])=TRUE,1,0))</f>
        <v>0</v>
      </c>
      <c r="F49">
        <v>40.912999999999997</v>
      </c>
      <c r="G49">
        <v>40.795999999999999</v>
      </c>
      <c r="H49">
        <v>155.84700000000001</v>
      </c>
      <c r="I49">
        <v>155.846</v>
      </c>
      <c r="L49">
        <v>155.87100000000001</v>
      </c>
      <c r="M49">
        <v>155.60599999999999</v>
      </c>
      <c r="N49">
        <v>27.29</v>
      </c>
      <c r="O49">
        <v>27.542999999999999</v>
      </c>
      <c r="R49">
        <v>17.262</v>
      </c>
      <c r="S49">
        <v>17.283000000000001</v>
      </c>
      <c r="T49">
        <v>33.341999999999999</v>
      </c>
      <c r="U49">
        <v>34.212000000000003</v>
      </c>
      <c r="W49">
        <v>-0.112</v>
      </c>
      <c r="X49">
        <v>-0.193</v>
      </c>
      <c r="Z49">
        <v>-3.3000000000000002E-2</v>
      </c>
      <c r="AA49">
        <v>-0.11799999999999999</v>
      </c>
      <c r="AB49">
        <v>-0.152</v>
      </c>
      <c r="AC49">
        <v>-0.112</v>
      </c>
      <c r="AD49">
        <v>-0.122</v>
      </c>
      <c r="AE49">
        <v>-0.193</v>
      </c>
      <c r="AF49">
        <v>-3.3000000000000002E-2</v>
      </c>
      <c r="AG49">
        <v>-7.4999999999999997E-2</v>
      </c>
      <c r="AH49">
        <v>-0.11799999999999999</v>
      </c>
      <c r="AI49">
        <v>-8.5999999999999993E-2</v>
      </c>
    </row>
    <row r="50" spans="1:35" x14ac:dyDescent="0.25">
      <c r="A50" t="s">
        <v>1342</v>
      </c>
      <c r="B50" t="s">
        <v>31</v>
      </c>
      <c r="C50" s="25">
        <v>43700.704780092594</v>
      </c>
      <c r="D50" s="741" t="s">
        <v>969</v>
      </c>
      <c r="E50" s="741">
        <f t="array" ref="E50">SUMPRODUCT(IF(AMP6_4[[#This Row],[Dim 1_1]:[T 8]]-$F$4:$AI$4&lt;0,1,0)+IF($F$5:$AI$5-AMP6_4[[#This Row],[Dim 1_1]:[T 8]]&lt;0,1,0),IF(ISNUMBER(AMP6_4[[#This Row],[Dim 1_1]:[T 8]])=TRUE,1,0))</f>
        <v>0</v>
      </c>
      <c r="H50">
        <v>156.215</v>
      </c>
      <c r="I50">
        <v>156.28100000000001</v>
      </c>
      <c r="J50">
        <v>168.625</v>
      </c>
      <c r="K50">
        <v>168.548</v>
      </c>
      <c r="L50">
        <v>156.30199999999999</v>
      </c>
      <c r="M50">
        <v>156.261</v>
      </c>
      <c r="N50">
        <v>26.917000000000002</v>
      </c>
      <c r="O50">
        <v>27.06</v>
      </c>
      <c r="R50">
        <v>17.224</v>
      </c>
      <c r="S50">
        <v>17.291</v>
      </c>
      <c r="T50">
        <v>37.607999999999997</v>
      </c>
      <c r="U50">
        <v>37.698</v>
      </c>
      <c r="W50">
        <v>-0.17899999999999999</v>
      </c>
      <c r="X50">
        <v>-0.375</v>
      </c>
      <c r="Z50">
        <v>-3.3000000000000002E-2</v>
      </c>
      <c r="AA50">
        <v>-0.13200000000000001</v>
      </c>
      <c r="AB50">
        <v>-0.17899999999999999</v>
      </c>
      <c r="AC50">
        <v>-0.192</v>
      </c>
      <c r="AD50">
        <v>-0.20300000000000001</v>
      </c>
      <c r="AE50">
        <v>-0.375</v>
      </c>
      <c r="AF50">
        <v>-3.3000000000000002E-2</v>
      </c>
      <c r="AG50">
        <v>-6.9000000000000006E-2</v>
      </c>
      <c r="AH50">
        <v>-0.122</v>
      </c>
      <c r="AI50">
        <v>-0.13200000000000001</v>
      </c>
    </row>
    <row r="51" spans="1:35" x14ac:dyDescent="0.25">
      <c r="A51" t="s">
        <v>1343</v>
      </c>
      <c r="B51" t="s">
        <v>32</v>
      </c>
      <c r="C51" s="25">
        <v>43701.305254629631</v>
      </c>
      <c r="D51" s="741" t="s">
        <v>969</v>
      </c>
      <c r="E51" s="741">
        <f t="array" ref="E51">SUMPRODUCT(IF(AMP6_4[[#This Row],[Dim 1_1]:[T 8]]-$F$4:$AI$4&lt;0,1,0)+IF($F$5:$AI$5-AMP6_4[[#This Row],[Dim 1_1]:[T 8]]&lt;0,1,0),IF(ISNUMBER(AMP6_4[[#This Row],[Dim 1_1]:[T 8]])=TRUE,1,0))</f>
        <v>1</v>
      </c>
      <c r="F51">
        <v>40.753</v>
      </c>
      <c r="G51">
        <v>40.628</v>
      </c>
      <c r="H51">
        <v>155.86000000000001</v>
      </c>
      <c r="I51">
        <v>155.846</v>
      </c>
      <c r="L51">
        <v>155.874</v>
      </c>
      <c r="M51">
        <v>155.583</v>
      </c>
      <c r="N51">
        <v>27.271000000000001</v>
      </c>
      <c r="O51">
        <v>27.535</v>
      </c>
      <c r="R51">
        <v>17.234000000000002</v>
      </c>
      <c r="S51">
        <v>17.251999999999999</v>
      </c>
      <c r="T51">
        <v>33.435000000000002</v>
      </c>
      <c r="U51">
        <v>34.433999999999997</v>
      </c>
      <c r="W51">
        <v>-5.6000000000000001E-2</v>
      </c>
      <c r="X51">
        <v>-0.14000000000000001</v>
      </c>
      <c r="Z51">
        <v>7.5999999999999998E-2</v>
      </c>
      <c r="AA51">
        <v>3.0000000000000001E-3</v>
      </c>
      <c r="AB51">
        <v>-8.5999999999999993E-2</v>
      </c>
      <c r="AC51">
        <v>-6.5000000000000002E-2</v>
      </c>
      <c r="AD51">
        <v>-5.6000000000000001E-2</v>
      </c>
      <c r="AE51">
        <v>-0.14000000000000001</v>
      </c>
      <c r="AF51">
        <v>7.5999999999999998E-2</v>
      </c>
      <c r="AG51">
        <v>2.4E-2</v>
      </c>
      <c r="AH51">
        <v>3.0000000000000001E-3</v>
      </c>
      <c r="AI51">
        <v>0.03</v>
      </c>
    </row>
    <row r="52" spans="1:35" x14ac:dyDescent="0.25">
      <c r="A52" t="s">
        <v>1344</v>
      </c>
      <c r="B52" t="s">
        <v>31</v>
      </c>
      <c r="C52" s="25">
        <v>43701.307719907411</v>
      </c>
      <c r="D52" s="741" t="s">
        <v>969</v>
      </c>
      <c r="E52" s="741">
        <f t="array" ref="E52">SUMPRODUCT(IF(AMP6_4[[#This Row],[Dim 1_1]:[T 8]]-$F$4:$AI$4&lt;0,1,0)+IF($F$5:$AI$5-AMP6_4[[#This Row],[Dim 1_1]:[T 8]]&lt;0,1,0),IF(ISNUMBER(AMP6_4[[#This Row],[Dim 1_1]:[T 8]])=TRUE,1,0))</f>
        <v>0</v>
      </c>
      <c r="H52">
        <v>156.20099999999999</v>
      </c>
      <c r="I52">
        <v>156.22800000000001</v>
      </c>
      <c r="J52">
        <v>168.48699999999999</v>
      </c>
      <c r="K52">
        <v>168.374</v>
      </c>
      <c r="L52">
        <v>156.267</v>
      </c>
      <c r="M52">
        <v>156.18700000000001</v>
      </c>
      <c r="N52">
        <v>26.948</v>
      </c>
      <c r="O52">
        <v>27.123999999999999</v>
      </c>
      <c r="R52">
        <v>17.216000000000001</v>
      </c>
      <c r="S52">
        <v>17.21</v>
      </c>
      <c r="T52">
        <v>37.024999999999999</v>
      </c>
      <c r="U52">
        <v>37.587000000000003</v>
      </c>
      <c r="W52">
        <v>-7.8E-2</v>
      </c>
      <c r="X52">
        <v>-0.27400000000000002</v>
      </c>
      <c r="Z52">
        <v>4.2999999999999997E-2</v>
      </c>
      <c r="AA52">
        <v>-3.0000000000000001E-3</v>
      </c>
      <c r="AB52">
        <v>-7.8E-2</v>
      </c>
      <c r="AC52">
        <v>-0.13</v>
      </c>
      <c r="AD52">
        <v>-8.6999999999999994E-2</v>
      </c>
      <c r="AE52">
        <v>-0.27400000000000002</v>
      </c>
      <c r="AF52">
        <v>4.2999999999999997E-2</v>
      </c>
      <c r="AG52">
        <v>2.7E-2</v>
      </c>
      <c r="AH52">
        <v>-3.0000000000000001E-3</v>
      </c>
      <c r="AI52">
        <v>2.7E-2</v>
      </c>
    </row>
    <row r="53" spans="1:35" x14ac:dyDescent="0.25">
      <c r="A53" t="s">
        <v>1345</v>
      </c>
      <c r="B53" t="s">
        <v>32</v>
      </c>
      <c r="C53" s="25">
        <v>43701.388402777775</v>
      </c>
      <c r="D53" s="741" t="s">
        <v>969</v>
      </c>
      <c r="E53" s="741">
        <f t="array" ref="E53">SUMPRODUCT(IF(AMP6_4[[#This Row],[Dim 1_1]:[T 8]]-$F$4:$AI$4&lt;0,1,0)+IF($F$5:$AI$5-AMP6_4[[#This Row],[Dim 1_1]:[T 8]]&lt;0,1,0),IF(ISNUMBER(AMP6_4[[#This Row],[Dim 1_1]:[T 8]])=TRUE,1,0))</f>
        <v>0</v>
      </c>
      <c r="F53">
        <v>40.984000000000002</v>
      </c>
      <c r="G53">
        <v>40.805999999999997</v>
      </c>
      <c r="H53">
        <v>155.87700000000001</v>
      </c>
      <c r="I53">
        <v>155.80699999999999</v>
      </c>
      <c r="L53">
        <v>155.85499999999999</v>
      </c>
      <c r="M53">
        <v>155.541</v>
      </c>
      <c r="N53">
        <v>27.324000000000002</v>
      </c>
      <c r="O53">
        <v>27.626000000000001</v>
      </c>
      <c r="R53">
        <v>17.239999999999998</v>
      </c>
      <c r="S53">
        <v>17.231999999999999</v>
      </c>
      <c r="T53">
        <v>33.456000000000003</v>
      </c>
      <c r="U53">
        <v>34.332999999999998</v>
      </c>
      <c r="W53">
        <v>2.1999999999999999E-2</v>
      </c>
      <c r="X53">
        <v>-7.4999999999999997E-2</v>
      </c>
      <c r="Z53">
        <v>3.9E-2</v>
      </c>
      <c r="AA53">
        <v>-0.05</v>
      </c>
      <c r="AB53">
        <v>-6.3E-2</v>
      </c>
      <c r="AC53">
        <v>-0.03</v>
      </c>
      <c r="AD53">
        <v>2.1999999999999999E-2</v>
      </c>
      <c r="AE53">
        <v>-7.4999999999999997E-2</v>
      </c>
      <c r="AF53">
        <v>3.9E-2</v>
      </c>
      <c r="AG53">
        <v>-0.05</v>
      </c>
      <c r="AH53">
        <v>-1.2999999999999999E-2</v>
      </c>
      <c r="AI53">
        <v>1.2E-2</v>
      </c>
    </row>
    <row r="54" spans="1:35" x14ac:dyDescent="0.25">
      <c r="A54" t="s">
        <v>1346</v>
      </c>
      <c r="B54" t="s">
        <v>31</v>
      </c>
      <c r="C54" s="25">
        <v>43701.390011574076</v>
      </c>
      <c r="D54" s="741" t="s">
        <v>969</v>
      </c>
      <c r="E54" s="741">
        <f t="array" ref="E54">SUMPRODUCT(IF(AMP6_4[[#This Row],[Dim 1_1]:[T 8]]-$F$4:$AI$4&lt;0,1,0)+IF($F$5:$AI$5-AMP6_4[[#This Row],[Dim 1_1]:[T 8]]&lt;0,1,0),IF(ISNUMBER(AMP6_4[[#This Row],[Dim 1_1]:[T 8]])=TRUE,1,0))</f>
        <v>0</v>
      </c>
      <c r="H54">
        <v>156.19</v>
      </c>
      <c r="I54">
        <v>156.24</v>
      </c>
      <c r="J54">
        <v>168.685</v>
      </c>
      <c r="K54">
        <v>168.55099999999999</v>
      </c>
      <c r="L54">
        <v>156.26300000000001</v>
      </c>
      <c r="M54">
        <v>156.23099999999999</v>
      </c>
      <c r="N54">
        <v>26.931000000000001</v>
      </c>
      <c r="O54">
        <v>27.082000000000001</v>
      </c>
      <c r="R54">
        <v>17.231999999999999</v>
      </c>
      <c r="S54">
        <v>17.242000000000001</v>
      </c>
      <c r="T54">
        <v>37.871000000000002</v>
      </c>
      <c r="U54">
        <v>37.658000000000001</v>
      </c>
      <c r="W54">
        <v>-0.12</v>
      </c>
      <c r="X54">
        <v>-0.33300000000000002</v>
      </c>
      <c r="Z54">
        <v>-2.8000000000000001E-2</v>
      </c>
      <c r="AA54">
        <v>-6.7000000000000004E-2</v>
      </c>
      <c r="AB54">
        <v>-0.14599999999999999</v>
      </c>
      <c r="AC54">
        <v>-0.193</v>
      </c>
      <c r="AD54">
        <v>-0.12</v>
      </c>
      <c r="AE54">
        <v>-0.33300000000000002</v>
      </c>
      <c r="AF54">
        <v>-3.4000000000000002E-2</v>
      </c>
      <c r="AG54">
        <v>-6.7000000000000004E-2</v>
      </c>
      <c r="AH54">
        <v>-2.8000000000000001E-2</v>
      </c>
      <c r="AI54">
        <v>-4.2000000000000003E-2</v>
      </c>
    </row>
    <row r="55" spans="1:35" x14ac:dyDescent="0.25">
      <c r="A55" t="s">
        <v>1347</v>
      </c>
      <c r="B55" t="s">
        <v>32</v>
      </c>
      <c r="C55" s="25">
        <v>43701.510243055556</v>
      </c>
      <c r="D55" s="741" t="s">
        <v>969</v>
      </c>
      <c r="E55" s="741">
        <f t="array" ref="E55">SUMPRODUCT(IF(AMP6_4[[#This Row],[Dim 1_1]:[T 8]]-$F$4:$AI$4&lt;0,1,0)+IF($F$5:$AI$5-AMP6_4[[#This Row],[Dim 1_1]:[T 8]]&lt;0,1,0),IF(ISNUMBER(AMP6_4[[#This Row],[Dim 1_1]:[T 8]])=TRUE,1,0))</f>
        <v>0</v>
      </c>
      <c r="F55">
        <v>40.887</v>
      </c>
      <c r="G55">
        <v>40.72</v>
      </c>
      <c r="H55">
        <v>155.84899999999999</v>
      </c>
      <c r="I55">
        <v>155.83799999999999</v>
      </c>
      <c r="L55">
        <v>155.85900000000001</v>
      </c>
      <c r="M55">
        <v>155.56700000000001</v>
      </c>
      <c r="N55">
        <v>27.303999999999998</v>
      </c>
      <c r="O55">
        <v>27.591999999999999</v>
      </c>
      <c r="R55">
        <v>17.251000000000001</v>
      </c>
      <c r="S55">
        <v>17.209</v>
      </c>
      <c r="T55">
        <v>33.493000000000002</v>
      </c>
      <c r="U55">
        <v>34.209000000000003</v>
      </c>
      <c r="W55">
        <v>2.1999999999999999E-2</v>
      </c>
      <c r="X55">
        <v>-8.3000000000000004E-2</v>
      </c>
      <c r="Z55">
        <v>1.4E-2</v>
      </c>
      <c r="AA55">
        <v>-5.3999999999999999E-2</v>
      </c>
      <c r="AB55">
        <v>-8.3000000000000004E-2</v>
      </c>
      <c r="AC55">
        <v>-5.1999999999999998E-2</v>
      </c>
      <c r="AD55">
        <v>2.1999999999999999E-2</v>
      </c>
      <c r="AE55">
        <v>-5.2999999999999999E-2</v>
      </c>
      <c r="AF55">
        <v>1.4E-2</v>
      </c>
      <c r="AG55">
        <v>-5.3999999999999999E-2</v>
      </c>
      <c r="AH55">
        <v>7.0000000000000001E-3</v>
      </c>
      <c r="AI55">
        <v>1.2E-2</v>
      </c>
    </row>
    <row r="56" spans="1:35" x14ac:dyDescent="0.25">
      <c r="A56" t="s">
        <v>1348</v>
      </c>
      <c r="B56" t="s">
        <v>31</v>
      </c>
      <c r="C56" s="25">
        <v>43701.512418981481</v>
      </c>
      <c r="D56" s="741" t="s">
        <v>969</v>
      </c>
      <c r="E56" s="741">
        <f t="array" ref="E56">SUMPRODUCT(IF(AMP6_4[[#This Row],[Dim 1_1]:[T 8]]-$F$4:$AI$4&lt;0,1,0)+IF($F$5:$AI$5-AMP6_4[[#This Row],[Dim 1_1]:[T 8]]&lt;0,1,0),IF(ISNUMBER(AMP6_4[[#This Row],[Dim 1_1]:[T 8]])=TRUE,1,0))</f>
        <v>0</v>
      </c>
      <c r="H56">
        <v>156.178</v>
      </c>
      <c r="I56">
        <v>156.25399999999999</v>
      </c>
      <c r="J56">
        <v>168.61500000000001</v>
      </c>
      <c r="K56">
        <v>168.58</v>
      </c>
      <c r="L56">
        <v>156.28100000000001</v>
      </c>
      <c r="M56">
        <v>156.26400000000001</v>
      </c>
      <c r="N56">
        <v>26.945</v>
      </c>
      <c r="O56">
        <v>27.064</v>
      </c>
      <c r="R56">
        <v>17.227</v>
      </c>
      <c r="S56">
        <v>17.216000000000001</v>
      </c>
      <c r="T56">
        <v>38.61</v>
      </c>
      <c r="U56">
        <v>39.564</v>
      </c>
      <c r="W56">
        <v>-0.13900000000000001</v>
      </c>
      <c r="X56">
        <v>-0.35199999999999998</v>
      </c>
      <c r="Z56">
        <v>-0.05</v>
      </c>
      <c r="AA56">
        <v>-0.109</v>
      </c>
      <c r="AB56">
        <v>-0.17100000000000001</v>
      </c>
      <c r="AC56">
        <v>-0.215</v>
      </c>
      <c r="AD56">
        <v>-0.13900000000000001</v>
      </c>
      <c r="AE56">
        <v>-0.35199999999999998</v>
      </c>
      <c r="AF56">
        <v>-7.4999999999999997E-2</v>
      </c>
      <c r="AG56">
        <v>-0.109</v>
      </c>
      <c r="AH56">
        <v>-0.05</v>
      </c>
      <c r="AI56">
        <v>-6.5000000000000002E-2</v>
      </c>
    </row>
    <row r="57" spans="1:35" x14ac:dyDescent="0.25">
      <c r="A57" t="s">
        <v>1349</v>
      </c>
      <c r="B57" t="s">
        <v>32</v>
      </c>
      <c r="C57" s="25">
        <v>43701.589120370372</v>
      </c>
      <c r="D57" s="741" t="s">
        <v>969</v>
      </c>
      <c r="E57" s="741">
        <f t="array" ref="E57">SUMPRODUCT(IF(AMP6_4[[#This Row],[Dim 1_1]:[T 8]]-$F$4:$AI$4&lt;0,1,0)+IF($F$5:$AI$5-AMP6_4[[#This Row],[Dim 1_1]:[T 8]]&lt;0,1,0),IF(ISNUMBER(AMP6_4[[#This Row],[Dim 1_1]:[T 8]])=TRUE,1,0))</f>
        <v>1</v>
      </c>
      <c r="F57">
        <v>41.029000000000003</v>
      </c>
      <c r="G57">
        <v>40.862000000000002</v>
      </c>
      <c r="H57">
        <v>155.89599999999999</v>
      </c>
      <c r="I57">
        <v>155.863</v>
      </c>
      <c r="L57">
        <v>155.93</v>
      </c>
      <c r="M57">
        <v>155.584</v>
      </c>
      <c r="N57">
        <v>27.27</v>
      </c>
      <c r="O57">
        <v>27.581</v>
      </c>
      <c r="R57">
        <v>17.239999999999998</v>
      </c>
      <c r="S57">
        <v>17.169</v>
      </c>
      <c r="T57">
        <v>33.302999999999997</v>
      </c>
      <c r="U57">
        <v>34.276000000000003</v>
      </c>
      <c r="W57">
        <v>1.4999999999999999E-2</v>
      </c>
      <c r="X57">
        <v>-0.14299999999999999</v>
      </c>
      <c r="Z57">
        <v>-1.7999999999999999E-2</v>
      </c>
      <c r="AA57">
        <v>-0.14099999999999999</v>
      </c>
      <c r="AB57">
        <v>-0.14299999999999999</v>
      </c>
      <c r="AC57">
        <v>-0.11799999999999999</v>
      </c>
      <c r="AD57">
        <v>1.4999999999999999E-2</v>
      </c>
      <c r="AE57">
        <v>-8.5999999999999993E-2</v>
      </c>
      <c r="AF57">
        <v>-4.4999999999999998E-2</v>
      </c>
      <c r="AG57">
        <v>-0.14099999999999999</v>
      </c>
      <c r="AH57">
        <v>-1.7999999999999999E-2</v>
      </c>
      <c r="AI57">
        <v>-3.1E-2</v>
      </c>
    </row>
    <row r="58" spans="1:35" x14ac:dyDescent="0.25">
      <c r="A58" t="s">
        <v>1350</v>
      </c>
      <c r="B58" t="s">
        <v>31</v>
      </c>
      <c r="C58" s="25">
        <v>43701.591562499998</v>
      </c>
      <c r="D58" s="741" t="s">
        <v>969</v>
      </c>
      <c r="E58" s="741">
        <f t="array" ref="E58">SUMPRODUCT(IF(AMP6_4[[#This Row],[Dim 1_1]:[T 8]]-$F$4:$AI$4&lt;0,1,0)+IF($F$5:$AI$5-AMP6_4[[#This Row],[Dim 1_1]:[T 8]]&lt;0,1,0),IF(ISNUMBER(AMP6_4[[#This Row],[Dim 1_1]:[T 8]])=TRUE,1,0))</f>
        <v>0</v>
      </c>
      <c r="H58">
        <v>156.244</v>
      </c>
      <c r="I58">
        <v>156.28700000000001</v>
      </c>
      <c r="J58">
        <v>168.82599999999999</v>
      </c>
      <c r="K58">
        <v>168.67400000000001</v>
      </c>
      <c r="L58">
        <v>156.32900000000001</v>
      </c>
      <c r="M58">
        <v>156.30000000000001</v>
      </c>
      <c r="N58">
        <v>26.844000000000001</v>
      </c>
      <c r="O58">
        <v>26.995000000000001</v>
      </c>
      <c r="R58">
        <v>17.248000000000001</v>
      </c>
      <c r="S58">
        <v>17.166</v>
      </c>
      <c r="T58">
        <v>37.707999999999998</v>
      </c>
      <c r="U58">
        <v>37.24</v>
      </c>
      <c r="W58">
        <v>-9.7000000000000003E-2</v>
      </c>
      <c r="X58">
        <v>-0.28899999999999998</v>
      </c>
      <c r="Z58">
        <v>2.9000000000000001E-2</v>
      </c>
      <c r="AA58">
        <v>-7.5999999999999998E-2</v>
      </c>
      <c r="AB58">
        <v>-0.20200000000000001</v>
      </c>
      <c r="AC58">
        <v>-0.24199999999999999</v>
      </c>
      <c r="AD58">
        <v>-9.7000000000000003E-2</v>
      </c>
      <c r="AE58">
        <v>-0.28899999999999998</v>
      </c>
      <c r="AF58">
        <v>-4.4999999999999998E-2</v>
      </c>
      <c r="AG58">
        <v>-7.5999999999999998E-2</v>
      </c>
      <c r="AH58">
        <v>2.9000000000000001E-2</v>
      </c>
      <c r="AI58">
        <v>5.0000000000000001E-3</v>
      </c>
    </row>
    <row r="59" spans="1:35" x14ac:dyDescent="0.25">
      <c r="A59" t="s">
        <v>1351</v>
      </c>
      <c r="B59" t="s">
        <v>32</v>
      </c>
      <c r="C59" s="25">
        <v>43701.706909722219</v>
      </c>
      <c r="D59" s="741" t="s">
        <v>969</v>
      </c>
      <c r="E59" s="741">
        <f t="array" ref="E59">SUMPRODUCT(IF(AMP6_4[[#This Row],[Dim 1_1]:[T 8]]-$F$4:$AI$4&lt;0,1,0)+IF($F$5:$AI$5-AMP6_4[[#This Row],[Dim 1_1]:[T 8]]&lt;0,1,0),IF(ISNUMBER(AMP6_4[[#This Row],[Dim 1_1]:[T 8]])=TRUE,1,0))</f>
        <v>1</v>
      </c>
      <c r="F59">
        <v>40.917999999999999</v>
      </c>
      <c r="G59">
        <v>40.784999999999997</v>
      </c>
      <c r="H59">
        <v>155.90600000000001</v>
      </c>
      <c r="I59">
        <v>155.84899999999999</v>
      </c>
      <c r="L59">
        <v>155.898</v>
      </c>
      <c r="M59">
        <v>155.589</v>
      </c>
      <c r="N59">
        <v>27.271000000000001</v>
      </c>
      <c r="O59">
        <v>27.59</v>
      </c>
      <c r="R59">
        <v>17.23</v>
      </c>
      <c r="S59">
        <v>17.141999999999999</v>
      </c>
      <c r="T59">
        <v>33.286000000000001</v>
      </c>
      <c r="U59">
        <v>34.319000000000003</v>
      </c>
      <c r="W59">
        <v>2.9000000000000001E-2</v>
      </c>
      <c r="X59">
        <v>-0.13500000000000001</v>
      </c>
      <c r="Z59">
        <v>2.7E-2</v>
      </c>
      <c r="AA59">
        <v>-0.1</v>
      </c>
      <c r="AB59">
        <v>-0.13500000000000001</v>
      </c>
      <c r="AC59">
        <v>-9.8000000000000004E-2</v>
      </c>
      <c r="AD59">
        <v>2.9000000000000001E-2</v>
      </c>
      <c r="AE59">
        <v>-5.3999999999999999E-2</v>
      </c>
      <c r="AF59">
        <v>-2.9000000000000001E-2</v>
      </c>
      <c r="AG59">
        <v>-0.1</v>
      </c>
      <c r="AH59">
        <v>2.4E-2</v>
      </c>
      <c r="AI59">
        <v>2.7E-2</v>
      </c>
    </row>
    <row r="60" spans="1:35" x14ac:dyDescent="0.25">
      <c r="A60" t="s">
        <v>1352</v>
      </c>
      <c r="B60" t="s">
        <v>31</v>
      </c>
      <c r="C60" s="25">
        <v>43701.709016203706</v>
      </c>
      <c r="D60" s="741" t="s">
        <v>969</v>
      </c>
      <c r="E60" s="741">
        <f t="array" ref="E60">SUMPRODUCT(IF(AMP6_4[[#This Row],[Dim 1_1]:[T 8]]-$F$4:$AI$4&lt;0,1,0)+IF($F$5:$AI$5-AMP6_4[[#This Row],[Dim 1_1]:[T 8]]&lt;0,1,0),IF(ISNUMBER(AMP6_4[[#This Row],[Dim 1_1]:[T 8]])=TRUE,1,0))</f>
        <v>0</v>
      </c>
      <c r="H60">
        <v>156.24100000000001</v>
      </c>
      <c r="I60">
        <v>156.30799999999999</v>
      </c>
      <c r="J60">
        <v>168.67599999999999</v>
      </c>
      <c r="K60">
        <v>168.572</v>
      </c>
      <c r="L60">
        <v>156.309</v>
      </c>
      <c r="M60">
        <v>156.31899999999999</v>
      </c>
      <c r="N60">
        <v>26.891999999999999</v>
      </c>
      <c r="O60">
        <v>27.004999999999999</v>
      </c>
      <c r="R60">
        <v>17.239000000000001</v>
      </c>
      <c r="S60">
        <v>17.231999999999999</v>
      </c>
      <c r="T60">
        <v>38.098999999999997</v>
      </c>
      <c r="U60">
        <v>38.290999999999997</v>
      </c>
      <c r="W60">
        <v>-0.15</v>
      </c>
      <c r="X60">
        <v>-0.34100000000000003</v>
      </c>
      <c r="Z60">
        <v>-0.1</v>
      </c>
      <c r="AA60">
        <v>-0.159</v>
      </c>
      <c r="AB60">
        <v>-0.20599999999999999</v>
      </c>
      <c r="AC60">
        <v>-0.254</v>
      </c>
      <c r="AD60">
        <v>-0.15</v>
      </c>
      <c r="AE60">
        <v>-0.34100000000000003</v>
      </c>
      <c r="AF60">
        <v>-0.128</v>
      </c>
      <c r="AG60">
        <v>-0.159</v>
      </c>
      <c r="AH60">
        <v>-0.1</v>
      </c>
      <c r="AI60">
        <v>-0.105</v>
      </c>
    </row>
    <row r="61" spans="1:35" x14ac:dyDescent="0.25">
      <c r="A61" t="s">
        <v>1353</v>
      </c>
      <c r="B61" t="s">
        <v>32</v>
      </c>
      <c r="C61" s="25">
        <v>43702.309965277775</v>
      </c>
      <c r="D61" s="741" t="s">
        <v>969</v>
      </c>
      <c r="E61" s="741" t="e">
        <f t="array" ref="E61">SUMPRODUCT(IF(AMP6_4[[#This Row],[Dim 1_1]:[T 8]]-$F$4:$AI$4&lt;0,1,0)+IF($F$5:$AI$5-AMP6_4[[#This Row],[Dim 1_1]:[T 8]]&lt;0,1,0),IF(ISNUMBER(AMP6_4[[#This Row],[Dim 1_1]:[T 8]])=TRUE,1,0))</f>
        <v>#VALUE!</v>
      </c>
      <c r="F61">
        <v>40.887</v>
      </c>
      <c r="G61">
        <v>40.756</v>
      </c>
      <c r="H61">
        <v>155.85300000000001</v>
      </c>
      <c r="I61">
        <v>155.81700000000001</v>
      </c>
      <c r="L61">
        <v>155.87700000000001</v>
      </c>
      <c r="M61">
        <v>155.523</v>
      </c>
      <c r="N61">
        <v>27.268999999999998</v>
      </c>
      <c r="O61">
        <v>27.611999999999998</v>
      </c>
      <c r="R61">
        <v>17.231999999999999</v>
      </c>
      <c r="S61">
        <v>17.12</v>
      </c>
      <c r="T61">
        <v>33.682000000000002</v>
      </c>
      <c r="U61">
        <v>34.414999999999999</v>
      </c>
      <c r="W61">
        <v>0.128</v>
      </c>
      <c r="X61">
        <v>-6.0999999999999999E-2</v>
      </c>
      <c r="Z61">
        <v>0.161</v>
      </c>
      <c r="AA61">
        <v>-7.0000000000000001E-3</v>
      </c>
      <c r="AB61">
        <v>-6.0999999999999999E-2</v>
      </c>
      <c r="AC61">
        <v>-2.5999999999999999E-2</v>
      </c>
      <c r="AD61">
        <v>0.128</v>
      </c>
      <c r="AE61">
        <v>8.4000000000000005E-2</v>
      </c>
      <c r="AF61">
        <v>6.4000000000000001E-2</v>
      </c>
      <c r="AG61">
        <v>-7.0000000000000001E-3</v>
      </c>
      <c r="AH61">
        <v>0.13</v>
      </c>
      <c r="AI61">
        <v>0.161</v>
      </c>
    </row>
    <row r="62" spans="1:35" x14ac:dyDescent="0.25">
      <c r="A62" t="s">
        <v>1354</v>
      </c>
      <c r="B62" t="s">
        <v>31</v>
      </c>
      <c r="C62" s="25">
        <v>43702.312152777777</v>
      </c>
      <c r="D62" s="741" t="s">
        <v>969</v>
      </c>
      <c r="E62" s="741" t="e">
        <f t="array" ref="E62">SUMPRODUCT(IF(AMP6_4[[#This Row],[Dim 1_1]:[T 8]]-$F$4:$AI$4&lt;0,1,0)+IF($F$5:$AI$5-AMP6_4[[#This Row],[Dim 1_1]:[T 8]]&lt;0,1,0),IF(ISNUMBER(AMP6_4[[#This Row],[Dim 1_1]:[T 8]])=TRUE,1,0))</f>
        <v>#VALUE!</v>
      </c>
      <c r="H62">
        <v>156.25200000000001</v>
      </c>
      <c r="I62">
        <v>156.31700000000001</v>
      </c>
      <c r="J62">
        <v>168.64</v>
      </c>
      <c r="K62">
        <v>168.60400000000001</v>
      </c>
      <c r="L62">
        <v>156.31700000000001</v>
      </c>
      <c r="M62">
        <v>156.298</v>
      </c>
      <c r="N62">
        <v>26.891999999999999</v>
      </c>
      <c r="O62">
        <v>27.013000000000002</v>
      </c>
      <c r="R62">
        <v>17.204999999999998</v>
      </c>
      <c r="S62">
        <v>17.201000000000001</v>
      </c>
      <c r="T62">
        <v>36.520000000000003</v>
      </c>
      <c r="U62">
        <v>37.741999999999997</v>
      </c>
      <c r="W62">
        <v>-5.5E-2</v>
      </c>
      <c r="X62">
        <v>-0.247</v>
      </c>
      <c r="Z62">
        <v>4.0000000000000001E-3</v>
      </c>
      <c r="AA62">
        <v>-0.104</v>
      </c>
      <c r="AB62">
        <v>-0.16500000000000001</v>
      </c>
      <c r="AC62">
        <v>-0.21</v>
      </c>
      <c r="AD62">
        <v>-5.5E-2</v>
      </c>
      <c r="AE62">
        <v>-0.247</v>
      </c>
      <c r="AF62">
        <v>-0.06</v>
      </c>
      <c r="AG62">
        <v>-0.104</v>
      </c>
      <c r="AH62">
        <v>0</v>
      </c>
      <c r="AI62">
        <v>4.0000000000000001E-3</v>
      </c>
    </row>
    <row r="63" spans="1:35" x14ac:dyDescent="0.25">
      <c r="A63" t="s">
        <v>1355</v>
      </c>
      <c r="B63" t="s">
        <v>32</v>
      </c>
      <c r="C63" s="25">
        <v>43702.402384259258</v>
      </c>
      <c r="D63" s="741" t="s">
        <v>969</v>
      </c>
      <c r="E63" s="741" t="e">
        <f t="array" ref="E63">SUMPRODUCT(IF(AMP6_4[[#This Row],[Dim 1_1]:[T 8]]-$F$4:$AI$4&lt;0,1,0)+IF($F$5:$AI$5-AMP6_4[[#This Row],[Dim 1_1]:[T 8]]&lt;0,1,0),IF(ISNUMBER(AMP6_4[[#This Row],[Dim 1_1]:[T 8]])=TRUE,1,0))</f>
        <v>#VALUE!</v>
      </c>
      <c r="F63">
        <v>40.96</v>
      </c>
      <c r="G63">
        <v>40.866999999999997</v>
      </c>
      <c r="H63">
        <v>155.88900000000001</v>
      </c>
      <c r="I63">
        <v>155.83000000000001</v>
      </c>
      <c r="L63">
        <v>155.85900000000001</v>
      </c>
      <c r="M63">
        <v>155.52000000000001</v>
      </c>
      <c r="N63">
        <v>27.292000000000002</v>
      </c>
      <c r="O63">
        <v>27.631</v>
      </c>
      <c r="R63">
        <v>17.341000000000001</v>
      </c>
      <c r="S63">
        <v>17.195</v>
      </c>
      <c r="T63">
        <v>33.326000000000001</v>
      </c>
      <c r="U63">
        <v>34.36</v>
      </c>
      <c r="W63">
        <v>0.10100000000000001</v>
      </c>
      <c r="X63">
        <v>-0.17599999999999999</v>
      </c>
      <c r="Z63">
        <v>3.5000000000000003E-2</v>
      </c>
      <c r="AA63">
        <v>-0.186</v>
      </c>
      <c r="AB63">
        <v>-0.17599999999999999</v>
      </c>
      <c r="AC63">
        <v>-0.13</v>
      </c>
      <c r="AD63">
        <v>0.10100000000000001</v>
      </c>
      <c r="AE63">
        <v>-5.0000000000000001E-3</v>
      </c>
      <c r="AF63">
        <v>-0.186</v>
      </c>
      <c r="AG63">
        <v>-0.17199999999999999</v>
      </c>
      <c r="AH63">
        <v>4.0000000000000001E-3</v>
      </c>
      <c r="AI63">
        <v>3.5000000000000003E-2</v>
      </c>
    </row>
    <row r="64" spans="1:35" x14ac:dyDescent="0.25">
      <c r="A64" t="s">
        <v>1356</v>
      </c>
      <c r="B64" t="s">
        <v>31</v>
      </c>
      <c r="C64" s="25">
        <v>43702.404143518521</v>
      </c>
      <c r="D64" s="741" t="s">
        <v>969</v>
      </c>
      <c r="E64" s="741" t="e">
        <f t="array" ref="E64">SUMPRODUCT(IF(AMP6_4[[#This Row],[Dim 1_1]:[T 8]]-$F$4:$AI$4&lt;0,1,0)+IF($F$5:$AI$5-AMP6_4[[#This Row],[Dim 1_1]:[T 8]]&lt;0,1,0),IF(ISNUMBER(AMP6_4[[#This Row],[Dim 1_1]:[T 8]])=TRUE,1,0))</f>
        <v>#VALUE!</v>
      </c>
      <c r="H64">
        <v>156.27799999999999</v>
      </c>
      <c r="I64">
        <v>156.31800000000001</v>
      </c>
      <c r="J64">
        <v>168.745</v>
      </c>
      <c r="K64">
        <v>168.63300000000001</v>
      </c>
      <c r="L64">
        <v>156.375</v>
      </c>
      <c r="M64">
        <v>156.35400000000001</v>
      </c>
      <c r="N64">
        <v>26.841000000000001</v>
      </c>
      <c r="O64">
        <v>26.992000000000001</v>
      </c>
      <c r="R64">
        <v>17.21</v>
      </c>
      <c r="S64">
        <v>17.134</v>
      </c>
      <c r="T64">
        <v>38.006</v>
      </c>
      <c r="U64">
        <v>38.917999999999999</v>
      </c>
      <c r="W64">
        <v>-7.4999999999999997E-2</v>
      </c>
      <c r="X64">
        <v>-0.29199999999999998</v>
      </c>
      <c r="Z64">
        <v>4.7E-2</v>
      </c>
      <c r="AA64">
        <v>-0.13700000000000001</v>
      </c>
      <c r="AB64">
        <v>-0.23499999999999999</v>
      </c>
      <c r="AC64">
        <v>-0.29199999999999998</v>
      </c>
      <c r="AD64">
        <v>-7.4999999999999997E-2</v>
      </c>
      <c r="AE64">
        <v>-0.22800000000000001</v>
      </c>
      <c r="AF64">
        <v>-0.109</v>
      </c>
      <c r="AG64">
        <v>-0.13700000000000001</v>
      </c>
      <c r="AH64">
        <v>4.7E-2</v>
      </c>
      <c r="AI64">
        <v>4.3999999999999997E-2</v>
      </c>
    </row>
    <row r="65" spans="1:35" x14ac:dyDescent="0.25">
      <c r="A65" t="s">
        <v>1357</v>
      </c>
      <c r="B65" t="s">
        <v>32</v>
      </c>
      <c r="C65" s="25">
        <v>43702.48159722222</v>
      </c>
      <c r="D65" s="741" t="s">
        <v>969</v>
      </c>
      <c r="E65" s="741" t="e">
        <f t="array" ref="E65">SUMPRODUCT(IF(AMP6_4[[#This Row],[Dim 1_1]:[T 8]]-$F$4:$AI$4&lt;0,1,0)+IF($F$5:$AI$5-AMP6_4[[#This Row],[Dim 1_1]:[T 8]]&lt;0,1,0),IF(ISNUMBER(AMP6_4[[#This Row],[Dim 1_1]:[T 8]])=TRUE,1,0))</f>
        <v>#VALUE!</v>
      </c>
      <c r="F65">
        <v>40.850999999999999</v>
      </c>
      <c r="G65">
        <v>40.710999999999999</v>
      </c>
      <c r="H65">
        <v>155.81200000000001</v>
      </c>
      <c r="I65">
        <v>155.83199999999999</v>
      </c>
      <c r="L65">
        <v>155.834</v>
      </c>
      <c r="M65">
        <v>155.53299999999999</v>
      </c>
      <c r="N65">
        <v>27.288</v>
      </c>
      <c r="O65">
        <v>27.581</v>
      </c>
      <c r="R65">
        <v>17.143999999999998</v>
      </c>
      <c r="S65">
        <v>17.161999999999999</v>
      </c>
      <c r="T65">
        <v>33.591999999999999</v>
      </c>
      <c r="U65">
        <v>34.338000000000001</v>
      </c>
      <c r="W65">
        <v>-3.7999999999999999E-2</v>
      </c>
      <c r="X65">
        <v>-0.09</v>
      </c>
      <c r="Z65">
        <v>0.14699999999999999</v>
      </c>
      <c r="AA65">
        <v>7.4999999999999997E-2</v>
      </c>
      <c r="AB65">
        <v>-0.09</v>
      </c>
      <c r="AC65">
        <v>-3.7999999999999999E-2</v>
      </c>
      <c r="AD65">
        <v>-3.9E-2</v>
      </c>
      <c r="AE65">
        <v>-8.4000000000000005E-2</v>
      </c>
      <c r="AF65">
        <v>0.14699999999999999</v>
      </c>
      <c r="AG65">
        <v>0.08</v>
      </c>
      <c r="AH65">
        <v>0.128</v>
      </c>
      <c r="AI65">
        <v>7.4999999999999997E-2</v>
      </c>
    </row>
    <row r="66" spans="1:35" x14ac:dyDescent="0.25">
      <c r="A66" t="s">
        <v>1358</v>
      </c>
      <c r="B66" t="s">
        <v>31</v>
      </c>
      <c r="C66" s="25">
        <v>43702.483634259261</v>
      </c>
      <c r="D66" s="741" t="s">
        <v>969</v>
      </c>
      <c r="E66" s="741" t="e">
        <f t="array" ref="E66">SUMPRODUCT(IF(AMP6_4[[#This Row],[Dim 1_1]:[T 8]]-$F$4:$AI$4&lt;0,1,0)+IF($F$5:$AI$5-AMP6_4[[#This Row],[Dim 1_1]:[T 8]]&lt;0,1,0),IF(ISNUMBER(AMP6_4[[#This Row],[Dim 1_1]:[T 8]])=TRUE,1,0))</f>
        <v>#VALUE!</v>
      </c>
      <c r="H66">
        <v>156.184</v>
      </c>
      <c r="I66">
        <v>156.304</v>
      </c>
      <c r="J66">
        <v>168.56899999999999</v>
      </c>
      <c r="K66">
        <v>168.48400000000001</v>
      </c>
      <c r="L66">
        <v>156.28800000000001</v>
      </c>
      <c r="M66">
        <v>156.327</v>
      </c>
      <c r="N66">
        <v>26.94</v>
      </c>
      <c r="O66">
        <v>26.981000000000002</v>
      </c>
      <c r="R66">
        <v>17.216000000000001</v>
      </c>
      <c r="S66">
        <v>17.222000000000001</v>
      </c>
      <c r="T66">
        <v>37.792999999999999</v>
      </c>
      <c r="U66">
        <v>37.040999999999997</v>
      </c>
      <c r="W66">
        <v>-0.17</v>
      </c>
      <c r="X66">
        <v>-0.32500000000000001</v>
      </c>
      <c r="Z66">
        <v>-2.5000000000000001E-2</v>
      </c>
      <c r="AA66">
        <v>-6.9000000000000006E-2</v>
      </c>
      <c r="AB66">
        <v>-0.26500000000000001</v>
      </c>
      <c r="AC66">
        <v>-0.32500000000000001</v>
      </c>
      <c r="AD66">
        <v>-0.17</v>
      </c>
      <c r="AE66">
        <v>-0.19</v>
      </c>
      <c r="AF66">
        <v>-3.5999999999999997E-2</v>
      </c>
      <c r="AG66">
        <v>-6.9000000000000006E-2</v>
      </c>
      <c r="AH66">
        <v>-2.5000000000000001E-2</v>
      </c>
      <c r="AI66">
        <v>-3.4000000000000002E-2</v>
      </c>
    </row>
    <row r="67" spans="1:35" x14ac:dyDescent="0.25">
      <c r="A67" t="s">
        <v>1359</v>
      </c>
      <c r="B67" t="s">
        <v>32</v>
      </c>
      <c r="C67" s="25">
        <v>43702.577893518515</v>
      </c>
      <c r="D67" s="741" t="s">
        <v>969</v>
      </c>
      <c r="E67" s="741" t="e">
        <f t="array" ref="E67">SUMPRODUCT(IF(AMP6_4[[#This Row],[Dim 1_1]:[T 8]]-$F$4:$AI$4&lt;0,1,0)+IF($F$5:$AI$5-AMP6_4[[#This Row],[Dim 1_1]:[T 8]]&lt;0,1,0),IF(ISNUMBER(AMP6_4[[#This Row],[Dim 1_1]:[T 8]])=TRUE,1,0))</f>
        <v>#VALUE!</v>
      </c>
      <c r="F67">
        <v>40.814999999999998</v>
      </c>
      <c r="G67">
        <v>40.722999999999999</v>
      </c>
      <c r="H67">
        <v>155.94900000000001</v>
      </c>
      <c r="I67">
        <v>155.876</v>
      </c>
      <c r="L67">
        <v>155.94999999999999</v>
      </c>
      <c r="M67">
        <v>155.601</v>
      </c>
      <c r="N67">
        <v>27.204000000000001</v>
      </c>
      <c r="O67">
        <v>27.539000000000001</v>
      </c>
      <c r="R67">
        <v>17.241</v>
      </c>
      <c r="S67">
        <v>17.068999999999999</v>
      </c>
      <c r="T67">
        <v>33.253999999999998</v>
      </c>
      <c r="U67">
        <v>34.378</v>
      </c>
      <c r="W67">
        <v>4.3999999999999997E-2</v>
      </c>
      <c r="X67">
        <v>-0.22800000000000001</v>
      </c>
      <c r="Z67">
        <v>7.2999999999999995E-2</v>
      </c>
      <c r="AA67">
        <v>-0.157</v>
      </c>
      <c r="AB67">
        <v>-0.22800000000000001</v>
      </c>
      <c r="AC67">
        <v>-0.193</v>
      </c>
      <c r="AD67">
        <v>4.3999999999999997E-2</v>
      </c>
      <c r="AE67">
        <v>-1.7999999999999999E-2</v>
      </c>
      <c r="AF67">
        <v>-8.2000000000000003E-2</v>
      </c>
      <c r="AG67">
        <v>-0.157</v>
      </c>
      <c r="AH67">
        <v>7.2999999999999995E-2</v>
      </c>
      <c r="AI67">
        <v>4.2000000000000003E-2</v>
      </c>
    </row>
    <row r="68" spans="1:35" x14ac:dyDescent="0.25">
      <c r="A68" t="s">
        <v>1360</v>
      </c>
      <c r="B68" t="s">
        <v>31</v>
      </c>
      <c r="C68" s="25">
        <v>43702.580231481479</v>
      </c>
      <c r="D68" s="741" t="s">
        <v>969</v>
      </c>
      <c r="E68" s="741" t="e">
        <f t="array" ref="E68">SUMPRODUCT(IF(AMP6_4[[#This Row],[Dim 1_1]:[T 8]]-$F$4:$AI$4&lt;0,1,0)+IF($F$5:$AI$5-AMP6_4[[#This Row],[Dim 1_1]:[T 8]]&lt;0,1,0),IF(ISNUMBER(AMP6_4[[#This Row],[Dim 1_1]:[T 8]])=TRUE,1,0))</f>
        <v>#VALUE!</v>
      </c>
      <c r="H68">
        <v>156.28899999999999</v>
      </c>
      <c r="I68">
        <v>156.387</v>
      </c>
      <c r="J68">
        <v>168.65799999999999</v>
      </c>
      <c r="K68">
        <v>168.529</v>
      </c>
      <c r="L68">
        <v>156.404</v>
      </c>
      <c r="M68">
        <v>156.404</v>
      </c>
      <c r="N68">
        <v>26.818999999999999</v>
      </c>
      <c r="O68">
        <v>26.934000000000001</v>
      </c>
      <c r="R68">
        <v>17.233000000000001</v>
      </c>
      <c r="S68">
        <v>17.231000000000002</v>
      </c>
      <c r="T68">
        <v>37.305</v>
      </c>
      <c r="U68">
        <v>37.567999999999998</v>
      </c>
      <c r="W68">
        <v>-0.17899999999999999</v>
      </c>
      <c r="X68">
        <v>-0.38500000000000001</v>
      </c>
      <c r="Z68">
        <v>-9.5000000000000001E-2</v>
      </c>
      <c r="AA68">
        <v>-0.20799999999999999</v>
      </c>
      <c r="AB68">
        <v>-0.248</v>
      </c>
      <c r="AC68">
        <v>-0.31900000000000001</v>
      </c>
      <c r="AD68">
        <v>-0.17899999999999999</v>
      </c>
      <c r="AE68">
        <v>-0.38500000000000001</v>
      </c>
      <c r="AF68">
        <v>-0.16700000000000001</v>
      </c>
      <c r="AG68">
        <v>-0.20799999999999999</v>
      </c>
      <c r="AH68">
        <v>-9.5000000000000001E-2</v>
      </c>
      <c r="AI68">
        <v>-0.14799999999999999</v>
      </c>
    </row>
    <row r="69" spans="1:35" x14ac:dyDescent="0.25">
      <c r="A69" t="s">
        <v>1361</v>
      </c>
      <c r="B69" t="s">
        <v>32</v>
      </c>
      <c r="C69" s="25">
        <v>43702.665706018517</v>
      </c>
      <c r="D69" s="741" t="s">
        <v>969</v>
      </c>
      <c r="E69" s="741" t="e">
        <f t="array" ref="E69">SUMPRODUCT(IF(AMP6_4[[#This Row],[Dim 1_1]:[T 8]]-$F$4:$AI$4&lt;0,1,0)+IF($F$5:$AI$5-AMP6_4[[#This Row],[Dim 1_1]:[T 8]]&lt;0,1,0),IF(ISNUMBER(AMP6_4[[#This Row],[Dim 1_1]:[T 8]])=TRUE,1,0))</f>
        <v>#VALUE!</v>
      </c>
      <c r="F69">
        <v>40.881999999999998</v>
      </c>
      <c r="G69">
        <v>40.722999999999999</v>
      </c>
      <c r="H69">
        <v>155.90799999999999</v>
      </c>
      <c r="I69">
        <v>155.9</v>
      </c>
      <c r="L69">
        <v>155.89699999999999</v>
      </c>
      <c r="M69">
        <v>155.52699999999999</v>
      </c>
      <c r="N69">
        <v>27.26</v>
      </c>
      <c r="O69">
        <v>27.638999999999999</v>
      </c>
      <c r="R69">
        <v>17.28</v>
      </c>
      <c r="S69">
        <v>17.143000000000001</v>
      </c>
      <c r="T69">
        <v>33.234000000000002</v>
      </c>
      <c r="U69">
        <v>34.295000000000002</v>
      </c>
      <c r="W69">
        <v>0.109</v>
      </c>
      <c r="X69">
        <v>-0.157</v>
      </c>
      <c r="Z69">
        <v>-1.0999999999999999E-2</v>
      </c>
      <c r="AA69">
        <v>-0.224</v>
      </c>
      <c r="AB69">
        <v>-0.157</v>
      </c>
      <c r="AC69">
        <v>-0.107</v>
      </c>
      <c r="AD69">
        <v>9.4E-2</v>
      </c>
      <c r="AE69">
        <v>0.109</v>
      </c>
      <c r="AF69">
        <v>-0.11600000000000001</v>
      </c>
      <c r="AG69">
        <v>-0.224</v>
      </c>
      <c r="AH69">
        <v>-1.0999999999999999E-2</v>
      </c>
      <c r="AI69">
        <v>-6.5000000000000002E-2</v>
      </c>
    </row>
    <row r="70" spans="1:35" x14ac:dyDescent="0.25">
      <c r="A70" t="s">
        <v>1362</v>
      </c>
      <c r="B70" t="s">
        <v>31</v>
      </c>
      <c r="C70" s="25">
        <v>43702.667407407411</v>
      </c>
      <c r="D70" s="741" t="s">
        <v>969</v>
      </c>
      <c r="E70" s="741" t="e">
        <f t="array" ref="E70">SUMPRODUCT(IF(AMP6_4[[#This Row],[Dim 1_1]:[T 8]]-$F$4:$AI$4&lt;0,1,0)+IF($F$5:$AI$5-AMP6_4[[#This Row],[Dim 1_1]:[T 8]]&lt;0,1,0),IF(ISNUMBER(AMP6_4[[#This Row],[Dim 1_1]:[T 8]])=TRUE,1,0))</f>
        <v>#VALUE!</v>
      </c>
      <c r="H70">
        <v>156.29599999999999</v>
      </c>
      <c r="I70">
        <v>156.381</v>
      </c>
      <c r="J70">
        <v>168.721</v>
      </c>
      <c r="K70">
        <v>168.654</v>
      </c>
      <c r="L70">
        <v>156.44900000000001</v>
      </c>
      <c r="M70">
        <v>156.452</v>
      </c>
      <c r="N70">
        <v>26.78</v>
      </c>
      <c r="O70">
        <v>26.866</v>
      </c>
      <c r="R70">
        <v>17.231000000000002</v>
      </c>
      <c r="S70">
        <v>17.175000000000001</v>
      </c>
      <c r="T70">
        <v>38.457000000000001</v>
      </c>
      <c r="U70">
        <v>39.381</v>
      </c>
      <c r="W70">
        <v>-0.187</v>
      </c>
      <c r="X70">
        <v>-0.41599999999999998</v>
      </c>
      <c r="Z70">
        <v>-9.4E-2</v>
      </c>
      <c r="AA70">
        <v>-0.14499999999999999</v>
      </c>
      <c r="AB70">
        <v>-0.24399999999999999</v>
      </c>
      <c r="AC70">
        <v>-0.28799999999999998</v>
      </c>
      <c r="AD70">
        <v>-0.187</v>
      </c>
      <c r="AE70">
        <v>-0.41599999999999998</v>
      </c>
      <c r="AF70">
        <v>-0.114</v>
      </c>
      <c r="AG70">
        <v>-0.14499999999999999</v>
      </c>
      <c r="AH70">
        <v>-0.105</v>
      </c>
      <c r="AI70">
        <v>-9.4E-2</v>
      </c>
    </row>
    <row r="71" spans="1:35" x14ac:dyDescent="0.25">
      <c r="A71" t="s">
        <v>1568</v>
      </c>
      <c r="B71" t="s">
        <v>32</v>
      </c>
      <c r="C71" s="25">
        <v>43703.373761574076</v>
      </c>
      <c r="D71" s="741" t="s">
        <v>969</v>
      </c>
      <c r="E71" s="741" t="e">
        <f t="array" ref="E71">SUMPRODUCT(IF(AMP6_4[[#This Row],[Dim 1_1]:[T 8]]-$F$4:$AI$4&lt;0,1,0)+IF($F$5:$AI$5-AMP6_4[[#This Row],[Dim 1_1]:[T 8]]&lt;0,1,0),IF(ISNUMBER(AMP6_4[[#This Row],[Dim 1_1]:[T 8]])=TRUE,1,0))</f>
        <v>#VALUE!</v>
      </c>
      <c r="F71">
        <v>40.707999999999998</v>
      </c>
      <c r="G71">
        <v>40.54</v>
      </c>
      <c r="H71">
        <v>155.92400000000001</v>
      </c>
      <c r="I71">
        <v>155.85400000000001</v>
      </c>
      <c r="L71">
        <v>156.05799999999999</v>
      </c>
      <c r="M71">
        <v>155.69</v>
      </c>
      <c r="N71">
        <v>27.032</v>
      </c>
      <c r="O71">
        <v>27.331</v>
      </c>
      <c r="R71">
        <v>17.224</v>
      </c>
      <c r="S71">
        <v>17.195</v>
      </c>
      <c r="T71">
        <v>33.508000000000003</v>
      </c>
      <c r="U71">
        <v>34.334000000000003</v>
      </c>
      <c r="W71">
        <v>-4.2000000000000003E-2</v>
      </c>
      <c r="X71">
        <v>-0.123</v>
      </c>
      <c r="Z71">
        <v>2E-3</v>
      </c>
      <c r="AA71">
        <v>-7.9000000000000001E-2</v>
      </c>
      <c r="AB71">
        <v>-0.123</v>
      </c>
      <c r="AC71">
        <v>-7.0999999999999994E-2</v>
      </c>
      <c r="AD71">
        <v>-4.2000000000000003E-2</v>
      </c>
      <c r="AE71">
        <v>-0.108</v>
      </c>
      <c r="AF71">
        <v>2E-3</v>
      </c>
      <c r="AG71">
        <v>-7.9000000000000001E-2</v>
      </c>
      <c r="AH71">
        <v>-4.2999999999999997E-2</v>
      </c>
      <c r="AI71">
        <v>-1.2E-2</v>
      </c>
    </row>
    <row r="72" spans="1:35" x14ac:dyDescent="0.25">
      <c r="A72" t="s">
        <v>1569</v>
      </c>
      <c r="B72" t="s">
        <v>31</v>
      </c>
      <c r="C72" s="25">
        <v>43703.375902777778</v>
      </c>
      <c r="D72" s="741" t="s">
        <v>969</v>
      </c>
      <c r="E72" s="741" t="e">
        <f t="array" ref="E72">SUMPRODUCT(IF(AMP6_4[[#This Row],[Dim 1_1]:[T 8]]-$F$4:$AI$4&lt;0,1,0)+IF($F$5:$AI$5-AMP6_4[[#This Row],[Dim 1_1]:[T 8]]&lt;0,1,0),IF(ISNUMBER(AMP6_4[[#This Row],[Dim 1_1]:[T 8]])=TRUE,1,0))</f>
        <v>#VALUE!</v>
      </c>
      <c r="H72">
        <v>156.01300000000001</v>
      </c>
      <c r="I72">
        <v>156.03</v>
      </c>
      <c r="J72">
        <v>168.36699999999999</v>
      </c>
      <c r="K72">
        <v>168.22900000000001</v>
      </c>
      <c r="L72">
        <v>156.08000000000001</v>
      </c>
      <c r="M72">
        <v>156.01</v>
      </c>
      <c r="N72">
        <v>27.148</v>
      </c>
      <c r="O72">
        <v>27.242000000000001</v>
      </c>
      <c r="R72">
        <v>17.245000000000001</v>
      </c>
      <c r="S72">
        <v>17.161999999999999</v>
      </c>
      <c r="T72">
        <v>37.893000000000001</v>
      </c>
      <c r="U72">
        <v>38.042999999999999</v>
      </c>
      <c r="W72">
        <v>0.11899999999999999</v>
      </c>
      <c r="X72">
        <v>-0.127</v>
      </c>
      <c r="Z72">
        <v>7.6999999999999999E-2</v>
      </c>
      <c r="AA72">
        <v>-0.106</v>
      </c>
      <c r="AB72">
        <v>7.0000000000000001E-3</v>
      </c>
      <c r="AC72">
        <v>-4.1000000000000002E-2</v>
      </c>
      <c r="AD72">
        <v>0.11899999999999999</v>
      </c>
      <c r="AE72">
        <v>-0.127</v>
      </c>
      <c r="AF72">
        <v>-6.6000000000000003E-2</v>
      </c>
      <c r="AG72">
        <v>-0.106</v>
      </c>
      <c r="AH72">
        <v>7.6999999999999999E-2</v>
      </c>
      <c r="AI72">
        <v>4.3999999999999997E-2</v>
      </c>
    </row>
    <row r="73" spans="1:35" x14ac:dyDescent="0.25">
      <c r="A73" t="s">
        <v>1570</v>
      </c>
      <c r="B73" t="s">
        <v>32</v>
      </c>
      <c r="C73" s="25">
        <v>43703.460231481484</v>
      </c>
      <c r="D73" s="741" t="s">
        <v>969</v>
      </c>
      <c r="E73" s="741" t="e">
        <f t="array" ref="E73">SUMPRODUCT(IF(AMP6_4[[#This Row],[Dim 1_1]:[T 8]]-$F$4:$AI$4&lt;0,1,0)+IF($F$5:$AI$5-AMP6_4[[#This Row],[Dim 1_1]:[T 8]]&lt;0,1,0),IF(ISNUMBER(AMP6_4[[#This Row],[Dim 1_1]:[T 8]])=TRUE,1,0))</f>
        <v>#VALUE!</v>
      </c>
      <c r="F73">
        <v>41.17</v>
      </c>
      <c r="G73">
        <v>40.954999999999998</v>
      </c>
      <c r="H73">
        <v>155.87299999999999</v>
      </c>
      <c r="I73">
        <v>155.83500000000001</v>
      </c>
      <c r="L73">
        <v>155.97900000000001</v>
      </c>
      <c r="M73">
        <v>155.625</v>
      </c>
      <c r="N73">
        <v>27.155000000000001</v>
      </c>
      <c r="O73">
        <v>27.408000000000001</v>
      </c>
      <c r="R73">
        <v>17.228999999999999</v>
      </c>
      <c r="S73">
        <v>17.155999999999999</v>
      </c>
      <c r="T73">
        <v>33.414999999999999</v>
      </c>
      <c r="U73">
        <v>34.375</v>
      </c>
      <c r="W73">
        <v>0.05</v>
      </c>
      <c r="X73">
        <v>-2.4E-2</v>
      </c>
      <c r="Z73">
        <v>1E-3</v>
      </c>
      <c r="AA73">
        <v>-0.123</v>
      </c>
      <c r="AB73">
        <v>-2.4E-2</v>
      </c>
      <c r="AC73">
        <v>0.03</v>
      </c>
      <c r="AD73">
        <v>-6.0000000000000001E-3</v>
      </c>
      <c r="AE73">
        <v>0.05</v>
      </c>
      <c r="AF73">
        <v>-1.9E-2</v>
      </c>
      <c r="AG73">
        <v>-0.123</v>
      </c>
      <c r="AH73">
        <v>1E-3</v>
      </c>
      <c r="AI73">
        <v>-3.7999999999999999E-2</v>
      </c>
    </row>
    <row r="74" spans="1:35" x14ac:dyDescent="0.25">
      <c r="A74" t="s">
        <v>1571</v>
      </c>
      <c r="B74" t="s">
        <v>31</v>
      </c>
      <c r="C74" s="25">
        <v>43703.461793981478</v>
      </c>
      <c r="D74" s="741" t="s">
        <v>969</v>
      </c>
      <c r="E74" s="741" t="e">
        <f t="array" ref="E74">SUMPRODUCT(IF(AMP6_4[[#This Row],[Dim 1_1]:[T 8]]-$F$4:$AI$4&lt;0,1,0)+IF($F$5:$AI$5-AMP6_4[[#This Row],[Dim 1_1]:[T 8]]&lt;0,1,0),IF(ISNUMBER(AMP6_4[[#This Row],[Dim 1_1]:[T 8]])=TRUE,1,0))</f>
        <v>#VALUE!</v>
      </c>
      <c r="H74">
        <v>155.94200000000001</v>
      </c>
      <c r="I74">
        <v>155.977</v>
      </c>
      <c r="J74">
        <v>168.739</v>
      </c>
      <c r="K74">
        <v>168.488</v>
      </c>
      <c r="L74">
        <v>156.017</v>
      </c>
      <c r="M74">
        <v>155.965</v>
      </c>
      <c r="N74">
        <v>27.164999999999999</v>
      </c>
      <c r="O74">
        <v>27.248999999999999</v>
      </c>
      <c r="R74">
        <v>17.234999999999999</v>
      </c>
      <c r="S74">
        <v>17.245999999999999</v>
      </c>
      <c r="T74">
        <v>37.622999999999998</v>
      </c>
      <c r="U74">
        <v>37.722999999999999</v>
      </c>
      <c r="W74">
        <v>-8.9999999999999993E-3</v>
      </c>
      <c r="X74">
        <v>-0.254</v>
      </c>
      <c r="Z74">
        <v>-2.7E-2</v>
      </c>
      <c r="AA74">
        <v>-7.0000000000000007E-2</v>
      </c>
      <c r="AB74">
        <v>-8.9999999999999993E-3</v>
      </c>
      <c r="AC74">
        <v>-6.3E-2</v>
      </c>
      <c r="AD74">
        <v>-0.01</v>
      </c>
      <c r="AE74">
        <v>-0.254</v>
      </c>
      <c r="AF74">
        <v>-3.2000000000000001E-2</v>
      </c>
      <c r="AG74">
        <v>-7.0000000000000007E-2</v>
      </c>
      <c r="AH74">
        <v>-0.05</v>
      </c>
      <c r="AI74">
        <v>-2.7E-2</v>
      </c>
    </row>
    <row r="75" spans="1:35" x14ac:dyDescent="0.25">
      <c r="A75" t="s">
        <v>1572</v>
      </c>
      <c r="B75" t="s">
        <v>32</v>
      </c>
      <c r="C75" s="25">
        <v>43703.544456018521</v>
      </c>
      <c r="D75" s="741" t="s">
        <v>969</v>
      </c>
      <c r="E75" s="741" t="e">
        <f t="array" ref="E75">SUMPRODUCT(IF(AMP6_4[[#This Row],[Dim 1_1]:[T 8]]-$F$4:$AI$4&lt;0,1,0)+IF($F$5:$AI$5-AMP6_4[[#This Row],[Dim 1_1]:[T 8]]&lt;0,1,0),IF(ISNUMBER(AMP6_4[[#This Row],[Dim 1_1]:[T 8]])=TRUE,1,0))</f>
        <v>#VALUE!</v>
      </c>
      <c r="F75">
        <v>41.064</v>
      </c>
      <c r="G75">
        <v>40.819000000000003</v>
      </c>
      <c r="H75">
        <v>155.89500000000001</v>
      </c>
      <c r="I75">
        <v>155.875</v>
      </c>
      <c r="L75">
        <v>156.041</v>
      </c>
      <c r="M75">
        <v>155.67699999999999</v>
      </c>
      <c r="N75">
        <v>27.084</v>
      </c>
      <c r="O75">
        <v>27.34</v>
      </c>
      <c r="R75">
        <v>17.212</v>
      </c>
      <c r="S75">
        <v>17.120999999999999</v>
      </c>
      <c r="T75">
        <v>33.389000000000003</v>
      </c>
      <c r="U75">
        <v>34.296999999999997</v>
      </c>
      <c r="W75">
        <v>-2.9000000000000001E-2</v>
      </c>
      <c r="X75">
        <v>-0.14099999999999999</v>
      </c>
      <c r="Z75">
        <v>1.6E-2</v>
      </c>
      <c r="AA75">
        <v>-8.6999999999999994E-2</v>
      </c>
      <c r="AB75">
        <v>-0.14099999999999999</v>
      </c>
      <c r="AC75">
        <v>-7.2999999999999995E-2</v>
      </c>
      <c r="AD75">
        <v>-5.2999999999999999E-2</v>
      </c>
      <c r="AE75">
        <v>-2.9000000000000001E-2</v>
      </c>
      <c r="AF75">
        <v>-8.0000000000000002E-3</v>
      </c>
      <c r="AG75">
        <v>-8.6999999999999994E-2</v>
      </c>
      <c r="AH75">
        <v>8.9999999999999993E-3</v>
      </c>
      <c r="AI75">
        <v>1.6E-2</v>
      </c>
    </row>
    <row r="76" spans="1:35" x14ac:dyDescent="0.25">
      <c r="A76" t="s">
        <v>1573</v>
      </c>
      <c r="B76" t="s">
        <v>31</v>
      </c>
      <c r="C76" s="25">
        <v>43703.546018518522</v>
      </c>
      <c r="D76" s="741" t="s">
        <v>969</v>
      </c>
      <c r="E76" s="741" t="e">
        <f t="array" ref="E76">SUMPRODUCT(IF(AMP6_4[[#This Row],[Dim 1_1]:[T 8]]-$F$4:$AI$4&lt;0,1,0)+IF($F$5:$AI$5-AMP6_4[[#This Row],[Dim 1_1]:[T 8]]&lt;0,1,0),IF(ISNUMBER(AMP6_4[[#This Row],[Dim 1_1]:[T 8]])=TRUE,1,0))</f>
        <v>#VALUE!</v>
      </c>
      <c r="H76">
        <v>155.96600000000001</v>
      </c>
      <c r="I76">
        <v>155.995</v>
      </c>
      <c r="J76">
        <v>168.69499999999999</v>
      </c>
      <c r="K76">
        <v>168.45400000000001</v>
      </c>
      <c r="L76">
        <v>156.04599999999999</v>
      </c>
      <c r="M76">
        <v>155.97900000000001</v>
      </c>
      <c r="N76">
        <v>27.149000000000001</v>
      </c>
      <c r="O76">
        <v>27.244</v>
      </c>
      <c r="R76">
        <v>17.259</v>
      </c>
      <c r="S76">
        <v>17.213999999999999</v>
      </c>
      <c r="T76">
        <v>38.542999999999999</v>
      </c>
      <c r="U76">
        <v>38.546999999999997</v>
      </c>
      <c r="W76">
        <v>6.2E-2</v>
      </c>
      <c r="X76">
        <v>-0.18</v>
      </c>
      <c r="Z76">
        <v>3.3000000000000002E-2</v>
      </c>
      <c r="AA76">
        <v>-8.7999999999999995E-2</v>
      </c>
      <c r="AB76">
        <v>-6.0000000000000001E-3</v>
      </c>
      <c r="AC76">
        <v>-5.3999999999999999E-2</v>
      </c>
      <c r="AD76">
        <v>6.2E-2</v>
      </c>
      <c r="AE76">
        <v>-0.18</v>
      </c>
      <c r="AF76">
        <v>-5.5E-2</v>
      </c>
      <c r="AG76">
        <v>-8.7999999999999995E-2</v>
      </c>
      <c r="AH76">
        <v>2.1999999999999999E-2</v>
      </c>
      <c r="AI76">
        <v>3.3000000000000002E-2</v>
      </c>
    </row>
    <row r="77" spans="1:35" x14ac:dyDescent="0.25">
      <c r="A77" t="s">
        <v>1574</v>
      </c>
      <c r="B77" t="s">
        <v>32</v>
      </c>
      <c r="C77" s="25">
        <v>43703.638726851852</v>
      </c>
      <c r="D77" s="741" t="s">
        <v>969</v>
      </c>
      <c r="E77" s="741" t="e">
        <f t="array" ref="E77">SUMPRODUCT(IF(AMP6_4[[#This Row],[Dim 1_1]:[T 8]]-$F$4:$AI$4&lt;0,1,0)+IF($F$5:$AI$5-AMP6_4[[#This Row],[Dim 1_1]:[T 8]]&lt;0,1,0),IF(ISNUMBER(AMP6_4[[#This Row],[Dim 1_1]:[T 8]])=TRUE,1,0))</f>
        <v>#VALUE!</v>
      </c>
      <c r="F77">
        <v>41.045000000000002</v>
      </c>
      <c r="G77">
        <v>40.860999999999997</v>
      </c>
      <c r="H77">
        <v>155.92500000000001</v>
      </c>
      <c r="I77">
        <v>155.886</v>
      </c>
      <c r="L77">
        <v>156.03800000000001</v>
      </c>
      <c r="M77">
        <v>155.661</v>
      </c>
      <c r="N77">
        <v>27.085000000000001</v>
      </c>
      <c r="O77">
        <v>27.367000000000001</v>
      </c>
      <c r="R77">
        <v>17.242999999999999</v>
      </c>
      <c r="S77">
        <v>17.13</v>
      </c>
      <c r="T77">
        <v>33.216999999999999</v>
      </c>
      <c r="U77">
        <v>34.286999999999999</v>
      </c>
      <c r="W77">
        <v>0.112</v>
      </c>
      <c r="X77">
        <v>-8.8999999999999996E-2</v>
      </c>
      <c r="Z77">
        <v>-1.2999999999999999E-2</v>
      </c>
      <c r="AA77">
        <v>-0.22500000000000001</v>
      </c>
      <c r="AB77">
        <v>-8.8999999999999996E-2</v>
      </c>
      <c r="AC77">
        <v>-0.03</v>
      </c>
      <c r="AD77">
        <v>5.6000000000000001E-2</v>
      </c>
      <c r="AE77">
        <v>0.112</v>
      </c>
      <c r="AF77">
        <v>-0.13300000000000001</v>
      </c>
      <c r="AG77">
        <v>-0.22500000000000001</v>
      </c>
      <c r="AH77">
        <v>-1.2999999999999999E-2</v>
      </c>
      <c r="AI77">
        <v>-6.2E-2</v>
      </c>
    </row>
    <row r="78" spans="1:35" x14ac:dyDescent="0.25">
      <c r="A78" t="s">
        <v>1575</v>
      </c>
      <c r="B78" t="s">
        <v>31</v>
      </c>
      <c r="C78" s="25">
        <v>43703.640428240738</v>
      </c>
      <c r="D78" s="741" t="s">
        <v>969</v>
      </c>
      <c r="E78" s="741" t="e">
        <f t="array" ref="E78">SUMPRODUCT(IF(AMP6_4[[#This Row],[Dim 1_1]:[T 8]]-$F$4:$AI$4&lt;0,1,0)+IF($F$5:$AI$5-AMP6_4[[#This Row],[Dim 1_1]:[T 8]]&lt;0,1,0),IF(ISNUMBER(AMP6_4[[#This Row],[Dim 1_1]:[T 8]])=TRUE,1,0))</f>
        <v>#VALUE!</v>
      </c>
      <c r="H78">
        <v>156.05500000000001</v>
      </c>
      <c r="I78">
        <v>156.08699999999999</v>
      </c>
      <c r="J78">
        <v>168.69</v>
      </c>
      <c r="K78">
        <v>168.524</v>
      </c>
      <c r="L78">
        <v>156.119</v>
      </c>
      <c r="M78">
        <v>156.07900000000001</v>
      </c>
      <c r="N78">
        <v>27.067</v>
      </c>
      <c r="O78">
        <v>27.161999999999999</v>
      </c>
      <c r="R78">
        <v>17.242999999999999</v>
      </c>
      <c r="S78">
        <v>17.119</v>
      </c>
      <c r="T78">
        <v>37.033999999999999</v>
      </c>
      <c r="U78">
        <v>36.076999999999998</v>
      </c>
      <c r="W78">
        <v>3.4000000000000002E-2</v>
      </c>
      <c r="X78">
        <v>-0.16200000000000001</v>
      </c>
      <c r="Z78">
        <v>0</v>
      </c>
      <c r="AA78">
        <v>-0.2</v>
      </c>
      <c r="AB78">
        <v>-0.114</v>
      </c>
      <c r="AC78">
        <v>-0.158</v>
      </c>
      <c r="AD78">
        <v>3.4000000000000002E-2</v>
      </c>
      <c r="AE78">
        <v>-0.16200000000000001</v>
      </c>
      <c r="AF78">
        <v>-0.14699999999999999</v>
      </c>
      <c r="AG78">
        <v>-0.2</v>
      </c>
      <c r="AH78">
        <v>0</v>
      </c>
      <c r="AI78">
        <v>-2.5000000000000001E-2</v>
      </c>
    </row>
    <row r="79" spans="1:35" x14ac:dyDescent="0.25">
      <c r="A79" t="s">
        <v>1576</v>
      </c>
      <c r="B79" t="s">
        <v>32</v>
      </c>
      <c r="C79" s="25">
        <v>43703.725636574076</v>
      </c>
      <c r="D79" s="741" t="s">
        <v>969</v>
      </c>
      <c r="E79" s="741" t="e">
        <f t="array" ref="E79">SUMPRODUCT(IF(AMP6_4[[#This Row],[Dim 1_1]:[T 8]]-$F$4:$AI$4&lt;0,1,0)+IF($F$5:$AI$5-AMP6_4[[#This Row],[Dim 1_1]:[T 8]]&lt;0,1,0),IF(ISNUMBER(AMP6_4[[#This Row],[Dim 1_1]:[T 8]])=TRUE,1,0))</f>
        <v>#VALUE!</v>
      </c>
      <c r="F79">
        <v>40.963999999999999</v>
      </c>
      <c r="G79">
        <v>40.698</v>
      </c>
      <c r="H79">
        <v>156.012</v>
      </c>
      <c r="I79">
        <v>155.96100000000001</v>
      </c>
      <c r="L79">
        <v>156.09</v>
      </c>
      <c r="M79">
        <v>155.732</v>
      </c>
      <c r="N79">
        <v>27.042000000000002</v>
      </c>
      <c r="O79">
        <v>27.292000000000002</v>
      </c>
      <c r="R79">
        <v>17.248999999999999</v>
      </c>
      <c r="S79">
        <v>17.222999999999999</v>
      </c>
      <c r="T79">
        <v>33.396000000000001</v>
      </c>
      <c r="U79">
        <v>33.868000000000002</v>
      </c>
      <c r="W79">
        <v>-0.126</v>
      </c>
      <c r="X79">
        <v>-0.216</v>
      </c>
      <c r="Z79">
        <v>-0.17599999999999999</v>
      </c>
      <c r="AA79">
        <v>-0.254</v>
      </c>
      <c r="AB79">
        <v>-0.16800000000000001</v>
      </c>
      <c r="AC79">
        <v>-0.126</v>
      </c>
      <c r="AD79">
        <v>-0.15</v>
      </c>
      <c r="AE79">
        <v>-0.216</v>
      </c>
      <c r="AF79">
        <v>-0.17599999999999999</v>
      </c>
      <c r="AG79">
        <v>-0.254</v>
      </c>
      <c r="AH79">
        <v>-0.189</v>
      </c>
      <c r="AI79">
        <v>-0.245</v>
      </c>
    </row>
    <row r="80" spans="1:35" x14ac:dyDescent="0.25">
      <c r="A80" t="s">
        <v>1577</v>
      </c>
      <c r="B80" t="s">
        <v>31</v>
      </c>
      <c r="C80" s="25">
        <v>43703.727314814816</v>
      </c>
      <c r="D80" s="741" t="s">
        <v>969</v>
      </c>
      <c r="E80" s="741" t="e">
        <f t="array" ref="E80">SUMPRODUCT(IF(AMP6_4[[#This Row],[Dim 1_1]:[T 8]]-$F$4:$AI$4&lt;0,1,0)+IF($F$5:$AI$5-AMP6_4[[#This Row],[Dim 1_1]:[T 8]]&lt;0,1,0),IF(ISNUMBER(AMP6_4[[#This Row],[Dim 1_1]:[T 8]])=TRUE,1,0))</f>
        <v>#VALUE!</v>
      </c>
      <c r="H80">
        <v>156.05500000000001</v>
      </c>
      <c r="I80">
        <v>156.089</v>
      </c>
      <c r="J80">
        <v>168.68</v>
      </c>
      <c r="K80">
        <v>168.45699999999999</v>
      </c>
      <c r="L80">
        <v>156.13999999999999</v>
      </c>
      <c r="M80">
        <v>156.09399999999999</v>
      </c>
      <c r="N80">
        <v>27.055</v>
      </c>
      <c r="O80">
        <v>27.146999999999998</v>
      </c>
      <c r="R80">
        <v>17.222000000000001</v>
      </c>
      <c r="S80">
        <v>17.140999999999998</v>
      </c>
      <c r="T80">
        <v>36.74</v>
      </c>
      <c r="U80">
        <v>37.750999999999998</v>
      </c>
      <c r="W80">
        <v>-8.1000000000000003E-2</v>
      </c>
      <c r="X80">
        <v>-0.312</v>
      </c>
      <c r="Z80">
        <v>-0.123</v>
      </c>
      <c r="AA80">
        <v>-0.19700000000000001</v>
      </c>
      <c r="AB80">
        <v>-0.113</v>
      </c>
      <c r="AC80">
        <v>-0.156</v>
      </c>
      <c r="AD80">
        <v>-8.1000000000000003E-2</v>
      </c>
      <c r="AE80">
        <v>-0.312</v>
      </c>
      <c r="AF80">
        <v>-0.161</v>
      </c>
      <c r="AG80">
        <v>-0.19700000000000001</v>
      </c>
      <c r="AH80">
        <v>-0.123</v>
      </c>
      <c r="AI80">
        <v>-0.13700000000000001</v>
      </c>
    </row>
    <row r="81" spans="1:35" x14ac:dyDescent="0.25">
      <c r="A81" t="s">
        <v>1578</v>
      </c>
      <c r="B81" t="s">
        <v>32</v>
      </c>
      <c r="C81" s="25">
        <v>43703.799085648148</v>
      </c>
      <c r="D81" s="741" t="s">
        <v>969</v>
      </c>
      <c r="E81" s="741" t="e">
        <f t="array" ref="E81">SUMPRODUCT(IF(AMP6_4[[#This Row],[Dim 1_1]:[T 8]]-$F$4:$AI$4&lt;0,1,0)+IF($F$5:$AI$5-AMP6_4[[#This Row],[Dim 1_1]:[T 8]]&lt;0,1,0),IF(ISNUMBER(AMP6_4[[#This Row],[Dim 1_1]:[T 8]])=TRUE,1,0))</f>
        <v>#VALUE!</v>
      </c>
      <c r="F81">
        <v>41.274999999999999</v>
      </c>
      <c r="G81">
        <v>41.091000000000001</v>
      </c>
      <c r="H81">
        <v>155.762</v>
      </c>
      <c r="I81">
        <v>155.678</v>
      </c>
      <c r="L81">
        <v>155.85300000000001</v>
      </c>
      <c r="M81">
        <v>155.44900000000001</v>
      </c>
      <c r="N81">
        <v>27.289000000000001</v>
      </c>
      <c r="O81">
        <v>27.597000000000001</v>
      </c>
      <c r="R81">
        <v>17.251999999999999</v>
      </c>
      <c r="S81">
        <v>17.344999999999999</v>
      </c>
      <c r="T81">
        <v>33.81</v>
      </c>
      <c r="U81">
        <v>33.787999999999997</v>
      </c>
      <c r="W81">
        <v>0.17799999999999999</v>
      </c>
      <c r="X81">
        <v>-2E-3</v>
      </c>
      <c r="Z81">
        <v>8.3000000000000004E-2</v>
      </c>
      <c r="AA81">
        <v>-0.127</v>
      </c>
      <c r="AB81">
        <v>0.17699999999999999</v>
      </c>
      <c r="AC81">
        <v>0.17799999999999999</v>
      </c>
      <c r="AD81">
        <v>4.2000000000000003E-2</v>
      </c>
      <c r="AE81">
        <v>-2E-3</v>
      </c>
      <c r="AF81">
        <v>8.3000000000000004E-2</v>
      </c>
      <c r="AG81">
        <v>2.5000000000000001E-2</v>
      </c>
      <c r="AH81">
        <v>-0.127</v>
      </c>
      <c r="AI81">
        <v>-6.9000000000000006E-2</v>
      </c>
    </row>
    <row r="82" spans="1:35" x14ac:dyDescent="0.25">
      <c r="A82" t="s">
        <v>1579</v>
      </c>
      <c r="B82" t="s">
        <v>31</v>
      </c>
      <c r="C82" s="25">
        <v>43703.801122685189</v>
      </c>
      <c r="D82" s="741" t="s">
        <v>969</v>
      </c>
      <c r="E82" s="741" t="e">
        <f t="array" ref="E82">SUMPRODUCT(IF(AMP6_4[[#This Row],[Dim 1_1]:[T 8]]-$F$4:$AI$4&lt;0,1,0)+IF($F$5:$AI$5-AMP6_4[[#This Row],[Dim 1_1]:[T 8]]&lt;0,1,0),IF(ISNUMBER(AMP6_4[[#This Row],[Dim 1_1]:[T 8]])=TRUE,1,0))</f>
        <v>#VALUE!</v>
      </c>
      <c r="H82">
        <v>155.51900000000001</v>
      </c>
      <c r="I82">
        <v>155.60900000000001</v>
      </c>
      <c r="J82">
        <v>168.446</v>
      </c>
      <c r="K82">
        <v>168.167</v>
      </c>
      <c r="L82">
        <v>155.595</v>
      </c>
      <c r="M82">
        <v>155.595</v>
      </c>
      <c r="N82">
        <v>27.585999999999999</v>
      </c>
      <c r="O82">
        <v>27.609000000000002</v>
      </c>
      <c r="R82">
        <v>17.202999999999999</v>
      </c>
      <c r="S82">
        <v>17.221</v>
      </c>
      <c r="T82">
        <v>39.134</v>
      </c>
      <c r="U82">
        <v>39.933</v>
      </c>
      <c r="W82">
        <v>0.108</v>
      </c>
      <c r="X82">
        <v>-0.11799999999999999</v>
      </c>
      <c r="Z82">
        <v>0.129</v>
      </c>
      <c r="AA82">
        <v>8.0000000000000002E-3</v>
      </c>
      <c r="AB82">
        <v>0.108</v>
      </c>
      <c r="AC82">
        <v>6.2E-2</v>
      </c>
      <c r="AD82">
        <v>8.4000000000000005E-2</v>
      </c>
      <c r="AE82">
        <v>-0.11799999999999999</v>
      </c>
      <c r="AF82">
        <v>0.129</v>
      </c>
      <c r="AG82">
        <v>0.107</v>
      </c>
      <c r="AH82">
        <v>8.0000000000000002E-3</v>
      </c>
      <c r="AI82">
        <v>9.1999999999999998E-2</v>
      </c>
    </row>
    <row r="83" spans="1:35" x14ac:dyDescent="0.25">
      <c r="A83" t="s">
        <v>1580</v>
      </c>
      <c r="B83" t="s">
        <v>32</v>
      </c>
      <c r="C83" s="25">
        <v>43703.890740740739</v>
      </c>
      <c r="D83" s="741" t="s">
        <v>969</v>
      </c>
      <c r="E83" s="741" t="e">
        <f t="array" ref="E83">SUMPRODUCT(IF(AMP6_4[[#This Row],[Dim 1_1]:[T 8]]-$F$4:$AI$4&lt;0,1,0)+IF($F$5:$AI$5-AMP6_4[[#This Row],[Dim 1_1]:[T 8]]&lt;0,1,0),IF(ISNUMBER(AMP6_4[[#This Row],[Dim 1_1]:[T 8]])=TRUE,1,0))</f>
        <v>#VALUE!</v>
      </c>
      <c r="F83">
        <v>41.576000000000001</v>
      </c>
      <c r="G83">
        <v>41.442999999999998</v>
      </c>
      <c r="H83">
        <v>155.70599999999999</v>
      </c>
      <c r="I83">
        <v>155.76300000000001</v>
      </c>
      <c r="L83">
        <v>155.804</v>
      </c>
      <c r="M83">
        <v>155.58099999999999</v>
      </c>
      <c r="N83">
        <v>27.324999999999999</v>
      </c>
      <c r="O83">
        <v>27.468</v>
      </c>
      <c r="R83">
        <v>17.276</v>
      </c>
      <c r="S83">
        <v>17.338999999999999</v>
      </c>
      <c r="T83">
        <v>33.11</v>
      </c>
      <c r="U83">
        <v>34.484000000000002</v>
      </c>
      <c r="W83">
        <v>0.17399999999999999</v>
      </c>
      <c r="X83">
        <v>-4.3999999999999997E-2</v>
      </c>
      <c r="Z83">
        <v>0.17499999999999999</v>
      </c>
      <c r="AA83">
        <v>-4.4999999999999998E-2</v>
      </c>
      <c r="AB83">
        <v>0.13700000000000001</v>
      </c>
      <c r="AC83">
        <v>0.17399999999999999</v>
      </c>
      <c r="AD83">
        <v>2.3E-2</v>
      </c>
      <c r="AE83">
        <v>-4.3999999999999997E-2</v>
      </c>
      <c r="AF83">
        <v>0.17499999999999999</v>
      </c>
      <c r="AG83">
        <v>0.10100000000000001</v>
      </c>
      <c r="AH83">
        <v>-4.4999999999999998E-2</v>
      </c>
      <c r="AI83">
        <v>4.9000000000000002E-2</v>
      </c>
    </row>
    <row r="84" spans="1:35" x14ac:dyDescent="0.25">
      <c r="A84" t="s">
        <v>1581</v>
      </c>
      <c r="B84" t="s">
        <v>31</v>
      </c>
      <c r="C84" s="25">
        <v>43703.892789351848</v>
      </c>
      <c r="D84" s="741" t="s">
        <v>969</v>
      </c>
      <c r="E84" s="741" t="e">
        <f t="array" ref="E84">SUMPRODUCT(IF(AMP6_4[[#This Row],[Dim 1_1]:[T 8]]-$F$4:$AI$4&lt;0,1,0)+IF($F$5:$AI$5-AMP6_4[[#This Row],[Dim 1_1]:[T 8]]&lt;0,1,0),IF(ISNUMBER(AMP6_4[[#This Row],[Dim 1_1]:[T 8]])=TRUE,1,0))</f>
        <v>#VALUE!</v>
      </c>
      <c r="H84">
        <v>155.49100000000001</v>
      </c>
      <c r="I84">
        <v>155.512</v>
      </c>
      <c r="J84">
        <v>168.72399999999999</v>
      </c>
      <c r="K84">
        <v>168.64599999999999</v>
      </c>
      <c r="L84">
        <v>155.57599999999999</v>
      </c>
      <c r="M84">
        <v>155.46199999999999</v>
      </c>
      <c r="N84">
        <v>27.594000000000001</v>
      </c>
      <c r="O84">
        <v>27.73</v>
      </c>
      <c r="R84">
        <v>17.25</v>
      </c>
      <c r="S84">
        <v>17.283000000000001</v>
      </c>
      <c r="T84">
        <v>40.808</v>
      </c>
      <c r="U84">
        <v>38.685000000000002</v>
      </c>
      <c r="W84">
        <v>0.188</v>
      </c>
      <c r="X84">
        <v>-2.5999999999999999E-2</v>
      </c>
      <c r="Z84">
        <v>0.16300000000000001</v>
      </c>
      <c r="AA84">
        <v>0.125</v>
      </c>
      <c r="AB84">
        <v>0.17899999999999999</v>
      </c>
      <c r="AC84">
        <v>0.125</v>
      </c>
      <c r="AD84">
        <v>0.188</v>
      </c>
      <c r="AE84">
        <v>-2.5999999999999999E-2</v>
      </c>
      <c r="AF84">
        <v>0.16300000000000001</v>
      </c>
      <c r="AG84">
        <v>0.125</v>
      </c>
      <c r="AH84">
        <v>0.127</v>
      </c>
      <c r="AI84">
        <v>0.161</v>
      </c>
    </row>
    <row r="85" spans="1:35" x14ac:dyDescent="0.25">
      <c r="A85" t="s">
        <v>1582</v>
      </c>
      <c r="B85" t="s">
        <v>32</v>
      </c>
      <c r="C85" s="25">
        <v>43703.987083333333</v>
      </c>
      <c r="D85" s="741" t="s">
        <v>969</v>
      </c>
      <c r="E85" s="741" t="e">
        <f t="array" ref="E85">SUMPRODUCT(IF(AMP6_4[[#This Row],[Dim 1_1]:[T 8]]-$F$4:$AI$4&lt;0,1,0)+IF($F$5:$AI$5-AMP6_4[[#This Row],[Dim 1_1]:[T 8]]&lt;0,1,0),IF(ISNUMBER(AMP6_4[[#This Row],[Dim 1_1]:[T 8]])=TRUE,1,0))</f>
        <v>#VALUE!</v>
      </c>
      <c r="F85">
        <v>41.517000000000003</v>
      </c>
      <c r="G85">
        <v>41.392000000000003</v>
      </c>
      <c r="H85">
        <v>155.70099999999999</v>
      </c>
      <c r="I85">
        <v>155.75700000000001</v>
      </c>
      <c r="L85">
        <v>155.809</v>
      </c>
      <c r="M85">
        <v>155.57</v>
      </c>
      <c r="N85">
        <v>27.347999999999999</v>
      </c>
      <c r="O85">
        <v>27.475000000000001</v>
      </c>
      <c r="R85">
        <v>17.241</v>
      </c>
      <c r="S85">
        <v>17.317</v>
      </c>
      <c r="T85">
        <v>33.357999999999997</v>
      </c>
      <c r="U85">
        <v>34.183999999999997</v>
      </c>
      <c r="W85">
        <v>0.124</v>
      </c>
      <c r="X85">
        <v>1.4E-2</v>
      </c>
      <c r="Z85">
        <v>7.6999999999999999E-2</v>
      </c>
      <c r="AA85">
        <v>-2.7E-2</v>
      </c>
      <c r="AB85">
        <v>9.0999999999999998E-2</v>
      </c>
      <c r="AC85">
        <v>0.124</v>
      </c>
      <c r="AD85">
        <v>1.4E-2</v>
      </c>
      <c r="AE85">
        <v>1.6E-2</v>
      </c>
      <c r="AF85">
        <v>7.6999999999999999E-2</v>
      </c>
      <c r="AG85">
        <v>1.2E-2</v>
      </c>
      <c r="AH85">
        <v>-2.7E-2</v>
      </c>
      <c r="AI85">
        <v>3.0000000000000001E-3</v>
      </c>
    </row>
    <row r="86" spans="1:35" x14ac:dyDescent="0.25">
      <c r="A86" t="s">
        <v>1583</v>
      </c>
      <c r="B86" t="s">
        <v>31</v>
      </c>
      <c r="C86" s="25">
        <v>43703.988587962966</v>
      </c>
      <c r="D86" s="741" t="s">
        <v>969</v>
      </c>
      <c r="E86" s="741" t="e">
        <f t="array" ref="E86">SUMPRODUCT(IF(AMP6_4[[#This Row],[Dim 1_1]:[T 8]]-$F$4:$AI$4&lt;0,1,0)+IF($F$5:$AI$5-AMP6_4[[#This Row],[Dim 1_1]:[T 8]]&lt;0,1,0),IF(ISNUMBER(AMP6_4[[#This Row],[Dim 1_1]:[T 8]])=TRUE,1,0))</f>
        <v>#VALUE!</v>
      </c>
      <c r="H86">
        <v>155.52699999999999</v>
      </c>
      <c r="I86">
        <v>155.48099999999999</v>
      </c>
      <c r="J86">
        <v>168.64099999999999</v>
      </c>
      <c r="K86">
        <v>168.56700000000001</v>
      </c>
      <c r="L86">
        <v>155.59200000000001</v>
      </c>
      <c r="M86">
        <v>155.43299999999999</v>
      </c>
      <c r="N86">
        <v>27.568000000000001</v>
      </c>
      <c r="O86">
        <v>27.763999999999999</v>
      </c>
      <c r="R86">
        <v>17.224</v>
      </c>
      <c r="S86">
        <v>17.288</v>
      </c>
      <c r="T86">
        <v>37.171999999999997</v>
      </c>
      <c r="U86">
        <v>37.201000000000001</v>
      </c>
      <c r="W86">
        <v>0.20699999999999999</v>
      </c>
      <c r="X86">
        <v>5.0000000000000001E-3</v>
      </c>
      <c r="Z86">
        <v>0.186</v>
      </c>
      <c r="AA86">
        <v>9.7000000000000003E-2</v>
      </c>
      <c r="AB86">
        <v>0.20699999999999999</v>
      </c>
      <c r="AC86">
        <v>0.16700000000000001</v>
      </c>
      <c r="AD86">
        <v>0.183</v>
      </c>
      <c r="AE86">
        <v>5.0000000000000001E-3</v>
      </c>
      <c r="AF86">
        <v>0.186</v>
      </c>
      <c r="AG86">
        <v>0.158</v>
      </c>
      <c r="AH86">
        <v>9.7000000000000003E-2</v>
      </c>
      <c r="AI86">
        <v>0.14099999999999999</v>
      </c>
    </row>
    <row r="87" spans="1:35" x14ac:dyDescent="0.25">
      <c r="A87" t="s">
        <v>1584</v>
      </c>
      <c r="B87" t="s">
        <v>32</v>
      </c>
      <c r="C87" s="25">
        <v>43704.060231481482</v>
      </c>
      <c r="D87" s="741" t="s">
        <v>969</v>
      </c>
      <c r="E87" s="741" t="e">
        <f t="array" ref="E87">SUMPRODUCT(IF(AMP6_4[[#This Row],[Dim 1_1]:[T 8]]-$F$4:$AI$4&lt;0,1,0)+IF($F$5:$AI$5-AMP6_4[[#This Row],[Dim 1_1]:[T 8]]&lt;0,1,0),IF(ISNUMBER(AMP6_4[[#This Row],[Dim 1_1]:[T 8]])=TRUE,1,0))</f>
        <v>#VALUE!</v>
      </c>
      <c r="F87">
        <v>41.405999999999999</v>
      </c>
      <c r="G87">
        <v>41.292999999999999</v>
      </c>
      <c r="H87">
        <v>155.83600000000001</v>
      </c>
      <c r="I87">
        <v>155.87200000000001</v>
      </c>
      <c r="L87">
        <v>155.953</v>
      </c>
      <c r="M87">
        <v>155.714</v>
      </c>
      <c r="N87">
        <v>27.152000000000001</v>
      </c>
      <c r="O87">
        <v>27.294</v>
      </c>
      <c r="R87">
        <v>17.239999999999998</v>
      </c>
      <c r="S87">
        <v>17.27</v>
      </c>
      <c r="T87">
        <v>33.396000000000001</v>
      </c>
      <c r="U87">
        <v>34.267000000000003</v>
      </c>
      <c r="W87">
        <v>4.8000000000000001E-2</v>
      </c>
      <c r="X87">
        <v>-0.17</v>
      </c>
      <c r="Z87">
        <v>0.107</v>
      </c>
      <c r="AA87">
        <v>-6.0999999999999999E-2</v>
      </c>
      <c r="AB87">
        <v>1.4E-2</v>
      </c>
      <c r="AC87">
        <v>4.8000000000000001E-2</v>
      </c>
      <c r="AD87">
        <v>-5.7000000000000002E-2</v>
      </c>
      <c r="AE87">
        <v>-0.17</v>
      </c>
      <c r="AF87">
        <v>0.107</v>
      </c>
      <c r="AG87">
        <v>4.4999999999999998E-2</v>
      </c>
      <c r="AH87">
        <v>-6.0999999999999999E-2</v>
      </c>
      <c r="AI87">
        <v>-1.4999999999999999E-2</v>
      </c>
    </row>
    <row r="88" spans="1:35" x14ac:dyDescent="0.25">
      <c r="A88" t="s">
        <v>1585</v>
      </c>
      <c r="B88" t="s">
        <v>31</v>
      </c>
      <c r="C88" s="25">
        <v>43704.061736111114</v>
      </c>
      <c r="D88" s="741" t="s">
        <v>969</v>
      </c>
      <c r="E88" s="741" t="e">
        <f t="array" ref="E88">SUMPRODUCT(IF(AMP6_4[[#This Row],[Dim 1_1]:[T 8]]-$F$4:$AI$4&lt;0,1,0)+IF($F$5:$AI$5-AMP6_4[[#This Row],[Dim 1_1]:[T 8]]&lt;0,1,0),IF(ISNUMBER(AMP6_4[[#This Row],[Dim 1_1]:[T 8]])=TRUE,1,0))</f>
        <v>#VALUE!</v>
      </c>
      <c r="H88">
        <v>155.58799999999999</v>
      </c>
      <c r="I88">
        <v>155.52799999999999</v>
      </c>
      <c r="J88">
        <v>168.69300000000001</v>
      </c>
      <c r="K88">
        <v>168.643</v>
      </c>
      <c r="L88">
        <v>155.65799999999999</v>
      </c>
      <c r="M88">
        <v>155.49199999999999</v>
      </c>
      <c r="N88">
        <v>27.561</v>
      </c>
      <c r="O88">
        <v>27.728000000000002</v>
      </c>
      <c r="R88">
        <v>17.273</v>
      </c>
      <c r="S88">
        <v>17.190000000000001</v>
      </c>
      <c r="T88">
        <v>37.86</v>
      </c>
      <c r="U88">
        <v>38.182000000000002</v>
      </c>
      <c r="W88">
        <v>0.23200000000000001</v>
      </c>
      <c r="X88">
        <v>8.0000000000000002E-3</v>
      </c>
      <c r="Z88">
        <v>0.11700000000000001</v>
      </c>
      <c r="AA88">
        <v>3.4000000000000002E-2</v>
      </c>
      <c r="AB88">
        <v>0.16800000000000001</v>
      </c>
      <c r="AC88">
        <v>0.11700000000000001</v>
      </c>
      <c r="AD88">
        <v>0.23200000000000001</v>
      </c>
      <c r="AE88">
        <v>8.0000000000000002E-3</v>
      </c>
      <c r="AF88">
        <v>5.7000000000000002E-2</v>
      </c>
      <c r="AG88">
        <v>3.4000000000000002E-2</v>
      </c>
      <c r="AH88">
        <v>4.9000000000000002E-2</v>
      </c>
      <c r="AI88">
        <v>0.11700000000000001</v>
      </c>
    </row>
    <row r="89" spans="1:35" x14ac:dyDescent="0.25">
      <c r="A89" t="s">
        <v>1586</v>
      </c>
      <c r="B89" t="s">
        <v>32</v>
      </c>
      <c r="C89" s="25">
        <v>43704.316608796296</v>
      </c>
      <c r="D89" s="741" t="s">
        <v>969</v>
      </c>
      <c r="E89" s="741" t="e">
        <f t="array" ref="E89">SUMPRODUCT(IF(AMP6_4[[#This Row],[Dim 1_1]:[T 8]]-$F$4:$AI$4&lt;0,1,0)+IF($F$5:$AI$5-AMP6_4[[#This Row],[Dim 1_1]:[T 8]]&lt;0,1,0),IF(ISNUMBER(AMP6_4[[#This Row],[Dim 1_1]:[T 8]])=TRUE,1,0))</f>
        <v>#VALUE!</v>
      </c>
      <c r="F89">
        <v>41.502000000000002</v>
      </c>
      <c r="G89">
        <v>41.375</v>
      </c>
      <c r="H89">
        <v>155.79</v>
      </c>
      <c r="I89">
        <v>155.779</v>
      </c>
      <c r="L89">
        <v>155.86600000000001</v>
      </c>
      <c r="M89">
        <v>155.57599999999999</v>
      </c>
      <c r="N89">
        <v>27.260999999999999</v>
      </c>
      <c r="O89">
        <v>27.472000000000001</v>
      </c>
      <c r="R89">
        <v>17.245999999999999</v>
      </c>
      <c r="S89">
        <v>17.32</v>
      </c>
      <c r="T89">
        <v>33.686</v>
      </c>
      <c r="U89">
        <v>34.122999999999998</v>
      </c>
      <c r="W89">
        <v>9.4E-2</v>
      </c>
      <c r="X89">
        <v>-0.1</v>
      </c>
      <c r="Z89">
        <v>5.8000000000000003E-2</v>
      </c>
      <c r="AA89">
        <v>-9.2999999999999999E-2</v>
      </c>
      <c r="AB89">
        <v>6.3E-2</v>
      </c>
      <c r="AC89">
        <v>9.4E-2</v>
      </c>
      <c r="AD89">
        <v>-5.1999999999999998E-2</v>
      </c>
      <c r="AE89">
        <v>-0.1</v>
      </c>
      <c r="AF89">
        <v>5.8000000000000003E-2</v>
      </c>
      <c r="AG89">
        <v>-1.0999999999999999E-2</v>
      </c>
      <c r="AH89">
        <v>-9.2999999999999999E-2</v>
      </c>
      <c r="AI89">
        <v>-8.5000000000000006E-2</v>
      </c>
    </row>
    <row r="90" spans="1:35" x14ac:dyDescent="0.25">
      <c r="A90" t="s">
        <v>1587</v>
      </c>
      <c r="B90" t="s">
        <v>31</v>
      </c>
      <c r="C90" s="25">
        <v>43704.318657407406</v>
      </c>
      <c r="D90" s="741" t="s">
        <v>969</v>
      </c>
      <c r="E90" s="741" t="e">
        <f t="array" ref="E90">SUMPRODUCT(IF(AMP6_4[[#This Row],[Dim 1_1]:[T 8]]-$F$4:$AI$4&lt;0,1,0)+IF($F$5:$AI$5-AMP6_4[[#This Row],[Dim 1_1]:[T 8]]&lt;0,1,0),IF(ISNUMBER(AMP6_4[[#This Row],[Dim 1_1]:[T 8]])=TRUE,1,0))</f>
        <v>#VALUE!</v>
      </c>
      <c r="H90">
        <v>155.572</v>
      </c>
      <c r="I90">
        <v>155.614</v>
      </c>
      <c r="J90">
        <v>168.73599999999999</v>
      </c>
      <c r="K90">
        <v>168.68</v>
      </c>
      <c r="L90">
        <v>155.642</v>
      </c>
      <c r="M90">
        <v>155.56200000000001</v>
      </c>
      <c r="N90">
        <v>27.529</v>
      </c>
      <c r="O90">
        <v>27.635000000000002</v>
      </c>
      <c r="R90">
        <v>17.279</v>
      </c>
      <c r="S90">
        <v>17.323</v>
      </c>
      <c r="T90">
        <v>38.121000000000002</v>
      </c>
      <c r="U90">
        <v>37.238</v>
      </c>
      <c r="W90">
        <v>0.154</v>
      </c>
      <c r="X90">
        <v>-5.0999999999999997E-2</v>
      </c>
      <c r="Z90">
        <v>0.113</v>
      </c>
      <c r="AA90">
        <v>7.4999999999999997E-2</v>
      </c>
      <c r="AB90">
        <v>0.125</v>
      </c>
      <c r="AC90">
        <v>7.4999999999999997E-2</v>
      </c>
      <c r="AD90">
        <v>0.154</v>
      </c>
      <c r="AE90">
        <v>-5.0999999999999997E-2</v>
      </c>
      <c r="AF90">
        <v>0.106</v>
      </c>
      <c r="AG90">
        <v>9.0999999999999998E-2</v>
      </c>
      <c r="AH90">
        <v>7.4999999999999997E-2</v>
      </c>
      <c r="AI90">
        <v>0.113</v>
      </c>
    </row>
    <row r="91" spans="1:35" x14ac:dyDescent="0.25">
      <c r="A91" t="s">
        <v>1588</v>
      </c>
      <c r="B91" t="s">
        <v>32</v>
      </c>
      <c r="C91" s="25">
        <v>43704.398090277777</v>
      </c>
      <c r="D91" s="741" t="s">
        <v>969</v>
      </c>
      <c r="E91" s="741" t="e">
        <f t="array" ref="E91">SUMPRODUCT(IF(AMP6_4[[#This Row],[Dim 1_1]:[T 8]]-$F$4:$AI$4&lt;0,1,0)+IF($F$5:$AI$5-AMP6_4[[#This Row],[Dim 1_1]:[T 8]]&lt;0,1,0),IF(ISNUMBER(AMP6_4[[#This Row],[Dim 1_1]:[T 8]])=TRUE,1,0))</f>
        <v>#VALUE!</v>
      </c>
      <c r="F91">
        <v>41.518000000000001</v>
      </c>
      <c r="G91">
        <v>41.412999999999997</v>
      </c>
      <c r="H91">
        <v>155.75700000000001</v>
      </c>
      <c r="I91">
        <v>155.81299999999999</v>
      </c>
      <c r="L91">
        <v>155.86000000000001</v>
      </c>
      <c r="M91">
        <v>155.64599999999999</v>
      </c>
      <c r="N91">
        <v>27.271999999999998</v>
      </c>
      <c r="O91">
        <v>27.39</v>
      </c>
      <c r="R91">
        <v>17.260999999999999</v>
      </c>
      <c r="S91">
        <v>17.306000000000001</v>
      </c>
      <c r="T91">
        <v>33.478999999999999</v>
      </c>
      <c r="U91">
        <v>34.463000000000001</v>
      </c>
      <c r="W91">
        <v>9.5000000000000001E-2</v>
      </c>
      <c r="X91">
        <v>-0.14199999999999999</v>
      </c>
      <c r="Z91">
        <v>7.1999999999999995E-2</v>
      </c>
      <c r="AA91">
        <v>-7.3999999999999996E-2</v>
      </c>
      <c r="AB91">
        <v>5.8000000000000003E-2</v>
      </c>
      <c r="AC91">
        <v>9.5000000000000001E-2</v>
      </c>
      <c r="AD91">
        <v>-6.5000000000000002E-2</v>
      </c>
      <c r="AE91">
        <v>-0.14199999999999999</v>
      </c>
      <c r="AF91">
        <v>7.1999999999999995E-2</v>
      </c>
      <c r="AG91">
        <v>2.1999999999999999E-2</v>
      </c>
      <c r="AH91">
        <v>-7.3999999999999996E-2</v>
      </c>
      <c r="AI91">
        <v>-5.2999999999999999E-2</v>
      </c>
    </row>
    <row r="92" spans="1:35" x14ac:dyDescent="0.25">
      <c r="A92" t="s">
        <v>1589</v>
      </c>
      <c r="B92" t="s">
        <v>31</v>
      </c>
      <c r="C92" s="25">
        <v>43704.400150462963</v>
      </c>
      <c r="D92" s="741" t="s">
        <v>969</v>
      </c>
      <c r="E92" s="741" t="e">
        <f t="array" ref="E92">SUMPRODUCT(IF(AMP6_4[[#This Row],[Dim 1_1]:[T 8]]-$F$4:$AI$4&lt;0,1,0)+IF($F$5:$AI$5-AMP6_4[[#This Row],[Dim 1_1]:[T 8]]&lt;0,1,0),IF(ISNUMBER(AMP6_4[[#This Row],[Dim 1_1]:[T 8]])=TRUE,1,0))</f>
        <v>#VALUE!</v>
      </c>
      <c r="H92">
        <v>155.56100000000001</v>
      </c>
      <c r="I92">
        <v>155.53200000000001</v>
      </c>
      <c r="J92">
        <v>168.71100000000001</v>
      </c>
      <c r="K92">
        <v>168.61600000000001</v>
      </c>
      <c r="L92">
        <v>155.637</v>
      </c>
      <c r="M92">
        <v>155.48500000000001</v>
      </c>
      <c r="N92">
        <v>27.550999999999998</v>
      </c>
      <c r="O92">
        <v>27.715</v>
      </c>
      <c r="R92">
        <v>17.283999999999999</v>
      </c>
      <c r="S92">
        <v>17.350999999999999</v>
      </c>
      <c r="T92">
        <v>37.517000000000003</v>
      </c>
      <c r="U92">
        <v>37.584000000000003</v>
      </c>
      <c r="W92">
        <v>0.16200000000000001</v>
      </c>
      <c r="X92">
        <v>-5.2999999999999999E-2</v>
      </c>
      <c r="Z92">
        <v>6.3E-2</v>
      </c>
      <c r="AA92">
        <v>2.1000000000000001E-2</v>
      </c>
      <c r="AB92">
        <v>0.16</v>
      </c>
      <c r="AC92">
        <v>0.108</v>
      </c>
      <c r="AD92">
        <v>0.16200000000000001</v>
      </c>
      <c r="AE92">
        <v>-5.2999999999999999E-2</v>
      </c>
      <c r="AF92">
        <v>6.3E-2</v>
      </c>
      <c r="AG92">
        <v>0.03</v>
      </c>
      <c r="AH92">
        <v>2.1000000000000001E-2</v>
      </c>
      <c r="AI92">
        <v>6.2E-2</v>
      </c>
    </row>
    <row r="93" spans="1:35" x14ac:dyDescent="0.25">
      <c r="A93" t="s">
        <v>1590</v>
      </c>
      <c r="B93" t="s">
        <v>32</v>
      </c>
      <c r="C93" s="25">
        <v>43704.501006944447</v>
      </c>
      <c r="D93" s="741" t="s">
        <v>969</v>
      </c>
      <c r="E93" s="741" t="e">
        <f t="array" ref="E93">SUMPRODUCT(IF(AMP6_4[[#This Row],[Dim 1_1]:[T 8]]-$F$4:$AI$4&lt;0,1,0)+IF($F$5:$AI$5-AMP6_4[[#This Row],[Dim 1_1]:[T 8]]&lt;0,1,0),IF(ISNUMBER(AMP6_4[[#This Row],[Dim 1_1]:[T 8]])=TRUE,1,0))</f>
        <v>#VALUE!</v>
      </c>
      <c r="F93">
        <v>41.395000000000003</v>
      </c>
      <c r="G93">
        <v>41.363999999999997</v>
      </c>
      <c r="H93">
        <v>155.821</v>
      </c>
      <c r="I93">
        <v>155.869</v>
      </c>
      <c r="L93">
        <v>155.92099999999999</v>
      </c>
      <c r="M93">
        <v>155.70699999999999</v>
      </c>
      <c r="N93">
        <v>27.219000000000001</v>
      </c>
      <c r="O93">
        <v>27.344000000000001</v>
      </c>
      <c r="R93">
        <v>17.259</v>
      </c>
      <c r="S93">
        <v>17.234000000000002</v>
      </c>
      <c r="T93">
        <v>33.462000000000003</v>
      </c>
      <c r="U93">
        <v>34.244999999999997</v>
      </c>
      <c r="W93">
        <v>7.0000000000000001E-3</v>
      </c>
      <c r="X93">
        <v>-0.14599999999999999</v>
      </c>
      <c r="Z93">
        <v>8.0000000000000002E-3</v>
      </c>
      <c r="AA93">
        <v>-6.3E-2</v>
      </c>
      <c r="AB93">
        <v>-3.5999999999999997E-2</v>
      </c>
      <c r="AC93">
        <v>7.0000000000000001E-3</v>
      </c>
      <c r="AD93">
        <v>-7.2999999999999995E-2</v>
      </c>
      <c r="AE93">
        <v>-0.14599999999999999</v>
      </c>
      <c r="AF93">
        <v>8.0000000000000002E-3</v>
      </c>
      <c r="AG93">
        <v>-6.3E-2</v>
      </c>
      <c r="AH93">
        <v>-4.5999999999999999E-2</v>
      </c>
      <c r="AI93">
        <v>-6.0999999999999999E-2</v>
      </c>
    </row>
    <row r="94" spans="1:35" x14ac:dyDescent="0.25">
      <c r="A94" t="s">
        <v>1591</v>
      </c>
      <c r="B94" t="s">
        <v>31</v>
      </c>
      <c r="C94" s="25">
        <v>43704.503553240742</v>
      </c>
      <c r="D94" s="741" t="s">
        <v>969</v>
      </c>
      <c r="E94" s="741" t="e">
        <f t="array" ref="E94">SUMPRODUCT(IF(AMP6_4[[#This Row],[Dim 1_1]:[T 8]]-$F$4:$AI$4&lt;0,1,0)+IF($F$5:$AI$5-AMP6_4[[#This Row],[Dim 1_1]:[T 8]]&lt;0,1,0),IF(ISNUMBER(AMP6_4[[#This Row],[Dim 1_1]:[T 8]])=TRUE,1,0))</f>
        <v>#VALUE!</v>
      </c>
      <c r="H94">
        <v>155.63999999999999</v>
      </c>
      <c r="I94">
        <v>155.59100000000001</v>
      </c>
      <c r="J94">
        <v>168.672</v>
      </c>
      <c r="K94">
        <v>168.62299999999999</v>
      </c>
      <c r="L94">
        <v>155.72399999999999</v>
      </c>
      <c r="M94">
        <v>155.548</v>
      </c>
      <c r="N94">
        <v>27.472999999999999</v>
      </c>
      <c r="O94">
        <v>27.66</v>
      </c>
      <c r="R94">
        <v>17.242999999999999</v>
      </c>
      <c r="S94">
        <v>17.224</v>
      </c>
      <c r="T94">
        <v>37.069000000000003</v>
      </c>
      <c r="U94">
        <v>37.048000000000002</v>
      </c>
      <c r="W94">
        <v>0.156</v>
      </c>
      <c r="X94">
        <v>-2.8000000000000001E-2</v>
      </c>
      <c r="Z94">
        <v>5.2999999999999999E-2</v>
      </c>
      <c r="AA94">
        <v>5.0000000000000001E-3</v>
      </c>
      <c r="AB94">
        <v>0.11700000000000001</v>
      </c>
      <c r="AC94">
        <v>6.2E-2</v>
      </c>
      <c r="AD94">
        <v>0.156</v>
      </c>
      <c r="AE94">
        <v>-2.8000000000000001E-2</v>
      </c>
      <c r="AF94">
        <v>0.04</v>
      </c>
      <c r="AG94">
        <v>5.0000000000000001E-3</v>
      </c>
      <c r="AH94">
        <v>2.1000000000000001E-2</v>
      </c>
      <c r="AI94">
        <v>5.2999999999999999E-2</v>
      </c>
    </row>
    <row r="95" spans="1:35" x14ac:dyDescent="0.25">
      <c r="A95" t="s">
        <v>1592</v>
      </c>
      <c r="B95" t="s">
        <v>32</v>
      </c>
      <c r="C95" s="25">
        <v>43704.578831018516</v>
      </c>
      <c r="D95" s="741" t="s">
        <v>969</v>
      </c>
      <c r="E95" s="741" t="e">
        <f t="array" ref="E95">SUMPRODUCT(IF(AMP6_4[[#This Row],[Dim 1_1]:[T 8]]-$F$4:$AI$4&lt;0,1,0)+IF($F$5:$AI$5-AMP6_4[[#This Row],[Dim 1_1]:[T 8]]&lt;0,1,0),IF(ISNUMBER(AMP6_4[[#This Row],[Dim 1_1]:[T 8]])=TRUE,1,0))</f>
        <v>#VALUE!</v>
      </c>
      <c r="F95">
        <v>41.396999999999998</v>
      </c>
      <c r="G95">
        <v>41.271000000000001</v>
      </c>
      <c r="H95">
        <v>155.77500000000001</v>
      </c>
      <c r="I95">
        <v>155.857</v>
      </c>
      <c r="L95">
        <v>155.91800000000001</v>
      </c>
      <c r="M95">
        <v>155.72499999999999</v>
      </c>
      <c r="N95">
        <v>27.21</v>
      </c>
      <c r="O95">
        <v>27.327999999999999</v>
      </c>
      <c r="R95">
        <v>17.239000000000001</v>
      </c>
      <c r="S95">
        <v>17.242999999999999</v>
      </c>
      <c r="T95">
        <v>33.39</v>
      </c>
      <c r="U95">
        <v>34.203000000000003</v>
      </c>
      <c r="W95">
        <v>-2.7E-2</v>
      </c>
      <c r="X95">
        <v>-0.24399999999999999</v>
      </c>
      <c r="Z95">
        <v>5.5E-2</v>
      </c>
      <c r="AA95">
        <v>-8.2000000000000003E-2</v>
      </c>
      <c r="AB95">
        <v>-6.4000000000000001E-2</v>
      </c>
      <c r="AC95">
        <v>-2.7E-2</v>
      </c>
      <c r="AD95">
        <v>-0.128</v>
      </c>
      <c r="AE95">
        <v>-0.24399999999999999</v>
      </c>
      <c r="AF95">
        <v>5.5E-2</v>
      </c>
      <c r="AG95">
        <v>-1.7999999999999999E-2</v>
      </c>
      <c r="AH95">
        <v>-8.2000000000000003E-2</v>
      </c>
      <c r="AI95">
        <v>-5.3999999999999999E-2</v>
      </c>
    </row>
    <row r="96" spans="1:35" x14ac:dyDescent="0.25">
      <c r="A96" t="s">
        <v>1593</v>
      </c>
      <c r="B96" t="s">
        <v>31</v>
      </c>
      <c r="C96" s="25">
        <v>43704.588819444441</v>
      </c>
      <c r="D96" s="741" t="s">
        <v>969</v>
      </c>
      <c r="E96" s="741" t="e">
        <f t="array" ref="E96">SUMPRODUCT(IF(AMP6_4[[#This Row],[Dim 1_1]:[T 8]]-$F$4:$AI$4&lt;0,1,0)+IF($F$5:$AI$5-AMP6_4[[#This Row],[Dim 1_1]:[T 8]]&lt;0,1,0),IF(ISNUMBER(AMP6_4[[#This Row],[Dim 1_1]:[T 8]])=TRUE,1,0))</f>
        <v>#VALUE!</v>
      </c>
      <c r="H96">
        <v>155.58600000000001</v>
      </c>
      <c r="I96">
        <v>155.55799999999999</v>
      </c>
      <c r="J96">
        <v>168.625</v>
      </c>
      <c r="K96">
        <v>168.55199999999999</v>
      </c>
      <c r="L96">
        <v>155.65899999999999</v>
      </c>
      <c r="M96">
        <v>155.499</v>
      </c>
      <c r="N96">
        <v>27.550999999999998</v>
      </c>
      <c r="O96">
        <v>27.738</v>
      </c>
      <c r="R96">
        <v>17.280999999999999</v>
      </c>
      <c r="S96">
        <v>17.251000000000001</v>
      </c>
      <c r="T96">
        <v>37.176000000000002</v>
      </c>
      <c r="U96">
        <v>37.78</v>
      </c>
      <c r="W96">
        <v>0.17299999999999999</v>
      </c>
      <c r="X96">
        <v>-7.3999999999999996E-2</v>
      </c>
      <c r="Z96">
        <v>4.4999999999999998E-2</v>
      </c>
      <c r="AA96">
        <v>-1.2E-2</v>
      </c>
      <c r="AB96">
        <v>0.17299999999999999</v>
      </c>
      <c r="AC96">
        <v>0.127</v>
      </c>
      <c r="AD96">
        <v>0.156</v>
      </c>
      <c r="AE96">
        <v>-7.3999999999999996E-2</v>
      </c>
      <c r="AF96">
        <v>4.4999999999999998E-2</v>
      </c>
      <c r="AG96">
        <v>1.7000000000000001E-2</v>
      </c>
      <c r="AH96">
        <v>-1.2E-2</v>
      </c>
      <c r="AI96">
        <v>3.1E-2</v>
      </c>
    </row>
    <row r="97" spans="1:35" x14ac:dyDescent="0.25">
      <c r="A97" t="s">
        <v>1594</v>
      </c>
      <c r="B97" t="s">
        <v>32</v>
      </c>
      <c r="C97" s="25">
        <v>43704.693749999999</v>
      </c>
      <c r="D97" s="741" t="s">
        <v>969</v>
      </c>
      <c r="E97" s="741" t="e">
        <f t="array" ref="E97">SUMPRODUCT(IF(AMP6_4[[#This Row],[Dim 1_1]:[T 8]]-$F$4:$AI$4&lt;0,1,0)+IF($F$5:$AI$5-AMP6_4[[#This Row],[Dim 1_1]:[T 8]]&lt;0,1,0),IF(ISNUMBER(AMP6_4[[#This Row],[Dim 1_1]:[T 8]])=TRUE,1,0))</f>
        <v>#VALUE!</v>
      </c>
      <c r="F97">
        <v>41.384</v>
      </c>
      <c r="G97">
        <v>41.277000000000001</v>
      </c>
      <c r="H97">
        <v>155.78899999999999</v>
      </c>
      <c r="I97">
        <v>155.85499999999999</v>
      </c>
      <c r="L97">
        <v>155.92400000000001</v>
      </c>
      <c r="M97">
        <v>155.69800000000001</v>
      </c>
      <c r="N97">
        <v>27.192</v>
      </c>
      <c r="O97">
        <v>27.326000000000001</v>
      </c>
      <c r="R97">
        <v>17.238</v>
      </c>
      <c r="S97">
        <v>17.231000000000002</v>
      </c>
      <c r="T97">
        <v>33.304000000000002</v>
      </c>
      <c r="U97">
        <v>34.213999999999999</v>
      </c>
      <c r="W97">
        <v>-1.2999999999999999E-2</v>
      </c>
      <c r="X97">
        <v>-0.23799999999999999</v>
      </c>
      <c r="Z97">
        <v>5.2999999999999999E-2</v>
      </c>
      <c r="AA97">
        <v>-8.5999999999999993E-2</v>
      </c>
      <c r="AB97">
        <v>-0.03</v>
      </c>
      <c r="AC97">
        <v>-1.2999999999999999E-2</v>
      </c>
      <c r="AD97">
        <v>-9.0999999999999998E-2</v>
      </c>
      <c r="AE97">
        <v>-0.23799999999999999</v>
      </c>
      <c r="AF97">
        <v>5.2999999999999999E-2</v>
      </c>
      <c r="AG97">
        <v>0</v>
      </c>
      <c r="AH97">
        <v>-8.5999999999999993E-2</v>
      </c>
      <c r="AI97">
        <v>-0.04</v>
      </c>
    </row>
    <row r="98" spans="1:35" x14ac:dyDescent="0.25">
      <c r="A98" t="s">
        <v>1595</v>
      </c>
      <c r="B98" t="s">
        <v>31</v>
      </c>
      <c r="C98" s="25">
        <v>43704.6952662037</v>
      </c>
      <c r="D98" s="741" t="s">
        <v>969</v>
      </c>
      <c r="E98" s="741" t="e">
        <f t="array" ref="E98">SUMPRODUCT(IF(AMP6_4[[#This Row],[Dim 1_1]:[T 8]]-$F$4:$AI$4&lt;0,1,0)+IF($F$5:$AI$5-AMP6_4[[#This Row],[Dim 1_1]:[T 8]]&lt;0,1,0),IF(ISNUMBER(AMP6_4[[#This Row],[Dim 1_1]:[T 8]])=TRUE,1,0))</f>
        <v>#VALUE!</v>
      </c>
      <c r="H98">
        <v>155.60599999999999</v>
      </c>
      <c r="I98">
        <v>155.57400000000001</v>
      </c>
      <c r="J98">
        <v>168.62200000000001</v>
      </c>
      <c r="K98">
        <v>168.58</v>
      </c>
      <c r="L98">
        <v>155.71100000000001</v>
      </c>
      <c r="M98">
        <v>155.56</v>
      </c>
      <c r="N98">
        <v>27.492000000000001</v>
      </c>
      <c r="O98">
        <v>27.658000000000001</v>
      </c>
      <c r="R98">
        <v>17.244</v>
      </c>
      <c r="S98">
        <v>17.25</v>
      </c>
      <c r="T98">
        <v>37.457000000000001</v>
      </c>
      <c r="U98">
        <v>36.31</v>
      </c>
      <c r="W98">
        <v>0.16900000000000001</v>
      </c>
      <c r="X98">
        <v>-4.3999999999999997E-2</v>
      </c>
      <c r="Z98">
        <v>0.113</v>
      </c>
      <c r="AA98">
        <v>5.2999999999999999E-2</v>
      </c>
      <c r="AB98">
        <v>0.13400000000000001</v>
      </c>
      <c r="AC98">
        <v>9.2999999999999999E-2</v>
      </c>
      <c r="AD98">
        <v>0.16900000000000001</v>
      </c>
      <c r="AE98">
        <v>-4.3999999999999997E-2</v>
      </c>
      <c r="AF98">
        <v>0.08</v>
      </c>
      <c r="AG98">
        <v>5.2999999999999999E-2</v>
      </c>
      <c r="AH98">
        <v>8.5999999999999993E-2</v>
      </c>
      <c r="AI98">
        <v>0.113</v>
      </c>
    </row>
    <row r="99" spans="1:35" x14ac:dyDescent="0.25">
      <c r="A99" t="s">
        <v>1596</v>
      </c>
      <c r="B99" t="s">
        <v>32</v>
      </c>
      <c r="C99" s="25">
        <v>43704.777303240742</v>
      </c>
      <c r="D99" s="741" t="s">
        <v>969</v>
      </c>
      <c r="E99" s="741" t="e">
        <f t="array" ref="E99">SUMPRODUCT(IF(AMP6_4[[#This Row],[Dim 1_1]:[T 8]]-$F$4:$AI$4&lt;0,1,0)+IF($F$5:$AI$5-AMP6_4[[#This Row],[Dim 1_1]:[T 8]]&lt;0,1,0),IF(ISNUMBER(AMP6_4[[#This Row],[Dim 1_1]:[T 8]])=TRUE,1,0))</f>
        <v>#VALUE!</v>
      </c>
      <c r="F99">
        <v>41.213999999999999</v>
      </c>
      <c r="G99">
        <v>41.140999999999998</v>
      </c>
      <c r="H99">
        <v>155.91800000000001</v>
      </c>
      <c r="I99">
        <v>155.95500000000001</v>
      </c>
      <c r="L99">
        <v>156.01</v>
      </c>
      <c r="M99">
        <v>155.749</v>
      </c>
      <c r="N99">
        <v>27.169</v>
      </c>
      <c r="O99">
        <v>27.32</v>
      </c>
      <c r="R99">
        <v>17.260999999999999</v>
      </c>
      <c r="S99">
        <v>17.225999999999999</v>
      </c>
      <c r="T99">
        <v>33.503999999999998</v>
      </c>
      <c r="U99">
        <v>33.954999999999998</v>
      </c>
      <c r="W99">
        <v>-4.9000000000000002E-2</v>
      </c>
      <c r="X99">
        <v>-0.13600000000000001</v>
      </c>
      <c r="Z99">
        <v>-0.106</v>
      </c>
      <c r="AA99">
        <v>-0.16300000000000001</v>
      </c>
      <c r="AB99">
        <v>-9.0999999999999998E-2</v>
      </c>
      <c r="AC99">
        <v>-6.7000000000000004E-2</v>
      </c>
      <c r="AD99">
        <v>-4.9000000000000002E-2</v>
      </c>
      <c r="AE99">
        <v>-0.13600000000000001</v>
      </c>
      <c r="AF99">
        <v>-0.106</v>
      </c>
      <c r="AG99">
        <v>-0.16300000000000001</v>
      </c>
      <c r="AH99">
        <v>-0.112</v>
      </c>
      <c r="AI99">
        <v>-0.13800000000000001</v>
      </c>
    </row>
    <row r="100" spans="1:35" x14ac:dyDescent="0.25">
      <c r="A100" t="s">
        <v>1597</v>
      </c>
      <c r="B100" t="s">
        <v>31</v>
      </c>
      <c r="C100" s="25">
        <v>43704.779432870368</v>
      </c>
      <c r="D100" s="741" t="s">
        <v>969</v>
      </c>
      <c r="E100" s="741" t="e">
        <f t="array" ref="E100">SUMPRODUCT(IF(AMP6_4[[#This Row],[Dim 1_1]:[T 8]]-$F$4:$AI$4&lt;0,1,0)+IF($F$5:$AI$5-AMP6_4[[#This Row],[Dim 1_1]:[T 8]]&lt;0,1,0),IF(ISNUMBER(AMP6_4[[#This Row],[Dim 1_1]:[T 8]])=TRUE,1,0))</f>
        <v>#VALUE!</v>
      </c>
      <c r="H100">
        <v>155.72999999999999</v>
      </c>
      <c r="I100">
        <v>155.702</v>
      </c>
      <c r="J100">
        <v>168.59399999999999</v>
      </c>
      <c r="K100">
        <v>168.554</v>
      </c>
      <c r="L100">
        <v>155.83099999999999</v>
      </c>
      <c r="M100">
        <v>155.69200000000001</v>
      </c>
      <c r="N100">
        <v>27.363</v>
      </c>
      <c r="O100">
        <v>27.542000000000002</v>
      </c>
      <c r="R100">
        <v>17.236000000000001</v>
      </c>
      <c r="S100">
        <v>17.236000000000001</v>
      </c>
      <c r="T100">
        <v>35.32</v>
      </c>
      <c r="U100">
        <v>35.975000000000001</v>
      </c>
      <c r="W100">
        <v>8.8999999999999996E-2</v>
      </c>
      <c r="X100">
        <v>-9.9000000000000005E-2</v>
      </c>
      <c r="Z100">
        <v>0.04</v>
      </c>
      <c r="AA100">
        <v>-3.4000000000000002E-2</v>
      </c>
      <c r="AB100">
        <v>1.7999999999999999E-2</v>
      </c>
      <c r="AC100">
        <v>-3.5000000000000003E-2</v>
      </c>
      <c r="AD100">
        <v>8.8999999999999996E-2</v>
      </c>
      <c r="AE100">
        <v>-9.9000000000000005E-2</v>
      </c>
      <c r="AF100">
        <v>-0.01</v>
      </c>
      <c r="AG100">
        <v>-3.4000000000000002E-2</v>
      </c>
      <c r="AH100">
        <v>-2.4E-2</v>
      </c>
      <c r="AI100">
        <v>0.04</v>
      </c>
    </row>
    <row r="101" spans="1:35" x14ac:dyDescent="0.25">
      <c r="A101" t="s">
        <v>1598</v>
      </c>
      <c r="B101" t="s">
        <v>32</v>
      </c>
      <c r="C101" s="25">
        <v>43704.844328703701</v>
      </c>
      <c r="D101" s="741" t="s">
        <v>969</v>
      </c>
      <c r="E101" s="741" t="e">
        <f t="array" ref="E101">SUMPRODUCT(IF(AMP6_4[[#This Row],[Dim 1_1]:[T 8]]-$F$4:$AI$4&lt;0,1,0)+IF($F$5:$AI$5-AMP6_4[[#This Row],[Dim 1_1]:[T 8]]&lt;0,1,0),IF(ISNUMBER(AMP6_4[[#This Row],[Dim 1_1]:[T 8]])=TRUE,1,0))</f>
        <v>#VALUE!</v>
      </c>
      <c r="F101">
        <v>41.218000000000004</v>
      </c>
      <c r="G101">
        <v>41.079000000000001</v>
      </c>
      <c r="H101">
        <v>155.964</v>
      </c>
      <c r="I101">
        <v>155.99299999999999</v>
      </c>
      <c r="L101">
        <v>156.11199999999999</v>
      </c>
      <c r="M101">
        <v>155.85599999999999</v>
      </c>
      <c r="N101">
        <v>27.067</v>
      </c>
      <c r="O101">
        <v>27.196999999999999</v>
      </c>
      <c r="R101">
        <v>17.254999999999999</v>
      </c>
      <c r="S101">
        <v>17.234000000000002</v>
      </c>
      <c r="T101">
        <v>33.215000000000003</v>
      </c>
      <c r="U101">
        <v>34.076000000000001</v>
      </c>
      <c r="W101">
        <v>-0.13900000000000001</v>
      </c>
      <c r="X101">
        <v>-0.24199999999999999</v>
      </c>
      <c r="Z101">
        <v>-9.8000000000000004E-2</v>
      </c>
      <c r="AA101">
        <v>-0.17899999999999999</v>
      </c>
      <c r="AB101">
        <v>-0.17399999999999999</v>
      </c>
      <c r="AC101">
        <v>-0.13900000000000001</v>
      </c>
      <c r="AD101">
        <v>-0.189</v>
      </c>
      <c r="AE101">
        <v>-0.24199999999999999</v>
      </c>
      <c r="AF101">
        <v>-9.8000000000000004E-2</v>
      </c>
      <c r="AG101">
        <v>-0.16900000000000001</v>
      </c>
      <c r="AH101">
        <v>-0.17899999999999999</v>
      </c>
      <c r="AI101">
        <v>-0.16400000000000001</v>
      </c>
    </row>
    <row r="102" spans="1:35" x14ac:dyDescent="0.25">
      <c r="A102" t="s">
        <v>1599</v>
      </c>
      <c r="B102" t="s">
        <v>31</v>
      </c>
      <c r="C102" s="25">
        <v>43704.84584490741</v>
      </c>
      <c r="D102" s="741" t="s">
        <v>969</v>
      </c>
      <c r="E102" s="741" t="e">
        <f t="array" ref="E102">SUMPRODUCT(IF(AMP6_4[[#This Row],[Dim 1_1]:[T 8]]-$F$4:$AI$4&lt;0,1,0)+IF($F$5:$AI$5-AMP6_4[[#This Row],[Dim 1_1]:[T 8]]&lt;0,1,0),IF(ISNUMBER(AMP6_4[[#This Row],[Dim 1_1]:[T 8]])=TRUE,1,0))</f>
        <v>#VALUE!</v>
      </c>
      <c r="H102">
        <v>155.77600000000001</v>
      </c>
      <c r="I102">
        <v>155.739</v>
      </c>
      <c r="J102">
        <v>168.64599999999999</v>
      </c>
      <c r="K102">
        <v>168.648</v>
      </c>
      <c r="L102">
        <v>155.84800000000001</v>
      </c>
      <c r="M102">
        <v>155.71899999999999</v>
      </c>
      <c r="N102">
        <v>27.34</v>
      </c>
      <c r="O102">
        <v>27.504000000000001</v>
      </c>
      <c r="R102">
        <v>17.279</v>
      </c>
      <c r="S102">
        <v>17.172999999999998</v>
      </c>
      <c r="T102">
        <v>35.884999999999998</v>
      </c>
      <c r="U102">
        <v>36.371000000000002</v>
      </c>
      <c r="W102">
        <v>0.08</v>
      </c>
      <c r="X102">
        <v>-0.09</v>
      </c>
      <c r="Z102">
        <v>3.3000000000000002E-2</v>
      </c>
      <c r="AA102">
        <v>-8.3000000000000004E-2</v>
      </c>
      <c r="AB102">
        <v>-0.04</v>
      </c>
      <c r="AC102">
        <v>-8.8999999999999996E-2</v>
      </c>
      <c r="AD102">
        <v>0.08</v>
      </c>
      <c r="AE102">
        <v>-0.09</v>
      </c>
      <c r="AF102">
        <v>-3.4000000000000002E-2</v>
      </c>
      <c r="AG102">
        <v>-8.3000000000000004E-2</v>
      </c>
      <c r="AH102">
        <v>2.1999999999999999E-2</v>
      </c>
      <c r="AI102">
        <v>3.3000000000000002E-2</v>
      </c>
    </row>
    <row r="103" spans="1:35" x14ac:dyDescent="0.25">
      <c r="A103" t="s">
        <v>1600</v>
      </c>
      <c r="B103" t="s">
        <v>32</v>
      </c>
      <c r="C103" s="25">
        <v>43704.92560185185</v>
      </c>
      <c r="D103" s="741" t="s">
        <v>969</v>
      </c>
      <c r="E103" s="741" t="e">
        <f t="array" ref="E103">SUMPRODUCT(IF(AMP6_4[[#This Row],[Dim 1_1]:[T 8]]-$F$4:$AI$4&lt;0,1,0)+IF($F$5:$AI$5-AMP6_4[[#This Row],[Dim 1_1]:[T 8]]&lt;0,1,0),IF(ISNUMBER(AMP6_4[[#This Row],[Dim 1_1]:[T 8]])=TRUE,1,0))</f>
        <v>#VALUE!</v>
      </c>
      <c r="F103">
        <v>41.430999999999997</v>
      </c>
      <c r="G103">
        <v>41.356999999999999</v>
      </c>
      <c r="H103">
        <v>155.79599999999999</v>
      </c>
      <c r="I103">
        <v>155.821</v>
      </c>
      <c r="L103">
        <v>155.92099999999999</v>
      </c>
      <c r="M103">
        <v>155.63200000000001</v>
      </c>
      <c r="N103">
        <v>27.199000000000002</v>
      </c>
      <c r="O103">
        <v>27.404</v>
      </c>
      <c r="R103">
        <v>17.225999999999999</v>
      </c>
      <c r="S103">
        <v>17.257000000000001</v>
      </c>
      <c r="T103">
        <v>33.411999999999999</v>
      </c>
      <c r="U103">
        <v>34.15</v>
      </c>
      <c r="W103">
        <v>6.6000000000000003E-2</v>
      </c>
      <c r="X103">
        <v>-0.115</v>
      </c>
      <c r="Z103">
        <v>3.5000000000000003E-2</v>
      </c>
      <c r="AA103">
        <v>-0.156</v>
      </c>
      <c r="AB103">
        <v>1.2E-2</v>
      </c>
      <c r="AC103">
        <v>6.6000000000000003E-2</v>
      </c>
      <c r="AD103">
        <v>-9.1999999999999998E-2</v>
      </c>
      <c r="AE103">
        <v>-0.115</v>
      </c>
      <c r="AF103">
        <v>3.5000000000000003E-2</v>
      </c>
      <c r="AG103">
        <v>-2.8000000000000001E-2</v>
      </c>
      <c r="AH103">
        <v>-0.156</v>
      </c>
      <c r="AI103">
        <v>-0.104</v>
      </c>
    </row>
    <row r="104" spans="1:35" x14ac:dyDescent="0.25">
      <c r="A104" t="s">
        <v>1601</v>
      </c>
      <c r="B104" t="s">
        <v>31</v>
      </c>
      <c r="C104" s="25">
        <v>43704.927141203705</v>
      </c>
      <c r="D104" s="741" t="s">
        <v>969</v>
      </c>
      <c r="E104" s="741" t="e">
        <f t="array" ref="E104">SUMPRODUCT(IF(AMP6_4[[#This Row],[Dim 1_1]:[T 8]]-$F$4:$AI$4&lt;0,1,0)+IF($F$5:$AI$5-AMP6_4[[#This Row],[Dim 1_1]:[T 8]]&lt;0,1,0),IF(ISNUMBER(AMP6_4[[#This Row],[Dim 1_1]:[T 8]])=TRUE,1,0))</f>
        <v>#VALUE!</v>
      </c>
      <c r="H104">
        <v>155.69499999999999</v>
      </c>
      <c r="I104">
        <v>155.71</v>
      </c>
      <c r="J104">
        <v>168.744</v>
      </c>
      <c r="K104">
        <v>168.577</v>
      </c>
      <c r="L104">
        <v>155.80199999999999</v>
      </c>
      <c r="M104">
        <v>155.68899999999999</v>
      </c>
      <c r="N104">
        <v>27.408000000000001</v>
      </c>
      <c r="O104">
        <v>27.524999999999999</v>
      </c>
      <c r="R104">
        <v>17.247</v>
      </c>
      <c r="S104">
        <v>17.297999999999998</v>
      </c>
      <c r="T104">
        <v>36.908999999999999</v>
      </c>
      <c r="U104">
        <v>36.411000000000001</v>
      </c>
      <c r="W104">
        <v>4.8000000000000001E-2</v>
      </c>
      <c r="X104">
        <v>-0.187</v>
      </c>
      <c r="Z104">
        <v>-2.4E-2</v>
      </c>
      <c r="AA104">
        <v>-7.3999999999999996E-2</v>
      </c>
      <c r="AB104">
        <v>3.9E-2</v>
      </c>
      <c r="AC104">
        <v>-3.0000000000000001E-3</v>
      </c>
      <c r="AD104">
        <v>4.8000000000000001E-2</v>
      </c>
      <c r="AE104">
        <v>-0.187</v>
      </c>
      <c r="AF104">
        <v>-2.4E-2</v>
      </c>
      <c r="AG104">
        <v>-7.0999999999999994E-2</v>
      </c>
      <c r="AH104">
        <v>-7.3999999999999996E-2</v>
      </c>
      <c r="AI104">
        <v>-5.8000000000000003E-2</v>
      </c>
    </row>
    <row r="105" spans="1:35" x14ac:dyDescent="0.25">
      <c r="A105" t="s">
        <v>1602</v>
      </c>
      <c r="B105" t="s">
        <v>32</v>
      </c>
      <c r="C105" s="25">
        <v>43705.0387962963</v>
      </c>
      <c r="D105" s="741" t="s">
        <v>969</v>
      </c>
      <c r="E105" s="741" t="e">
        <f t="array" ref="E105">SUMPRODUCT(IF(AMP6_4[[#This Row],[Dim 1_1]:[T 8]]-$F$4:$AI$4&lt;0,1,0)+IF($F$5:$AI$5-AMP6_4[[#This Row],[Dim 1_1]:[T 8]]&lt;0,1,0),IF(ISNUMBER(AMP6_4[[#This Row],[Dim 1_1]:[T 8]])=TRUE,1,0))</f>
        <v>#VALUE!</v>
      </c>
      <c r="F105">
        <v>41.427999999999997</v>
      </c>
      <c r="G105">
        <v>41.268000000000001</v>
      </c>
      <c r="H105">
        <v>155.91300000000001</v>
      </c>
      <c r="I105">
        <v>155.91200000000001</v>
      </c>
      <c r="L105">
        <v>156.00899999999999</v>
      </c>
      <c r="M105">
        <v>155.73699999999999</v>
      </c>
      <c r="N105">
        <v>27.158000000000001</v>
      </c>
      <c r="O105">
        <v>27.337</v>
      </c>
      <c r="R105">
        <v>17.227</v>
      </c>
      <c r="S105">
        <v>17.198</v>
      </c>
      <c r="T105">
        <v>33.255000000000003</v>
      </c>
      <c r="U105">
        <v>34.201000000000001</v>
      </c>
      <c r="W105">
        <v>1.7999999999999999E-2</v>
      </c>
      <c r="X105">
        <v>-0.121</v>
      </c>
      <c r="Z105">
        <v>-4.8000000000000001E-2</v>
      </c>
      <c r="AA105">
        <v>-0.13300000000000001</v>
      </c>
      <c r="AB105">
        <v>-2.3E-2</v>
      </c>
      <c r="AC105">
        <v>1.7999999999999999E-2</v>
      </c>
      <c r="AD105">
        <v>-3.9E-2</v>
      </c>
      <c r="AE105">
        <v>-0.121</v>
      </c>
      <c r="AF105">
        <v>-4.8000000000000001E-2</v>
      </c>
      <c r="AG105">
        <v>-0.13300000000000001</v>
      </c>
      <c r="AH105">
        <v>-0.10199999999999999</v>
      </c>
      <c r="AI105">
        <v>-0.121</v>
      </c>
    </row>
    <row r="106" spans="1:35" x14ac:dyDescent="0.25">
      <c r="A106" t="s">
        <v>1603</v>
      </c>
      <c r="B106" t="s">
        <v>31</v>
      </c>
      <c r="C106" s="25">
        <v>43705.040335648147</v>
      </c>
      <c r="D106" s="741" t="s">
        <v>969</v>
      </c>
      <c r="E106" s="741" t="e">
        <f t="array" ref="E106">SUMPRODUCT(IF(AMP6_4[[#This Row],[Dim 1_1]:[T 8]]-$F$4:$AI$4&lt;0,1,0)+IF($F$5:$AI$5-AMP6_4[[#This Row],[Dim 1_1]:[T 8]]&lt;0,1,0),IF(ISNUMBER(AMP6_4[[#This Row],[Dim 1_1]:[T 8]])=TRUE,1,0))</f>
        <v>#VALUE!</v>
      </c>
      <c r="H106">
        <v>155.71899999999999</v>
      </c>
      <c r="I106">
        <v>155.71299999999999</v>
      </c>
      <c r="J106">
        <v>168.79400000000001</v>
      </c>
      <c r="K106">
        <v>168.68700000000001</v>
      </c>
      <c r="L106">
        <v>155.80600000000001</v>
      </c>
      <c r="M106">
        <v>155.68700000000001</v>
      </c>
      <c r="N106">
        <v>27.370999999999999</v>
      </c>
      <c r="O106">
        <v>27.541</v>
      </c>
      <c r="R106">
        <v>17.242999999999999</v>
      </c>
      <c r="S106">
        <v>17.199000000000002</v>
      </c>
      <c r="T106">
        <v>37.222999999999999</v>
      </c>
      <c r="U106">
        <v>38.450000000000003</v>
      </c>
      <c r="W106">
        <v>6.3E-2</v>
      </c>
      <c r="X106">
        <v>-0.14000000000000001</v>
      </c>
      <c r="Z106">
        <v>-6.0000000000000001E-3</v>
      </c>
      <c r="AA106">
        <v>-7.5999999999999998E-2</v>
      </c>
      <c r="AB106">
        <v>-8.9999999999999993E-3</v>
      </c>
      <c r="AC106">
        <v>-5.5E-2</v>
      </c>
      <c r="AD106">
        <v>6.3E-2</v>
      </c>
      <c r="AE106">
        <v>-0.14000000000000001</v>
      </c>
      <c r="AF106">
        <v>-3.5000000000000003E-2</v>
      </c>
      <c r="AG106">
        <v>-7.5999999999999998E-2</v>
      </c>
      <c r="AH106">
        <v>-4.2999999999999997E-2</v>
      </c>
      <c r="AI106">
        <v>-6.0000000000000001E-3</v>
      </c>
    </row>
    <row r="107" spans="1:35" x14ac:dyDescent="0.25">
      <c r="A107" t="s">
        <v>1604</v>
      </c>
      <c r="B107" t="s">
        <v>32</v>
      </c>
      <c r="C107" s="25">
        <v>43705.057199074072</v>
      </c>
      <c r="D107" s="741" t="s">
        <v>969</v>
      </c>
      <c r="E107" s="741" t="e">
        <f t="array" ref="E107">SUMPRODUCT(IF(AMP6_4[[#This Row],[Dim 1_1]:[T 8]]-$F$4:$AI$4&lt;0,1,0)+IF($F$5:$AI$5-AMP6_4[[#This Row],[Dim 1_1]:[T 8]]&lt;0,1,0),IF(ISNUMBER(AMP6_4[[#This Row],[Dim 1_1]:[T 8]])=TRUE,1,0))</f>
        <v>#VALUE!</v>
      </c>
      <c r="F107">
        <v>41.356999999999999</v>
      </c>
      <c r="G107">
        <v>41.343000000000004</v>
      </c>
      <c r="H107">
        <v>155.858</v>
      </c>
      <c r="I107">
        <v>155.90299999999999</v>
      </c>
      <c r="L107">
        <v>155.994</v>
      </c>
      <c r="M107">
        <v>155.74299999999999</v>
      </c>
      <c r="N107">
        <v>27.135999999999999</v>
      </c>
      <c r="O107">
        <v>27.291</v>
      </c>
      <c r="R107">
        <v>17.247</v>
      </c>
      <c r="S107">
        <v>17.209</v>
      </c>
      <c r="T107">
        <v>33.356000000000002</v>
      </c>
      <c r="U107">
        <v>34.261000000000003</v>
      </c>
      <c r="W107">
        <v>-6.6000000000000003E-2</v>
      </c>
      <c r="X107">
        <v>-0.23400000000000001</v>
      </c>
      <c r="Z107">
        <v>-0.01</v>
      </c>
      <c r="AA107">
        <v>-8.1000000000000003E-2</v>
      </c>
      <c r="AB107">
        <v>-0.10199999999999999</v>
      </c>
      <c r="AC107">
        <v>-6.6000000000000003E-2</v>
      </c>
      <c r="AD107">
        <v>-0.14499999999999999</v>
      </c>
      <c r="AE107">
        <v>-0.23400000000000001</v>
      </c>
      <c r="AF107">
        <v>-0.01</v>
      </c>
      <c r="AG107">
        <v>-7.2999999999999995E-2</v>
      </c>
      <c r="AH107">
        <v>-6.3E-2</v>
      </c>
      <c r="AI107">
        <v>-8.1000000000000003E-2</v>
      </c>
    </row>
    <row r="108" spans="1:35" x14ac:dyDescent="0.25">
      <c r="A108" t="s">
        <v>1605</v>
      </c>
      <c r="B108" t="s">
        <v>31</v>
      </c>
      <c r="C108" s="25">
        <v>43705.059699074074</v>
      </c>
      <c r="D108" s="741" t="s">
        <v>969</v>
      </c>
      <c r="E108" s="741" t="e">
        <f t="array" ref="E108">SUMPRODUCT(IF(AMP6_4[[#This Row],[Dim 1_1]:[T 8]]-$F$4:$AI$4&lt;0,1,0)+IF($F$5:$AI$5-AMP6_4[[#This Row],[Dim 1_1]:[T 8]]&lt;0,1,0),IF(ISNUMBER(AMP6_4[[#This Row],[Dim 1_1]:[T 8]])=TRUE,1,0))</f>
        <v>#VALUE!</v>
      </c>
      <c r="H108">
        <v>155.708</v>
      </c>
      <c r="I108">
        <v>155.696</v>
      </c>
      <c r="J108">
        <v>168.70699999999999</v>
      </c>
      <c r="K108">
        <v>168.54</v>
      </c>
      <c r="L108">
        <v>155.785</v>
      </c>
      <c r="M108">
        <v>155.65700000000001</v>
      </c>
      <c r="N108">
        <v>27.42</v>
      </c>
      <c r="O108">
        <v>27.58</v>
      </c>
      <c r="R108">
        <v>17.285</v>
      </c>
      <c r="S108">
        <v>17.155999999999999</v>
      </c>
      <c r="T108">
        <v>38.658999999999999</v>
      </c>
      <c r="U108">
        <v>38.862000000000002</v>
      </c>
      <c r="W108">
        <v>0.15</v>
      </c>
      <c r="X108">
        <v>-7.3999999999999996E-2</v>
      </c>
      <c r="Z108">
        <v>4.0000000000000001E-3</v>
      </c>
      <c r="AA108">
        <v>-0.186</v>
      </c>
      <c r="AB108">
        <v>5.0000000000000001E-3</v>
      </c>
      <c r="AC108">
        <v>-3.2000000000000001E-2</v>
      </c>
      <c r="AD108">
        <v>0.15</v>
      </c>
      <c r="AE108">
        <v>-7.3999999999999996E-2</v>
      </c>
      <c r="AF108">
        <v>-9.1999999999999998E-2</v>
      </c>
      <c r="AG108">
        <v>-0.186</v>
      </c>
      <c r="AH108">
        <v>4.0000000000000001E-3</v>
      </c>
      <c r="AI108">
        <v>-1.6E-2</v>
      </c>
    </row>
    <row r="109" spans="1:35" x14ac:dyDescent="0.25">
      <c r="A109" t="s">
        <v>1606</v>
      </c>
      <c r="B109" t="s">
        <v>32</v>
      </c>
      <c r="C109" s="25">
        <v>43705.328842592593</v>
      </c>
      <c r="D109" s="741" t="s">
        <v>969</v>
      </c>
      <c r="E109" s="741" t="e">
        <f t="array" ref="E109">SUMPRODUCT(IF(AMP6_4[[#This Row],[Dim 1_1]:[T 8]]-$F$4:$AI$4&lt;0,1,0)+IF($F$5:$AI$5-AMP6_4[[#This Row],[Dim 1_1]:[T 8]]&lt;0,1,0),IF(ISNUMBER(AMP6_4[[#This Row],[Dim 1_1]:[T 8]])=TRUE,1,0))</f>
        <v>#VALUE!</v>
      </c>
      <c r="F109">
        <v>41.314999999999998</v>
      </c>
      <c r="G109">
        <v>41.113999999999997</v>
      </c>
      <c r="H109">
        <v>155.905</v>
      </c>
      <c r="I109">
        <v>155.92699999999999</v>
      </c>
      <c r="L109">
        <v>156.01300000000001</v>
      </c>
      <c r="M109">
        <v>155.74299999999999</v>
      </c>
      <c r="N109">
        <v>27.138000000000002</v>
      </c>
      <c r="O109">
        <v>27.303000000000001</v>
      </c>
      <c r="R109">
        <v>17.283999999999999</v>
      </c>
      <c r="S109">
        <v>17.204000000000001</v>
      </c>
      <c r="T109">
        <v>33.5</v>
      </c>
      <c r="U109">
        <v>34.281999999999996</v>
      </c>
      <c r="W109">
        <v>3.0000000000000001E-3</v>
      </c>
      <c r="X109">
        <v>-0.1</v>
      </c>
      <c r="Z109">
        <v>-1.6E-2</v>
      </c>
      <c r="AA109">
        <v>-0.14299999999999999</v>
      </c>
      <c r="AB109">
        <v>-0.1</v>
      </c>
      <c r="AC109">
        <v>-5.6000000000000001E-2</v>
      </c>
      <c r="AD109">
        <v>3.0000000000000001E-3</v>
      </c>
      <c r="AE109">
        <v>-5.3999999999999999E-2</v>
      </c>
      <c r="AF109">
        <v>-9.5000000000000001E-2</v>
      </c>
      <c r="AG109">
        <v>-0.14299999999999999</v>
      </c>
      <c r="AH109">
        <v>-5.7000000000000002E-2</v>
      </c>
      <c r="AI109">
        <v>-1.6E-2</v>
      </c>
    </row>
    <row r="110" spans="1:35" x14ac:dyDescent="0.25">
      <c r="A110" t="s">
        <v>1607</v>
      </c>
      <c r="B110" t="s">
        <v>31</v>
      </c>
      <c r="C110" s="25">
        <v>43705.331296296295</v>
      </c>
      <c r="D110" s="741" t="s">
        <v>969</v>
      </c>
      <c r="E110" s="741" t="e">
        <f t="array" ref="E110">SUMPRODUCT(IF(AMP6_4[[#This Row],[Dim 1_1]:[T 8]]-$F$4:$AI$4&lt;0,1,0)+IF($F$5:$AI$5-AMP6_4[[#This Row],[Dim 1_1]:[T 8]]&lt;0,1,0),IF(ISNUMBER(AMP6_4[[#This Row],[Dim 1_1]:[T 8]])=TRUE,1,0))</f>
        <v>#VALUE!</v>
      </c>
      <c r="H110">
        <v>155.69399999999999</v>
      </c>
      <c r="I110">
        <v>155.685</v>
      </c>
      <c r="J110">
        <v>168.66399999999999</v>
      </c>
      <c r="K110">
        <v>168.55</v>
      </c>
      <c r="L110">
        <v>155.80199999999999</v>
      </c>
      <c r="M110">
        <v>155.64599999999999</v>
      </c>
      <c r="N110">
        <v>27.378</v>
      </c>
      <c r="O110">
        <v>27.565000000000001</v>
      </c>
      <c r="R110">
        <v>17.303000000000001</v>
      </c>
      <c r="S110">
        <v>17.216000000000001</v>
      </c>
      <c r="T110">
        <v>38.098999999999997</v>
      </c>
      <c r="U110">
        <v>38.088000000000001</v>
      </c>
      <c r="W110">
        <v>0.17499999999999999</v>
      </c>
      <c r="X110">
        <v>-3.7999999999999999E-2</v>
      </c>
      <c r="Z110">
        <v>0.13800000000000001</v>
      </c>
      <c r="AA110">
        <v>-8.0000000000000002E-3</v>
      </c>
      <c r="AB110">
        <v>1.9E-2</v>
      </c>
      <c r="AC110">
        <v>-2.8000000000000001E-2</v>
      </c>
      <c r="AD110">
        <v>0.17499999999999999</v>
      </c>
      <c r="AE110">
        <v>-3.7999999999999999E-2</v>
      </c>
      <c r="AF110">
        <v>3.1E-2</v>
      </c>
      <c r="AG110">
        <v>-8.0000000000000002E-3</v>
      </c>
      <c r="AH110">
        <v>0.13</v>
      </c>
      <c r="AI110">
        <v>0.13800000000000001</v>
      </c>
    </row>
    <row r="111" spans="1:35" x14ac:dyDescent="0.25">
      <c r="A111" t="s">
        <v>1608</v>
      </c>
      <c r="B111" t="s">
        <v>32</v>
      </c>
      <c r="C111" s="25">
        <v>43705.412557870368</v>
      </c>
      <c r="D111" s="741" t="s">
        <v>969</v>
      </c>
      <c r="E111" s="741" t="e">
        <f t="array" ref="E111">SUMPRODUCT(IF(AMP6_4[[#This Row],[Dim 1_1]:[T 8]]-$F$4:$AI$4&lt;0,1,0)+IF($F$5:$AI$5-AMP6_4[[#This Row],[Dim 1_1]:[T 8]]&lt;0,1,0),IF(ISNUMBER(AMP6_4[[#This Row],[Dim 1_1]:[T 8]])=TRUE,1,0))</f>
        <v>#VALUE!</v>
      </c>
      <c r="F111">
        <v>41.183999999999997</v>
      </c>
      <c r="G111">
        <v>41.097000000000001</v>
      </c>
      <c r="H111">
        <v>155.90299999999999</v>
      </c>
      <c r="I111">
        <v>155.88900000000001</v>
      </c>
      <c r="L111">
        <v>156.02699999999999</v>
      </c>
      <c r="M111">
        <v>155.70099999999999</v>
      </c>
      <c r="N111">
        <v>27.114000000000001</v>
      </c>
      <c r="O111">
        <v>27.350999999999999</v>
      </c>
      <c r="R111">
        <v>17.25</v>
      </c>
      <c r="S111">
        <v>17.207000000000001</v>
      </c>
      <c r="T111">
        <v>33.329000000000001</v>
      </c>
      <c r="U111">
        <v>34.456000000000003</v>
      </c>
      <c r="W111">
        <v>-2.7E-2</v>
      </c>
      <c r="X111">
        <v>-9.5000000000000001E-2</v>
      </c>
      <c r="Z111">
        <v>2.1000000000000001E-2</v>
      </c>
      <c r="AA111">
        <v>-0.128</v>
      </c>
      <c r="AB111">
        <v>-5.8999999999999997E-2</v>
      </c>
      <c r="AC111">
        <v>-2.7E-2</v>
      </c>
      <c r="AD111">
        <v>-2.8000000000000001E-2</v>
      </c>
      <c r="AE111">
        <v>-9.5000000000000001E-2</v>
      </c>
      <c r="AF111">
        <v>-2.8000000000000001E-2</v>
      </c>
      <c r="AG111">
        <v>-0.128</v>
      </c>
      <c r="AH111">
        <v>2.1000000000000001E-2</v>
      </c>
      <c r="AI111">
        <v>-0.06</v>
      </c>
    </row>
    <row r="112" spans="1:35" x14ac:dyDescent="0.25">
      <c r="A112" t="s">
        <v>1609</v>
      </c>
      <c r="B112" t="s">
        <v>31</v>
      </c>
      <c r="C112" s="25">
        <v>43705.414571759262</v>
      </c>
      <c r="D112" s="741" t="s">
        <v>969</v>
      </c>
      <c r="E112" s="741" t="e">
        <f t="array" ref="E112">SUMPRODUCT(IF(AMP6_4[[#This Row],[Dim 1_1]:[T 8]]-$F$4:$AI$4&lt;0,1,0)+IF($F$5:$AI$5-AMP6_4[[#This Row],[Dim 1_1]:[T 8]]&lt;0,1,0),IF(ISNUMBER(AMP6_4[[#This Row],[Dim 1_1]:[T 8]])=TRUE,1,0))</f>
        <v>#VALUE!</v>
      </c>
      <c r="H112">
        <v>155.78200000000001</v>
      </c>
      <c r="I112">
        <v>155.732</v>
      </c>
      <c r="J112">
        <v>168.53200000000001</v>
      </c>
      <c r="K112">
        <v>168.423</v>
      </c>
      <c r="L112">
        <v>155.821</v>
      </c>
      <c r="M112">
        <v>155.679</v>
      </c>
      <c r="N112">
        <v>27.355</v>
      </c>
      <c r="O112">
        <v>27.533999999999999</v>
      </c>
      <c r="R112">
        <v>17.295999999999999</v>
      </c>
      <c r="S112">
        <v>17.210999999999999</v>
      </c>
      <c r="T112">
        <v>38.012999999999998</v>
      </c>
      <c r="U112">
        <v>38.634</v>
      </c>
      <c r="W112">
        <v>0.19400000000000001</v>
      </c>
      <c r="X112">
        <v>-3.7999999999999999E-2</v>
      </c>
      <c r="Z112">
        <v>7.3999999999999996E-2</v>
      </c>
      <c r="AA112">
        <v>-7.6999999999999999E-2</v>
      </c>
      <c r="AB112">
        <v>4.1000000000000002E-2</v>
      </c>
      <c r="AC112">
        <v>-1.2999999999999999E-2</v>
      </c>
      <c r="AD112">
        <v>0.19400000000000001</v>
      </c>
      <c r="AE112">
        <v>-3.7999999999999999E-2</v>
      </c>
      <c r="AF112">
        <v>-3.1E-2</v>
      </c>
      <c r="AG112">
        <v>-7.6999999999999999E-2</v>
      </c>
      <c r="AH112">
        <v>5.1999999999999998E-2</v>
      </c>
      <c r="AI112">
        <v>7.3999999999999996E-2</v>
      </c>
    </row>
    <row r="113" spans="1:35" x14ac:dyDescent="0.25">
      <c r="A113" t="s">
        <v>1893</v>
      </c>
      <c r="B113" t="s">
        <v>32</v>
      </c>
      <c r="C113" s="25">
        <v>43705.513252314813</v>
      </c>
      <c r="D113" s="741" t="s">
        <v>969</v>
      </c>
      <c r="E113" s="741" t="e">
        <f t="array" ref="E113">SUMPRODUCT(IF(AMP6_4[[#This Row],[Dim 1_1]:[T 8]]-$F$4:$AI$4&lt;0,1,0)+IF($F$5:$AI$5-AMP6_4[[#This Row],[Dim 1_1]:[T 8]]&lt;0,1,0),IF(ISNUMBER(AMP6_4[[#This Row],[Dim 1_1]:[T 8]])=TRUE,1,0))</f>
        <v>#VALUE!</v>
      </c>
      <c r="F113">
        <v>41.286999999999999</v>
      </c>
      <c r="G113">
        <v>41.125</v>
      </c>
      <c r="H113">
        <v>155.88999999999999</v>
      </c>
      <c r="I113">
        <v>155.816</v>
      </c>
      <c r="L113">
        <v>156.017</v>
      </c>
      <c r="M113">
        <v>155.63</v>
      </c>
      <c r="N113">
        <v>27.096</v>
      </c>
      <c r="O113">
        <v>27.407</v>
      </c>
      <c r="R113">
        <v>17.239999999999998</v>
      </c>
      <c r="S113">
        <v>17.169</v>
      </c>
      <c r="T113">
        <v>33.521000000000001</v>
      </c>
      <c r="U113">
        <v>34.238</v>
      </c>
      <c r="W113">
        <v>3.6999999999999998E-2</v>
      </c>
      <c r="X113">
        <v>-0.115</v>
      </c>
      <c r="Z113">
        <v>3.2000000000000001E-2</v>
      </c>
      <c r="AA113">
        <v>-0.14199999999999999</v>
      </c>
      <c r="AB113">
        <v>-0.115</v>
      </c>
      <c r="AC113">
        <v>-0.08</v>
      </c>
      <c r="AD113">
        <v>3.6999999999999998E-2</v>
      </c>
      <c r="AE113">
        <v>-2E-3</v>
      </c>
      <c r="AF113">
        <v>-6.6000000000000003E-2</v>
      </c>
      <c r="AG113">
        <v>-0.14199999999999999</v>
      </c>
      <c r="AH113">
        <v>3.2000000000000001E-2</v>
      </c>
      <c r="AI113">
        <v>2.7E-2</v>
      </c>
    </row>
    <row r="114" spans="1:35" x14ac:dyDescent="0.25">
      <c r="A114" t="s">
        <v>1894</v>
      </c>
      <c r="B114" t="s">
        <v>31</v>
      </c>
      <c r="C114" s="25">
        <v>43705.515451388892</v>
      </c>
      <c r="D114" s="741" t="s">
        <v>969</v>
      </c>
      <c r="E114" s="741" t="e">
        <f t="array" ref="E114">SUMPRODUCT(IF(AMP6_4[[#This Row],[Dim 1_1]:[T 8]]-$F$4:$AI$4&lt;0,1,0)+IF($F$5:$AI$5-AMP6_4[[#This Row],[Dim 1_1]:[T 8]]&lt;0,1,0),IF(ISNUMBER(AMP6_4[[#This Row],[Dim 1_1]:[T 8]])=TRUE,1,0))</f>
        <v>#VALUE!</v>
      </c>
      <c r="H114">
        <v>155.71700000000001</v>
      </c>
      <c r="I114">
        <v>155.762</v>
      </c>
      <c r="J114">
        <v>168.68799999999999</v>
      </c>
      <c r="K114">
        <v>168.50200000000001</v>
      </c>
      <c r="L114">
        <v>155.804</v>
      </c>
      <c r="M114">
        <v>155.74</v>
      </c>
      <c r="N114">
        <v>27.408999999999999</v>
      </c>
      <c r="O114">
        <v>27.465</v>
      </c>
      <c r="R114">
        <v>17.268000000000001</v>
      </c>
      <c r="S114">
        <v>17.385999999999999</v>
      </c>
      <c r="T114">
        <v>38.168999999999997</v>
      </c>
      <c r="U114">
        <v>39.640999999999998</v>
      </c>
      <c r="W114">
        <v>0.10199999999999999</v>
      </c>
      <c r="X114">
        <v>-0.224</v>
      </c>
      <c r="Z114">
        <v>4.9000000000000002E-2</v>
      </c>
      <c r="AA114">
        <v>-5.7000000000000002E-2</v>
      </c>
      <c r="AB114">
        <v>0.10199999999999999</v>
      </c>
      <c r="AC114">
        <v>5.1999999999999998E-2</v>
      </c>
      <c r="AD114">
        <v>0.02</v>
      </c>
      <c r="AE114">
        <v>-0.224</v>
      </c>
      <c r="AF114">
        <v>4.9000000000000002E-2</v>
      </c>
      <c r="AG114">
        <v>5.0000000000000001E-3</v>
      </c>
      <c r="AH114">
        <v>-5.7000000000000002E-2</v>
      </c>
      <c r="AI114">
        <v>-5.7000000000000002E-2</v>
      </c>
    </row>
    <row r="115" spans="1:35" x14ac:dyDescent="0.25">
      <c r="A115" t="s">
        <v>1895</v>
      </c>
      <c r="B115" t="s">
        <v>32</v>
      </c>
      <c r="C115" s="25">
        <v>43705.639386574076</v>
      </c>
      <c r="D115" s="741" t="s">
        <v>969</v>
      </c>
      <c r="E115" s="741" t="e">
        <f t="array" ref="E115">SUMPRODUCT(IF(AMP6_4[[#This Row],[Dim 1_1]:[T 8]]-$F$4:$AI$4&lt;0,1,0)+IF($F$5:$AI$5-AMP6_4[[#This Row],[Dim 1_1]:[T 8]]&lt;0,1,0),IF(ISNUMBER(AMP6_4[[#This Row],[Dim 1_1]:[T 8]])=TRUE,1,0))</f>
        <v>#VALUE!</v>
      </c>
      <c r="F115">
        <v>41.232999999999997</v>
      </c>
      <c r="G115">
        <v>40.936</v>
      </c>
      <c r="H115">
        <v>155.93199999999999</v>
      </c>
      <c r="I115">
        <v>155.934</v>
      </c>
      <c r="L115">
        <v>156.06800000000001</v>
      </c>
      <c r="M115">
        <v>155.76900000000001</v>
      </c>
      <c r="N115">
        <v>27.103999999999999</v>
      </c>
      <c r="O115">
        <v>27.32</v>
      </c>
      <c r="R115">
        <v>17.213999999999999</v>
      </c>
      <c r="S115">
        <v>17.119</v>
      </c>
      <c r="T115">
        <v>33.323999999999998</v>
      </c>
      <c r="U115">
        <v>34.36</v>
      </c>
      <c r="W115">
        <v>0.03</v>
      </c>
      <c r="X115">
        <v>-9.5000000000000001E-2</v>
      </c>
      <c r="Z115">
        <v>0.08</v>
      </c>
      <c r="AA115">
        <v>-8.1000000000000003E-2</v>
      </c>
      <c r="AB115">
        <v>-9.5000000000000001E-2</v>
      </c>
      <c r="AC115">
        <v>-5.3999999999999999E-2</v>
      </c>
      <c r="AD115">
        <v>-2.5999999999999999E-2</v>
      </c>
      <c r="AE115">
        <v>0.03</v>
      </c>
      <c r="AF115">
        <v>-1E-3</v>
      </c>
      <c r="AG115">
        <v>-8.1000000000000003E-2</v>
      </c>
      <c r="AH115">
        <v>0.08</v>
      </c>
      <c r="AI115">
        <v>2.9000000000000001E-2</v>
      </c>
    </row>
    <row r="116" spans="1:35" x14ac:dyDescent="0.25">
      <c r="A116" t="s">
        <v>1896</v>
      </c>
      <c r="B116" t="s">
        <v>31</v>
      </c>
      <c r="C116" s="25">
        <v>43705.641412037039</v>
      </c>
      <c r="D116" s="741" t="s">
        <v>969</v>
      </c>
      <c r="E116" s="741" t="e">
        <f t="array" ref="E116">SUMPRODUCT(IF(AMP6_4[[#This Row],[Dim 1_1]:[T 8]]-$F$4:$AI$4&lt;0,1,0)+IF($F$5:$AI$5-AMP6_4[[#This Row],[Dim 1_1]:[T 8]]&lt;0,1,0),IF(ISNUMBER(AMP6_4[[#This Row],[Dim 1_1]:[T 8]])=TRUE,1,0))</f>
        <v>#VALUE!</v>
      </c>
      <c r="H116">
        <v>155.76599999999999</v>
      </c>
      <c r="I116">
        <v>155.73099999999999</v>
      </c>
      <c r="J116">
        <v>168.65100000000001</v>
      </c>
      <c r="K116">
        <v>168.55</v>
      </c>
      <c r="L116">
        <v>155.82400000000001</v>
      </c>
      <c r="M116">
        <v>155.69499999999999</v>
      </c>
      <c r="N116">
        <v>27.352</v>
      </c>
      <c r="O116">
        <v>27.515999999999998</v>
      </c>
      <c r="R116">
        <v>17.358000000000001</v>
      </c>
      <c r="S116">
        <v>17.257000000000001</v>
      </c>
      <c r="T116">
        <v>39.265999999999998</v>
      </c>
      <c r="U116">
        <v>38.83</v>
      </c>
      <c r="W116">
        <v>0.156</v>
      </c>
      <c r="X116">
        <v>-8.2000000000000003E-2</v>
      </c>
      <c r="Z116">
        <v>4.1000000000000002E-2</v>
      </c>
      <c r="AA116">
        <v>-0.108</v>
      </c>
      <c r="AB116">
        <v>1.4999999999999999E-2</v>
      </c>
      <c r="AC116">
        <v>-3.1E-2</v>
      </c>
      <c r="AD116">
        <v>0.156</v>
      </c>
      <c r="AE116">
        <v>-8.2000000000000003E-2</v>
      </c>
      <c r="AF116">
        <v>-9.4E-2</v>
      </c>
      <c r="AG116">
        <v>-0.108</v>
      </c>
      <c r="AH116">
        <v>2.1000000000000001E-2</v>
      </c>
      <c r="AI116">
        <v>4.1000000000000002E-2</v>
      </c>
    </row>
    <row r="117" spans="1:35" x14ac:dyDescent="0.25">
      <c r="A117" t="s">
        <v>1897</v>
      </c>
      <c r="B117" t="s">
        <v>32</v>
      </c>
      <c r="C117" s="25">
        <v>43705.733136574076</v>
      </c>
      <c r="D117" s="741" t="s">
        <v>969</v>
      </c>
      <c r="E117" s="741" t="e">
        <f t="array" ref="E117">SUMPRODUCT(IF(AMP6_4[[#This Row],[Dim 1_1]:[T 8]]-$F$4:$AI$4&lt;0,1,0)+IF($F$5:$AI$5-AMP6_4[[#This Row],[Dim 1_1]:[T 8]]&lt;0,1,0),IF(ISNUMBER(AMP6_4[[#This Row],[Dim 1_1]:[T 8]])=TRUE,1,0))</f>
        <v>#VALUE!</v>
      </c>
      <c r="F117">
        <v>41.210999999999999</v>
      </c>
      <c r="G117">
        <v>40.988999999999997</v>
      </c>
      <c r="H117">
        <v>155.93100000000001</v>
      </c>
      <c r="I117">
        <v>155.916</v>
      </c>
      <c r="L117">
        <v>156.048</v>
      </c>
      <c r="M117">
        <v>155.73599999999999</v>
      </c>
      <c r="N117">
        <v>27.1</v>
      </c>
      <c r="O117">
        <v>27.327000000000002</v>
      </c>
      <c r="R117">
        <v>17.245000000000001</v>
      </c>
      <c r="S117">
        <v>17.16</v>
      </c>
      <c r="T117">
        <v>33.253999999999998</v>
      </c>
      <c r="U117">
        <v>34.408000000000001</v>
      </c>
      <c r="W117">
        <v>-1.7000000000000001E-2</v>
      </c>
      <c r="X117">
        <v>-0.17199999999999999</v>
      </c>
      <c r="Z117">
        <v>-0.03</v>
      </c>
      <c r="AA117">
        <v>-0.13500000000000001</v>
      </c>
      <c r="AB117">
        <v>-0.13500000000000001</v>
      </c>
      <c r="AC117">
        <v>-0.13300000000000001</v>
      </c>
      <c r="AD117">
        <v>-1.7000000000000001E-2</v>
      </c>
      <c r="AE117">
        <v>-0.17199999999999999</v>
      </c>
      <c r="AF117">
        <v>-5.8999999999999997E-2</v>
      </c>
      <c r="AG117">
        <v>-0.13500000000000001</v>
      </c>
      <c r="AH117">
        <v>-4.2999999999999997E-2</v>
      </c>
      <c r="AI117">
        <v>-0.03</v>
      </c>
    </row>
    <row r="118" spans="1:35" x14ac:dyDescent="0.25">
      <c r="A118" t="s">
        <v>1898</v>
      </c>
      <c r="B118" t="s">
        <v>31</v>
      </c>
      <c r="C118" s="25">
        <v>43705.7346412037</v>
      </c>
      <c r="D118" s="741" t="s">
        <v>969</v>
      </c>
      <c r="E118" s="741" t="e">
        <f t="array" ref="E118">SUMPRODUCT(IF(AMP6_4[[#This Row],[Dim 1_1]:[T 8]]-$F$4:$AI$4&lt;0,1,0)+IF($F$5:$AI$5-AMP6_4[[#This Row],[Dim 1_1]:[T 8]]&lt;0,1,0),IF(ISNUMBER(AMP6_4[[#This Row],[Dim 1_1]:[T 8]])=TRUE,1,0))</f>
        <v>#VALUE!</v>
      </c>
      <c r="H118">
        <v>155.79499999999999</v>
      </c>
      <c r="I118">
        <v>155.77799999999999</v>
      </c>
      <c r="J118">
        <v>168.661</v>
      </c>
      <c r="K118">
        <v>168.47800000000001</v>
      </c>
      <c r="L118">
        <v>155.89699999999999</v>
      </c>
      <c r="M118">
        <v>155.76599999999999</v>
      </c>
      <c r="N118">
        <v>27.303000000000001</v>
      </c>
      <c r="O118">
        <v>27.454999999999998</v>
      </c>
      <c r="R118">
        <v>17.248000000000001</v>
      </c>
      <c r="S118">
        <v>17.306000000000001</v>
      </c>
      <c r="T118">
        <v>37.704999999999998</v>
      </c>
      <c r="U118">
        <v>38.793999999999997</v>
      </c>
      <c r="W118">
        <v>6.4000000000000001E-2</v>
      </c>
      <c r="X118">
        <v>-0.19700000000000001</v>
      </c>
      <c r="Z118">
        <v>3.3000000000000002E-2</v>
      </c>
      <c r="AA118">
        <v>1E-3</v>
      </c>
      <c r="AB118">
        <v>0.05</v>
      </c>
      <c r="AC118">
        <v>0.01</v>
      </c>
      <c r="AD118">
        <v>6.4000000000000001E-2</v>
      </c>
      <c r="AE118">
        <v>-0.19700000000000001</v>
      </c>
      <c r="AF118">
        <v>3.3000000000000002E-2</v>
      </c>
      <c r="AG118">
        <v>1E-3</v>
      </c>
      <c r="AH118">
        <v>8.9999999999999993E-3</v>
      </c>
      <c r="AI118">
        <v>1.6E-2</v>
      </c>
    </row>
    <row r="119" spans="1:35" x14ac:dyDescent="0.25">
      <c r="A119" t="s">
        <v>1899</v>
      </c>
      <c r="B119" t="s">
        <v>32</v>
      </c>
      <c r="C119" s="25">
        <v>43705.796597222223</v>
      </c>
      <c r="D119" s="741" t="s">
        <v>969</v>
      </c>
      <c r="E119" s="741" t="e">
        <f t="array" ref="E119">SUMPRODUCT(IF(AMP6_4[[#This Row],[Dim 1_1]:[T 8]]-$F$4:$AI$4&lt;0,1,0)+IF($F$5:$AI$5-AMP6_4[[#This Row],[Dim 1_1]:[T 8]]&lt;0,1,0),IF(ISNUMBER(AMP6_4[[#This Row],[Dim 1_1]:[T 8]])=TRUE,1,0))</f>
        <v>#VALUE!</v>
      </c>
      <c r="F119">
        <v>41.216999999999999</v>
      </c>
      <c r="G119">
        <v>40.997999999999998</v>
      </c>
      <c r="H119">
        <v>155.946</v>
      </c>
      <c r="I119">
        <v>155.87</v>
      </c>
      <c r="L119">
        <v>156.066</v>
      </c>
      <c r="M119">
        <v>155.679</v>
      </c>
      <c r="N119">
        <v>27.001999999999999</v>
      </c>
      <c r="O119">
        <v>27.317</v>
      </c>
      <c r="R119">
        <v>17.242000000000001</v>
      </c>
      <c r="S119">
        <v>17.170999999999999</v>
      </c>
      <c r="T119">
        <v>33.601999999999997</v>
      </c>
      <c r="U119">
        <v>33.970999999999997</v>
      </c>
      <c r="W119">
        <v>-6.4000000000000001E-2</v>
      </c>
      <c r="X119">
        <v>-0.126</v>
      </c>
      <c r="Z119">
        <v>-5.1999999999999998E-2</v>
      </c>
      <c r="AA119">
        <v>-0.185</v>
      </c>
      <c r="AB119">
        <v>-0.11799999999999999</v>
      </c>
      <c r="AC119">
        <v>-8.3000000000000004E-2</v>
      </c>
      <c r="AD119">
        <v>-6.4000000000000001E-2</v>
      </c>
      <c r="AE119">
        <v>-0.126</v>
      </c>
      <c r="AF119">
        <v>-9.5000000000000001E-2</v>
      </c>
      <c r="AG119">
        <v>-0.185</v>
      </c>
      <c r="AH119">
        <v>-5.1999999999999998E-2</v>
      </c>
      <c r="AI119">
        <v>-0.109</v>
      </c>
    </row>
    <row r="120" spans="1:35" x14ac:dyDescent="0.25">
      <c r="A120" t="s">
        <v>1900</v>
      </c>
      <c r="B120" t="s">
        <v>31</v>
      </c>
      <c r="C120" s="25">
        <v>43705.798159722224</v>
      </c>
      <c r="D120" s="741" t="s">
        <v>969</v>
      </c>
      <c r="E120" s="741" t="e">
        <f t="array" ref="E120">SUMPRODUCT(IF(AMP6_4[[#This Row],[Dim 1_1]:[T 8]]-$F$4:$AI$4&lt;0,1,0)+IF($F$5:$AI$5-AMP6_4[[#This Row],[Dim 1_1]:[T 8]]&lt;0,1,0),IF(ISNUMBER(AMP6_4[[#This Row],[Dim 1_1]:[T 8]])=TRUE,1,0))</f>
        <v>#VALUE!</v>
      </c>
      <c r="H120">
        <v>155.81700000000001</v>
      </c>
      <c r="I120">
        <v>155.85900000000001</v>
      </c>
      <c r="J120">
        <v>168.66399999999999</v>
      </c>
      <c r="K120">
        <v>168.55699999999999</v>
      </c>
      <c r="L120">
        <v>155.88200000000001</v>
      </c>
      <c r="M120">
        <v>155.852</v>
      </c>
      <c r="N120">
        <v>27.353000000000002</v>
      </c>
      <c r="O120">
        <v>27.393000000000001</v>
      </c>
      <c r="R120">
        <v>17.244</v>
      </c>
      <c r="S120">
        <v>17.187999999999999</v>
      </c>
      <c r="T120">
        <v>38.07</v>
      </c>
      <c r="U120">
        <v>38.816000000000003</v>
      </c>
      <c r="W120">
        <v>9.4E-2</v>
      </c>
      <c r="X120">
        <v>-0.154</v>
      </c>
      <c r="Z120">
        <v>-2.1000000000000001E-2</v>
      </c>
      <c r="AA120">
        <v>-0.193</v>
      </c>
      <c r="AB120">
        <v>-4.2999999999999997E-2</v>
      </c>
      <c r="AC120">
        <v>-9.9000000000000005E-2</v>
      </c>
      <c r="AD120">
        <v>9.4E-2</v>
      </c>
      <c r="AE120">
        <v>-0.154</v>
      </c>
      <c r="AF120">
        <v>-0.14499999999999999</v>
      </c>
      <c r="AG120">
        <v>-0.193</v>
      </c>
      <c r="AH120">
        <v>-2.1000000000000001E-2</v>
      </c>
      <c r="AI120">
        <v>-3.1E-2</v>
      </c>
    </row>
    <row r="121" spans="1:35" x14ac:dyDescent="0.25">
      <c r="A121" t="s">
        <v>1901</v>
      </c>
      <c r="B121" t="s">
        <v>32</v>
      </c>
      <c r="C121" s="25">
        <v>43705.926203703704</v>
      </c>
      <c r="D121" s="741" t="s">
        <v>969</v>
      </c>
      <c r="E121" s="741" t="e">
        <f t="array" ref="E121">SUMPRODUCT(IF(AMP6_4[[#This Row],[Dim 1_1]:[T 8]]-$F$4:$AI$4&lt;0,1,0)+IF($F$5:$AI$5-AMP6_4[[#This Row],[Dim 1_1]:[T 8]]&lt;0,1,0),IF(ISNUMBER(AMP6_4[[#This Row],[Dim 1_1]:[T 8]])=TRUE,1,0))</f>
        <v>#VALUE!</v>
      </c>
      <c r="F121">
        <v>41.243000000000002</v>
      </c>
      <c r="G121">
        <v>41.040999999999997</v>
      </c>
      <c r="H121">
        <v>155.90600000000001</v>
      </c>
      <c r="I121">
        <v>155.852</v>
      </c>
      <c r="L121">
        <v>156.04300000000001</v>
      </c>
      <c r="M121">
        <v>155.64400000000001</v>
      </c>
      <c r="N121">
        <v>27.103000000000002</v>
      </c>
      <c r="O121">
        <v>27.405999999999999</v>
      </c>
      <c r="R121">
        <v>17.215</v>
      </c>
      <c r="S121">
        <v>17.170000000000002</v>
      </c>
      <c r="T121">
        <v>33.302999999999997</v>
      </c>
      <c r="U121">
        <v>34.142000000000003</v>
      </c>
      <c r="W121">
        <v>3.0000000000000001E-3</v>
      </c>
      <c r="X121">
        <v>-7.4999999999999997E-2</v>
      </c>
      <c r="Z121">
        <v>-0.05</v>
      </c>
      <c r="AA121">
        <v>-0.13700000000000001</v>
      </c>
      <c r="AB121">
        <v>-7.4999999999999997E-2</v>
      </c>
      <c r="AC121">
        <v>-4.2999999999999997E-2</v>
      </c>
      <c r="AD121">
        <v>-3.4000000000000002E-2</v>
      </c>
      <c r="AE121">
        <v>3.0000000000000001E-3</v>
      </c>
      <c r="AF121">
        <v>-0.05</v>
      </c>
      <c r="AG121">
        <v>-0.13700000000000001</v>
      </c>
      <c r="AH121">
        <v>-8.2000000000000003E-2</v>
      </c>
      <c r="AI121">
        <v>-9.0999999999999998E-2</v>
      </c>
    </row>
    <row r="122" spans="1:35" x14ac:dyDescent="0.25">
      <c r="A122" t="s">
        <v>1902</v>
      </c>
      <c r="B122" t="s">
        <v>31</v>
      </c>
      <c r="C122" s="25">
        <v>43705.927835648145</v>
      </c>
      <c r="D122" s="741" t="s">
        <v>969</v>
      </c>
      <c r="E122" s="741" t="e">
        <f t="array" ref="E122">SUMPRODUCT(IF(AMP6_4[[#This Row],[Dim 1_1]:[T 8]]-$F$4:$AI$4&lt;0,1,0)+IF($F$5:$AI$5-AMP6_4[[#This Row],[Dim 1_1]:[T 8]]&lt;0,1,0),IF(ISNUMBER(AMP6_4[[#This Row],[Dim 1_1]:[T 8]])=TRUE,1,0))</f>
        <v>#VALUE!</v>
      </c>
      <c r="H122">
        <v>155.79400000000001</v>
      </c>
      <c r="I122">
        <v>155.828</v>
      </c>
      <c r="J122">
        <v>168.74</v>
      </c>
      <c r="K122">
        <v>168.51</v>
      </c>
      <c r="L122">
        <v>155.887</v>
      </c>
      <c r="M122">
        <v>155.827</v>
      </c>
      <c r="N122">
        <v>27.318999999999999</v>
      </c>
      <c r="O122">
        <v>27.396000000000001</v>
      </c>
      <c r="R122">
        <v>17.263999999999999</v>
      </c>
      <c r="S122">
        <v>17.140999999999998</v>
      </c>
      <c r="T122">
        <v>36.700000000000003</v>
      </c>
      <c r="U122">
        <v>37.31</v>
      </c>
      <c r="W122">
        <v>0.10100000000000001</v>
      </c>
      <c r="X122">
        <v>-0.151</v>
      </c>
      <c r="Z122">
        <v>5.2999999999999999E-2</v>
      </c>
      <c r="AA122">
        <v>-0.109</v>
      </c>
      <c r="AB122">
        <v>-0.04</v>
      </c>
      <c r="AC122">
        <v>-7.0999999999999994E-2</v>
      </c>
      <c r="AD122">
        <v>0.10100000000000001</v>
      </c>
      <c r="AE122">
        <v>-0.151</v>
      </c>
      <c r="AF122">
        <v>-4.5999999999999999E-2</v>
      </c>
      <c r="AG122">
        <v>-0.109</v>
      </c>
      <c r="AH122">
        <v>5.0999999999999997E-2</v>
      </c>
      <c r="AI122">
        <v>5.2999999999999999E-2</v>
      </c>
    </row>
    <row r="123" spans="1:35" x14ac:dyDescent="0.25">
      <c r="A123" t="s">
        <v>1903</v>
      </c>
      <c r="B123" t="s">
        <v>32</v>
      </c>
      <c r="C123" s="25">
        <v>43706.012164351851</v>
      </c>
      <c r="D123" s="741" t="s">
        <v>969</v>
      </c>
      <c r="E123" s="741" t="e">
        <f t="array" ref="E123">SUMPRODUCT(IF(AMP6_4[[#This Row],[Dim 1_1]:[T 8]]-$F$4:$AI$4&lt;0,1,0)+IF($F$5:$AI$5-AMP6_4[[#This Row],[Dim 1_1]:[T 8]]&lt;0,1,0),IF(ISNUMBER(AMP6_4[[#This Row],[Dim 1_1]:[T 8]])=TRUE,1,0))</f>
        <v>#VALUE!</v>
      </c>
      <c r="F123">
        <v>41.502000000000002</v>
      </c>
      <c r="G123">
        <v>41.366</v>
      </c>
      <c r="H123">
        <v>155.77199999999999</v>
      </c>
      <c r="I123">
        <v>155.761</v>
      </c>
      <c r="L123">
        <v>155.91</v>
      </c>
      <c r="M123">
        <v>155.62700000000001</v>
      </c>
      <c r="N123">
        <v>27.251000000000001</v>
      </c>
      <c r="O123">
        <v>27.44</v>
      </c>
      <c r="R123">
        <v>17.216999999999999</v>
      </c>
      <c r="S123">
        <v>17.212</v>
      </c>
      <c r="T123">
        <v>33.148000000000003</v>
      </c>
      <c r="U123">
        <v>34.252000000000002</v>
      </c>
      <c r="W123">
        <v>5.3999999999999999E-2</v>
      </c>
      <c r="X123">
        <v>-0.04</v>
      </c>
      <c r="Z123">
        <v>9.6000000000000002E-2</v>
      </c>
      <c r="AA123">
        <v>4.0000000000000001E-3</v>
      </c>
      <c r="AB123">
        <v>1.4999999999999999E-2</v>
      </c>
      <c r="AC123">
        <v>4.1000000000000002E-2</v>
      </c>
      <c r="AD123">
        <v>5.3999999999999999E-2</v>
      </c>
      <c r="AE123">
        <v>-0.04</v>
      </c>
      <c r="AF123">
        <v>0.05</v>
      </c>
      <c r="AG123">
        <v>4.0000000000000001E-3</v>
      </c>
      <c r="AH123">
        <v>4.7E-2</v>
      </c>
      <c r="AI123">
        <v>9.6000000000000002E-2</v>
      </c>
    </row>
    <row r="124" spans="1:35" x14ac:dyDescent="0.25">
      <c r="A124" t="s">
        <v>1904</v>
      </c>
      <c r="B124" t="s">
        <v>31</v>
      </c>
      <c r="C124" s="25">
        <v>43706.014374999999</v>
      </c>
      <c r="D124" s="741" t="s">
        <v>969</v>
      </c>
      <c r="E124" s="741" t="e">
        <f t="array" ref="E124">SUMPRODUCT(IF(AMP6_4[[#This Row],[Dim 1_1]:[T 8]]-$F$4:$AI$4&lt;0,1,0)+IF($F$5:$AI$5-AMP6_4[[#This Row],[Dim 1_1]:[T 8]]&lt;0,1,0),IF(ISNUMBER(AMP6_4[[#This Row],[Dim 1_1]:[T 8]])=TRUE,1,0))</f>
        <v>#VALUE!</v>
      </c>
      <c r="H124">
        <v>155.66</v>
      </c>
      <c r="I124">
        <v>155.58600000000001</v>
      </c>
      <c r="J124">
        <v>168.67099999999999</v>
      </c>
      <c r="K124">
        <v>168.607</v>
      </c>
      <c r="L124">
        <v>155.71600000000001</v>
      </c>
      <c r="M124">
        <v>155.52000000000001</v>
      </c>
      <c r="N124">
        <v>27.454999999999998</v>
      </c>
      <c r="O124">
        <v>27.670999999999999</v>
      </c>
      <c r="R124">
        <v>17.297000000000001</v>
      </c>
      <c r="S124">
        <v>17.277999999999999</v>
      </c>
      <c r="T124">
        <v>35.027999999999999</v>
      </c>
      <c r="U124">
        <v>38.203000000000003</v>
      </c>
      <c r="W124">
        <v>0.20699999999999999</v>
      </c>
      <c r="X124">
        <v>6.9000000000000006E-2</v>
      </c>
      <c r="Z124">
        <v>0.08</v>
      </c>
      <c r="AA124">
        <v>-1.2E-2</v>
      </c>
      <c r="AB124">
        <v>9.8000000000000004E-2</v>
      </c>
      <c r="AC124">
        <v>6.9000000000000006E-2</v>
      </c>
      <c r="AD124">
        <v>0.20699999999999999</v>
      </c>
      <c r="AE124">
        <v>0.104</v>
      </c>
      <c r="AF124">
        <v>7.0000000000000001E-3</v>
      </c>
      <c r="AG124">
        <v>-1.2E-2</v>
      </c>
      <c r="AH124">
        <v>4.2000000000000003E-2</v>
      </c>
      <c r="AI124">
        <v>0.08</v>
      </c>
    </row>
    <row r="125" spans="1:35" x14ac:dyDescent="0.25">
      <c r="A125" t="s">
        <v>1905</v>
      </c>
      <c r="B125" t="s">
        <v>32</v>
      </c>
      <c r="C125" s="25">
        <v>43706.041979166665</v>
      </c>
      <c r="D125" s="741" t="s">
        <v>969</v>
      </c>
      <c r="E125" s="741" t="e">
        <f t="array" ref="E125">SUMPRODUCT(IF(AMP6_4[[#This Row],[Dim 1_1]:[T 8]]-$F$4:$AI$4&lt;0,1,0)+IF($F$5:$AI$5-AMP6_4[[#This Row],[Dim 1_1]:[T 8]]&lt;0,1,0),IF(ISNUMBER(AMP6_4[[#This Row],[Dim 1_1]:[T 8]])=TRUE,1,0))</f>
        <v>#VALUE!</v>
      </c>
      <c r="F125">
        <v>41.411999999999999</v>
      </c>
      <c r="G125">
        <v>41.332999999999998</v>
      </c>
      <c r="H125">
        <v>155.709</v>
      </c>
      <c r="I125">
        <v>155.77199999999999</v>
      </c>
      <c r="L125">
        <v>155.82400000000001</v>
      </c>
      <c r="M125">
        <v>155.60400000000001</v>
      </c>
      <c r="N125">
        <v>27.286000000000001</v>
      </c>
      <c r="O125">
        <v>27.425000000000001</v>
      </c>
      <c r="R125">
        <v>17.25</v>
      </c>
      <c r="S125">
        <v>17.260999999999999</v>
      </c>
      <c r="T125">
        <v>33.363</v>
      </c>
      <c r="U125">
        <v>34.216000000000001</v>
      </c>
      <c r="W125">
        <v>9.1999999999999998E-2</v>
      </c>
      <c r="X125">
        <v>-4.4999999999999998E-2</v>
      </c>
      <c r="Z125">
        <v>0.13700000000000001</v>
      </c>
      <c r="AA125">
        <v>5.5E-2</v>
      </c>
      <c r="AB125">
        <v>5.8000000000000003E-2</v>
      </c>
      <c r="AC125">
        <v>9.1999999999999998E-2</v>
      </c>
      <c r="AD125">
        <v>-3.3000000000000002E-2</v>
      </c>
      <c r="AE125">
        <v>-4.4999999999999998E-2</v>
      </c>
      <c r="AF125">
        <v>0.13700000000000001</v>
      </c>
      <c r="AG125">
        <v>6.7000000000000004E-2</v>
      </c>
      <c r="AH125">
        <v>5.5E-2</v>
      </c>
      <c r="AI125">
        <v>0.108</v>
      </c>
    </row>
    <row r="126" spans="1:35" x14ac:dyDescent="0.25">
      <c r="A126" t="s">
        <v>1906</v>
      </c>
      <c r="B126" t="s">
        <v>31</v>
      </c>
      <c r="C126" s="25">
        <v>43706.04347222222</v>
      </c>
      <c r="D126" s="741" t="s">
        <v>969</v>
      </c>
      <c r="E126" s="741" t="e">
        <f t="array" ref="E126">SUMPRODUCT(IF(AMP6_4[[#This Row],[Dim 1_1]:[T 8]]-$F$4:$AI$4&lt;0,1,0)+IF($F$5:$AI$5-AMP6_4[[#This Row],[Dim 1_1]:[T 8]]&lt;0,1,0),IF(ISNUMBER(AMP6_4[[#This Row],[Dim 1_1]:[T 8]])=TRUE,1,0))</f>
        <v>#VALUE!</v>
      </c>
      <c r="H126">
        <v>155.553</v>
      </c>
      <c r="I126">
        <v>155.52199999999999</v>
      </c>
      <c r="J126">
        <v>168.62700000000001</v>
      </c>
      <c r="K126">
        <v>168.50700000000001</v>
      </c>
      <c r="L126">
        <v>155.62799999999999</v>
      </c>
      <c r="M126">
        <v>155.465</v>
      </c>
      <c r="N126">
        <v>27.55</v>
      </c>
      <c r="O126">
        <v>27.724</v>
      </c>
      <c r="R126">
        <v>17.248000000000001</v>
      </c>
      <c r="S126">
        <v>17.273</v>
      </c>
      <c r="T126">
        <v>40.868000000000002</v>
      </c>
      <c r="U126">
        <v>41.877000000000002</v>
      </c>
      <c r="W126">
        <v>0.22500000000000001</v>
      </c>
      <c r="X126">
        <v>0.113</v>
      </c>
      <c r="Z126">
        <v>0.11799999999999999</v>
      </c>
      <c r="AA126">
        <v>5.6000000000000001E-2</v>
      </c>
      <c r="AB126">
        <v>0.21099999999999999</v>
      </c>
      <c r="AC126">
        <v>0.19</v>
      </c>
      <c r="AD126">
        <v>0.22500000000000001</v>
      </c>
      <c r="AE126">
        <v>0.113</v>
      </c>
      <c r="AF126">
        <v>0.11799999999999999</v>
      </c>
      <c r="AG126">
        <v>9.4E-2</v>
      </c>
      <c r="AH126">
        <v>5.6000000000000001E-2</v>
      </c>
      <c r="AI126">
        <v>0.11799999999999999</v>
      </c>
    </row>
    <row r="127" spans="1:35" x14ac:dyDescent="0.25">
      <c r="A127" t="s">
        <v>2210</v>
      </c>
      <c r="B127" t="s">
        <v>32</v>
      </c>
      <c r="C127" s="25">
        <v>43706.348495370374</v>
      </c>
      <c r="D127" s="741" t="s">
        <v>969</v>
      </c>
      <c r="E127" s="741" t="e">
        <f t="array" ref="E127">SUMPRODUCT(IF(AMP6_4[[#This Row],[Dim 1_1]:[T 8]]-$F$4:$AI$4&lt;0,1,0)+IF($F$5:$AI$5-AMP6_4[[#This Row],[Dim 1_1]:[T 8]]&lt;0,1,0),IF(ISNUMBER(AMP6_4[[#This Row],[Dim 1_1]:[T 8]])=TRUE,1,0))</f>
        <v>#VALUE!</v>
      </c>
      <c r="F127">
        <v>41.244</v>
      </c>
      <c r="G127">
        <v>41.375999999999998</v>
      </c>
      <c r="H127">
        <v>155.726</v>
      </c>
      <c r="I127">
        <v>155.71799999999999</v>
      </c>
      <c r="L127">
        <v>155.82900000000001</v>
      </c>
      <c r="M127">
        <v>155.59800000000001</v>
      </c>
      <c r="N127">
        <v>27.361999999999998</v>
      </c>
      <c r="O127">
        <v>27.492999999999999</v>
      </c>
      <c r="R127">
        <v>17.239999999999998</v>
      </c>
      <c r="S127">
        <v>17.227</v>
      </c>
      <c r="T127">
        <v>33.445</v>
      </c>
      <c r="U127">
        <v>34.316000000000003</v>
      </c>
      <c r="W127">
        <v>0.14899999999999999</v>
      </c>
      <c r="X127">
        <v>-8.9999999999999993E-3</v>
      </c>
      <c r="Z127">
        <v>0.16300000000000001</v>
      </c>
      <c r="AA127">
        <v>6.0999999999999999E-2</v>
      </c>
      <c r="AB127">
        <v>0.104</v>
      </c>
      <c r="AC127">
        <v>0.14899999999999999</v>
      </c>
      <c r="AD127">
        <v>5.6000000000000001E-2</v>
      </c>
      <c r="AE127">
        <v>-8.9999999999999993E-3</v>
      </c>
      <c r="AF127">
        <v>0.16300000000000001</v>
      </c>
      <c r="AG127">
        <v>0.11</v>
      </c>
      <c r="AH127">
        <v>6.0999999999999999E-2</v>
      </c>
      <c r="AI127">
        <v>0.127</v>
      </c>
    </row>
    <row r="128" spans="1:35" x14ac:dyDescent="0.25">
      <c r="A128" t="s">
        <v>2211</v>
      </c>
      <c r="B128" t="s">
        <v>31</v>
      </c>
      <c r="C128" s="25">
        <v>43706.350590277776</v>
      </c>
      <c r="D128" s="741" t="s">
        <v>969</v>
      </c>
      <c r="E128" s="741" t="e">
        <f t="array" ref="E128">SUMPRODUCT(IF(AMP6_4[[#This Row],[Dim 1_1]:[T 8]]-$F$4:$AI$4&lt;0,1,0)+IF($F$5:$AI$5-AMP6_4[[#This Row],[Dim 1_1]:[T 8]]&lt;0,1,0),IF(ISNUMBER(AMP6_4[[#This Row],[Dim 1_1]:[T 8]])=TRUE,1,0))</f>
        <v>#VALUE!</v>
      </c>
      <c r="H128">
        <v>155.63</v>
      </c>
      <c r="I128">
        <v>155.565</v>
      </c>
      <c r="J128">
        <v>168.434</v>
      </c>
      <c r="K128">
        <v>168.422</v>
      </c>
      <c r="L128">
        <v>155.62799999999999</v>
      </c>
      <c r="M128">
        <v>155.49700000000001</v>
      </c>
      <c r="N128">
        <v>27.527000000000001</v>
      </c>
      <c r="O128">
        <v>27.713000000000001</v>
      </c>
      <c r="R128">
        <v>17.254000000000001</v>
      </c>
      <c r="S128">
        <v>17.277999999999999</v>
      </c>
      <c r="T128">
        <v>34.744</v>
      </c>
      <c r="U128">
        <v>36.468000000000004</v>
      </c>
      <c r="W128">
        <v>0.23400000000000001</v>
      </c>
      <c r="X128">
        <v>5.0999999999999997E-2</v>
      </c>
      <c r="Z128">
        <v>0.16700000000000001</v>
      </c>
      <c r="AA128">
        <v>4.5999999999999999E-2</v>
      </c>
      <c r="AB128">
        <v>0.23400000000000001</v>
      </c>
      <c r="AC128">
        <v>0.2</v>
      </c>
      <c r="AD128">
        <v>0.19800000000000001</v>
      </c>
      <c r="AE128">
        <v>5.0999999999999997E-2</v>
      </c>
      <c r="AF128">
        <v>0.16700000000000001</v>
      </c>
      <c r="AG128">
        <v>0.128</v>
      </c>
      <c r="AH128">
        <v>4.5999999999999999E-2</v>
      </c>
      <c r="AI128">
        <v>0.113</v>
      </c>
    </row>
    <row r="129" spans="1:35" x14ac:dyDescent="0.25">
      <c r="A129" t="s">
        <v>2212</v>
      </c>
      <c r="B129" t="s">
        <v>32</v>
      </c>
      <c r="C129" s="25">
        <v>43706.453703703701</v>
      </c>
      <c r="D129" s="741" t="s">
        <v>969</v>
      </c>
      <c r="E129" s="741" t="e">
        <f t="array" ref="E129">SUMPRODUCT(IF(AMP6_4[[#This Row],[Dim 1_1]:[T 8]]-$F$4:$AI$4&lt;0,1,0)+IF($F$5:$AI$5-AMP6_4[[#This Row],[Dim 1_1]:[T 8]]&lt;0,1,0),IF(ISNUMBER(AMP6_4[[#This Row],[Dim 1_1]:[T 8]])=TRUE,1,0))</f>
        <v>#VALUE!</v>
      </c>
      <c r="F129">
        <v>41.566000000000003</v>
      </c>
      <c r="G129">
        <v>41.542999999999999</v>
      </c>
      <c r="H129">
        <v>155.56100000000001</v>
      </c>
      <c r="I129">
        <v>155.63399999999999</v>
      </c>
      <c r="L129">
        <v>155.625</v>
      </c>
      <c r="M129">
        <v>155.47</v>
      </c>
      <c r="N129">
        <v>27.518000000000001</v>
      </c>
      <c r="O129">
        <v>27.594999999999999</v>
      </c>
      <c r="R129">
        <v>17.292999999999999</v>
      </c>
      <c r="S129">
        <v>17.318000000000001</v>
      </c>
      <c r="T129">
        <v>33.616</v>
      </c>
      <c r="U129">
        <v>34.005000000000003</v>
      </c>
      <c r="W129">
        <v>0.29299999999999998</v>
      </c>
      <c r="X129">
        <v>4.2000000000000003E-2</v>
      </c>
      <c r="Z129">
        <v>0.245</v>
      </c>
      <c r="AA129">
        <v>1.7999999999999999E-2</v>
      </c>
      <c r="AB129">
        <v>0.27500000000000002</v>
      </c>
      <c r="AC129">
        <v>0.29299999999999998</v>
      </c>
      <c r="AD129">
        <v>5.8000000000000003E-2</v>
      </c>
      <c r="AE129">
        <v>4.2000000000000003E-2</v>
      </c>
      <c r="AF129">
        <v>0.245</v>
      </c>
      <c r="AG129">
        <v>0.219</v>
      </c>
      <c r="AH129">
        <v>1.7999999999999999E-2</v>
      </c>
      <c r="AI129">
        <v>0.107</v>
      </c>
    </row>
    <row r="130" spans="1:35" x14ac:dyDescent="0.25">
      <c r="A130" t="s">
        <v>2213</v>
      </c>
      <c r="B130" t="s">
        <v>31</v>
      </c>
      <c r="C130" s="25">
        <v>43706.455763888887</v>
      </c>
      <c r="D130" s="741" t="s">
        <v>969</v>
      </c>
      <c r="E130" s="741" t="e">
        <f t="array" ref="E130">SUMPRODUCT(IF(AMP6_4[[#This Row],[Dim 1_1]:[T 8]]-$F$4:$AI$4&lt;0,1,0)+IF($F$5:$AI$5-AMP6_4[[#This Row],[Dim 1_1]:[T 8]]&lt;0,1,0),IF(ISNUMBER(AMP6_4[[#This Row],[Dim 1_1]:[T 8]])=TRUE,1,0))</f>
        <v>#VALUE!</v>
      </c>
      <c r="H130">
        <v>155.46199999999999</v>
      </c>
      <c r="I130">
        <v>155.47200000000001</v>
      </c>
      <c r="J130">
        <v>168.584</v>
      </c>
      <c r="K130">
        <v>168.58799999999999</v>
      </c>
      <c r="L130">
        <v>155.51599999999999</v>
      </c>
      <c r="M130">
        <v>155.38900000000001</v>
      </c>
      <c r="N130">
        <v>27.646000000000001</v>
      </c>
      <c r="O130">
        <v>27.797999999999998</v>
      </c>
      <c r="R130">
        <v>17.260999999999999</v>
      </c>
      <c r="S130">
        <v>17.231000000000002</v>
      </c>
      <c r="T130">
        <v>34.508000000000003</v>
      </c>
      <c r="U130">
        <v>36.875</v>
      </c>
      <c r="W130">
        <v>0.34300000000000003</v>
      </c>
      <c r="X130">
        <v>0.191</v>
      </c>
      <c r="Z130">
        <v>0.26400000000000001</v>
      </c>
      <c r="AA130">
        <v>0.18</v>
      </c>
      <c r="AB130">
        <v>0.316</v>
      </c>
      <c r="AC130">
        <v>0.27400000000000002</v>
      </c>
      <c r="AD130">
        <v>0.34300000000000003</v>
      </c>
      <c r="AE130">
        <v>0.191</v>
      </c>
      <c r="AF130">
        <v>0.23100000000000001</v>
      </c>
      <c r="AG130">
        <v>0.23100000000000001</v>
      </c>
      <c r="AH130">
        <v>0.18</v>
      </c>
      <c r="AI130">
        <v>0.26400000000000001</v>
      </c>
    </row>
    <row r="131" spans="1:35" x14ac:dyDescent="0.25">
      <c r="A131" t="s">
        <v>2326</v>
      </c>
      <c r="B131" t="s">
        <v>32</v>
      </c>
      <c r="C131" s="25">
        <v>43706.570034722223</v>
      </c>
      <c r="D131" s="741" t="s">
        <v>2238</v>
      </c>
      <c r="E131" s="741" t="e">
        <f t="array" ref="E131">SUMPRODUCT(IF(AMP6_4[[#This Row],[Dim 1_1]:[T 8]]-$F$4:$AI$4&lt;0,1,0)+IF($F$5:$AI$5-AMP6_4[[#This Row],[Dim 1_1]:[T 8]]&lt;0,1,0),IF(ISNUMBER(AMP6_4[[#This Row],[Dim 1_1]:[T 8]])=TRUE,1,0))</f>
        <v>#VALUE!</v>
      </c>
      <c r="F131">
        <v>41.482999999999997</v>
      </c>
      <c r="G131">
        <v>41.356999999999999</v>
      </c>
      <c r="H131">
        <v>155.83699999999999</v>
      </c>
      <c r="I131">
        <v>155.86099999999999</v>
      </c>
      <c r="L131">
        <v>155.941</v>
      </c>
      <c r="M131">
        <v>155.69999999999999</v>
      </c>
      <c r="N131">
        <v>27.239000000000001</v>
      </c>
      <c r="O131">
        <v>27.375</v>
      </c>
      <c r="R131">
        <v>17.257999999999999</v>
      </c>
      <c r="S131">
        <v>17.242000000000001</v>
      </c>
      <c r="T131">
        <v>33.332999999999998</v>
      </c>
      <c r="U131">
        <v>34.277999999999999</v>
      </c>
      <c r="W131">
        <v>5.0999999999999997E-2</v>
      </c>
      <c r="X131">
        <v>-5.8999999999999997E-2</v>
      </c>
      <c r="Z131">
        <v>7.0000000000000001E-3</v>
      </c>
      <c r="AA131">
        <v>-6.9000000000000006E-2</v>
      </c>
      <c r="AB131">
        <v>8.9999999999999993E-3</v>
      </c>
      <c r="AC131">
        <v>0.04</v>
      </c>
      <c r="AD131">
        <v>5.0999999999999997E-2</v>
      </c>
      <c r="AE131">
        <v>-5.8999999999999997E-2</v>
      </c>
      <c r="AF131">
        <v>-1E-3</v>
      </c>
      <c r="AG131">
        <v>-6.9000000000000006E-2</v>
      </c>
      <c r="AH131">
        <v>-6.0000000000000001E-3</v>
      </c>
      <c r="AI131">
        <v>7.0000000000000001E-3</v>
      </c>
    </row>
    <row r="132" spans="1:35" x14ac:dyDescent="0.25">
      <c r="A132" t="s">
        <v>2327</v>
      </c>
      <c r="B132" t="s">
        <v>31</v>
      </c>
      <c r="C132" s="25">
        <v>43706.572210648148</v>
      </c>
      <c r="D132" s="741" t="s">
        <v>2238</v>
      </c>
      <c r="E132" s="741" t="e">
        <f t="array" ref="E132">SUMPRODUCT(IF(AMP6_4[[#This Row],[Dim 1_1]:[T 8]]-$F$4:$AI$4&lt;0,1,0)+IF($F$5:$AI$5-AMP6_4[[#This Row],[Dim 1_1]:[T 8]]&lt;0,1,0),IF(ISNUMBER(AMP6_4[[#This Row],[Dim 1_1]:[T 8]])=TRUE,1,0))</f>
        <v>#VALUE!</v>
      </c>
      <c r="H132">
        <v>155.714</v>
      </c>
      <c r="I132">
        <v>155.62799999999999</v>
      </c>
      <c r="J132">
        <v>168.773</v>
      </c>
      <c r="K132">
        <v>168.77</v>
      </c>
      <c r="L132">
        <v>155.78</v>
      </c>
      <c r="M132">
        <v>155.59299999999999</v>
      </c>
      <c r="N132">
        <v>27.376000000000001</v>
      </c>
      <c r="O132">
        <v>27.611000000000001</v>
      </c>
      <c r="R132">
        <v>17.234999999999999</v>
      </c>
      <c r="S132">
        <v>17.167000000000002</v>
      </c>
      <c r="T132">
        <v>36.118000000000002</v>
      </c>
      <c r="U132">
        <v>38.543999999999997</v>
      </c>
      <c r="W132">
        <v>0.26</v>
      </c>
      <c r="X132">
        <v>6.3E-2</v>
      </c>
      <c r="Z132">
        <v>0.17299999999999999</v>
      </c>
      <c r="AA132">
        <v>1.6E-2</v>
      </c>
      <c r="AB132">
        <v>8.5000000000000006E-2</v>
      </c>
      <c r="AC132">
        <v>6.3E-2</v>
      </c>
      <c r="AD132">
        <v>0.26</v>
      </c>
      <c r="AE132">
        <v>0.13600000000000001</v>
      </c>
      <c r="AF132">
        <v>0.05</v>
      </c>
      <c r="AG132">
        <v>1.6E-2</v>
      </c>
      <c r="AH132">
        <v>0.13500000000000001</v>
      </c>
      <c r="AI132">
        <v>0.17299999999999999</v>
      </c>
    </row>
    <row r="133" spans="1:35" x14ac:dyDescent="0.25">
      <c r="A133" t="s">
        <v>2328</v>
      </c>
      <c r="B133" t="s">
        <v>32</v>
      </c>
      <c r="C133" s="25">
        <v>43706.714166666665</v>
      </c>
      <c r="D133" s="741" t="s">
        <v>2238</v>
      </c>
      <c r="E133" s="741" t="e">
        <f t="array" ref="E133">SUMPRODUCT(IF(AMP6_4[[#This Row],[Dim 1_1]:[T 8]]-$F$4:$AI$4&lt;0,1,0)+IF($F$5:$AI$5-AMP6_4[[#This Row],[Dim 1_1]:[T 8]]&lt;0,1,0),IF(ISNUMBER(AMP6_4[[#This Row],[Dim 1_1]:[T 8]])=TRUE,1,0))</f>
        <v>#VALUE!</v>
      </c>
      <c r="F133">
        <v>41.49</v>
      </c>
      <c r="G133">
        <v>41.439</v>
      </c>
      <c r="H133">
        <v>155.71700000000001</v>
      </c>
      <c r="I133">
        <v>155.76300000000001</v>
      </c>
      <c r="L133">
        <v>155.75899999999999</v>
      </c>
      <c r="M133">
        <v>155.589</v>
      </c>
      <c r="N133">
        <v>27.408000000000001</v>
      </c>
      <c r="O133">
        <v>27.478999999999999</v>
      </c>
      <c r="R133">
        <v>17.254999999999999</v>
      </c>
      <c r="S133">
        <v>17.262</v>
      </c>
      <c r="T133">
        <v>33.475999999999999</v>
      </c>
      <c r="U133">
        <v>34.152000000000001</v>
      </c>
      <c r="W133">
        <v>0.20399999999999999</v>
      </c>
      <c r="X133">
        <v>1.4E-2</v>
      </c>
      <c r="Z133">
        <v>0.17499999999999999</v>
      </c>
      <c r="AA133">
        <v>8.9999999999999993E-3</v>
      </c>
      <c r="AB133">
        <v>0.16500000000000001</v>
      </c>
      <c r="AC133">
        <v>0.20399999999999999</v>
      </c>
      <c r="AD133">
        <v>6.3E-2</v>
      </c>
      <c r="AE133">
        <v>1.4E-2</v>
      </c>
      <c r="AF133">
        <v>0.17499999999999999</v>
      </c>
      <c r="AG133">
        <v>0.13400000000000001</v>
      </c>
      <c r="AH133">
        <v>8.9999999999999993E-3</v>
      </c>
      <c r="AI133">
        <v>6.4000000000000001E-2</v>
      </c>
    </row>
    <row r="134" spans="1:35" x14ac:dyDescent="0.25">
      <c r="A134" t="s">
        <v>2329</v>
      </c>
      <c r="B134" t="s">
        <v>31</v>
      </c>
      <c r="C134" s="25">
        <v>43706.716192129628</v>
      </c>
      <c r="D134" s="741" t="s">
        <v>2238</v>
      </c>
      <c r="E134" s="741" t="e">
        <f t="array" ref="E134">SUMPRODUCT(IF(AMP6_4[[#This Row],[Dim 1_1]:[T 8]]-$F$4:$AI$4&lt;0,1,0)+IF($F$5:$AI$5-AMP6_4[[#This Row],[Dim 1_1]:[T 8]]&lt;0,1,0),IF(ISNUMBER(AMP6_4[[#This Row],[Dim 1_1]:[T 8]])=TRUE,1,0))</f>
        <v>#VALUE!</v>
      </c>
      <c r="H134">
        <v>155.65199999999999</v>
      </c>
      <c r="I134">
        <v>155.61500000000001</v>
      </c>
      <c r="J134">
        <v>168.73</v>
      </c>
      <c r="K134">
        <v>168.70099999999999</v>
      </c>
      <c r="L134">
        <v>155.637</v>
      </c>
      <c r="M134">
        <v>155.51499999999999</v>
      </c>
      <c r="N134">
        <v>27.518000000000001</v>
      </c>
      <c r="O134">
        <v>27.748000000000001</v>
      </c>
      <c r="R134">
        <v>17.260000000000002</v>
      </c>
      <c r="S134">
        <v>17.382999999999999</v>
      </c>
      <c r="T134">
        <v>38.841999999999999</v>
      </c>
      <c r="U134">
        <v>39.173999999999999</v>
      </c>
      <c r="W134">
        <v>0.189</v>
      </c>
      <c r="X134">
        <v>-0.04</v>
      </c>
      <c r="Z134">
        <v>0.17399999999999999</v>
      </c>
      <c r="AA134">
        <v>2.9000000000000001E-2</v>
      </c>
      <c r="AB134">
        <v>0.189</v>
      </c>
      <c r="AC134">
        <v>0.16500000000000001</v>
      </c>
      <c r="AD134">
        <v>0.14099999999999999</v>
      </c>
      <c r="AE134">
        <v>-0.04</v>
      </c>
      <c r="AF134">
        <v>0.17399999999999999</v>
      </c>
      <c r="AG134">
        <v>0.13500000000000001</v>
      </c>
      <c r="AH134">
        <v>2.9000000000000001E-2</v>
      </c>
      <c r="AI134">
        <v>7.4999999999999997E-2</v>
      </c>
    </row>
    <row r="135" spans="1:35" x14ac:dyDescent="0.25">
      <c r="A135" t="s">
        <v>2330</v>
      </c>
      <c r="B135" t="s">
        <v>32</v>
      </c>
      <c r="C135" s="25">
        <v>43706.760127314818</v>
      </c>
      <c r="D135" s="741" t="s">
        <v>2238</v>
      </c>
      <c r="E135" s="741" t="e">
        <f t="array" ref="E135">SUMPRODUCT(IF(AMP6_4[[#This Row],[Dim 1_1]:[T 8]]-$F$4:$AI$4&lt;0,1,0)+IF($F$5:$AI$5-AMP6_4[[#This Row],[Dim 1_1]:[T 8]]&lt;0,1,0),IF(ISNUMBER(AMP6_4[[#This Row],[Dim 1_1]:[T 8]])=TRUE,1,0))</f>
        <v>#VALUE!</v>
      </c>
      <c r="F135">
        <v>41.402000000000001</v>
      </c>
      <c r="G135">
        <v>41.343000000000004</v>
      </c>
      <c r="H135">
        <v>155.82300000000001</v>
      </c>
      <c r="I135">
        <v>155.82300000000001</v>
      </c>
      <c r="L135">
        <v>155.91399999999999</v>
      </c>
      <c r="M135">
        <v>155.64599999999999</v>
      </c>
      <c r="N135">
        <v>27.231000000000002</v>
      </c>
      <c r="O135">
        <v>27.413</v>
      </c>
      <c r="R135">
        <v>17.25</v>
      </c>
      <c r="S135">
        <v>17.256</v>
      </c>
      <c r="T135">
        <v>33.183</v>
      </c>
      <c r="U135">
        <v>34.252000000000002</v>
      </c>
      <c r="W135">
        <v>4.4999999999999998E-2</v>
      </c>
      <c r="X135">
        <v>-6.9000000000000006E-2</v>
      </c>
      <c r="Z135">
        <v>2.9000000000000001E-2</v>
      </c>
      <c r="AA135">
        <v>-4.1000000000000002E-2</v>
      </c>
      <c r="AB135">
        <v>0.01</v>
      </c>
      <c r="AC135">
        <v>4.4999999999999998E-2</v>
      </c>
      <c r="AD135">
        <v>-1.2E-2</v>
      </c>
      <c r="AE135">
        <v>-6.9000000000000006E-2</v>
      </c>
      <c r="AF135">
        <v>2.9000000000000001E-2</v>
      </c>
      <c r="AG135">
        <v>-3.5000000000000003E-2</v>
      </c>
      <c r="AH135">
        <v>-4.1000000000000002E-2</v>
      </c>
      <c r="AI135">
        <v>-1.4999999999999999E-2</v>
      </c>
    </row>
    <row r="136" spans="1:35" x14ac:dyDescent="0.25">
      <c r="A136" t="s">
        <v>2331</v>
      </c>
      <c r="B136" t="s">
        <v>31</v>
      </c>
      <c r="C136" s="25">
        <v>43706.762164351851</v>
      </c>
      <c r="D136" s="741" t="s">
        <v>2238</v>
      </c>
      <c r="E136" s="741" t="e">
        <f t="array" ref="E136">SUMPRODUCT(IF(AMP6_4[[#This Row],[Dim 1_1]:[T 8]]-$F$4:$AI$4&lt;0,1,0)+IF($F$5:$AI$5-AMP6_4[[#This Row],[Dim 1_1]:[T 8]]&lt;0,1,0),IF(ISNUMBER(AMP6_4[[#This Row],[Dim 1_1]:[T 8]])=TRUE,1,0))</f>
        <v>#VALUE!</v>
      </c>
      <c r="H136">
        <v>155.72900000000001</v>
      </c>
      <c r="I136">
        <v>155.65899999999999</v>
      </c>
      <c r="J136">
        <v>168.715</v>
      </c>
      <c r="K136">
        <v>168.72</v>
      </c>
      <c r="L136">
        <v>155.80699999999999</v>
      </c>
      <c r="M136">
        <v>155.62100000000001</v>
      </c>
      <c r="N136">
        <v>27.39</v>
      </c>
      <c r="O136">
        <v>27.597999999999999</v>
      </c>
      <c r="R136">
        <v>17.268999999999998</v>
      </c>
      <c r="S136">
        <v>17.222999999999999</v>
      </c>
      <c r="T136">
        <v>38.048999999999999</v>
      </c>
      <c r="U136">
        <v>39.292999999999999</v>
      </c>
      <c r="W136">
        <v>0.23699999999999999</v>
      </c>
      <c r="X136">
        <v>7.3999999999999996E-2</v>
      </c>
      <c r="Z136">
        <v>5.8000000000000003E-2</v>
      </c>
      <c r="AA136">
        <v>-5.8999999999999997E-2</v>
      </c>
      <c r="AB136">
        <v>0.1</v>
      </c>
      <c r="AC136">
        <v>7.3999999999999996E-2</v>
      </c>
      <c r="AD136">
        <v>0.23699999999999999</v>
      </c>
      <c r="AE136">
        <v>0.121</v>
      </c>
      <c r="AF136">
        <v>-2.9000000000000001E-2</v>
      </c>
      <c r="AG136">
        <v>-5.8999999999999997E-2</v>
      </c>
      <c r="AH136">
        <v>5.5E-2</v>
      </c>
      <c r="AI136">
        <v>5.8000000000000003E-2</v>
      </c>
    </row>
    <row r="137" spans="1:35" x14ac:dyDescent="0.25">
      <c r="A137" t="s">
        <v>2332</v>
      </c>
      <c r="B137" t="s">
        <v>32</v>
      </c>
      <c r="C137" s="25">
        <v>43706.83697916667</v>
      </c>
      <c r="D137" s="741" t="s">
        <v>2238</v>
      </c>
      <c r="E137" s="741" t="e">
        <f t="array" ref="E137">SUMPRODUCT(IF(AMP6_4[[#This Row],[Dim 1_1]:[T 8]]-$F$4:$AI$4&lt;0,1,0)+IF($F$5:$AI$5-AMP6_4[[#This Row],[Dim 1_1]:[T 8]]&lt;0,1,0),IF(ISNUMBER(AMP6_4[[#This Row],[Dim 1_1]:[T 8]])=TRUE,1,0))</f>
        <v>#VALUE!</v>
      </c>
      <c r="F137">
        <v>41.569000000000003</v>
      </c>
      <c r="G137">
        <v>41.554000000000002</v>
      </c>
      <c r="H137">
        <v>155.59700000000001</v>
      </c>
      <c r="I137">
        <v>155.71700000000001</v>
      </c>
      <c r="L137">
        <v>155.666</v>
      </c>
      <c r="M137">
        <v>155.52199999999999</v>
      </c>
      <c r="N137">
        <v>27.425000000000001</v>
      </c>
      <c r="O137">
        <v>27.582999999999998</v>
      </c>
      <c r="R137">
        <v>17.312999999999999</v>
      </c>
      <c r="S137">
        <v>17.271999999999998</v>
      </c>
      <c r="T137">
        <v>33.444000000000003</v>
      </c>
      <c r="U137">
        <v>34.200000000000003</v>
      </c>
      <c r="W137">
        <v>0.29299999999999998</v>
      </c>
      <c r="X137">
        <v>-2.9000000000000001E-2</v>
      </c>
      <c r="Z137">
        <v>0.26100000000000001</v>
      </c>
      <c r="AA137">
        <v>0.05</v>
      </c>
      <c r="AB137">
        <v>0.27500000000000002</v>
      </c>
      <c r="AC137">
        <v>0.29299999999999998</v>
      </c>
      <c r="AD137">
        <v>0.14499999999999999</v>
      </c>
      <c r="AE137">
        <v>-2.9000000000000001E-2</v>
      </c>
      <c r="AF137">
        <v>0.26100000000000001</v>
      </c>
      <c r="AG137">
        <v>0.21199999999999999</v>
      </c>
      <c r="AH137">
        <v>0.05</v>
      </c>
      <c r="AI137">
        <v>0.16900000000000001</v>
      </c>
    </row>
    <row r="138" spans="1:35" x14ac:dyDescent="0.25">
      <c r="A138" t="s">
        <v>2333</v>
      </c>
      <c r="B138" t="s">
        <v>31</v>
      </c>
      <c r="C138" s="25">
        <v>43706.841307870367</v>
      </c>
      <c r="D138" s="741" t="s">
        <v>2238</v>
      </c>
      <c r="E138" s="741" t="e">
        <f t="array" ref="E138">SUMPRODUCT(IF(AMP6_4[[#This Row],[Dim 1_1]:[T 8]]-$F$4:$AI$4&lt;0,1,0)+IF($F$5:$AI$5-AMP6_4[[#This Row],[Dim 1_1]:[T 8]]&lt;0,1,0),IF(ISNUMBER(AMP6_4[[#This Row],[Dim 1_1]:[T 8]])=TRUE,1,0))</f>
        <v>#VALUE!</v>
      </c>
      <c r="H138">
        <v>155.62200000000001</v>
      </c>
      <c r="I138">
        <v>155.59</v>
      </c>
      <c r="J138">
        <v>168.714</v>
      </c>
      <c r="K138">
        <v>168.58099999999999</v>
      </c>
      <c r="L138">
        <v>155.66399999999999</v>
      </c>
      <c r="M138">
        <v>155.483</v>
      </c>
      <c r="N138">
        <v>27.559000000000001</v>
      </c>
      <c r="O138">
        <v>27.654</v>
      </c>
      <c r="R138">
        <v>17.247</v>
      </c>
      <c r="S138">
        <v>17.373999999999999</v>
      </c>
      <c r="T138">
        <v>37.061999999999998</v>
      </c>
      <c r="U138">
        <v>36.655000000000001</v>
      </c>
      <c r="W138">
        <v>0.17699999999999999</v>
      </c>
      <c r="X138">
        <v>-4.2000000000000003E-2</v>
      </c>
      <c r="Z138">
        <v>0.109</v>
      </c>
      <c r="AA138">
        <v>-7.2999999999999995E-2</v>
      </c>
      <c r="AB138">
        <v>0.17699999999999999</v>
      </c>
      <c r="AC138">
        <v>0.15</v>
      </c>
      <c r="AD138">
        <v>9.8000000000000004E-2</v>
      </c>
      <c r="AE138">
        <v>-4.2000000000000003E-2</v>
      </c>
      <c r="AF138">
        <v>0.109</v>
      </c>
      <c r="AG138">
        <v>8.5000000000000006E-2</v>
      </c>
      <c r="AH138">
        <v>-7.2999999999999995E-2</v>
      </c>
      <c r="AI138">
        <v>-0.01</v>
      </c>
    </row>
    <row r="139" spans="1:35" x14ac:dyDescent="0.25">
      <c r="A139" t="s">
        <v>2334</v>
      </c>
      <c r="B139" t="s">
        <v>32</v>
      </c>
      <c r="C139" s="25">
        <v>43706.951956018522</v>
      </c>
      <c r="D139" s="741" t="s">
        <v>2238</v>
      </c>
      <c r="E139" s="741" t="e">
        <f t="array" ref="E139">SUMPRODUCT(IF(AMP6_4[[#This Row],[Dim 1_1]:[T 8]]-$F$4:$AI$4&lt;0,1,0)+IF($F$5:$AI$5-AMP6_4[[#This Row],[Dim 1_1]:[T 8]]&lt;0,1,0),IF(ISNUMBER(AMP6_4[[#This Row],[Dim 1_1]:[T 8]])=TRUE,1,0))</f>
        <v>#VALUE!</v>
      </c>
      <c r="F139">
        <v>41.484999999999999</v>
      </c>
      <c r="G139">
        <v>41.43</v>
      </c>
      <c r="H139">
        <v>155.82900000000001</v>
      </c>
      <c r="I139">
        <v>155.83600000000001</v>
      </c>
      <c r="L139">
        <v>155.95500000000001</v>
      </c>
      <c r="M139">
        <v>155.678</v>
      </c>
      <c r="N139">
        <v>27.202999999999999</v>
      </c>
      <c r="O139">
        <v>27.391999999999999</v>
      </c>
      <c r="R139">
        <v>17.212</v>
      </c>
      <c r="S139">
        <v>17.234999999999999</v>
      </c>
      <c r="T139">
        <v>33.472999999999999</v>
      </c>
      <c r="U139">
        <v>34.17</v>
      </c>
      <c r="W139">
        <v>5.3999999999999999E-2</v>
      </c>
      <c r="X139">
        <v>-7.5999999999999998E-2</v>
      </c>
      <c r="Z139">
        <v>7.5999999999999998E-2</v>
      </c>
      <c r="AA139">
        <v>5.0000000000000001E-3</v>
      </c>
      <c r="AB139">
        <v>2.3E-2</v>
      </c>
      <c r="AC139">
        <v>5.3999999999999999E-2</v>
      </c>
      <c r="AD139">
        <v>1.2E-2</v>
      </c>
      <c r="AE139">
        <v>-7.5999999999999998E-2</v>
      </c>
      <c r="AF139">
        <v>7.5999999999999998E-2</v>
      </c>
      <c r="AG139">
        <v>5.0000000000000001E-3</v>
      </c>
      <c r="AH139">
        <v>6.0000000000000001E-3</v>
      </c>
      <c r="AI139">
        <v>0.03</v>
      </c>
    </row>
    <row r="140" spans="1:35" x14ac:dyDescent="0.25">
      <c r="A140" t="s">
        <v>2335</v>
      </c>
      <c r="B140" t="s">
        <v>31</v>
      </c>
      <c r="C140" s="25">
        <v>43706.954386574071</v>
      </c>
      <c r="D140" s="741" t="s">
        <v>2238</v>
      </c>
      <c r="E140" s="741" t="e">
        <f t="array" ref="E140">SUMPRODUCT(IF(AMP6_4[[#This Row],[Dim 1_1]:[T 8]]-$F$4:$AI$4&lt;0,1,0)+IF($F$5:$AI$5-AMP6_4[[#This Row],[Dim 1_1]:[T 8]]&lt;0,1,0),IF(ISNUMBER(AMP6_4[[#This Row],[Dim 1_1]:[T 8]])=TRUE,1,0))</f>
        <v>#VALUE!</v>
      </c>
      <c r="H140">
        <v>155.50299999999999</v>
      </c>
      <c r="I140">
        <v>155.447</v>
      </c>
      <c r="J140">
        <v>168.63800000000001</v>
      </c>
      <c r="K140">
        <v>168.59299999999999</v>
      </c>
      <c r="L140">
        <v>155.56100000000001</v>
      </c>
      <c r="M140">
        <v>155.37899999999999</v>
      </c>
      <c r="N140">
        <v>27.591999999999999</v>
      </c>
      <c r="O140">
        <v>27.802</v>
      </c>
      <c r="R140">
        <v>17.263000000000002</v>
      </c>
      <c r="S140">
        <v>17.295000000000002</v>
      </c>
      <c r="T140">
        <v>38.281999999999996</v>
      </c>
      <c r="U140">
        <v>38.808999999999997</v>
      </c>
      <c r="W140">
        <v>0.20799999999999999</v>
      </c>
      <c r="X140">
        <v>0.08</v>
      </c>
      <c r="Z140">
        <v>0.10299999999999999</v>
      </c>
      <c r="AA140">
        <v>-1.4E-2</v>
      </c>
      <c r="AB140">
        <v>0.20799999999999999</v>
      </c>
      <c r="AC140">
        <v>0.10199999999999999</v>
      </c>
      <c r="AD140">
        <v>0.16700000000000001</v>
      </c>
      <c r="AE140">
        <v>0.08</v>
      </c>
      <c r="AF140">
        <v>6.4000000000000001E-2</v>
      </c>
      <c r="AG140">
        <v>3.6999999999999998E-2</v>
      </c>
      <c r="AH140">
        <v>-1.4E-2</v>
      </c>
      <c r="AI140">
        <v>0.10299999999999999</v>
      </c>
    </row>
    <row r="141" spans="1:35" x14ac:dyDescent="0.25">
      <c r="A141" t="s">
        <v>2336</v>
      </c>
      <c r="B141" t="s">
        <v>32</v>
      </c>
      <c r="C141" s="25">
        <v>43707.008067129631</v>
      </c>
      <c r="D141" s="741" t="s">
        <v>2238</v>
      </c>
      <c r="E141" s="741" t="e">
        <f t="array" ref="E141">SUMPRODUCT(IF(AMP6_4[[#This Row],[Dim 1_1]:[T 8]]-$F$4:$AI$4&lt;0,1,0)+IF($F$5:$AI$5-AMP6_4[[#This Row],[Dim 1_1]:[T 8]]&lt;0,1,0),IF(ISNUMBER(AMP6_4[[#This Row],[Dim 1_1]:[T 8]])=TRUE,1,0))</f>
        <v>#VALUE!</v>
      </c>
      <c r="F141">
        <v>41.579000000000001</v>
      </c>
      <c r="G141">
        <v>41.509</v>
      </c>
      <c r="H141">
        <v>155.852</v>
      </c>
      <c r="I141">
        <v>155.86199999999999</v>
      </c>
      <c r="L141">
        <v>155.99</v>
      </c>
      <c r="M141">
        <v>155.71199999999999</v>
      </c>
      <c r="N141">
        <v>27.164999999999999</v>
      </c>
      <c r="O141">
        <v>27.35</v>
      </c>
      <c r="R141">
        <v>17.260999999999999</v>
      </c>
      <c r="S141">
        <v>17.146999999999998</v>
      </c>
      <c r="T141">
        <v>33.033000000000001</v>
      </c>
      <c r="U141">
        <v>34.49</v>
      </c>
      <c r="W141">
        <v>6.7000000000000004E-2</v>
      </c>
      <c r="X141">
        <v>-4.2000000000000003E-2</v>
      </c>
      <c r="Z141">
        <v>0.11600000000000001</v>
      </c>
      <c r="AA141">
        <v>-6.4000000000000001E-2</v>
      </c>
      <c r="AB141">
        <v>-4.2000000000000003E-2</v>
      </c>
      <c r="AC141">
        <v>-3.9E-2</v>
      </c>
      <c r="AD141">
        <v>6.7000000000000004E-2</v>
      </c>
      <c r="AE141">
        <v>4.0000000000000001E-3</v>
      </c>
      <c r="AF141">
        <v>0</v>
      </c>
      <c r="AG141">
        <v>-6.4000000000000001E-2</v>
      </c>
      <c r="AH141">
        <v>-7.0000000000000001E-3</v>
      </c>
      <c r="AI141">
        <v>0.11600000000000001</v>
      </c>
    </row>
    <row r="142" spans="1:35" x14ac:dyDescent="0.25">
      <c r="A142" t="s">
        <v>2337</v>
      </c>
      <c r="B142" t="s">
        <v>31</v>
      </c>
      <c r="C142" s="25">
        <v>43707.010081018518</v>
      </c>
      <c r="D142" s="741" t="s">
        <v>2238</v>
      </c>
      <c r="E142" s="741" t="e">
        <f t="array" ref="E142">SUMPRODUCT(IF(AMP6_4[[#This Row],[Dim 1_1]:[T 8]]-$F$4:$AI$4&lt;0,1,0)+IF($F$5:$AI$5-AMP6_4[[#This Row],[Dim 1_1]:[T 8]]&lt;0,1,0),IF(ISNUMBER(AMP6_4[[#This Row],[Dim 1_1]:[T 8]])=TRUE,1,0))</f>
        <v>#VALUE!</v>
      </c>
      <c r="H142">
        <v>155.73099999999999</v>
      </c>
      <c r="I142">
        <v>155.64599999999999</v>
      </c>
      <c r="J142">
        <v>168.90899999999999</v>
      </c>
      <c r="K142">
        <v>168.85499999999999</v>
      </c>
      <c r="L142">
        <v>155.84100000000001</v>
      </c>
      <c r="M142">
        <v>155.61799999999999</v>
      </c>
      <c r="N142">
        <v>27.32</v>
      </c>
      <c r="O142">
        <v>27.576000000000001</v>
      </c>
      <c r="R142">
        <v>17.254000000000001</v>
      </c>
      <c r="S142">
        <v>17.143000000000001</v>
      </c>
      <c r="T142">
        <v>37.743000000000002</v>
      </c>
      <c r="U142">
        <v>37.241</v>
      </c>
      <c r="W142">
        <v>0.23799999999999999</v>
      </c>
      <c r="X142">
        <v>6.5000000000000002E-2</v>
      </c>
      <c r="Z142">
        <v>0.20100000000000001</v>
      </c>
      <c r="AA142">
        <v>4.2999999999999997E-2</v>
      </c>
      <c r="AB142">
        <v>8.4000000000000005E-2</v>
      </c>
      <c r="AC142">
        <v>6.5000000000000002E-2</v>
      </c>
      <c r="AD142">
        <v>0.23799999999999999</v>
      </c>
      <c r="AE142">
        <v>7.4999999999999997E-2</v>
      </c>
      <c r="AF142">
        <v>0.108</v>
      </c>
      <c r="AG142">
        <v>4.2999999999999997E-2</v>
      </c>
      <c r="AH142">
        <v>0.159</v>
      </c>
      <c r="AI142">
        <v>0.20100000000000001</v>
      </c>
    </row>
    <row r="143" spans="1:35" x14ac:dyDescent="0.25">
      <c r="A143" t="s">
        <v>2338</v>
      </c>
      <c r="B143" t="s">
        <v>32</v>
      </c>
      <c r="C143" s="25">
        <v>43707.050324074073</v>
      </c>
      <c r="D143" s="741" t="s">
        <v>2238</v>
      </c>
      <c r="E143" s="741" t="e">
        <f t="array" ref="E143">SUMPRODUCT(IF(AMP6_4[[#This Row],[Dim 1_1]:[T 8]]-$F$4:$AI$4&lt;0,1,0)+IF($F$5:$AI$5-AMP6_4[[#This Row],[Dim 1_1]:[T 8]]&lt;0,1,0),IF(ISNUMBER(AMP6_4[[#This Row],[Dim 1_1]:[T 8]])=TRUE,1,0))</f>
        <v>#VALUE!</v>
      </c>
      <c r="F143">
        <v>41.389000000000003</v>
      </c>
      <c r="G143">
        <v>41.292000000000002</v>
      </c>
      <c r="H143">
        <v>155.815</v>
      </c>
      <c r="I143">
        <v>155.83699999999999</v>
      </c>
      <c r="L143">
        <v>155.91800000000001</v>
      </c>
      <c r="M143">
        <v>155.65600000000001</v>
      </c>
      <c r="N143">
        <v>27.219000000000001</v>
      </c>
      <c r="O143">
        <v>27.393000000000001</v>
      </c>
      <c r="R143">
        <v>17.227</v>
      </c>
      <c r="S143">
        <v>17.206</v>
      </c>
      <c r="T143">
        <v>33.313000000000002</v>
      </c>
      <c r="U143">
        <v>34.137</v>
      </c>
      <c r="W143">
        <v>5.7000000000000002E-2</v>
      </c>
      <c r="X143">
        <v>-6.3E-2</v>
      </c>
      <c r="Z143">
        <v>8.7999999999999995E-2</v>
      </c>
      <c r="AA143">
        <v>2.5000000000000001E-2</v>
      </c>
      <c r="AB143">
        <v>3.5999999999999997E-2</v>
      </c>
      <c r="AC143">
        <v>5.7000000000000002E-2</v>
      </c>
      <c r="AD143">
        <v>3.6999999999999998E-2</v>
      </c>
      <c r="AE143">
        <v>-6.3E-2</v>
      </c>
      <c r="AF143">
        <v>8.7999999999999995E-2</v>
      </c>
      <c r="AG143">
        <v>2.5000000000000001E-2</v>
      </c>
      <c r="AH143">
        <v>5.1999999999999998E-2</v>
      </c>
      <c r="AI143">
        <v>7.2999999999999995E-2</v>
      </c>
    </row>
    <row r="144" spans="1:35" x14ac:dyDescent="0.25">
      <c r="A144" t="s">
        <v>2339</v>
      </c>
      <c r="B144" t="s">
        <v>31</v>
      </c>
      <c r="C144" s="25">
        <v>43707.052372685182</v>
      </c>
      <c r="D144" s="741" t="s">
        <v>2238</v>
      </c>
      <c r="E144" s="741" t="e">
        <f t="array" ref="E144">SUMPRODUCT(IF(AMP6_4[[#This Row],[Dim 1_1]:[T 8]]-$F$4:$AI$4&lt;0,1,0)+IF($F$5:$AI$5-AMP6_4[[#This Row],[Dim 1_1]:[T 8]]&lt;0,1,0),IF(ISNUMBER(AMP6_4[[#This Row],[Dim 1_1]:[T 8]])=TRUE,1,0))</f>
        <v>#VALUE!</v>
      </c>
      <c r="H144">
        <v>155.691</v>
      </c>
      <c r="I144">
        <v>155.624</v>
      </c>
      <c r="J144">
        <v>168.708</v>
      </c>
      <c r="K144">
        <v>168.64099999999999</v>
      </c>
      <c r="L144">
        <v>155.77600000000001</v>
      </c>
      <c r="M144">
        <v>155.595</v>
      </c>
      <c r="N144">
        <v>27.425000000000001</v>
      </c>
      <c r="O144">
        <v>27.63</v>
      </c>
      <c r="R144">
        <v>17.260000000000002</v>
      </c>
      <c r="S144">
        <v>17.253</v>
      </c>
      <c r="T144">
        <v>38.186999999999998</v>
      </c>
      <c r="U144">
        <v>38.145000000000003</v>
      </c>
      <c r="W144">
        <v>0.222</v>
      </c>
      <c r="X144">
        <v>7.3999999999999996E-2</v>
      </c>
      <c r="Z144">
        <v>0.11</v>
      </c>
      <c r="AA144">
        <v>3.6999999999999998E-2</v>
      </c>
      <c r="AB144">
        <v>0.16500000000000001</v>
      </c>
      <c r="AC144">
        <v>0.14000000000000001</v>
      </c>
      <c r="AD144">
        <v>0.222</v>
      </c>
      <c r="AE144">
        <v>7.3999999999999996E-2</v>
      </c>
      <c r="AF144">
        <v>6.6000000000000003E-2</v>
      </c>
      <c r="AG144">
        <v>3.6999999999999998E-2</v>
      </c>
      <c r="AH144">
        <v>4.7E-2</v>
      </c>
      <c r="AI144">
        <v>0.11</v>
      </c>
    </row>
    <row r="145" spans="1:35" x14ac:dyDescent="0.25">
      <c r="A145" t="s">
        <v>2340</v>
      </c>
      <c r="B145" t="s">
        <v>32</v>
      </c>
      <c r="C145" s="25">
        <v>43707.31145833333</v>
      </c>
      <c r="D145" s="741" t="s">
        <v>2238</v>
      </c>
      <c r="E145" s="741" t="e">
        <f t="array" ref="E145">SUMPRODUCT(IF(AMP6_4[[#This Row],[Dim 1_1]:[T 8]]-$F$4:$AI$4&lt;0,1,0)+IF($F$5:$AI$5-AMP6_4[[#This Row],[Dim 1_1]:[T 8]]&lt;0,1,0),IF(ISNUMBER(AMP6_4[[#This Row],[Dim 1_1]:[T 8]])=TRUE,1,0))</f>
        <v>#VALUE!</v>
      </c>
      <c r="F145">
        <v>41.252000000000002</v>
      </c>
      <c r="G145">
        <v>41.168999999999997</v>
      </c>
      <c r="H145">
        <v>155.858</v>
      </c>
      <c r="I145">
        <v>155.881</v>
      </c>
      <c r="L145">
        <v>155.999</v>
      </c>
      <c r="M145">
        <v>155.744</v>
      </c>
      <c r="N145">
        <v>27.155000000000001</v>
      </c>
      <c r="O145">
        <v>27.334</v>
      </c>
      <c r="R145">
        <v>17.239000000000001</v>
      </c>
      <c r="S145">
        <v>17.166</v>
      </c>
      <c r="T145">
        <v>33.43</v>
      </c>
      <c r="U145">
        <v>34.421999999999997</v>
      </c>
      <c r="W145">
        <v>2.8000000000000001E-2</v>
      </c>
      <c r="X145">
        <v>-6.7000000000000004E-2</v>
      </c>
      <c r="Z145">
        <v>0.106</v>
      </c>
      <c r="AA145">
        <v>3.0000000000000001E-3</v>
      </c>
      <c r="AB145">
        <v>-1.9E-2</v>
      </c>
      <c r="AC145">
        <v>2.8000000000000001E-2</v>
      </c>
      <c r="AD145">
        <v>1.7000000000000001E-2</v>
      </c>
      <c r="AE145">
        <v>-6.7000000000000004E-2</v>
      </c>
      <c r="AF145">
        <v>6.2E-2</v>
      </c>
      <c r="AG145">
        <v>3.0000000000000001E-3</v>
      </c>
      <c r="AH145">
        <v>0.06</v>
      </c>
      <c r="AI145">
        <v>0.106</v>
      </c>
    </row>
    <row r="146" spans="1:35" x14ac:dyDescent="0.25">
      <c r="A146" t="s">
        <v>2341</v>
      </c>
      <c r="B146" t="s">
        <v>31</v>
      </c>
      <c r="C146" s="25">
        <v>43707.314571759256</v>
      </c>
      <c r="D146" s="741" t="s">
        <v>2238</v>
      </c>
      <c r="E146" s="741" t="e">
        <f t="array" ref="E146">SUMPRODUCT(IF(AMP6_4[[#This Row],[Dim 1_1]:[T 8]]-$F$4:$AI$4&lt;0,1,0)+IF($F$5:$AI$5-AMP6_4[[#This Row],[Dim 1_1]:[T 8]]&lt;0,1,0),IF(ISNUMBER(AMP6_4[[#This Row],[Dim 1_1]:[T 8]])=TRUE,1,0))</f>
        <v>#VALUE!</v>
      </c>
      <c r="H146">
        <v>155.72</v>
      </c>
      <c r="I146">
        <v>155.672</v>
      </c>
      <c r="J146">
        <v>168.608</v>
      </c>
      <c r="K146">
        <v>168.506</v>
      </c>
      <c r="L146">
        <v>155.81100000000001</v>
      </c>
      <c r="M146">
        <v>155.62299999999999</v>
      </c>
      <c r="N146">
        <v>27.376999999999999</v>
      </c>
      <c r="O146">
        <v>27.596</v>
      </c>
      <c r="R146">
        <v>17.265000000000001</v>
      </c>
      <c r="S146">
        <v>17.268999999999998</v>
      </c>
      <c r="T146">
        <v>37.683999999999997</v>
      </c>
      <c r="U146">
        <v>37.777999999999999</v>
      </c>
      <c r="W146">
        <v>0.193</v>
      </c>
      <c r="X146">
        <v>3.6999999999999998E-2</v>
      </c>
      <c r="Z146">
        <v>0.14799999999999999</v>
      </c>
      <c r="AA146">
        <v>7.3999999999999996E-2</v>
      </c>
      <c r="AB146">
        <v>0.126</v>
      </c>
      <c r="AC146">
        <v>0.107</v>
      </c>
      <c r="AD146">
        <v>0.193</v>
      </c>
      <c r="AE146">
        <v>3.6999999999999998E-2</v>
      </c>
      <c r="AF146">
        <v>0.114</v>
      </c>
      <c r="AG146">
        <v>7.3999999999999996E-2</v>
      </c>
      <c r="AH146">
        <v>8.8999999999999996E-2</v>
      </c>
      <c r="AI146">
        <v>0.14799999999999999</v>
      </c>
    </row>
    <row r="147" spans="1:35" x14ac:dyDescent="0.25">
      <c r="A147" t="s">
        <v>2342</v>
      </c>
      <c r="B147" t="s">
        <v>32</v>
      </c>
      <c r="C147" s="25">
        <v>43707.391469907408</v>
      </c>
      <c r="D147" s="741" t="s">
        <v>2238</v>
      </c>
      <c r="E147" s="741" t="e">
        <f t="array" ref="E147">SUMPRODUCT(IF(AMP6_4[[#This Row],[Dim 1_1]:[T 8]]-$F$4:$AI$4&lt;0,1,0)+IF($F$5:$AI$5-AMP6_4[[#This Row],[Dim 1_1]:[T 8]]&lt;0,1,0),IF(ISNUMBER(AMP6_4[[#This Row],[Dim 1_1]:[T 8]])=TRUE,1,0))</f>
        <v>#VALUE!</v>
      </c>
      <c r="F147">
        <v>41.37</v>
      </c>
      <c r="G147">
        <v>41.256999999999998</v>
      </c>
      <c r="H147">
        <v>155.90899999999999</v>
      </c>
      <c r="I147">
        <v>155.91800000000001</v>
      </c>
      <c r="L147">
        <v>156.05199999999999</v>
      </c>
      <c r="M147">
        <v>155.80699999999999</v>
      </c>
      <c r="N147">
        <v>27.154</v>
      </c>
      <c r="O147">
        <v>27.311</v>
      </c>
      <c r="R147">
        <v>17.245999999999999</v>
      </c>
      <c r="S147">
        <v>17.175999999999998</v>
      </c>
      <c r="T147">
        <v>33.253999999999998</v>
      </c>
      <c r="U147">
        <v>34.319000000000003</v>
      </c>
      <c r="W147">
        <v>-7.3999999999999996E-2</v>
      </c>
      <c r="X147">
        <v>-0.14599999999999999</v>
      </c>
      <c r="Z147">
        <v>-5.8000000000000003E-2</v>
      </c>
      <c r="AA147">
        <v>-0.13</v>
      </c>
      <c r="AB147">
        <v>-0.126</v>
      </c>
      <c r="AC147">
        <v>-9.2999999999999999E-2</v>
      </c>
      <c r="AD147">
        <v>-7.3999999999999996E-2</v>
      </c>
      <c r="AE147">
        <v>-0.14599999999999999</v>
      </c>
      <c r="AF147">
        <v>-0.06</v>
      </c>
      <c r="AG147">
        <v>-0.13</v>
      </c>
      <c r="AH147">
        <v>-0.10299999999999999</v>
      </c>
      <c r="AI147">
        <v>-5.8000000000000003E-2</v>
      </c>
    </row>
    <row r="148" spans="1:35" x14ac:dyDescent="0.25">
      <c r="A148" t="s">
        <v>2343</v>
      </c>
      <c r="B148" t="s">
        <v>31</v>
      </c>
      <c r="C148" s="25">
        <v>43707.393680555557</v>
      </c>
      <c r="D148" s="741" t="s">
        <v>2238</v>
      </c>
      <c r="E148" s="741" t="e">
        <f t="array" ref="E148">SUMPRODUCT(IF(AMP6_4[[#This Row],[Dim 1_1]:[T 8]]-$F$4:$AI$4&lt;0,1,0)+IF($F$5:$AI$5-AMP6_4[[#This Row],[Dim 1_1]:[T 8]]&lt;0,1,0),IF(ISNUMBER(AMP6_4[[#This Row],[Dim 1_1]:[T 8]])=TRUE,1,0))</f>
        <v>#VALUE!</v>
      </c>
      <c r="H148">
        <v>155.77000000000001</v>
      </c>
      <c r="I148">
        <v>155.69999999999999</v>
      </c>
      <c r="J148">
        <v>168.77500000000001</v>
      </c>
      <c r="K148">
        <v>168.74299999999999</v>
      </c>
      <c r="L148">
        <v>155.75399999999999</v>
      </c>
      <c r="M148">
        <v>155.60300000000001</v>
      </c>
      <c r="N148">
        <v>27.405000000000001</v>
      </c>
      <c r="O148">
        <v>27.602</v>
      </c>
      <c r="R148">
        <v>17.245000000000001</v>
      </c>
      <c r="S148">
        <v>17.263000000000002</v>
      </c>
      <c r="T148">
        <v>39.569000000000003</v>
      </c>
      <c r="U148">
        <v>39.984999999999999</v>
      </c>
      <c r="W148">
        <v>0.185</v>
      </c>
      <c r="X148">
        <v>1.6E-2</v>
      </c>
      <c r="Z148">
        <v>8.5999999999999993E-2</v>
      </c>
      <c r="AA148">
        <v>2.1000000000000001E-2</v>
      </c>
      <c r="AB148">
        <v>0.12</v>
      </c>
      <c r="AC148">
        <v>8.5999999999999993E-2</v>
      </c>
      <c r="AD148">
        <v>0.185</v>
      </c>
      <c r="AE148">
        <v>1.6E-2</v>
      </c>
      <c r="AF148">
        <v>4.5999999999999999E-2</v>
      </c>
      <c r="AG148">
        <v>2.1000000000000001E-2</v>
      </c>
      <c r="AH148">
        <v>5.7000000000000002E-2</v>
      </c>
      <c r="AI148">
        <v>8.5999999999999993E-2</v>
      </c>
    </row>
    <row r="149" spans="1:35" x14ac:dyDescent="0.25">
      <c r="A149" t="s">
        <v>2488</v>
      </c>
      <c r="B149" t="s">
        <v>32</v>
      </c>
      <c r="C149" s="25">
        <v>43707.557962962965</v>
      </c>
      <c r="D149" s="741" t="s">
        <v>2238</v>
      </c>
      <c r="E149" s="741" t="e">
        <f t="array" ref="E149">SUMPRODUCT(IF(AMP6_4[[#This Row],[Dim 1_1]:[T 8]]-$F$4:$AI$4&lt;0,1,0)+IF($F$5:$AI$5-AMP6_4[[#This Row],[Dim 1_1]:[T 8]]&lt;0,1,0),IF(ISNUMBER(AMP6_4[[#This Row],[Dim 1_1]:[T 8]])=TRUE,1,0))</f>
        <v>#VALUE!</v>
      </c>
      <c r="F149">
        <v>41.326000000000001</v>
      </c>
      <c r="G149">
        <v>41.4</v>
      </c>
      <c r="H149">
        <v>155.86099999999999</v>
      </c>
      <c r="I149">
        <v>155.74299999999999</v>
      </c>
      <c r="L149">
        <v>155.971</v>
      </c>
      <c r="M149">
        <v>155.65299999999999</v>
      </c>
      <c r="N149">
        <v>27.173999999999999</v>
      </c>
      <c r="O149">
        <v>27.411000000000001</v>
      </c>
      <c r="R149">
        <v>17.224</v>
      </c>
      <c r="S149">
        <v>17.193999999999999</v>
      </c>
      <c r="T149">
        <v>33.561</v>
      </c>
      <c r="U149">
        <v>34.590000000000003</v>
      </c>
      <c r="W149">
        <v>-7.0000000000000001E-3</v>
      </c>
      <c r="X149">
        <v>-0.2</v>
      </c>
      <c r="Z149">
        <v>-0.01</v>
      </c>
      <c r="AA149">
        <v>-0.11899999999999999</v>
      </c>
      <c r="AB149">
        <v>-0.16300000000000001</v>
      </c>
      <c r="AC149">
        <v>-0.13800000000000001</v>
      </c>
      <c r="AD149">
        <v>-7.0000000000000001E-3</v>
      </c>
      <c r="AE149">
        <v>-0.2</v>
      </c>
      <c r="AF149">
        <v>-0.06</v>
      </c>
      <c r="AG149">
        <v>-0.11899999999999999</v>
      </c>
      <c r="AH149">
        <v>-3.5999999999999997E-2</v>
      </c>
      <c r="AI149">
        <v>-0.01</v>
      </c>
    </row>
    <row r="150" spans="1:35" x14ac:dyDescent="0.25">
      <c r="A150" t="s">
        <v>2489</v>
      </c>
      <c r="B150" t="s">
        <v>31</v>
      </c>
      <c r="C150" s="25">
        <v>43707.564884259256</v>
      </c>
      <c r="D150" s="741" t="s">
        <v>2238</v>
      </c>
      <c r="E150" s="741" t="e">
        <f t="array" ref="E150">SUMPRODUCT(IF(AMP6_4[[#This Row],[Dim 1_1]:[T 8]]-$F$4:$AI$4&lt;0,1,0)+IF($F$5:$AI$5-AMP6_4[[#This Row],[Dim 1_1]:[T 8]]&lt;0,1,0),IF(ISNUMBER(AMP6_4[[#This Row],[Dim 1_1]:[T 8]])=TRUE,1,0))</f>
        <v>#VALUE!</v>
      </c>
      <c r="H150">
        <v>155.589</v>
      </c>
      <c r="I150">
        <v>155.733</v>
      </c>
      <c r="J150">
        <v>168.477</v>
      </c>
      <c r="K150">
        <v>168.315</v>
      </c>
      <c r="L150">
        <v>155.80199999999999</v>
      </c>
      <c r="M150">
        <v>155.75</v>
      </c>
      <c r="N150">
        <v>27.396999999999998</v>
      </c>
      <c r="O150">
        <v>27.533000000000001</v>
      </c>
      <c r="R150">
        <v>17.239000000000001</v>
      </c>
      <c r="S150">
        <v>17.225000000000001</v>
      </c>
      <c r="T150">
        <v>39.191000000000003</v>
      </c>
      <c r="U150">
        <v>40.222000000000001</v>
      </c>
      <c r="W150">
        <v>7.8E-2</v>
      </c>
      <c r="X150">
        <v>5.5E-2</v>
      </c>
      <c r="Z150">
        <v>0.153</v>
      </c>
      <c r="AA150">
        <v>0.06</v>
      </c>
      <c r="AB150">
        <v>6.4000000000000001E-2</v>
      </c>
      <c r="AC150">
        <v>7.8E-2</v>
      </c>
      <c r="AD150">
        <v>5.8000000000000003E-2</v>
      </c>
      <c r="AE150">
        <v>5.5E-2</v>
      </c>
      <c r="AF150">
        <v>0.153</v>
      </c>
      <c r="AG150">
        <v>0.09</v>
      </c>
      <c r="AH150">
        <v>8.1000000000000003E-2</v>
      </c>
      <c r="AI150">
        <v>0.06</v>
      </c>
    </row>
    <row r="151" spans="1:35" x14ac:dyDescent="0.25">
      <c r="A151" t="s">
        <v>2490</v>
      </c>
      <c r="B151" t="s">
        <v>32</v>
      </c>
      <c r="C151" s="25">
        <v>43707.645127314812</v>
      </c>
      <c r="D151" s="741" t="s">
        <v>2238</v>
      </c>
      <c r="E151" s="741" t="e">
        <f t="array" ref="E151">SUMPRODUCT(IF(AMP6_4[[#This Row],[Dim 1_1]:[T 8]]-$F$4:$AI$4&lt;0,1,0)+IF($F$5:$AI$5-AMP6_4[[#This Row],[Dim 1_1]:[T 8]]&lt;0,1,0),IF(ISNUMBER(AMP6_4[[#This Row],[Dim 1_1]:[T 8]])=TRUE,1,0))</f>
        <v>#VALUE!</v>
      </c>
      <c r="F151">
        <v>41.351999999999997</v>
      </c>
      <c r="G151">
        <v>41.274000000000001</v>
      </c>
      <c r="H151">
        <v>155.83000000000001</v>
      </c>
      <c r="I151">
        <v>155.82</v>
      </c>
      <c r="L151">
        <v>155.95699999999999</v>
      </c>
      <c r="M151">
        <v>155.65</v>
      </c>
      <c r="N151">
        <v>27.178000000000001</v>
      </c>
      <c r="O151">
        <v>27.407</v>
      </c>
      <c r="R151">
        <v>17.236000000000001</v>
      </c>
      <c r="S151">
        <v>17.218</v>
      </c>
      <c r="T151">
        <v>32.898000000000003</v>
      </c>
      <c r="U151">
        <v>34.695999999999998</v>
      </c>
      <c r="W151">
        <v>-4.7E-2</v>
      </c>
      <c r="X151">
        <v>-0.14899999999999999</v>
      </c>
      <c r="Z151">
        <v>-2.4E-2</v>
      </c>
      <c r="AA151">
        <v>-9.8000000000000004E-2</v>
      </c>
      <c r="AB151">
        <v>-8.1000000000000003E-2</v>
      </c>
      <c r="AC151">
        <v>-4.7E-2</v>
      </c>
      <c r="AD151">
        <v>-8.3000000000000004E-2</v>
      </c>
      <c r="AE151">
        <v>-0.14899999999999999</v>
      </c>
      <c r="AF151">
        <v>-2.4E-2</v>
      </c>
      <c r="AG151">
        <v>-9.5000000000000001E-2</v>
      </c>
      <c r="AH151">
        <v>-9.8000000000000004E-2</v>
      </c>
      <c r="AI151">
        <v>-4.8000000000000001E-2</v>
      </c>
    </row>
    <row r="152" spans="1:35" x14ac:dyDescent="0.25">
      <c r="A152" t="s">
        <v>2491</v>
      </c>
      <c r="B152" t="s">
        <v>31</v>
      </c>
      <c r="C152" s="25">
        <v>43707.647372685184</v>
      </c>
      <c r="D152" s="741" t="s">
        <v>2238</v>
      </c>
      <c r="E152" s="741" t="e">
        <f t="array" ref="E152">SUMPRODUCT(IF(AMP6_4[[#This Row],[Dim 1_1]:[T 8]]-$F$4:$AI$4&lt;0,1,0)+IF($F$5:$AI$5-AMP6_4[[#This Row],[Dim 1_1]:[T 8]]&lt;0,1,0),IF(ISNUMBER(AMP6_4[[#This Row],[Dim 1_1]:[T 8]])=TRUE,1,0))</f>
        <v>#VALUE!</v>
      </c>
      <c r="H152">
        <v>155.75200000000001</v>
      </c>
      <c r="I152">
        <v>155.703</v>
      </c>
      <c r="J152">
        <v>168.672</v>
      </c>
      <c r="K152">
        <v>168.62299999999999</v>
      </c>
      <c r="L152">
        <v>155.827</v>
      </c>
      <c r="M152">
        <v>155.68100000000001</v>
      </c>
      <c r="N152">
        <v>27.364000000000001</v>
      </c>
      <c r="O152">
        <v>27.530999999999999</v>
      </c>
      <c r="R152">
        <v>17.25</v>
      </c>
      <c r="S152">
        <v>17.257999999999999</v>
      </c>
      <c r="T152">
        <v>35.703000000000003</v>
      </c>
      <c r="U152">
        <v>37.290999999999997</v>
      </c>
      <c r="W152">
        <v>0.108</v>
      </c>
      <c r="X152">
        <v>-3.6999999999999998E-2</v>
      </c>
      <c r="Z152">
        <v>0.01</v>
      </c>
      <c r="AA152">
        <v>-3.5000000000000003E-2</v>
      </c>
      <c r="AB152">
        <v>6.2E-2</v>
      </c>
      <c r="AC152">
        <v>4.2999999999999997E-2</v>
      </c>
      <c r="AD152">
        <v>0.108</v>
      </c>
      <c r="AE152">
        <v>-3.6999999999999998E-2</v>
      </c>
      <c r="AF152">
        <v>0.01</v>
      </c>
      <c r="AG152">
        <v>-3.5000000000000003E-2</v>
      </c>
      <c r="AH152">
        <v>-5.0000000000000001E-3</v>
      </c>
      <c r="AI152">
        <v>1E-3</v>
      </c>
    </row>
    <row r="153" spans="1:35" x14ac:dyDescent="0.25">
      <c r="A153" t="s">
        <v>2492</v>
      </c>
      <c r="B153" t="s">
        <v>32</v>
      </c>
      <c r="C153" s="25">
        <v>43707.66609953704</v>
      </c>
      <c r="D153" s="741" t="s">
        <v>2238</v>
      </c>
      <c r="E153" s="741" t="e">
        <f t="array" ref="E153">SUMPRODUCT(IF(AMP6_4[[#This Row],[Dim 1_1]:[T 8]]-$F$4:$AI$4&lt;0,1,0)+IF($F$5:$AI$5-AMP6_4[[#This Row],[Dim 1_1]:[T 8]]&lt;0,1,0),IF(ISNUMBER(AMP6_4[[#This Row],[Dim 1_1]:[T 8]])=TRUE,1,0))</f>
        <v>#VALUE!</v>
      </c>
      <c r="F153">
        <v>41.335000000000001</v>
      </c>
      <c r="G153">
        <v>41.222999999999999</v>
      </c>
      <c r="H153">
        <v>155.804</v>
      </c>
      <c r="I153">
        <v>155.804</v>
      </c>
      <c r="L153">
        <v>155.922</v>
      </c>
      <c r="M153">
        <v>155.63200000000001</v>
      </c>
      <c r="N153">
        <v>27.212</v>
      </c>
      <c r="O153">
        <v>27.411999999999999</v>
      </c>
      <c r="R153">
        <v>17.242000000000001</v>
      </c>
      <c r="S153">
        <v>17.184000000000001</v>
      </c>
      <c r="T153">
        <v>33.994999999999997</v>
      </c>
      <c r="U153">
        <v>33.606000000000002</v>
      </c>
      <c r="W153">
        <v>5.2999999999999999E-2</v>
      </c>
      <c r="X153">
        <v>-0.03</v>
      </c>
      <c r="Z153">
        <v>6.9000000000000006E-2</v>
      </c>
      <c r="AA153">
        <v>-2.1000000000000001E-2</v>
      </c>
      <c r="AB153">
        <v>-0.03</v>
      </c>
      <c r="AC153">
        <v>5.0000000000000001E-3</v>
      </c>
      <c r="AD153">
        <v>-1.2999999999999999E-2</v>
      </c>
      <c r="AE153">
        <v>5.2999999999999999E-2</v>
      </c>
      <c r="AF153">
        <v>5.3999999999999999E-2</v>
      </c>
      <c r="AG153">
        <v>-2.1000000000000001E-2</v>
      </c>
      <c r="AH153">
        <v>-8.9999999999999993E-3</v>
      </c>
      <c r="AI153">
        <v>6.9000000000000006E-2</v>
      </c>
    </row>
    <row r="154" spans="1:35" x14ac:dyDescent="0.25">
      <c r="A154" t="s">
        <v>2493</v>
      </c>
      <c r="B154" t="s">
        <v>31</v>
      </c>
      <c r="C154" s="25">
        <v>43707.668298611112</v>
      </c>
      <c r="D154" s="741" t="s">
        <v>2238</v>
      </c>
      <c r="E154" s="741" t="e">
        <f t="array" ref="E154">SUMPRODUCT(IF(AMP6_4[[#This Row],[Dim 1_1]:[T 8]]-$F$4:$AI$4&lt;0,1,0)+IF($F$5:$AI$5-AMP6_4[[#This Row],[Dim 1_1]:[T 8]]&lt;0,1,0),IF(ISNUMBER(AMP6_4[[#This Row],[Dim 1_1]:[T 8]])=TRUE,1,0))</f>
        <v>#VALUE!</v>
      </c>
      <c r="H154">
        <v>155.697</v>
      </c>
      <c r="I154">
        <v>155.72800000000001</v>
      </c>
      <c r="J154">
        <v>168.67</v>
      </c>
      <c r="K154">
        <v>168.63499999999999</v>
      </c>
      <c r="L154">
        <v>155.792</v>
      </c>
      <c r="M154">
        <v>155.69800000000001</v>
      </c>
      <c r="N154">
        <v>27.416</v>
      </c>
      <c r="O154">
        <v>27.5</v>
      </c>
      <c r="R154">
        <v>17.248000000000001</v>
      </c>
      <c r="S154">
        <v>17.321999999999999</v>
      </c>
      <c r="T154">
        <v>39.343000000000004</v>
      </c>
      <c r="U154">
        <v>39.360999999999997</v>
      </c>
      <c r="W154">
        <v>0.13200000000000001</v>
      </c>
      <c r="X154">
        <v>-0.113</v>
      </c>
      <c r="Z154">
        <v>0.128</v>
      </c>
      <c r="AA154">
        <v>1.0999999999999999E-2</v>
      </c>
      <c r="AB154">
        <v>0.13200000000000001</v>
      </c>
      <c r="AC154">
        <v>0.11700000000000001</v>
      </c>
      <c r="AD154">
        <v>7.1999999999999995E-2</v>
      </c>
      <c r="AE154">
        <v>-0.113</v>
      </c>
      <c r="AF154">
        <v>0.128</v>
      </c>
      <c r="AG154">
        <v>8.5000000000000006E-2</v>
      </c>
      <c r="AH154">
        <v>1.0999999999999999E-2</v>
      </c>
      <c r="AI154">
        <v>0.06</v>
      </c>
    </row>
    <row r="155" spans="1:35" x14ac:dyDescent="0.25">
      <c r="A155" t="s">
        <v>2494</v>
      </c>
      <c r="B155" t="s">
        <v>32</v>
      </c>
      <c r="C155" s="25">
        <v>43707.701192129629</v>
      </c>
      <c r="D155" s="741" t="s">
        <v>2238</v>
      </c>
      <c r="E155" s="741" t="e">
        <f t="array" ref="E155">SUMPRODUCT(IF(AMP6_4[[#This Row],[Dim 1_1]:[T 8]]-$F$4:$AI$4&lt;0,1,0)+IF($F$5:$AI$5-AMP6_4[[#This Row],[Dim 1_1]:[T 8]]&lt;0,1,0),IF(ISNUMBER(AMP6_4[[#This Row],[Dim 1_1]:[T 8]])=TRUE,1,0))</f>
        <v>#VALUE!</v>
      </c>
      <c r="F155">
        <v>41.231000000000002</v>
      </c>
      <c r="G155">
        <v>41.116999999999997</v>
      </c>
      <c r="H155">
        <v>155.89699999999999</v>
      </c>
      <c r="I155">
        <v>155.881</v>
      </c>
      <c r="L155">
        <v>156.00800000000001</v>
      </c>
      <c r="M155">
        <v>155.69800000000001</v>
      </c>
      <c r="N155">
        <v>27.062999999999999</v>
      </c>
      <c r="O155">
        <v>27.295999999999999</v>
      </c>
      <c r="R155">
        <v>17.22</v>
      </c>
      <c r="S155">
        <v>17.103999999999999</v>
      </c>
      <c r="T155">
        <v>33.299999999999997</v>
      </c>
      <c r="U155">
        <v>34.286999999999999</v>
      </c>
      <c r="W155">
        <v>2.1999999999999999E-2</v>
      </c>
      <c r="X155">
        <v>-0.11600000000000001</v>
      </c>
      <c r="Z155">
        <v>0.08</v>
      </c>
      <c r="AA155">
        <v>-7.4999999999999997E-2</v>
      </c>
      <c r="AB155">
        <v>-0.11600000000000001</v>
      </c>
      <c r="AC155">
        <v>-7.3999999999999996E-2</v>
      </c>
      <c r="AD155">
        <v>2.1999999999999999E-2</v>
      </c>
      <c r="AE155">
        <v>-6.0999999999999999E-2</v>
      </c>
      <c r="AF155">
        <v>-1E-3</v>
      </c>
      <c r="AG155">
        <v>-7.4999999999999997E-2</v>
      </c>
      <c r="AH155">
        <v>-4.4999999999999998E-2</v>
      </c>
      <c r="AI155">
        <v>0.08</v>
      </c>
    </row>
    <row r="156" spans="1:35" x14ac:dyDescent="0.25">
      <c r="A156" t="s">
        <v>2495</v>
      </c>
      <c r="B156" t="s">
        <v>31</v>
      </c>
      <c r="C156" s="25">
        <v>43707.705381944441</v>
      </c>
      <c r="D156" s="741" t="s">
        <v>2238</v>
      </c>
      <c r="E156" s="741" t="e">
        <f t="array" ref="E156">SUMPRODUCT(IF(AMP6_4[[#This Row],[Dim 1_1]:[T 8]]-$F$4:$AI$4&lt;0,1,0)+IF($F$5:$AI$5-AMP6_4[[#This Row],[Dim 1_1]:[T 8]]&lt;0,1,0),IF(ISNUMBER(AMP6_4[[#This Row],[Dim 1_1]:[T 8]])=TRUE,1,0))</f>
        <v>#VALUE!</v>
      </c>
      <c r="H156">
        <v>155.80699999999999</v>
      </c>
      <c r="I156">
        <v>155.761</v>
      </c>
      <c r="J156">
        <v>168.68199999999999</v>
      </c>
      <c r="K156">
        <v>168.61500000000001</v>
      </c>
      <c r="L156">
        <v>155.94</v>
      </c>
      <c r="M156">
        <v>155.77099999999999</v>
      </c>
      <c r="N156">
        <v>27.35</v>
      </c>
      <c r="O156">
        <v>27.489000000000001</v>
      </c>
      <c r="R156">
        <v>17.204000000000001</v>
      </c>
      <c r="S156">
        <v>17.22</v>
      </c>
      <c r="T156">
        <v>36.804000000000002</v>
      </c>
      <c r="U156">
        <v>38.451999999999998</v>
      </c>
      <c r="W156">
        <v>0.12</v>
      </c>
      <c r="X156">
        <v>-5.7000000000000002E-2</v>
      </c>
      <c r="Z156">
        <v>-6.6000000000000003E-2</v>
      </c>
      <c r="AA156">
        <v>-0.13100000000000001</v>
      </c>
      <c r="AB156">
        <v>6.8000000000000005E-2</v>
      </c>
      <c r="AC156">
        <v>3.7999999999999999E-2</v>
      </c>
      <c r="AD156">
        <v>0.12</v>
      </c>
      <c r="AE156">
        <v>-5.7000000000000002E-2</v>
      </c>
      <c r="AF156">
        <v>-8.3000000000000004E-2</v>
      </c>
      <c r="AG156">
        <v>-0.13100000000000001</v>
      </c>
      <c r="AH156">
        <v>-7.5999999999999998E-2</v>
      </c>
      <c r="AI156">
        <v>-6.6000000000000003E-2</v>
      </c>
    </row>
    <row r="157" spans="1:35" x14ac:dyDescent="0.25">
      <c r="A157" t="s">
        <v>2496</v>
      </c>
      <c r="B157" t="s">
        <v>32</v>
      </c>
      <c r="C157" s="25">
        <v>43708.330671296295</v>
      </c>
      <c r="D157" s="741" t="s">
        <v>2238</v>
      </c>
      <c r="E157" s="741" t="e">
        <f t="array" ref="E157">SUMPRODUCT(IF(AMP6_4[[#This Row],[Dim 1_1]:[T 8]]-$F$4:$AI$4&lt;0,1,0)+IF($F$5:$AI$5-AMP6_4[[#This Row],[Dim 1_1]:[T 8]]&lt;0,1,0),IF(ISNUMBER(AMP6_4[[#This Row],[Dim 1_1]:[T 8]])=TRUE,1,0))</f>
        <v>#VALUE!</v>
      </c>
      <c r="F157">
        <v>41.255000000000003</v>
      </c>
      <c r="G157">
        <v>41.067</v>
      </c>
      <c r="H157">
        <v>155.78299999999999</v>
      </c>
      <c r="I157">
        <v>155.816</v>
      </c>
      <c r="L157">
        <v>155.93100000000001</v>
      </c>
      <c r="M157">
        <v>155.62200000000001</v>
      </c>
      <c r="N157">
        <v>27.138000000000002</v>
      </c>
      <c r="O157">
        <v>27.321000000000002</v>
      </c>
      <c r="R157">
        <v>17.22</v>
      </c>
      <c r="S157">
        <v>17.164000000000001</v>
      </c>
      <c r="T157">
        <v>33.581000000000003</v>
      </c>
      <c r="U157">
        <v>34.429000000000002</v>
      </c>
      <c r="W157">
        <v>1.7000000000000001E-2</v>
      </c>
      <c r="X157">
        <v>-4.3999999999999997E-2</v>
      </c>
      <c r="Z157">
        <v>0.158</v>
      </c>
      <c r="AA157">
        <v>9.0999999999999998E-2</v>
      </c>
      <c r="AB157">
        <v>-1.7000000000000001E-2</v>
      </c>
      <c r="AC157">
        <v>1.2E-2</v>
      </c>
      <c r="AD157">
        <v>-4.3999999999999997E-2</v>
      </c>
      <c r="AE157">
        <v>1.7000000000000001E-2</v>
      </c>
      <c r="AF157">
        <v>0.158</v>
      </c>
      <c r="AG157">
        <v>9.1999999999999998E-2</v>
      </c>
      <c r="AH157">
        <v>9.0999999999999998E-2</v>
      </c>
      <c r="AI157">
        <v>0.155</v>
      </c>
    </row>
    <row r="158" spans="1:35" x14ac:dyDescent="0.25">
      <c r="A158" t="s">
        <v>2497</v>
      </c>
      <c r="B158" t="s">
        <v>31</v>
      </c>
      <c r="C158" s="25">
        <v>43708.333194444444</v>
      </c>
      <c r="D158" s="741" t="s">
        <v>2238</v>
      </c>
      <c r="E158" s="741" t="e">
        <f t="array" ref="E158">SUMPRODUCT(IF(AMP6_4[[#This Row],[Dim 1_1]:[T 8]]-$F$4:$AI$4&lt;0,1,0)+IF($F$5:$AI$5-AMP6_4[[#This Row],[Dim 1_1]:[T 8]]&lt;0,1,0),IF(ISNUMBER(AMP6_4[[#This Row],[Dim 1_1]:[T 8]])=TRUE,1,0))</f>
        <v>#VALUE!</v>
      </c>
      <c r="H158">
        <v>155.69399999999999</v>
      </c>
      <c r="I158">
        <v>155.64500000000001</v>
      </c>
      <c r="J158">
        <v>168.59299999999999</v>
      </c>
      <c r="K158">
        <v>168.36500000000001</v>
      </c>
      <c r="L158">
        <v>155.77699999999999</v>
      </c>
      <c r="M158">
        <v>155.595</v>
      </c>
      <c r="N158">
        <v>27.43</v>
      </c>
      <c r="O158">
        <v>27.562999999999999</v>
      </c>
      <c r="R158">
        <v>17.280999999999999</v>
      </c>
      <c r="S158">
        <v>17.364999999999998</v>
      </c>
      <c r="T158">
        <v>36.878</v>
      </c>
      <c r="U158">
        <v>38.191000000000003</v>
      </c>
      <c r="W158">
        <v>0.19400000000000001</v>
      </c>
      <c r="X158">
        <v>4.3999999999999997E-2</v>
      </c>
      <c r="Z158">
        <v>8.1000000000000003E-2</v>
      </c>
      <c r="AA158">
        <v>-1.9E-2</v>
      </c>
      <c r="AB158">
        <v>0.19400000000000001</v>
      </c>
      <c r="AC158">
        <v>0.17499999999999999</v>
      </c>
      <c r="AD158">
        <v>0.17299999999999999</v>
      </c>
      <c r="AE158">
        <v>4.3999999999999997E-2</v>
      </c>
      <c r="AF158">
        <v>8.1000000000000003E-2</v>
      </c>
      <c r="AG158">
        <v>2.1999999999999999E-2</v>
      </c>
      <c r="AH158">
        <v>-1.9E-2</v>
      </c>
      <c r="AI158">
        <v>4.5999999999999999E-2</v>
      </c>
    </row>
    <row r="159" spans="1:35" x14ac:dyDescent="0.25">
      <c r="A159" t="s">
        <v>2498</v>
      </c>
      <c r="B159" t="s">
        <v>32</v>
      </c>
      <c r="C159" s="25">
        <v>43708.413877314815</v>
      </c>
      <c r="D159" s="741" t="s">
        <v>2238</v>
      </c>
      <c r="E159" s="741" t="e">
        <f t="array" ref="E159">SUMPRODUCT(IF(AMP6_4[[#This Row],[Dim 1_1]:[T 8]]-$F$4:$AI$4&lt;0,1,0)+IF($F$5:$AI$5-AMP6_4[[#This Row],[Dim 1_1]:[T 8]]&lt;0,1,0),IF(ISNUMBER(AMP6_4[[#This Row],[Dim 1_1]:[T 8]])=TRUE,1,0))</f>
        <v>#VALUE!</v>
      </c>
      <c r="F159">
        <v>41.405999999999999</v>
      </c>
      <c r="G159">
        <v>41.231000000000002</v>
      </c>
      <c r="H159">
        <v>155.91200000000001</v>
      </c>
      <c r="I159">
        <v>155.85900000000001</v>
      </c>
      <c r="L159">
        <v>156.018</v>
      </c>
      <c r="M159">
        <v>155.685</v>
      </c>
      <c r="N159">
        <v>27.134</v>
      </c>
      <c r="O159">
        <v>27.385999999999999</v>
      </c>
      <c r="R159">
        <v>17.224</v>
      </c>
      <c r="S159">
        <v>17.151</v>
      </c>
      <c r="T159">
        <v>33.520000000000003</v>
      </c>
      <c r="U159">
        <v>34.329000000000001</v>
      </c>
      <c r="W159">
        <v>7.2999999999999995E-2</v>
      </c>
      <c r="X159">
        <v>-8.9999999999999993E-3</v>
      </c>
      <c r="Z159">
        <v>2.3E-2</v>
      </c>
      <c r="AA159">
        <v>-9.8000000000000004E-2</v>
      </c>
      <c r="AB159">
        <v>-8.9999999999999993E-3</v>
      </c>
      <c r="AC159">
        <v>4.2999999999999997E-2</v>
      </c>
      <c r="AD159">
        <v>7.2999999999999995E-2</v>
      </c>
      <c r="AE159">
        <v>0.06</v>
      </c>
      <c r="AF159">
        <v>-1.6E-2</v>
      </c>
      <c r="AG159">
        <v>-9.8000000000000004E-2</v>
      </c>
      <c r="AH159">
        <v>-2.3E-2</v>
      </c>
      <c r="AI159">
        <v>2.3E-2</v>
      </c>
    </row>
    <row r="160" spans="1:35" x14ac:dyDescent="0.25">
      <c r="A160" t="s">
        <v>2499</v>
      </c>
      <c r="B160" t="s">
        <v>31</v>
      </c>
      <c r="C160" s="25">
        <v>43708.418611111112</v>
      </c>
      <c r="D160" s="741" t="s">
        <v>2238</v>
      </c>
      <c r="E160" s="741" t="e">
        <f t="array" ref="E160">SUMPRODUCT(IF(AMP6_4[[#This Row],[Dim 1_1]:[T 8]]-$F$4:$AI$4&lt;0,1,0)+IF($F$5:$AI$5-AMP6_4[[#This Row],[Dim 1_1]:[T 8]]&lt;0,1,0),IF(ISNUMBER(AMP6_4[[#This Row],[Dim 1_1]:[T 8]])=TRUE,1,0))</f>
        <v>#VALUE!</v>
      </c>
      <c r="H160">
        <v>155.75700000000001</v>
      </c>
      <c r="I160">
        <v>155.726</v>
      </c>
      <c r="J160">
        <v>168.78899999999999</v>
      </c>
      <c r="K160">
        <v>168.66200000000001</v>
      </c>
      <c r="L160">
        <v>155.828</v>
      </c>
      <c r="M160">
        <v>155.678</v>
      </c>
      <c r="N160">
        <v>27.318999999999999</v>
      </c>
      <c r="O160">
        <v>27.49</v>
      </c>
      <c r="R160">
        <v>17.27</v>
      </c>
      <c r="S160">
        <v>17.228000000000002</v>
      </c>
      <c r="T160">
        <v>38.622</v>
      </c>
      <c r="U160">
        <v>40.783000000000001</v>
      </c>
      <c r="W160">
        <v>0.14099999999999999</v>
      </c>
      <c r="X160">
        <v>-0.03</v>
      </c>
      <c r="Z160">
        <v>3.2000000000000001E-2</v>
      </c>
      <c r="AA160">
        <v>-7.0000000000000007E-2</v>
      </c>
      <c r="AB160">
        <v>7.5999999999999998E-2</v>
      </c>
      <c r="AC160">
        <v>5.1999999999999998E-2</v>
      </c>
      <c r="AD160">
        <v>0.14099999999999999</v>
      </c>
      <c r="AE160">
        <v>-0.03</v>
      </c>
      <c r="AF160">
        <v>-1.4999999999999999E-2</v>
      </c>
      <c r="AG160">
        <v>-7.0000000000000007E-2</v>
      </c>
      <c r="AH160">
        <v>-3.4000000000000002E-2</v>
      </c>
      <c r="AI160">
        <v>3.2000000000000001E-2</v>
      </c>
    </row>
    <row r="161" spans="1:35" x14ac:dyDescent="0.25">
      <c r="A161" t="s">
        <v>2500</v>
      </c>
      <c r="B161" t="s">
        <v>32</v>
      </c>
      <c r="C161" s="25">
        <v>43708.500335648147</v>
      </c>
      <c r="D161" s="741" t="s">
        <v>2238</v>
      </c>
      <c r="E161" s="741" t="e">
        <f t="array" ref="E161">SUMPRODUCT(IF(AMP6_4[[#This Row],[Dim 1_1]:[T 8]]-$F$4:$AI$4&lt;0,1,0)+IF($F$5:$AI$5-AMP6_4[[#This Row],[Dim 1_1]:[T 8]]&lt;0,1,0),IF(ISNUMBER(AMP6_4[[#This Row],[Dim 1_1]:[T 8]])=TRUE,1,0))</f>
        <v>#VALUE!</v>
      </c>
      <c r="F161">
        <v>41.262</v>
      </c>
      <c r="G161">
        <v>41.113</v>
      </c>
      <c r="H161">
        <v>155.87100000000001</v>
      </c>
      <c r="I161">
        <v>155.90700000000001</v>
      </c>
      <c r="L161">
        <v>156.04300000000001</v>
      </c>
      <c r="M161">
        <v>155.703</v>
      </c>
      <c r="N161">
        <v>27.108000000000001</v>
      </c>
      <c r="O161">
        <v>27.332999999999998</v>
      </c>
      <c r="R161">
        <v>17.236000000000001</v>
      </c>
      <c r="S161">
        <v>17.128</v>
      </c>
      <c r="T161">
        <v>33.398000000000003</v>
      </c>
      <c r="U161">
        <v>34.438000000000002</v>
      </c>
      <c r="W161">
        <v>-3.5000000000000003E-2</v>
      </c>
      <c r="X161">
        <v>-8.7999999999999995E-2</v>
      </c>
      <c r="Z161">
        <v>3.5000000000000003E-2</v>
      </c>
      <c r="AA161">
        <v>-6.7000000000000004E-2</v>
      </c>
      <c r="AB161">
        <v>-8.7999999999999995E-2</v>
      </c>
      <c r="AC161">
        <v>-3.5000000000000003E-2</v>
      </c>
      <c r="AD161">
        <v>-3.5999999999999997E-2</v>
      </c>
      <c r="AE161">
        <v>-7.0000000000000007E-2</v>
      </c>
      <c r="AF161">
        <v>1.2E-2</v>
      </c>
      <c r="AG161">
        <v>-6.7000000000000004E-2</v>
      </c>
      <c r="AH161">
        <v>-1.4999999999999999E-2</v>
      </c>
      <c r="AI161">
        <v>3.5000000000000003E-2</v>
      </c>
    </row>
    <row r="162" spans="1:35" x14ac:dyDescent="0.25">
      <c r="A162" t="s">
        <v>2501</v>
      </c>
      <c r="B162" t="s">
        <v>31</v>
      </c>
      <c r="C162" s="25">
        <v>43708.507719907408</v>
      </c>
      <c r="D162" s="741" t="s">
        <v>2238</v>
      </c>
      <c r="E162" s="741" t="e">
        <f t="array" ref="E162">SUMPRODUCT(IF(AMP6_4[[#This Row],[Dim 1_1]:[T 8]]-$F$4:$AI$4&lt;0,1,0)+IF($F$5:$AI$5-AMP6_4[[#This Row],[Dim 1_1]:[T 8]]&lt;0,1,0),IF(ISNUMBER(AMP6_4[[#This Row],[Dim 1_1]:[T 8]])=TRUE,1,0))</f>
        <v>#VALUE!</v>
      </c>
      <c r="H162">
        <v>155.791</v>
      </c>
      <c r="I162">
        <v>155.756</v>
      </c>
      <c r="J162">
        <v>168.68299999999999</v>
      </c>
      <c r="K162">
        <v>168.43299999999999</v>
      </c>
      <c r="L162">
        <v>155.90100000000001</v>
      </c>
      <c r="M162">
        <v>155.73699999999999</v>
      </c>
      <c r="N162">
        <v>27.286999999999999</v>
      </c>
      <c r="O162">
        <v>27.452999999999999</v>
      </c>
      <c r="R162">
        <v>17.265000000000001</v>
      </c>
      <c r="S162">
        <v>17.213999999999999</v>
      </c>
      <c r="T162">
        <v>39.488</v>
      </c>
      <c r="U162">
        <v>40.902999999999999</v>
      </c>
      <c r="W162">
        <v>0.11799999999999999</v>
      </c>
      <c r="X162">
        <v>-5.8000000000000003E-2</v>
      </c>
      <c r="Z162">
        <v>3.1E-2</v>
      </c>
      <c r="AA162">
        <v>-7.1999999999999995E-2</v>
      </c>
      <c r="AB162">
        <v>6.0999999999999999E-2</v>
      </c>
      <c r="AC162">
        <v>3.3000000000000002E-2</v>
      </c>
      <c r="AD162">
        <v>0.11799999999999999</v>
      </c>
      <c r="AE162">
        <v>-5.8000000000000003E-2</v>
      </c>
      <c r="AF162">
        <v>-3.1E-2</v>
      </c>
      <c r="AG162">
        <v>-7.1999999999999995E-2</v>
      </c>
      <c r="AH162">
        <v>2E-3</v>
      </c>
      <c r="AI162">
        <v>3.1E-2</v>
      </c>
    </row>
    <row r="163" spans="1:35" x14ac:dyDescent="0.25">
      <c r="A163" t="s">
        <v>2502</v>
      </c>
      <c r="B163" t="s">
        <v>32</v>
      </c>
      <c r="C163" s="25">
        <v>43708.584976851853</v>
      </c>
      <c r="D163" s="741" t="s">
        <v>2238</v>
      </c>
      <c r="E163" s="741" t="e">
        <f t="array" ref="E163">SUMPRODUCT(IF(AMP6_4[[#This Row],[Dim 1_1]:[T 8]]-$F$4:$AI$4&lt;0,1,0)+IF($F$5:$AI$5-AMP6_4[[#This Row],[Dim 1_1]:[T 8]]&lt;0,1,0),IF(ISNUMBER(AMP6_4[[#This Row],[Dim 1_1]:[T 8]])=TRUE,1,0))</f>
        <v>#VALUE!</v>
      </c>
      <c r="F163">
        <v>41.305999999999997</v>
      </c>
      <c r="G163">
        <v>41.073</v>
      </c>
      <c r="H163">
        <v>155.84200000000001</v>
      </c>
      <c r="I163">
        <v>155.821</v>
      </c>
      <c r="L163">
        <v>155.995</v>
      </c>
      <c r="M163">
        <v>155.67099999999999</v>
      </c>
      <c r="N163">
        <v>27.131</v>
      </c>
      <c r="O163">
        <v>27.356000000000002</v>
      </c>
      <c r="R163">
        <v>17.234000000000002</v>
      </c>
      <c r="S163">
        <v>17.167999999999999</v>
      </c>
      <c r="T163">
        <v>33.277000000000001</v>
      </c>
      <c r="U163">
        <v>34.338999999999999</v>
      </c>
      <c r="W163">
        <v>-2.9000000000000001E-2</v>
      </c>
      <c r="X163">
        <v>-8.7999999999999995E-2</v>
      </c>
      <c r="Z163">
        <v>1.6E-2</v>
      </c>
      <c r="AA163">
        <v>-6.8000000000000005E-2</v>
      </c>
      <c r="AB163">
        <v>-8.7999999999999995E-2</v>
      </c>
      <c r="AC163">
        <v>-3.5999999999999997E-2</v>
      </c>
      <c r="AD163">
        <v>-5.3999999999999999E-2</v>
      </c>
      <c r="AE163">
        <v>-2.9000000000000001E-2</v>
      </c>
      <c r="AF163">
        <v>-7.0000000000000001E-3</v>
      </c>
      <c r="AG163">
        <v>-6.8000000000000005E-2</v>
      </c>
      <c r="AH163">
        <v>-3.1E-2</v>
      </c>
      <c r="AI163">
        <v>1.6E-2</v>
      </c>
    </row>
    <row r="164" spans="1:35" x14ac:dyDescent="0.25">
      <c r="A164" t="s">
        <v>2503</v>
      </c>
      <c r="B164" t="s">
        <v>31</v>
      </c>
      <c r="C164" s="25">
        <v>43708.587187500001</v>
      </c>
      <c r="D164" s="741" t="s">
        <v>2238</v>
      </c>
      <c r="E164" s="741" t="e">
        <f t="array" ref="E164">SUMPRODUCT(IF(AMP6_4[[#This Row],[Dim 1_1]:[T 8]]-$F$4:$AI$4&lt;0,1,0)+IF($F$5:$AI$5-AMP6_4[[#This Row],[Dim 1_1]:[T 8]]&lt;0,1,0),IF(ISNUMBER(AMP6_4[[#This Row],[Dim 1_1]:[T 8]])=TRUE,1,0))</f>
        <v>#VALUE!</v>
      </c>
      <c r="H164">
        <v>155.77799999999999</v>
      </c>
      <c r="I164">
        <v>155.767</v>
      </c>
      <c r="J164">
        <v>168.66</v>
      </c>
      <c r="K164">
        <v>168.499</v>
      </c>
      <c r="L164">
        <v>155.89599999999999</v>
      </c>
      <c r="M164">
        <v>155.768</v>
      </c>
      <c r="N164">
        <v>27.318999999999999</v>
      </c>
      <c r="O164">
        <v>27.439</v>
      </c>
      <c r="R164">
        <v>17.260000000000002</v>
      </c>
      <c r="S164">
        <v>17.234000000000002</v>
      </c>
      <c r="T164">
        <v>38.680999999999997</v>
      </c>
      <c r="U164">
        <v>38.938000000000002</v>
      </c>
      <c r="W164">
        <v>8.1000000000000003E-2</v>
      </c>
      <c r="X164">
        <v>-0.253</v>
      </c>
      <c r="Z164">
        <v>0.03</v>
      </c>
      <c r="AA164">
        <v>-0.04</v>
      </c>
      <c r="AB164">
        <v>3.5999999999999997E-2</v>
      </c>
      <c r="AC164">
        <v>3.4000000000000002E-2</v>
      </c>
      <c r="AD164">
        <v>8.1000000000000003E-2</v>
      </c>
      <c r="AE164">
        <v>-0.253</v>
      </c>
      <c r="AF164">
        <v>0.03</v>
      </c>
      <c r="AG164">
        <v>-0.04</v>
      </c>
      <c r="AH164">
        <v>-3.1E-2</v>
      </c>
      <c r="AI164">
        <v>2E-3</v>
      </c>
    </row>
    <row r="165" spans="1:35" x14ac:dyDescent="0.25">
      <c r="A165" t="s">
        <v>2504</v>
      </c>
      <c r="B165" t="s">
        <v>32</v>
      </c>
      <c r="C165" s="25">
        <v>43708.66777777778</v>
      </c>
      <c r="D165" s="741" t="s">
        <v>2238</v>
      </c>
      <c r="E165" s="741" t="e">
        <f t="array" ref="E165">SUMPRODUCT(IF(AMP6_4[[#This Row],[Dim 1_1]:[T 8]]-$F$4:$AI$4&lt;0,1,0)+IF($F$5:$AI$5-AMP6_4[[#This Row],[Dim 1_1]:[T 8]]&lt;0,1,0),IF(ISNUMBER(AMP6_4[[#This Row],[Dim 1_1]:[T 8]])=TRUE,1,0))</f>
        <v>#VALUE!</v>
      </c>
      <c r="F165">
        <v>41.279000000000003</v>
      </c>
      <c r="G165">
        <v>41.05</v>
      </c>
      <c r="H165">
        <v>155.857</v>
      </c>
      <c r="I165">
        <v>155.82400000000001</v>
      </c>
      <c r="L165">
        <v>156.04599999999999</v>
      </c>
      <c r="M165">
        <v>155.71100000000001</v>
      </c>
      <c r="N165">
        <v>27.111999999999998</v>
      </c>
      <c r="O165">
        <v>27.359000000000002</v>
      </c>
      <c r="R165">
        <v>17.196999999999999</v>
      </c>
      <c r="S165">
        <v>17.042999999999999</v>
      </c>
      <c r="T165">
        <v>33.601999999999997</v>
      </c>
      <c r="U165">
        <v>34.189</v>
      </c>
      <c r="W165">
        <v>-2.5999999999999999E-2</v>
      </c>
      <c r="X165">
        <v>-0.14799999999999999</v>
      </c>
      <c r="Z165">
        <v>3.1E-2</v>
      </c>
      <c r="AA165">
        <v>-0.12</v>
      </c>
      <c r="AB165">
        <v>-0.14799999999999999</v>
      </c>
      <c r="AC165">
        <v>-0.112</v>
      </c>
      <c r="AD165">
        <v>-2.5999999999999999E-2</v>
      </c>
      <c r="AE165">
        <v>-7.8E-2</v>
      </c>
      <c r="AF165">
        <v>-5.5E-2</v>
      </c>
      <c r="AG165">
        <v>-0.12</v>
      </c>
      <c r="AH165">
        <v>5.0000000000000001E-3</v>
      </c>
      <c r="AI165">
        <v>3.1E-2</v>
      </c>
    </row>
    <row r="166" spans="1:35" x14ac:dyDescent="0.25">
      <c r="A166" t="s">
        <v>2505</v>
      </c>
      <c r="B166" t="s">
        <v>31</v>
      </c>
      <c r="C166" s="25">
        <v>43708.670648148145</v>
      </c>
      <c r="D166" s="741" t="s">
        <v>2238</v>
      </c>
      <c r="E166" s="741" t="e">
        <f t="array" ref="E166">SUMPRODUCT(IF(AMP6_4[[#This Row],[Dim 1_1]:[T 8]]-$F$4:$AI$4&lt;0,1,0)+IF($F$5:$AI$5-AMP6_4[[#This Row],[Dim 1_1]:[T 8]]&lt;0,1,0),IF(ISNUMBER(AMP6_4[[#This Row],[Dim 1_1]:[T 8]])=TRUE,1,0))</f>
        <v>#VALUE!</v>
      </c>
      <c r="H166">
        <v>155.79900000000001</v>
      </c>
      <c r="I166">
        <v>155.86000000000001</v>
      </c>
      <c r="J166">
        <v>168.756</v>
      </c>
      <c r="K166">
        <v>168.57499999999999</v>
      </c>
      <c r="L166">
        <v>155.93199999999999</v>
      </c>
      <c r="M166">
        <v>155.86500000000001</v>
      </c>
      <c r="N166">
        <v>27.254999999999999</v>
      </c>
      <c r="O166">
        <v>27.324000000000002</v>
      </c>
      <c r="R166">
        <v>17.286999999999999</v>
      </c>
      <c r="S166">
        <v>17.219000000000001</v>
      </c>
      <c r="T166">
        <v>37.744</v>
      </c>
      <c r="U166">
        <v>38.305</v>
      </c>
      <c r="W166">
        <v>3.2000000000000001E-2</v>
      </c>
      <c r="X166">
        <v>-0.15</v>
      </c>
      <c r="Z166">
        <v>-2.5999999999999999E-2</v>
      </c>
      <c r="AA166">
        <v>-9.8000000000000004E-2</v>
      </c>
      <c r="AB166">
        <v>-8.0000000000000002E-3</v>
      </c>
      <c r="AC166">
        <v>-3.2000000000000001E-2</v>
      </c>
      <c r="AD166">
        <v>3.2000000000000001E-2</v>
      </c>
      <c r="AE166">
        <v>-0.15</v>
      </c>
      <c r="AF166">
        <v>-4.1000000000000002E-2</v>
      </c>
      <c r="AG166">
        <v>-9.8000000000000004E-2</v>
      </c>
      <c r="AH166">
        <v>-2.5999999999999999E-2</v>
      </c>
      <c r="AI166">
        <v>-4.1000000000000002E-2</v>
      </c>
    </row>
    <row r="167" spans="1:35" x14ac:dyDescent="0.25">
      <c r="A167" t="s">
        <v>2612</v>
      </c>
      <c r="B167" t="s">
        <v>32</v>
      </c>
      <c r="C167" s="25">
        <v>43711.344143518516</v>
      </c>
      <c r="D167" s="741" t="s">
        <v>2238</v>
      </c>
      <c r="E167" s="741" t="e">
        <f t="array" ref="E167">SUMPRODUCT(IF(AMP6_4[[#This Row],[Dim 1_1]:[T 8]]-$F$4:$AI$4&lt;0,1,0)+IF($F$5:$AI$5-AMP6_4[[#This Row],[Dim 1_1]:[T 8]]&lt;0,1,0),IF(ISNUMBER(AMP6_4[[#This Row],[Dim 1_1]:[T 8]])=TRUE,1,0))</f>
        <v>#VALUE!</v>
      </c>
      <c r="F167">
        <v>41.026000000000003</v>
      </c>
      <c r="G167">
        <v>40.917000000000002</v>
      </c>
      <c r="H167">
        <v>156.01300000000001</v>
      </c>
      <c r="I167">
        <v>155.97</v>
      </c>
      <c r="L167">
        <v>156.08000000000001</v>
      </c>
      <c r="M167">
        <v>155.83099999999999</v>
      </c>
      <c r="N167">
        <v>27.073</v>
      </c>
      <c r="O167">
        <v>27.315000000000001</v>
      </c>
      <c r="R167">
        <v>17.3</v>
      </c>
      <c r="S167">
        <v>17.12</v>
      </c>
      <c r="T167">
        <v>33.307000000000002</v>
      </c>
      <c r="U167">
        <v>34.747999999999998</v>
      </c>
      <c r="W167">
        <v>6.3E-2</v>
      </c>
      <c r="X167">
        <v>-0.15</v>
      </c>
      <c r="Z167">
        <v>-4.8000000000000001E-2</v>
      </c>
      <c r="AA167">
        <v>-0.28100000000000003</v>
      </c>
      <c r="AB167">
        <v>-0.15</v>
      </c>
      <c r="AC167">
        <v>-9.8000000000000004E-2</v>
      </c>
      <c r="AD167">
        <v>6.3E-2</v>
      </c>
      <c r="AE167">
        <v>3.5000000000000003E-2</v>
      </c>
      <c r="AF167">
        <v>-0.20300000000000001</v>
      </c>
      <c r="AG167">
        <v>-0.28100000000000003</v>
      </c>
      <c r="AH167">
        <v>-0.05</v>
      </c>
      <c r="AI167">
        <v>-4.8000000000000001E-2</v>
      </c>
    </row>
    <row r="168" spans="1:35" x14ac:dyDescent="0.25">
      <c r="A168" t="s">
        <v>2613</v>
      </c>
      <c r="B168" t="s">
        <v>31</v>
      </c>
      <c r="C168" s="25">
        <v>43711.352951388886</v>
      </c>
      <c r="D168" s="741" t="s">
        <v>2238</v>
      </c>
      <c r="E168" s="741" t="e">
        <f t="array" ref="E168">SUMPRODUCT(IF(AMP6_4[[#This Row],[Dim 1_1]:[T 8]]-$F$4:$AI$4&lt;0,1,0)+IF($F$5:$AI$5-AMP6_4[[#This Row],[Dim 1_1]:[T 8]]&lt;0,1,0),IF(ISNUMBER(AMP6_4[[#This Row],[Dim 1_1]:[T 8]])=TRUE,1,0))</f>
        <v>#VALUE!</v>
      </c>
      <c r="H168">
        <v>155.904</v>
      </c>
      <c r="I168">
        <v>155.83000000000001</v>
      </c>
      <c r="J168">
        <v>168.52199999999999</v>
      </c>
      <c r="K168">
        <v>168.34299999999999</v>
      </c>
      <c r="L168">
        <v>155.946</v>
      </c>
      <c r="M168">
        <v>155.82499999999999</v>
      </c>
      <c r="N168">
        <v>27.196999999999999</v>
      </c>
      <c r="O168">
        <v>27.378</v>
      </c>
      <c r="R168">
        <v>17.251000000000001</v>
      </c>
      <c r="S168">
        <v>17.154</v>
      </c>
      <c r="T168">
        <v>36.332999999999998</v>
      </c>
      <c r="U168">
        <v>37.953000000000003</v>
      </c>
      <c r="W168">
        <v>8.7999999999999995E-2</v>
      </c>
      <c r="X168">
        <v>-0.111</v>
      </c>
      <c r="Z168">
        <v>0.11</v>
      </c>
      <c r="AA168">
        <v>-0.1</v>
      </c>
      <c r="AB168">
        <v>-6.7000000000000004E-2</v>
      </c>
      <c r="AC168">
        <v>-0.111</v>
      </c>
      <c r="AD168">
        <v>8.7999999999999995E-2</v>
      </c>
      <c r="AE168">
        <v>0</v>
      </c>
      <c r="AF168">
        <v>-3.1E-2</v>
      </c>
      <c r="AG168">
        <v>-0.1</v>
      </c>
      <c r="AH168">
        <v>0.105</v>
      </c>
      <c r="AI168">
        <v>0.11</v>
      </c>
    </row>
    <row r="169" spans="1:35" x14ac:dyDescent="0.25">
      <c r="A169" t="s">
        <v>2614</v>
      </c>
      <c r="B169" t="s">
        <v>32</v>
      </c>
      <c r="C169" s="25">
        <v>43711.456793981481</v>
      </c>
      <c r="D169" s="741" t="s">
        <v>2238</v>
      </c>
      <c r="E169" s="741" t="e">
        <f t="array" ref="E169">SUMPRODUCT(IF(AMP6_4[[#This Row],[Dim 1_1]:[T 8]]-$F$4:$AI$4&lt;0,1,0)+IF($F$5:$AI$5-AMP6_4[[#This Row],[Dim 1_1]:[T 8]]&lt;0,1,0),IF(ISNUMBER(AMP6_4[[#This Row],[Dim 1_1]:[T 8]])=TRUE,1,0))</f>
        <v>#VALUE!</v>
      </c>
      <c r="F169">
        <v>41.505000000000003</v>
      </c>
      <c r="G169">
        <v>41.18</v>
      </c>
      <c r="H169">
        <v>155.73699999999999</v>
      </c>
      <c r="I169">
        <v>155.74199999999999</v>
      </c>
      <c r="L169">
        <v>155.84800000000001</v>
      </c>
      <c r="M169">
        <v>155.589</v>
      </c>
      <c r="N169">
        <v>27.324000000000002</v>
      </c>
      <c r="O169">
        <v>27.495000000000001</v>
      </c>
      <c r="R169">
        <v>17.233000000000001</v>
      </c>
      <c r="S169">
        <v>17.231999999999999</v>
      </c>
      <c r="T169">
        <v>33.475999999999999</v>
      </c>
      <c r="U169">
        <v>34.243000000000002</v>
      </c>
      <c r="W169">
        <v>0.157</v>
      </c>
      <c r="X169">
        <v>0.11799999999999999</v>
      </c>
      <c r="Z169">
        <v>0.11899999999999999</v>
      </c>
      <c r="AA169">
        <v>3.1E-2</v>
      </c>
      <c r="AB169">
        <v>0.11799999999999999</v>
      </c>
      <c r="AC169">
        <v>0.157</v>
      </c>
      <c r="AD169">
        <v>0.121</v>
      </c>
      <c r="AE169">
        <v>0.14199999999999999</v>
      </c>
      <c r="AF169">
        <v>7.8E-2</v>
      </c>
      <c r="AG169">
        <v>3.1E-2</v>
      </c>
      <c r="AH169">
        <v>9.6000000000000002E-2</v>
      </c>
      <c r="AI169">
        <v>0.11899999999999999</v>
      </c>
    </row>
    <row r="170" spans="1:35" x14ac:dyDescent="0.25">
      <c r="A170" t="s">
        <v>2615</v>
      </c>
      <c r="B170" t="s">
        <v>31</v>
      </c>
      <c r="C170" s="25">
        <v>43711.458854166667</v>
      </c>
      <c r="D170" s="741" t="s">
        <v>2238</v>
      </c>
      <c r="E170" s="741" t="e">
        <f t="array" ref="E170">SUMPRODUCT(IF(AMP6_4[[#This Row],[Dim 1_1]:[T 8]]-$F$4:$AI$4&lt;0,1,0)+IF($F$5:$AI$5-AMP6_4[[#This Row],[Dim 1_1]:[T 8]]&lt;0,1,0),IF(ISNUMBER(AMP6_4[[#This Row],[Dim 1_1]:[T 8]])=TRUE,1,0))</f>
        <v>#VALUE!</v>
      </c>
      <c r="H170">
        <v>155.542</v>
      </c>
      <c r="I170">
        <v>155.471</v>
      </c>
      <c r="J170">
        <v>168.63900000000001</v>
      </c>
      <c r="K170">
        <v>168.44800000000001</v>
      </c>
      <c r="L170">
        <v>155.61699999999999</v>
      </c>
      <c r="M170">
        <v>155.41999999999999</v>
      </c>
      <c r="N170">
        <v>27.535</v>
      </c>
      <c r="O170">
        <v>27.76</v>
      </c>
      <c r="R170">
        <v>17.242999999999999</v>
      </c>
      <c r="S170">
        <v>17.289000000000001</v>
      </c>
      <c r="T170">
        <v>36.689</v>
      </c>
      <c r="U170">
        <v>37.31</v>
      </c>
      <c r="W170">
        <v>0.224</v>
      </c>
      <c r="X170">
        <v>8.9999999999999993E-3</v>
      </c>
      <c r="Z170">
        <v>0.17399999999999999</v>
      </c>
      <c r="AA170">
        <v>0.122</v>
      </c>
      <c r="AB170">
        <v>0.184</v>
      </c>
      <c r="AC170">
        <v>0.126</v>
      </c>
      <c r="AD170">
        <v>0.224</v>
      </c>
      <c r="AE170">
        <v>8.9999999999999993E-3</v>
      </c>
      <c r="AF170">
        <v>0.14899999999999999</v>
      </c>
      <c r="AG170">
        <v>0.122</v>
      </c>
      <c r="AH170">
        <v>0.158</v>
      </c>
      <c r="AI170">
        <v>0.17399999999999999</v>
      </c>
    </row>
    <row r="171" spans="1:35" x14ac:dyDescent="0.25">
      <c r="A171" t="s">
        <v>2692</v>
      </c>
      <c r="B171" t="s">
        <v>32</v>
      </c>
      <c r="C171" s="25">
        <v>43711.551770833335</v>
      </c>
      <c r="D171" s="741" t="s">
        <v>2238</v>
      </c>
      <c r="E171" s="741" t="e">
        <f t="array" ref="E171">SUMPRODUCT(IF(AMP6_4[[#This Row],[Dim 1_1]:[T 8]]-$F$4:$AI$4&lt;0,1,0)+IF($F$5:$AI$5-AMP6_4[[#This Row],[Dim 1_1]:[T 8]]&lt;0,1,0),IF(ISNUMBER(AMP6_4[[#This Row],[Dim 1_1]:[T 8]])=TRUE,1,0))</f>
        <v>#VALUE!</v>
      </c>
      <c r="F171">
        <v>41.542999999999999</v>
      </c>
      <c r="G171">
        <v>41.438000000000002</v>
      </c>
      <c r="H171">
        <v>155.751</v>
      </c>
      <c r="I171">
        <v>155.76400000000001</v>
      </c>
      <c r="L171">
        <v>155.851</v>
      </c>
      <c r="M171">
        <v>155.60300000000001</v>
      </c>
      <c r="N171">
        <v>27.283000000000001</v>
      </c>
      <c r="O171">
        <v>27.457999999999998</v>
      </c>
      <c r="R171">
        <v>17.263000000000002</v>
      </c>
      <c r="S171">
        <v>17.248999999999999</v>
      </c>
      <c r="T171">
        <v>33.561</v>
      </c>
      <c r="U171">
        <v>34.369</v>
      </c>
      <c r="W171">
        <v>0.123</v>
      </c>
      <c r="X171">
        <v>5.0999999999999997E-2</v>
      </c>
      <c r="Z171">
        <v>0.124</v>
      </c>
      <c r="AA171">
        <v>3.1E-2</v>
      </c>
      <c r="AB171">
        <v>8.7999999999999995E-2</v>
      </c>
      <c r="AC171">
        <v>0.123</v>
      </c>
      <c r="AD171">
        <v>0.107</v>
      </c>
      <c r="AE171">
        <v>5.0999999999999997E-2</v>
      </c>
      <c r="AF171">
        <v>8.8999999999999996E-2</v>
      </c>
      <c r="AG171">
        <v>3.1E-2</v>
      </c>
      <c r="AH171">
        <v>6.7000000000000004E-2</v>
      </c>
      <c r="AI171">
        <v>0.124</v>
      </c>
    </row>
    <row r="172" spans="1:35" x14ac:dyDescent="0.25">
      <c r="A172" t="s">
        <v>2693</v>
      </c>
      <c r="B172" t="s">
        <v>31</v>
      </c>
      <c r="C172" s="25">
        <v>43711.554085648146</v>
      </c>
      <c r="D172" s="741" t="s">
        <v>2238</v>
      </c>
      <c r="E172" s="741" t="e">
        <f t="array" ref="E172">SUMPRODUCT(IF(AMP6_4[[#This Row],[Dim 1_1]:[T 8]]-$F$4:$AI$4&lt;0,1,0)+IF($F$5:$AI$5-AMP6_4[[#This Row],[Dim 1_1]:[T 8]]&lt;0,1,0),IF(ISNUMBER(AMP6_4[[#This Row],[Dim 1_1]:[T 8]])=TRUE,1,0))</f>
        <v>#VALUE!</v>
      </c>
      <c r="H172">
        <v>155.43700000000001</v>
      </c>
      <c r="I172">
        <v>155.38399999999999</v>
      </c>
      <c r="J172">
        <v>168.59700000000001</v>
      </c>
      <c r="K172">
        <v>168.57300000000001</v>
      </c>
      <c r="L172">
        <v>155.50800000000001</v>
      </c>
      <c r="M172">
        <v>155.32499999999999</v>
      </c>
      <c r="N172">
        <v>27.684000000000001</v>
      </c>
      <c r="O172">
        <v>27.870999999999999</v>
      </c>
      <c r="R172">
        <v>17.236999999999998</v>
      </c>
      <c r="S172">
        <v>17.273</v>
      </c>
      <c r="T172">
        <v>37.411999999999999</v>
      </c>
      <c r="U172">
        <v>38.423999999999999</v>
      </c>
      <c r="W172">
        <v>0.27200000000000002</v>
      </c>
      <c r="X172">
        <v>0.03</v>
      </c>
      <c r="Z172">
        <v>0.189</v>
      </c>
      <c r="AA172">
        <v>0.125</v>
      </c>
      <c r="AB172">
        <v>0.27200000000000002</v>
      </c>
      <c r="AC172">
        <v>0.185</v>
      </c>
      <c r="AD172">
        <v>0.20399999999999999</v>
      </c>
      <c r="AE172">
        <v>0.03</v>
      </c>
      <c r="AF172">
        <v>0.159</v>
      </c>
      <c r="AG172">
        <v>0.125</v>
      </c>
      <c r="AH172">
        <v>0.14299999999999999</v>
      </c>
      <c r="AI172">
        <v>0.189</v>
      </c>
    </row>
    <row r="173" spans="1:35" x14ac:dyDescent="0.25">
      <c r="A173" t="s">
        <v>2694</v>
      </c>
      <c r="B173" t="s">
        <v>32</v>
      </c>
      <c r="C173" s="25">
        <v>43711.564733796295</v>
      </c>
      <c r="D173" s="741" t="s">
        <v>2238</v>
      </c>
      <c r="E173" s="741" t="e">
        <f t="array" ref="E173">SUMPRODUCT(IF(AMP6_4[[#This Row],[Dim 1_1]:[T 8]]-$F$4:$AI$4&lt;0,1,0)+IF($F$5:$AI$5-AMP6_4[[#This Row],[Dim 1_1]:[T 8]]&lt;0,1,0),IF(ISNUMBER(AMP6_4[[#This Row],[Dim 1_1]:[T 8]])=TRUE,1,0))</f>
        <v>#VALUE!</v>
      </c>
      <c r="F173">
        <v>41.372</v>
      </c>
      <c r="G173">
        <v>41.209000000000003</v>
      </c>
      <c r="H173">
        <v>155.685</v>
      </c>
      <c r="I173">
        <v>155.529</v>
      </c>
      <c r="L173">
        <v>155.78100000000001</v>
      </c>
      <c r="M173">
        <v>155.44999999999999</v>
      </c>
      <c r="N173">
        <v>27.401</v>
      </c>
      <c r="O173">
        <v>27.623999999999999</v>
      </c>
      <c r="R173">
        <v>17.268999999999998</v>
      </c>
      <c r="S173">
        <v>17.260000000000002</v>
      </c>
      <c r="T173">
        <v>33.777000000000001</v>
      </c>
      <c r="U173">
        <v>34.676000000000002</v>
      </c>
      <c r="W173">
        <v>0.26600000000000001</v>
      </c>
      <c r="X173">
        <v>0.157</v>
      </c>
      <c r="Z173">
        <v>0.25600000000000001</v>
      </c>
      <c r="AA173">
        <v>0.114</v>
      </c>
      <c r="AB173">
        <v>0.157</v>
      </c>
      <c r="AC173">
        <v>0.161</v>
      </c>
      <c r="AD173">
        <v>0.26600000000000001</v>
      </c>
      <c r="AE173">
        <v>0.23300000000000001</v>
      </c>
      <c r="AF173">
        <v>0.159</v>
      </c>
      <c r="AG173">
        <v>0.114</v>
      </c>
      <c r="AH173">
        <v>0.19400000000000001</v>
      </c>
      <c r="AI173">
        <v>0.25600000000000001</v>
      </c>
    </row>
    <row r="174" spans="1:35" x14ac:dyDescent="0.25">
      <c r="A174" t="s">
        <v>2695</v>
      </c>
      <c r="B174" t="s">
        <v>31</v>
      </c>
      <c r="C174" s="25">
        <v>43711.566782407404</v>
      </c>
      <c r="D174" s="741" t="s">
        <v>2238</v>
      </c>
      <c r="E174" s="741" t="e">
        <f t="array" ref="E174">SUMPRODUCT(IF(AMP6_4[[#This Row],[Dim 1_1]:[T 8]]-$F$4:$AI$4&lt;0,1,0)+IF($F$5:$AI$5-AMP6_4[[#This Row],[Dim 1_1]:[T 8]]&lt;0,1,0),IF(ISNUMBER(AMP6_4[[#This Row],[Dim 1_1]:[T 8]])=TRUE,1,0))</f>
        <v>#VALUE!</v>
      </c>
      <c r="H174">
        <v>155.47900000000001</v>
      </c>
      <c r="I174">
        <v>155.667</v>
      </c>
      <c r="J174">
        <v>168.41399999999999</v>
      </c>
      <c r="K174">
        <v>168.137</v>
      </c>
      <c r="L174">
        <v>155.697</v>
      </c>
      <c r="M174">
        <v>155.60900000000001</v>
      </c>
      <c r="N174">
        <v>27.494</v>
      </c>
      <c r="O174">
        <v>27.614999999999998</v>
      </c>
      <c r="R174">
        <v>17.219000000000001</v>
      </c>
      <c r="S174">
        <v>17.199000000000002</v>
      </c>
      <c r="T174">
        <v>37.713999999999999</v>
      </c>
      <c r="U174">
        <v>38.716999999999999</v>
      </c>
      <c r="W174">
        <v>0.218</v>
      </c>
      <c r="X174">
        <v>-7.0000000000000001E-3</v>
      </c>
      <c r="Z174">
        <v>0.28599999999999998</v>
      </c>
      <c r="AA174">
        <v>6.0999999999999999E-2</v>
      </c>
      <c r="AB174">
        <v>0.20200000000000001</v>
      </c>
      <c r="AC174">
        <v>0.218</v>
      </c>
      <c r="AD174">
        <v>8.9999999999999993E-3</v>
      </c>
      <c r="AE174">
        <v>-7.0000000000000001E-3</v>
      </c>
      <c r="AF174">
        <v>0.28599999999999998</v>
      </c>
      <c r="AG174">
        <v>0.214</v>
      </c>
      <c r="AH174">
        <v>6.0999999999999999E-2</v>
      </c>
      <c r="AI174">
        <v>6.4000000000000001E-2</v>
      </c>
    </row>
    <row r="175" spans="1:35" x14ac:dyDescent="0.25">
      <c r="A175" t="s">
        <v>2696</v>
      </c>
      <c r="B175" t="s">
        <v>32</v>
      </c>
      <c r="C175" s="25">
        <v>43711.634756944448</v>
      </c>
      <c r="D175" s="741" t="s">
        <v>2238</v>
      </c>
      <c r="E175" s="741" t="e">
        <f t="array" ref="E175">SUMPRODUCT(IF(AMP6_4[[#This Row],[Dim 1_1]:[T 8]]-$F$4:$AI$4&lt;0,1,0)+IF($F$5:$AI$5-AMP6_4[[#This Row],[Dim 1_1]:[T 8]]&lt;0,1,0),IF(ISNUMBER(AMP6_4[[#This Row],[Dim 1_1]:[T 8]])=TRUE,1,0))</f>
        <v>#VALUE!</v>
      </c>
      <c r="F175">
        <v>41.465000000000003</v>
      </c>
      <c r="G175">
        <v>41.406999999999996</v>
      </c>
      <c r="H175">
        <v>155.78100000000001</v>
      </c>
      <c r="I175">
        <v>155.81899999999999</v>
      </c>
      <c r="L175">
        <v>155.88399999999999</v>
      </c>
      <c r="M175">
        <v>155.68199999999999</v>
      </c>
      <c r="N175">
        <v>27.265999999999998</v>
      </c>
      <c r="O175">
        <v>27.385999999999999</v>
      </c>
      <c r="R175">
        <v>17.253</v>
      </c>
      <c r="S175">
        <v>17.279</v>
      </c>
      <c r="T175">
        <v>33.331000000000003</v>
      </c>
      <c r="U175">
        <v>34.408999999999999</v>
      </c>
      <c r="W175">
        <v>4.2000000000000003E-2</v>
      </c>
      <c r="X175">
        <v>-0.12</v>
      </c>
      <c r="Z175">
        <v>6.2E-2</v>
      </c>
      <c r="AA175">
        <v>-2.7E-2</v>
      </c>
      <c r="AB175">
        <v>5.0000000000000001E-3</v>
      </c>
      <c r="AC175">
        <v>4.2000000000000003E-2</v>
      </c>
      <c r="AD175">
        <v>-1.6E-2</v>
      </c>
      <c r="AE175">
        <v>-0.12</v>
      </c>
      <c r="AF175">
        <v>6.2E-2</v>
      </c>
      <c r="AG175">
        <v>8.0000000000000002E-3</v>
      </c>
      <c r="AH175">
        <v>-2.7E-2</v>
      </c>
      <c r="AI175">
        <v>2.8000000000000001E-2</v>
      </c>
    </row>
    <row r="176" spans="1:35" x14ac:dyDescent="0.25">
      <c r="A176" t="s">
        <v>2697</v>
      </c>
      <c r="B176" t="s">
        <v>31</v>
      </c>
      <c r="C176" s="25">
        <v>43711.636759259258</v>
      </c>
      <c r="D176" s="741" t="s">
        <v>2238</v>
      </c>
      <c r="E176" s="741" t="e">
        <f t="array" ref="E176">SUMPRODUCT(IF(AMP6_4[[#This Row],[Dim 1_1]:[T 8]]-$F$4:$AI$4&lt;0,1,0)+IF($F$5:$AI$5-AMP6_4[[#This Row],[Dim 1_1]:[T 8]]&lt;0,1,0),IF(ISNUMBER(AMP6_4[[#This Row],[Dim 1_1]:[T 8]])=TRUE,1,0))</f>
        <v>#VALUE!</v>
      </c>
      <c r="H176">
        <v>155.589</v>
      </c>
      <c r="I176">
        <v>155.53299999999999</v>
      </c>
      <c r="J176">
        <v>168.71899999999999</v>
      </c>
      <c r="K176">
        <v>168.672</v>
      </c>
      <c r="L176">
        <v>155.68700000000001</v>
      </c>
      <c r="M176">
        <v>155.50899999999999</v>
      </c>
      <c r="N176">
        <v>27.497</v>
      </c>
      <c r="O176">
        <v>27.715</v>
      </c>
      <c r="R176">
        <v>17.234999999999999</v>
      </c>
      <c r="S176">
        <v>17.225999999999999</v>
      </c>
      <c r="T176">
        <v>40.387999999999998</v>
      </c>
      <c r="U176">
        <v>41.738</v>
      </c>
      <c r="W176">
        <v>0.16700000000000001</v>
      </c>
      <c r="X176">
        <v>-1.6E-2</v>
      </c>
      <c r="Z176">
        <v>0.152</v>
      </c>
      <c r="AA176">
        <v>0.125</v>
      </c>
      <c r="AB176">
        <v>0.14499999999999999</v>
      </c>
      <c r="AC176">
        <v>0.112</v>
      </c>
      <c r="AD176">
        <v>0.16700000000000001</v>
      </c>
      <c r="AE176">
        <v>-1.6E-2</v>
      </c>
      <c r="AF176">
        <v>0.152</v>
      </c>
      <c r="AG176">
        <v>0.125</v>
      </c>
      <c r="AH176">
        <v>0.13</v>
      </c>
      <c r="AI176">
        <v>0.14799999999999999</v>
      </c>
    </row>
    <row r="177" spans="1:35" x14ac:dyDescent="0.25">
      <c r="A177" t="s">
        <v>2698</v>
      </c>
      <c r="B177" t="s">
        <v>32</v>
      </c>
      <c r="C177" s="25">
        <v>43711.765949074077</v>
      </c>
      <c r="D177" s="741" t="s">
        <v>2238</v>
      </c>
      <c r="E177" s="741" t="e">
        <f t="array" ref="E177">SUMPRODUCT(IF(AMP6_4[[#This Row],[Dim 1_1]:[T 8]]-$F$4:$AI$4&lt;0,1,0)+IF($F$5:$AI$5-AMP6_4[[#This Row],[Dim 1_1]:[T 8]]&lt;0,1,0),IF(ISNUMBER(AMP6_4[[#This Row],[Dim 1_1]:[T 8]])=TRUE,1,0))</f>
        <v>#VALUE!</v>
      </c>
      <c r="F177">
        <v>41.573999999999998</v>
      </c>
      <c r="G177">
        <v>41.393999999999998</v>
      </c>
      <c r="H177">
        <v>155.81100000000001</v>
      </c>
      <c r="I177">
        <v>155.833</v>
      </c>
      <c r="L177">
        <v>155.94399999999999</v>
      </c>
      <c r="M177">
        <v>155.72300000000001</v>
      </c>
      <c r="N177">
        <v>27.221</v>
      </c>
      <c r="O177">
        <v>27.385999999999999</v>
      </c>
      <c r="R177">
        <v>17.256</v>
      </c>
      <c r="S177">
        <v>17.238</v>
      </c>
      <c r="T177">
        <v>33.423000000000002</v>
      </c>
      <c r="U177">
        <v>34.094999999999999</v>
      </c>
      <c r="W177">
        <v>1.4E-2</v>
      </c>
      <c r="X177">
        <v>-8.8999999999999996E-2</v>
      </c>
      <c r="Z177">
        <v>0.08</v>
      </c>
      <c r="AA177">
        <v>-4.3999999999999997E-2</v>
      </c>
      <c r="AB177">
        <v>-2.3E-2</v>
      </c>
      <c r="AC177">
        <v>1.0999999999999999E-2</v>
      </c>
      <c r="AD177">
        <v>1.4E-2</v>
      </c>
      <c r="AE177">
        <v>-8.8999999999999996E-2</v>
      </c>
      <c r="AF177">
        <v>0.02</v>
      </c>
      <c r="AG177">
        <v>-3.4000000000000002E-2</v>
      </c>
      <c r="AH177">
        <v>-4.3999999999999997E-2</v>
      </c>
      <c r="AI177">
        <v>0.08</v>
      </c>
    </row>
    <row r="178" spans="1:35" x14ac:dyDescent="0.25">
      <c r="A178" t="s">
        <v>2699</v>
      </c>
      <c r="B178" t="s">
        <v>31</v>
      </c>
      <c r="C178" s="25">
        <v>43711.767997685187</v>
      </c>
      <c r="D178" s="741" t="s">
        <v>2238</v>
      </c>
      <c r="E178" s="741" t="e">
        <f t="array" ref="E178">SUMPRODUCT(IF(AMP6_4[[#This Row],[Dim 1_1]:[T 8]]-$F$4:$AI$4&lt;0,1,0)+IF($F$5:$AI$5-AMP6_4[[#This Row],[Dim 1_1]:[T 8]]&lt;0,1,0),IF(ISNUMBER(AMP6_4[[#This Row],[Dim 1_1]:[T 8]])=TRUE,1,0))</f>
        <v>#VALUE!</v>
      </c>
      <c r="H178">
        <v>155.61000000000001</v>
      </c>
      <c r="I178">
        <v>155.541</v>
      </c>
      <c r="J178">
        <v>168.762</v>
      </c>
      <c r="K178">
        <v>168.68100000000001</v>
      </c>
      <c r="L178">
        <v>155.666</v>
      </c>
      <c r="M178">
        <v>155.47300000000001</v>
      </c>
      <c r="N178">
        <v>27.512</v>
      </c>
      <c r="O178">
        <v>27.741</v>
      </c>
      <c r="R178">
        <v>17.236000000000001</v>
      </c>
      <c r="S178">
        <v>17.254000000000001</v>
      </c>
      <c r="T178">
        <v>40.704999999999998</v>
      </c>
      <c r="U178">
        <v>41.457000000000001</v>
      </c>
      <c r="W178">
        <v>0.20699999999999999</v>
      </c>
      <c r="X178">
        <v>2.8000000000000001E-2</v>
      </c>
      <c r="Z178">
        <v>0.13900000000000001</v>
      </c>
      <c r="AA178">
        <v>6.6000000000000003E-2</v>
      </c>
      <c r="AB178">
        <v>0.13200000000000001</v>
      </c>
      <c r="AC178">
        <v>0.1</v>
      </c>
      <c r="AD178">
        <v>0.20699999999999999</v>
      </c>
      <c r="AE178">
        <v>2.8000000000000001E-2</v>
      </c>
      <c r="AF178">
        <v>0.10100000000000001</v>
      </c>
      <c r="AG178">
        <v>6.6000000000000003E-2</v>
      </c>
      <c r="AH178">
        <v>0.112</v>
      </c>
      <c r="AI178">
        <v>0.13900000000000001</v>
      </c>
    </row>
    <row r="179" spans="1:35" x14ac:dyDescent="0.25">
      <c r="A179" t="s">
        <v>2700</v>
      </c>
      <c r="B179" t="s">
        <v>32</v>
      </c>
      <c r="C179" s="25">
        <v>43711.806886574072</v>
      </c>
      <c r="D179" s="741" t="s">
        <v>2238</v>
      </c>
      <c r="E179" s="741" t="e">
        <f t="array" ref="E179">SUMPRODUCT(IF(AMP6_4[[#This Row],[Dim 1_1]:[T 8]]-$F$4:$AI$4&lt;0,1,0)+IF($F$5:$AI$5-AMP6_4[[#This Row],[Dim 1_1]:[T 8]]&lt;0,1,0),IF(ISNUMBER(AMP6_4[[#This Row],[Dim 1_1]:[T 8]])=TRUE,1,0))</f>
        <v>#VALUE!</v>
      </c>
      <c r="F179">
        <v>41.323</v>
      </c>
      <c r="G179">
        <v>41.281999999999996</v>
      </c>
      <c r="H179">
        <v>155.86799999999999</v>
      </c>
      <c r="I179">
        <v>155.91800000000001</v>
      </c>
      <c r="L179">
        <v>155.97800000000001</v>
      </c>
      <c r="M179">
        <v>155.76300000000001</v>
      </c>
      <c r="N179">
        <v>27.135999999999999</v>
      </c>
      <c r="O179">
        <v>27.274999999999999</v>
      </c>
      <c r="R179">
        <v>17.276</v>
      </c>
      <c r="S179">
        <v>17.219000000000001</v>
      </c>
      <c r="T179">
        <v>32.814999999999998</v>
      </c>
      <c r="U179">
        <v>34.524999999999999</v>
      </c>
      <c r="W179">
        <v>0.02</v>
      </c>
      <c r="X179">
        <v>-8.3000000000000004E-2</v>
      </c>
      <c r="Z179">
        <v>7.8E-2</v>
      </c>
      <c r="AA179">
        <v>-3.6999999999999998E-2</v>
      </c>
      <c r="AB179">
        <v>-8.3000000000000004E-2</v>
      </c>
      <c r="AC179">
        <v>-3.1E-2</v>
      </c>
      <c r="AD179">
        <v>0.02</v>
      </c>
      <c r="AE179">
        <v>-7.5999999999999998E-2</v>
      </c>
      <c r="AF179">
        <v>2.1000000000000001E-2</v>
      </c>
      <c r="AG179">
        <v>-3.6999999999999998E-2</v>
      </c>
      <c r="AH179">
        <v>4.2000000000000003E-2</v>
      </c>
      <c r="AI179">
        <v>7.8E-2</v>
      </c>
    </row>
    <row r="180" spans="1:35" x14ac:dyDescent="0.25">
      <c r="A180" t="s">
        <v>2701</v>
      </c>
      <c r="B180" t="s">
        <v>31</v>
      </c>
      <c r="C180" s="25">
        <v>43711.809027777781</v>
      </c>
      <c r="D180" s="741" t="s">
        <v>2238</v>
      </c>
      <c r="E180" s="741" t="e">
        <f t="array" ref="E180">SUMPRODUCT(IF(AMP6_4[[#This Row],[Dim 1_1]:[T 8]]-$F$4:$AI$4&lt;0,1,0)+IF($F$5:$AI$5-AMP6_4[[#This Row],[Dim 1_1]:[T 8]]&lt;0,1,0),IF(ISNUMBER(AMP6_4[[#This Row],[Dim 1_1]:[T 8]])=TRUE,1,0))</f>
        <v>#VALUE!</v>
      </c>
      <c r="H180">
        <v>155.66800000000001</v>
      </c>
      <c r="I180">
        <v>155.56700000000001</v>
      </c>
      <c r="J180">
        <v>168.61199999999999</v>
      </c>
      <c r="K180">
        <v>168.51599999999999</v>
      </c>
      <c r="L180">
        <v>155.74100000000001</v>
      </c>
      <c r="M180">
        <v>155.52000000000001</v>
      </c>
      <c r="N180">
        <v>27.48</v>
      </c>
      <c r="O180">
        <v>27.713000000000001</v>
      </c>
      <c r="R180">
        <v>17.245000000000001</v>
      </c>
      <c r="S180">
        <v>17.206</v>
      </c>
      <c r="T180">
        <v>39.040999999999997</v>
      </c>
      <c r="U180">
        <v>39.819000000000003</v>
      </c>
      <c r="W180">
        <v>0.21</v>
      </c>
      <c r="X180">
        <v>2.1999999999999999E-2</v>
      </c>
      <c r="Z180">
        <v>7.2999999999999995E-2</v>
      </c>
      <c r="AA180">
        <v>-5.3999999999999999E-2</v>
      </c>
      <c r="AB180">
        <v>0.11700000000000001</v>
      </c>
      <c r="AC180">
        <v>4.8000000000000001E-2</v>
      </c>
      <c r="AD180">
        <v>0.21</v>
      </c>
      <c r="AE180">
        <v>2.1999999999999999E-2</v>
      </c>
      <c r="AF180">
        <v>-2.8000000000000001E-2</v>
      </c>
      <c r="AG180">
        <v>-5.3999999999999999E-2</v>
      </c>
      <c r="AH180">
        <v>5.0999999999999997E-2</v>
      </c>
      <c r="AI180">
        <v>7.2999999999999995E-2</v>
      </c>
    </row>
    <row r="181" spans="1:35" x14ac:dyDescent="0.25">
      <c r="A181" t="s">
        <v>2702</v>
      </c>
      <c r="B181" t="s">
        <v>32</v>
      </c>
      <c r="C181" s="25">
        <v>43711.891516203701</v>
      </c>
      <c r="D181" s="741" t="s">
        <v>2238</v>
      </c>
      <c r="E181" s="741" t="e">
        <f t="array" ref="E181">SUMPRODUCT(IF(AMP6_4[[#This Row],[Dim 1_1]:[T 8]]-$F$4:$AI$4&lt;0,1,0)+IF($F$5:$AI$5-AMP6_4[[#This Row],[Dim 1_1]:[T 8]]&lt;0,1,0),IF(ISNUMBER(AMP6_4[[#This Row],[Dim 1_1]:[T 8]])=TRUE,1,0))</f>
        <v>#VALUE!</v>
      </c>
      <c r="F181">
        <v>41.368000000000002</v>
      </c>
      <c r="G181">
        <v>41.24</v>
      </c>
      <c r="H181">
        <v>155.86000000000001</v>
      </c>
      <c r="I181">
        <v>155.857</v>
      </c>
      <c r="L181">
        <v>155.953</v>
      </c>
      <c r="M181">
        <v>155.72999999999999</v>
      </c>
      <c r="N181">
        <v>27.154</v>
      </c>
      <c r="O181">
        <v>27.32</v>
      </c>
      <c r="R181">
        <v>17.236999999999998</v>
      </c>
      <c r="S181">
        <v>17.169</v>
      </c>
      <c r="T181">
        <v>33.26</v>
      </c>
      <c r="U181">
        <v>34.323999999999998</v>
      </c>
      <c r="W181">
        <v>8.7999999999999995E-2</v>
      </c>
      <c r="X181">
        <v>-8.9999999999999993E-3</v>
      </c>
      <c r="Z181">
        <v>0.106</v>
      </c>
      <c r="AA181">
        <v>4.0000000000000001E-3</v>
      </c>
      <c r="AB181">
        <v>0.02</v>
      </c>
      <c r="AC181">
        <v>0.05</v>
      </c>
      <c r="AD181">
        <v>8.7999999999999995E-2</v>
      </c>
      <c r="AE181">
        <v>-8.9999999999999993E-3</v>
      </c>
      <c r="AF181">
        <v>6.3E-2</v>
      </c>
      <c r="AG181">
        <v>4.0000000000000001E-3</v>
      </c>
      <c r="AH181">
        <v>4.8000000000000001E-2</v>
      </c>
      <c r="AI181">
        <v>0.106</v>
      </c>
    </row>
    <row r="182" spans="1:35" x14ac:dyDescent="0.25">
      <c r="A182" t="s">
        <v>2703</v>
      </c>
      <c r="B182" t="s">
        <v>31</v>
      </c>
      <c r="C182" s="25">
        <v>43711.893611111111</v>
      </c>
      <c r="D182" s="741" t="s">
        <v>2238</v>
      </c>
      <c r="E182" s="741" t="e">
        <f t="array" ref="E182">SUMPRODUCT(IF(AMP6_4[[#This Row],[Dim 1_1]:[T 8]]-$F$4:$AI$4&lt;0,1,0)+IF($F$5:$AI$5-AMP6_4[[#This Row],[Dim 1_1]:[T 8]]&lt;0,1,0),IF(ISNUMBER(AMP6_4[[#This Row],[Dim 1_1]:[T 8]])=TRUE,1,0))</f>
        <v>#VALUE!</v>
      </c>
      <c r="H182">
        <v>155.58099999999999</v>
      </c>
      <c r="I182">
        <v>155.56399999999999</v>
      </c>
      <c r="J182">
        <v>168.63200000000001</v>
      </c>
      <c r="K182">
        <v>168.57400000000001</v>
      </c>
      <c r="L182">
        <v>155.67400000000001</v>
      </c>
      <c r="M182">
        <v>155.49299999999999</v>
      </c>
      <c r="N182">
        <v>27.506</v>
      </c>
      <c r="O182">
        <v>27.696999999999999</v>
      </c>
      <c r="R182">
        <v>17.25</v>
      </c>
      <c r="S182">
        <v>17.337</v>
      </c>
      <c r="T182">
        <v>39.198999999999998</v>
      </c>
      <c r="U182">
        <v>38.673999999999999</v>
      </c>
      <c r="W182">
        <v>0.13</v>
      </c>
      <c r="X182">
        <v>-0.1</v>
      </c>
      <c r="Z182">
        <v>5.1999999999999998E-2</v>
      </c>
      <c r="AA182">
        <v>2.5999999999999999E-2</v>
      </c>
      <c r="AB182">
        <v>0.13</v>
      </c>
      <c r="AC182">
        <v>0.10100000000000001</v>
      </c>
      <c r="AD182">
        <v>0.08</v>
      </c>
      <c r="AE182">
        <v>-0.1</v>
      </c>
      <c r="AF182">
        <v>5.1999999999999998E-2</v>
      </c>
      <c r="AG182">
        <v>3.7999999999999999E-2</v>
      </c>
      <c r="AH182">
        <v>3.5000000000000003E-2</v>
      </c>
      <c r="AI182">
        <v>2.5999999999999999E-2</v>
      </c>
    </row>
    <row r="183" spans="1:35" x14ac:dyDescent="0.25">
      <c r="A183" t="s">
        <v>2704</v>
      </c>
      <c r="B183" t="s">
        <v>32</v>
      </c>
      <c r="C183" s="25">
        <v>43711.984583333331</v>
      </c>
      <c r="D183" s="741" t="s">
        <v>2238</v>
      </c>
      <c r="E183" s="741" t="e">
        <f t="array" ref="E183">SUMPRODUCT(IF(AMP6_4[[#This Row],[Dim 1_1]:[T 8]]-$F$4:$AI$4&lt;0,1,0)+IF($F$5:$AI$5-AMP6_4[[#This Row],[Dim 1_1]:[T 8]]&lt;0,1,0),IF(ISNUMBER(AMP6_4[[#This Row],[Dim 1_1]:[T 8]])=TRUE,1,0))</f>
        <v>#VALUE!</v>
      </c>
      <c r="F183">
        <v>41.387999999999998</v>
      </c>
      <c r="G183">
        <v>41.085999999999999</v>
      </c>
      <c r="H183">
        <v>155.87</v>
      </c>
      <c r="I183">
        <v>155.858</v>
      </c>
      <c r="L183">
        <v>156.03399999999999</v>
      </c>
      <c r="M183">
        <v>155.749</v>
      </c>
      <c r="N183">
        <v>27.097000000000001</v>
      </c>
      <c r="O183">
        <v>27.308</v>
      </c>
      <c r="R183">
        <v>17.236999999999998</v>
      </c>
      <c r="S183">
        <v>17.11</v>
      </c>
      <c r="T183">
        <v>33.378999999999998</v>
      </c>
      <c r="U183">
        <v>34.167999999999999</v>
      </c>
      <c r="W183">
        <v>3.7999999999999999E-2</v>
      </c>
      <c r="X183">
        <v>-0.13600000000000001</v>
      </c>
      <c r="Z183">
        <v>0.11</v>
      </c>
      <c r="AA183">
        <v>-7.6999999999999999E-2</v>
      </c>
      <c r="AB183">
        <v>-0.13600000000000001</v>
      </c>
      <c r="AC183">
        <v>-9.4E-2</v>
      </c>
      <c r="AD183">
        <v>3.7999999999999999E-2</v>
      </c>
      <c r="AE183">
        <v>-2.8000000000000001E-2</v>
      </c>
      <c r="AF183">
        <v>-2.9000000000000001E-2</v>
      </c>
      <c r="AG183">
        <v>-7.6999999999999999E-2</v>
      </c>
      <c r="AH183">
        <v>7.4999999999999997E-2</v>
      </c>
      <c r="AI183">
        <v>0.11</v>
      </c>
    </row>
    <row r="184" spans="1:35" x14ac:dyDescent="0.25">
      <c r="A184" t="s">
        <v>2705</v>
      </c>
      <c r="B184" t="s">
        <v>31</v>
      </c>
      <c r="C184" s="25">
        <v>43711.986643518518</v>
      </c>
      <c r="D184" s="741" t="s">
        <v>2238</v>
      </c>
      <c r="E184" s="741" t="e">
        <f t="array" ref="E184">SUMPRODUCT(IF(AMP6_4[[#This Row],[Dim 1_1]:[T 8]]-$F$4:$AI$4&lt;0,1,0)+IF($F$5:$AI$5-AMP6_4[[#This Row],[Dim 1_1]:[T 8]]&lt;0,1,0),IF(ISNUMBER(AMP6_4[[#This Row],[Dim 1_1]:[T 8]])=TRUE,1,0))</f>
        <v>#VALUE!</v>
      </c>
      <c r="H184">
        <v>155.68</v>
      </c>
      <c r="I184">
        <v>155.57900000000001</v>
      </c>
      <c r="J184">
        <v>168.72300000000001</v>
      </c>
      <c r="K184">
        <v>168.50200000000001</v>
      </c>
      <c r="L184">
        <v>155.71100000000001</v>
      </c>
      <c r="M184">
        <v>155.46700000000001</v>
      </c>
      <c r="N184">
        <v>27.478999999999999</v>
      </c>
      <c r="O184">
        <v>27.745000000000001</v>
      </c>
      <c r="R184">
        <v>17.302</v>
      </c>
      <c r="S184">
        <v>17.22</v>
      </c>
      <c r="T184">
        <v>36.432000000000002</v>
      </c>
      <c r="U184">
        <v>37.869</v>
      </c>
      <c r="W184">
        <v>0.193</v>
      </c>
      <c r="X184">
        <v>-0.02</v>
      </c>
      <c r="Z184">
        <v>6.5000000000000002E-2</v>
      </c>
      <c r="AA184">
        <v>-7.1999999999999995E-2</v>
      </c>
      <c r="AB184">
        <v>5.2999999999999999E-2</v>
      </c>
      <c r="AC184">
        <v>2.1999999999999999E-2</v>
      </c>
      <c r="AD184">
        <v>0.193</v>
      </c>
      <c r="AE184">
        <v>-0.02</v>
      </c>
      <c r="AF184">
        <v>-0.02</v>
      </c>
      <c r="AG184">
        <v>-7.1999999999999995E-2</v>
      </c>
      <c r="AH184">
        <v>3.7999999999999999E-2</v>
      </c>
      <c r="AI184">
        <v>6.5000000000000002E-2</v>
      </c>
    </row>
    <row r="185" spans="1:35" x14ac:dyDescent="0.25">
      <c r="A185" t="s">
        <v>2706</v>
      </c>
      <c r="B185" t="s">
        <v>32</v>
      </c>
      <c r="C185" s="25">
        <v>43712.054629629631</v>
      </c>
      <c r="D185" s="741" t="s">
        <v>2238</v>
      </c>
      <c r="E185" s="741" t="e">
        <f t="array" ref="E185">SUMPRODUCT(IF(AMP6_4[[#This Row],[Dim 1_1]:[T 8]]-$F$4:$AI$4&lt;0,1,0)+IF($F$5:$AI$5-AMP6_4[[#This Row],[Dim 1_1]:[T 8]]&lt;0,1,0),IF(ISNUMBER(AMP6_4[[#This Row],[Dim 1_1]:[T 8]])=TRUE,1,0))</f>
        <v>#VALUE!</v>
      </c>
      <c r="F185">
        <v>41.29</v>
      </c>
      <c r="G185">
        <v>41.115000000000002</v>
      </c>
      <c r="H185">
        <v>155.92500000000001</v>
      </c>
      <c r="I185">
        <v>155.92699999999999</v>
      </c>
      <c r="L185">
        <v>156.00700000000001</v>
      </c>
      <c r="M185">
        <v>155.75299999999999</v>
      </c>
      <c r="N185">
        <v>27.117999999999999</v>
      </c>
      <c r="O185">
        <v>27.286999999999999</v>
      </c>
      <c r="R185">
        <v>17.292000000000002</v>
      </c>
      <c r="S185">
        <v>17.184000000000001</v>
      </c>
      <c r="T185">
        <v>33.329000000000001</v>
      </c>
      <c r="U185">
        <v>34.290999999999997</v>
      </c>
      <c r="W185">
        <v>6.0999999999999999E-2</v>
      </c>
      <c r="X185">
        <v>-9.1999999999999998E-2</v>
      </c>
      <c r="Z185">
        <v>0.04</v>
      </c>
      <c r="AA185">
        <v>-0.13100000000000001</v>
      </c>
      <c r="AB185">
        <v>-9.1999999999999998E-2</v>
      </c>
      <c r="AC185">
        <v>-4.9000000000000002E-2</v>
      </c>
      <c r="AD185">
        <v>6.0999999999999999E-2</v>
      </c>
      <c r="AE185">
        <v>-2.3E-2</v>
      </c>
      <c r="AF185">
        <v>-5.6000000000000001E-2</v>
      </c>
      <c r="AG185">
        <v>-0.13100000000000001</v>
      </c>
      <c r="AH185">
        <v>0.04</v>
      </c>
      <c r="AI185">
        <v>3.7999999999999999E-2</v>
      </c>
    </row>
    <row r="186" spans="1:35" x14ac:dyDescent="0.25">
      <c r="A186" t="s">
        <v>2707</v>
      </c>
      <c r="B186" t="s">
        <v>31</v>
      </c>
      <c r="C186" s="25">
        <v>43712.056643518517</v>
      </c>
      <c r="D186" s="741" t="s">
        <v>2238</v>
      </c>
      <c r="E186" s="741" t="e">
        <f t="array" ref="E186">SUMPRODUCT(IF(AMP6_4[[#This Row],[Dim 1_1]:[T 8]]-$F$4:$AI$4&lt;0,1,0)+IF($F$5:$AI$5-AMP6_4[[#This Row],[Dim 1_1]:[T 8]]&lt;0,1,0),IF(ISNUMBER(AMP6_4[[#This Row],[Dim 1_1]:[T 8]])=TRUE,1,0))</f>
        <v>#VALUE!</v>
      </c>
      <c r="H186">
        <v>155.697</v>
      </c>
      <c r="I186">
        <v>155.626</v>
      </c>
      <c r="J186">
        <v>168.65899999999999</v>
      </c>
      <c r="K186">
        <v>168.60599999999999</v>
      </c>
      <c r="L186">
        <v>155.76599999999999</v>
      </c>
      <c r="M186">
        <v>155.58500000000001</v>
      </c>
      <c r="N186">
        <v>27.416</v>
      </c>
      <c r="O186">
        <v>27.617000000000001</v>
      </c>
      <c r="R186">
        <v>17.251000000000001</v>
      </c>
      <c r="S186">
        <v>17.236999999999998</v>
      </c>
      <c r="T186">
        <v>38.701999999999998</v>
      </c>
      <c r="U186">
        <v>41.095999999999997</v>
      </c>
      <c r="W186">
        <v>8.4000000000000005E-2</v>
      </c>
      <c r="X186">
        <v>-8.3000000000000004E-2</v>
      </c>
      <c r="Z186">
        <v>-4.1000000000000002E-2</v>
      </c>
      <c r="AA186">
        <v>-0.17</v>
      </c>
      <c r="AB186">
        <v>0</v>
      </c>
      <c r="AC186">
        <v>-3.5999999999999997E-2</v>
      </c>
      <c r="AD186">
        <v>8.4000000000000005E-2</v>
      </c>
      <c r="AE186">
        <v>-8.3000000000000004E-2</v>
      </c>
      <c r="AF186">
        <v>-0.13100000000000001</v>
      </c>
      <c r="AG186">
        <v>-0.17</v>
      </c>
      <c r="AH186">
        <v>-4.1000000000000002E-2</v>
      </c>
      <c r="AI186">
        <v>-5.2999999999999999E-2</v>
      </c>
    </row>
    <row r="187" spans="1:35" x14ac:dyDescent="0.25">
      <c r="A187" t="s">
        <v>2708</v>
      </c>
      <c r="B187" t="s">
        <v>32</v>
      </c>
      <c r="C187" s="25">
        <v>43712.333923611113</v>
      </c>
      <c r="D187" s="741" t="s">
        <v>2238</v>
      </c>
      <c r="E187" s="741" t="e">
        <f t="array" ref="E187">SUMPRODUCT(IF(AMP6_4[[#This Row],[Dim 1_1]:[T 8]]-$F$4:$AI$4&lt;0,1,0)+IF($F$5:$AI$5-AMP6_4[[#This Row],[Dim 1_1]:[T 8]]&lt;0,1,0),IF(ISNUMBER(AMP6_4[[#This Row],[Dim 1_1]:[T 8]])=TRUE,1,0))</f>
        <v>#VALUE!</v>
      </c>
      <c r="F187">
        <v>41.322000000000003</v>
      </c>
      <c r="G187">
        <v>41.140999999999998</v>
      </c>
      <c r="H187">
        <v>155.82499999999999</v>
      </c>
      <c r="I187">
        <v>155.821</v>
      </c>
      <c r="L187">
        <v>155.89099999999999</v>
      </c>
      <c r="M187">
        <v>155.65700000000001</v>
      </c>
      <c r="N187">
        <v>27.202000000000002</v>
      </c>
      <c r="O187">
        <v>27.370999999999999</v>
      </c>
      <c r="R187">
        <v>17.195</v>
      </c>
      <c r="S187">
        <v>17.201000000000001</v>
      </c>
      <c r="T187">
        <v>33.518999999999998</v>
      </c>
      <c r="U187">
        <v>34.548999999999999</v>
      </c>
      <c r="W187">
        <v>5.3999999999999999E-2</v>
      </c>
      <c r="X187">
        <v>4.0000000000000001E-3</v>
      </c>
      <c r="Z187">
        <v>0.16</v>
      </c>
      <c r="AA187">
        <v>8.5999999999999993E-2</v>
      </c>
      <c r="AB187">
        <v>1.7000000000000001E-2</v>
      </c>
      <c r="AC187">
        <v>5.3999999999999999E-2</v>
      </c>
      <c r="AD187">
        <v>0.02</v>
      </c>
      <c r="AE187">
        <v>4.0000000000000001E-3</v>
      </c>
      <c r="AF187">
        <v>0.16</v>
      </c>
      <c r="AG187">
        <v>8.7999999999999995E-2</v>
      </c>
      <c r="AH187">
        <v>8.5999999999999993E-2</v>
      </c>
      <c r="AI187">
        <v>0.13200000000000001</v>
      </c>
    </row>
    <row r="188" spans="1:35" x14ac:dyDescent="0.25">
      <c r="A188" t="s">
        <v>2709</v>
      </c>
      <c r="B188" t="s">
        <v>31</v>
      </c>
      <c r="C188" s="25">
        <v>43712.336053240739</v>
      </c>
      <c r="D188" s="741" t="s">
        <v>2238</v>
      </c>
      <c r="E188" s="741" t="e">
        <f t="array" ref="E188">SUMPRODUCT(IF(AMP6_4[[#This Row],[Dim 1_1]:[T 8]]-$F$4:$AI$4&lt;0,1,0)+IF($F$5:$AI$5-AMP6_4[[#This Row],[Dim 1_1]:[T 8]]&lt;0,1,0),IF(ISNUMBER(AMP6_4[[#This Row],[Dim 1_1]:[T 8]])=TRUE,1,0))</f>
        <v>#VALUE!</v>
      </c>
      <c r="H188">
        <v>155.649</v>
      </c>
      <c r="I188">
        <v>155.56</v>
      </c>
      <c r="J188">
        <v>168.489</v>
      </c>
      <c r="K188">
        <v>168.464</v>
      </c>
      <c r="L188">
        <v>155.648</v>
      </c>
      <c r="M188">
        <v>155.46199999999999</v>
      </c>
      <c r="N188">
        <v>27.545000000000002</v>
      </c>
      <c r="O188">
        <v>27.728000000000002</v>
      </c>
      <c r="R188">
        <v>17.274000000000001</v>
      </c>
      <c r="S188">
        <v>17.338999999999999</v>
      </c>
      <c r="T188">
        <v>35.082000000000001</v>
      </c>
      <c r="U188">
        <v>38.469000000000001</v>
      </c>
      <c r="W188">
        <v>0.2</v>
      </c>
      <c r="X188">
        <v>2E-3</v>
      </c>
      <c r="Z188">
        <v>4.5999999999999999E-2</v>
      </c>
      <c r="AA188">
        <v>-3.0000000000000001E-3</v>
      </c>
      <c r="AB188">
        <v>0.2</v>
      </c>
      <c r="AC188">
        <v>0.157</v>
      </c>
      <c r="AD188">
        <v>0.161</v>
      </c>
      <c r="AE188">
        <v>2E-3</v>
      </c>
      <c r="AF188">
        <v>4.5999999999999999E-2</v>
      </c>
      <c r="AG188">
        <v>-3.0000000000000001E-3</v>
      </c>
      <c r="AH188">
        <v>2.5999999999999999E-2</v>
      </c>
      <c r="AI188">
        <v>0.02</v>
      </c>
    </row>
    <row r="189" spans="1:35" x14ac:dyDescent="0.25">
      <c r="D189" s="25"/>
      <c r="E189" s="740"/>
    </row>
    <row r="190" spans="1:35" x14ac:dyDescent="0.25">
      <c r="D190" s="25"/>
    </row>
    <row r="191" spans="1:35" x14ac:dyDescent="0.25">
      <c r="D191" s="25"/>
    </row>
    <row r="192" spans="1:35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  <row r="205" spans="4:4" x14ac:dyDescent="0.25">
      <c r="D205" s="25"/>
    </row>
    <row r="206" spans="4:4" x14ac:dyDescent="0.25">
      <c r="D206" s="25"/>
    </row>
    <row r="207" spans="4:4" x14ac:dyDescent="0.25">
      <c r="D207" s="25"/>
    </row>
    <row r="208" spans="4:4" x14ac:dyDescent="0.25">
      <c r="D208" s="25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12" spans="4:4" x14ac:dyDescent="0.25">
      <c r="D212" s="25"/>
    </row>
    <row r="213" spans="4:4" x14ac:dyDescent="0.25">
      <c r="D213" s="25"/>
    </row>
    <row r="214" spans="4:4" x14ac:dyDescent="0.25">
      <c r="D214" s="25"/>
    </row>
    <row r="215" spans="4:4" x14ac:dyDescent="0.25">
      <c r="D215" s="25"/>
    </row>
    <row r="216" spans="4:4" x14ac:dyDescent="0.25">
      <c r="D216" s="25"/>
    </row>
    <row r="217" spans="4:4" x14ac:dyDescent="0.25">
      <c r="D217" s="25"/>
    </row>
    <row r="218" spans="4:4" x14ac:dyDescent="0.25">
      <c r="D218" s="25"/>
    </row>
    <row r="219" spans="4:4" x14ac:dyDescent="0.25">
      <c r="D219" s="25"/>
    </row>
    <row r="220" spans="4:4" x14ac:dyDescent="0.25">
      <c r="D220" s="25"/>
    </row>
    <row r="221" spans="4:4" x14ac:dyDescent="0.25">
      <c r="D221" s="25"/>
    </row>
    <row r="222" spans="4:4" x14ac:dyDescent="0.25">
      <c r="D222" s="25"/>
    </row>
    <row r="223" spans="4:4" x14ac:dyDescent="0.25">
      <c r="D223" s="25"/>
    </row>
    <row r="224" spans="4:4" x14ac:dyDescent="0.25">
      <c r="D224" s="25"/>
    </row>
    <row r="225" spans="4:4" x14ac:dyDescent="0.25">
      <c r="D225" s="25"/>
    </row>
    <row r="226" spans="4:4" x14ac:dyDescent="0.25">
      <c r="D226" s="25"/>
    </row>
    <row r="227" spans="4:4" x14ac:dyDescent="0.25">
      <c r="D227" s="25"/>
    </row>
    <row r="228" spans="4:4" x14ac:dyDescent="0.25">
      <c r="D228" s="25"/>
    </row>
    <row r="229" spans="4:4" x14ac:dyDescent="0.25">
      <c r="D229" s="25"/>
    </row>
    <row r="230" spans="4:4" x14ac:dyDescent="0.25">
      <c r="D230" s="25"/>
    </row>
    <row r="231" spans="4:4" x14ac:dyDescent="0.25">
      <c r="D231" s="25"/>
    </row>
    <row r="232" spans="4:4" x14ac:dyDescent="0.25">
      <c r="D232" s="25"/>
    </row>
    <row r="233" spans="4:4" x14ac:dyDescent="0.25">
      <c r="D233" s="25"/>
    </row>
    <row r="234" spans="4:4" x14ac:dyDescent="0.25">
      <c r="D234" s="25"/>
    </row>
    <row r="235" spans="4:4" x14ac:dyDescent="0.25">
      <c r="D235" s="25"/>
    </row>
    <row r="236" spans="4:4" x14ac:dyDescent="0.25">
      <c r="D236" s="25"/>
    </row>
    <row r="237" spans="4:4" x14ac:dyDescent="0.25">
      <c r="D237" s="25"/>
    </row>
    <row r="238" spans="4:4" x14ac:dyDescent="0.25">
      <c r="D238" s="25"/>
    </row>
    <row r="239" spans="4:4" x14ac:dyDescent="0.25">
      <c r="D239" s="25"/>
    </row>
    <row r="240" spans="4:4" x14ac:dyDescent="0.25">
      <c r="D240" s="25"/>
    </row>
    <row r="241" spans="4:4" x14ac:dyDescent="0.25">
      <c r="D241" s="25"/>
    </row>
    <row r="242" spans="4:4" x14ac:dyDescent="0.25">
      <c r="D242" s="25"/>
    </row>
    <row r="243" spans="4:4" x14ac:dyDescent="0.25">
      <c r="D243" s="25"/>
    </row>
    <row r="244" spans="4:4" x14ac:dyDescent="0.25">
      <c r="D244" s="25"/>
    </row>
    <row r="245" spans="4:4" x14ac:dyDescent="0.25">
      <c r="D245" s="25"/>
    </row>
    <row r="246" spans="4:4" x14ac:dyDescent="0.25">
      <c r="D246" s="25"/>
    </row>
    <row r="247" spans="4:4" x14ac:dyDescent="0.25">
      <c r="D247" s="25"/>
    </row>
    <row r="248" spans="4:4" x14ac:dyDescent="0.25">
      <c r="D248" s="25"/>
    </row>
    <row r="249" spans="4:4" x14ac:dyDescent="0.25">
      <c r="D249" s="25"/>
    </row>
    <row r="250" spans="4:4" x14ac:dyDescent="0.25">
      <c r="D250" s="25"/>
    </row>
    <row r="251" spans="4:4" x14ac:dyDescent="0.25">
      <c r="D251" s="25"/>
    </row>
    <row r="252" spans="4:4" x14ac:dyDescent="0.25">
      <c r="D252" s="25"/>
    </row>
    <row r="253" spans="4:4" x14ac:dyDescent="0.25">
      <c r="D253" s="25"/>
    </row>
    <row r="254" spans="4:4" x14ac:dyDescent="0.25">
      <c r="D254" s="25"/>
    </row>
    <row r="255" spans="4:4" x14ac:dyDescent="0.25">
      <c r="D255" s="25"/>
    </row>
  </sheetData>
  <mergeCells count="1">
    <mergeCell ref="E1:E2"/>
  </mergeCells>
  <conditionalFormatting sqref="AJ8:XFD8">
    <cfRule type="notContainsBlanks" priority="11" stopIfTrue="1">
      <formula>LEN(TRIM(AJ8))&gt;0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00" priority="10"/>
  </conditionalFormatting>
  <conditionalFormatting sqref="F6:S7 V6:AI7">
    <cfRule type="cellIs" dxfId="199" priority="5" stopIfTrue="1" operator="notBetween">
      <formula>0.35</formula>
      <formula>-0.35</formula>
    </cfRule>
    <cfRule type="cellIs" dxfId="198" priority="6" operator="notBetween">
      <formula>0.2</formula>
      <formula>-0.2</formula>
    </cfRule>
  </conditionalFormatting>
  <conditionalFormatting sqref="E1 E3:E1048576">
    <cfRule type="cellIs" dxfId="197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196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195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rgb="FF00B050"/>
  </sheetPr>
  <dimension ref="A1:AI243"/>
  <sheetViews>
    <sheetView workbookViewId="0">
      <pane xSplit="2" ySplit="8" topLeftCell="C99" activePane="bottomRight" state="frozenSplit"/>
      <selection pane="topRight" activeCell="C1" sqref="C1"/>
      <selection pane="bottomLeft" activeCell="A99" sqref="A99"/>
      <selection pane="bottomRight" activeCell="A115" sqref="A115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MIN(AMP4_4[Date])</f>
        <v>43698.511469907404</v>
      </c>
      <c r="D1" s="310"/>
      <c r="E1" s="794" t="s">
        <v>40</v>
      </c>
      <c r="F1" s="2">
        <f>IFERROR(AVERAGEIFS(AMP4_4[[#All],[Dim 1_1]],AMP4_4[[#All],[Blade Part Number]],$B1,AMP4_4[[#All],[Date]],"&gt;"&amp;$A$1,AMP4_4[[#All],[Date]],"&lt;"&amp;$A$2),"")</f>
        <v>41.401523809523802</v>
      </c>
      <c r="G1" s="2">
        <f>IFERROR(AVERAGEIFS(AMP4_4[[#All],[Dim 1_2]],AMP4_4[[#All],[Blade Part Number]],$B1,AMP4_4[[#All],[Date]],"&gt;"&amp;$A$1,AMP4_4[[#All],[Date]],"&lt;"&amp;$A$2),"")</f>
        <v>41.399642857142844</v>
      </c>
      <c r="H1" s="2">
        <f>IFERROR(AVERAGEIFS(AMP4_4[[#All],[Dim 2_1]],AMP4_4[[#All],[Blade Part Number]],$B1,AMP4_4[[#All],[Date]],"&gt;"&amp;$A$1,AMP4_4[[#All],[Date]],"&lt;"&amp;$A$2),"")</f>
        <v>155.82719047619048</v>
      </c>
      <c r="I1" s="2">
        <f>IFERROR(AVERAGEIFS(AMP4_4[[#All],[Dim 2_2]],AMP4_4[[#All],[Blade Part Number]],$B1,AMP4_4[[#All],[Date]],"&gt;"&amp;$A$1,AMP4_4[[#All],[Date]],"&lt;"&amp;$A$2),"")</f>
        <v>155.72024999999996</v>
      </c>
      <c r="J1" s="2" t="str">
        <f>IFERROR(AVERAGEIFS(AMP4_4[[#All],[Dim 3_1]],AMP4_4[[#All],[Blade Part Number]],$B1,AMP4_4[[#All],[Date]],"&gt;"&amp;$A$1,AMP4_4[[#All],[Date]],"&lt;"&amp;$A$2),"")</f>
        <v/>
      </c>
      <c r="K1" s="2" t="str">
        <f>IFERROR(AVERAGEIFS(AMP4_4[[#All],[Dim 3_2]],AMP4_4[[#All],[Blade Part Number]],$B1,AMP4_4[[#All],[Date]],"&gt;"&amp;$A$1,AMP4_4[[#All],[Date]],"&lt;"&amp;$A$2),"")</f>
        <v/>
      </c>
      <c r="L1" s="2">
        <f>IFERROR(AVERAGEIFS(AMP4_4[[#All],[Dim 4_1]],AMP4_4[[#All],[Blade Part Number]],$B1,AMP4_4[[#All],[Date]],"&gt;"&amp;$A$1,AMP4_4[[#All],[Date]],"&lt;"&amp;$A$2),"")</f>
        <v>155.95642857142857</v>
      </c>
      <c r="M1" s="2">
        <f>IFERROR(AVERAGEIFS(AMP4_4[[#All],[Dim 4_2]],AMP4_4[[#All],[Blade Part Number]],$B1,AMP4_4[[#All],[Date]],"&gt;"&amp;$A$1,AMP4_4[[#All],[Date]],"&lt;"&amp;$A$2),"")</f>
        <v>155.67386904761904</v>
      </c>
      <c r="N1" s="2">
        <f>IFERROR(AVERAGEIFS(AMP4_4[[#All],[Dim 5_1]],AMP4_4[[#All],[Blade Part Number]],$B1,AMP4_4[[#All],[Date]],"&gt;"&amp;$A$1,AMP4_4[[#All],[Date]],"&lt;"&amp;$A$2),"")</f>
        <v>27.209654761904755</v>
      </c>
      <c r="O1" s="2">
        <f>IFERROR(AVERAGEIFS(AMP4_4[[#All],[Dim 5_2]],AMP4_4[[#All],[Blade Part Number]],$B1,AMP4_4[[#All],[Date]],"&gt;"&amp;$A$1,AMP4_4[[#All],[Date]],"&lt;"&amp;$A$2),"")</f>
        <v>27.40113095238096</v>
      </c>
      <c r="P1" s="2" t="str">
        <f>IFERROR(AVERAGEIFS(AMP4_4[[#All],[Dim 6]],AMP4_4[[#All],[Blade Part Number]],$B1,AMP4_4[[#All],[Date]],"&gt;"&amp;$A$1,AMP4_4[[#All],[Date]],"&lt;"&amp;$A$2),"")</f>
        <v/>
      </c>
      <c r="Q1" s="2" t="str">
        <f>IFERROR(AVERAGEIFS(AMP4_4[[#All],[Dim 7]],AMP4_4[[#All],[Blade Part Number]],$B1,AMP4_4[[#All],[Date]],"&gt;"&amp;$A$1,AMP4_4[[#All],[Date]],"&lt;"&amp;$A$2),"")</f>
        <v/>
      </c>
      <c r="R1" s="2">
        <f>IFERROR(AVERAGEIFS(AMP4_4[[#All],[Dim 9_1]],AMP4_4[[#All],[Blade Part Number]],$B1,AMP4_4[[#All],[Date]],"&gt;"&amp;$A$1,AMP4_4[[#All],[Date]],"&lt;"&amp;$A$2),"")</f>
        <v>17.236726190476194</v>
      </c>
      <c r="S1" s="2">
        <f>IFERROR(AVERAGEIFS(AMP4_4[[#All],[Dim 9_2]],AMP4_4[[#All],[Blade Part Number]],$B1,AMP4_4[[#All],[Date]],"&gt;"&amp;$A$1,AMP4_4[[#All],[Date]],"&lt;"&amp;$A$2),"")</f>
        <v>17.229416666666673</v>
      </c>
      <c r="T1" s="2">
        <f>IFERROR(AVERAGEIFS(AMP4_4[[#All],[Dim 10_1]],AMP4_4[[#All],[Blade Part Number]],$B1,AMP4_4[[#All],[Date]],"&gt;"&amp;$A$1,AMP4_4[[#All],[Date]],"&lt;"&amp;$A$2),"")</f>
        <v>33.732428571428578</v>
      </c>
      <c r="U1" s="2">
        <f>IFERROR(AVERAGEIFS(AMP4_4[[#All],[Dim 10_2]],AMP4_4[[#All],[Blade Part Number]],$B1,AMP4_4[[#All],[Date]],"&gt;"&amp;$A$1,AMP4_4[[#All],[Date]],"&lt;"&amp;$A$2),"")</f>
        <v>34.538345238095246</v>
      </c>
      <c r="V1" s="2" t="str">
        <f>IFERROR(AVERAGEIFS(AMP4_4[[#All],[Dim 11]],AMP4_4[[#All],[Blade Part Number]],$B1,AMP4_4[[#All],[Date]],"&gt;"&amp;$A$1,AMP4_4[[#All],[Date]],"&lt;"&amp;$A$2),"")</f>
        <v/>
      </c>
      <c r="W1" s="2">
        <f>IFERROR(AVERAGEIFS(AMP4_4[[#All],[Dim 11 Max]],AMP4_4[[#All],[Blade Part Number]],$B1,AMP4_4[[#All],[Date]],"&gt;"&amp;$A$1,AMP4_4[[#All],[Date]],"&lt;"&amp;$A$2),"")</f>
        <v>6.8238095238095264E-2</v>
      </c>
      <c r="X1" s="2">
        <f>IFERROR(AVERAGEIFS(AMP4_4[[#All],[Dim 11 Min]],AMP4_4[[#All],[Blade Part Number]],$B1,AMP4_4[[#All],[Date]],"&gt;"&amp;$A$1,AMP4_4[[#All],[Date]],"&lt;"&amp;$A$2),"")</f>
        <v>-9.6821428571428586E-2</v>
      </c>
      <c r="Y1" s="2" t="str">
        <f>IFERROR(AVERAGEIFS(AMP4_4[[#All],[Dim 12]],AMP4_4[[#All],[Blade Part Number]],$B1,AMP4_4[[#All],[Date]],"&gt;"&amp;$A$1,AMP4_4[[#All],[Date]],"&lt;"&amp;$A$2),"")</f>
        <v/>
      </c>
      <c r="Z1" s="2">
        <f>IFERROR(AVERAGEIFS(AMP4_4[[#All],[Dim 12 Max]],AMP4_4[[#All],[Blade Part Number]],$B1,AMP4_4[[#All],[Date]],"&gt;"&amp;$A$1,AMP4_4[[#All],[Date]],"&lt;"&amp;$A$2),"")</f>
        <v>5.9809523809523799E-2</v>
      </c>
      <c r="AA1" s="2">
        <f>IFERROR(AVERAGEIFS(AMP4_4[[#All],[Dim 12 Min]],AMP4_4[[#All],[Blade Part Number]],$B1,AMP4_4[[#All],[Date]],"&gt;"&amp;$A$1,AMP4_4[[#All],[Date]],"&lt;"&amp;$A$2),"")</f>
        <v>-6.3511904761904756E-2</v>
      </c>
      <c r="AB1" s="2">
        <f>IFERROR(AVERAGEIFS(AMP4_4[[#All],[T 1]],AMP4_4[[#All],[Blade Part Number]],$B1,AMP4_4[[#All],[Date]],"&gt;"&amp;$A$1,AMP4_4[[#All],[Date]],"&lt;"&amp;$A$2),"")</f>
        <v>-5.9654761904761919E-2</v>
      </c>
      <c r="AC1" s="2">
        <f>IFERROR(AVERAGEIFS(AMP4_4[[#All],[T 2]],AMP4_4[[#All],[Blade Part Number]],$B1,AMP4_4[[#All],[Date]],"&gt;"&amp;$A$1,AMP4_4[[#All],[Date]],"&lt;"&amp;$A$2),"")</f>
        <v>-5.2297619047619058E-2</v>
      </c>
      <c r="AD1" s="2">
        <f>IFERROR(AVERAGEIFS(AMP4_4[[#All],[T 3]],AMP4_4[[#All],[Blade Part Number]],$B1,AMP4_4[[#All],[Date]],"&gt;"&amp;$A$1,AMP4_4[[#All],[Date]],"&lt;"&amp;$A$2),"")</f>
        <v>6.6500000000000017E-2</v>
      </c>
      <c r="AE1" s="2">
        <f>IFERROR(AVERAGEIFS(AMP4_4[[#All],[T 4]],AMP4_4[[#All],[Blade Part Number]],$B1,AMP4_4[[#All],[Date]],"&gt;"&amp;$A$1,AMP4_4[[#All],[Date]],"&lt;"&amp;$A$2),"")</f>
        <v>-7.1666666666666684E-2</v>
      </c>
      <c r="AF1" s="2">
        <f>IFERROR(AVERAGEIFS(AMP4_4[[#All],[T 5]],AMP4_4[[#All],[Blade Part Number]],$B1,AMP4_4[[#All],[Date]],"&gt;"&amp;$A$1,AMP4_4[[#All],[Date]],"&lt;"&amp;$A$2),"")</f>
        <v>-7.5714285714285753E-3</v>
      </c>
      <c r="AG1" s="2">
        <f>IFERROR(AVERAGEIFS(AMP4_4[[#All],[T 6]],AMP4_4[[#All],[Blade Part Number]],$B1,AMP4_4[[#All],[Date]],"&gt;"&amp;$A$1,AMP4_4[[#All],[Date]],"&lt;"&amp;$A$2),"")</f>
        <v>-5.4976190476190491E-2</v>
      </c>
      <c r="AH1" s="2">
        <f>IFERROR(AVERAGEIFS(AMP4_4[[#All],[T 7]],AMP4_4[[#All],[Blade Part Number]],$B1,AMP4_4[[#All],[Date]],"&gt;"&amp;$A$1,AMP4_4[[#All],[Date]],"&lt;"&amp;$A$2),"")</f>
        <v>1.7928571428571433E-2</v>
      </c>
      <c r="AI1" s="2">
        <f>IFERROR(AVERAGEIFS(AMP4_4[[#All],[T 8]],AMP4_4[[#All],[Blade Part Number]],$B1,AMP4_4[[#All],[Date]],"&gt;"&amp;$A$1,AMP4_4[[#All],[Date]],"&lt;"&amp;$A$2),"")</f>
        <v>4.9785714285714266E-2</v>
      </c>
    </row>
    <row r="2" spans="1:35" x14ac:dyDescent="0.25">
      <c r="A2" s="1">
        <f>'Offset Solver'!E31</f>
        <v>73050</v>
      </c>
      <c r="B2" s="12" t="s">
        <v>31</v>
      </c>
      <c r="C2" s="25">
        <f>MAX(AMP4_4[Date])</f>
        <v>43712.340868055559</v>
      </c>
      <c r="D2" s="310"/>
      <c r="E2" s="794"/>
      <c r="F2" s="2" t="str">
        <f>IFERROR(AVERAGEIFS(AMP4_4[[#All],[Dim 1_1]],AMP4_4[[#All],[Blade Part Number]],$B2,AMP4_4[[#All],[Date]],"&gt;"&amp;$A$1,AMP4_4[[#All],[Date]],"&lt;"&amp;$A$2),"")</f>
        <v/>
      </c>
      <c r="G2" s="2" t="str">
        <f>IFERROR(AVERAGEIFS(AMP4_4[[#All],[Dim 1_2]],AMP4_4[[#All],[Blade Part Number]],$B2,AMP4_4[[#All],[Date]],"&gt;"&amp;$A$1,AMP4_4[[#All],[Date]],"&lt;"&amp;$A$2),"")</f>
        <v/>
      </c>
      <c r="H2" s="2">
        <f>IFERROR(AVERAGEIFS(AMP4_4[[#All],[Dim 2_1]],AMP4_4[[#All],[Blade Part Number]],$B2,AMP4_4[[#All],[Date]],"&gt;"&amp;$A$1,AMP4_4[[#All],[Date]],"&lt;"&amp;$A$2),"")</f>
        <v>155.55211904761904</v>
      </c>
      <c r="I2" s="2">
        <f>IFERROR(AVERAGEIFS(AMP4_4[[#All],[Dim 2_2]],AMP4_4[[#All],[Blade Part Number]],$B2,AMP4_4[[#All],[Date]],"&gt;"&amp;$A$1,AMP4_4[[#All],[Date]],"&lt;"&amp;$A$2),"")</f>
        <v>155.69683333333336</v>
      </c>
      <c r="J2" s="2">
        <f>IFERROR(AVERAGEIFS(AMP4_4[[#All],[Dim 3_1]],AMP4_4[[#All],[Blade Part Number]],$B2,AMP4_4[[#All],[Date]],"&gt;"&amp;$A$1,AMP4_4[[#All],[Date]],"&lt;"&amp;$A$2),"")</f>
        <v>168.50158333333334</v>
      </c>
      <c r="K2" s="2">
        <f>IFERROR(AVERAGEIFS(AMP4_4[[#All],[Dim 3_2]],AMP4_4[[#All],[Blade Part Number]],$B2,AMP4_4[[#All],[Date]],"&gt;"&amp;$A$1,AMP4_4[[#All],[Date]],"&lt;"&amp;$A$2),"")</f>
        <v>168.35592857142856</v>
      </c>
      <c r="L2" s="2">
        <f>IFERROR(AVERAGEIFS(AMP4_4[[#All],[Dim 4_1]],AMP4_4[[#All],[Blade Part Number]],$B2,AMP4_4[[#All],[Date]],"&gt;"&amp;$A$1,AMP4_4[[#All],[Date]],"&lt;"&amp;$A$2),"")</f>
        <v>155.74849999999992</v>
      </c>
      <c r="M2" s="2">
        <f>IFERROR(AVERAGEIFS(AMP4_4[[#All],[Dim 4_2]],AMP4_4[[#All],[Blade Part Number]],$B2,AMP4_4[[#All],[Date]],"&gt;"&amp;$A$1,AMP4_4[[#All],[Date]],"&lt;"&amp;$A$2),"")</f>
        <v>155.67541666666671</v>
      </c>
      <c r="N2" s="2">
        <f>IFERROR(AVERAGEIFS(AMP4_4[[#All],[Dim 5_1]],AMP4_4[[#All],[Blade Part Number]],$B2,AMP4_4[[#All],[Date]],"&gt;"&amp;$A$1,AMP4_4[[#All],[Date]],"&lt;"&amp;$A$2),"")</f>
        <v>27.45891666666666</v>
      </c>
      <c r="O2" s="2">
        <f>IFERROR(AVERAGEIFS(AMP4_4[[#All],[Dim 5_2]],AMP4_4[[#All],[Blade Part Number]],$B2,AMP4_4[[#All],[Date]],"&gt;"&amp;$A$1,AMP4_4[[#All],[Date]],"&lt;"&amp;$A$2),"")</f>
        <v>27.597845238095232</v>
      </c>
      <c r="P2" s="2" t="str">
        <f>IFERROR(AVERAGEIFS(AMP4_4[[#All],[Dim 6]],AMP4_4[[#All],[Blade Part Number]],$B2,AMP4_4[[#All],[Date]],"&gt;"&amp;$A$1,AMP4_4[[#All],[Date]],"&lt;"&amp;$A$2),"")</f>
        <v/>
      </c>
      <c r="Q2" s="2" t="str">
        <f>IFERROR(AVERAGEIFS(AMP4_4[[#All],[Dim 7]],AMP4_4[[#All],[Blade Part Number]],$B2,AMP4_4[[#All],[Date]],"&gt;"&amp;$A$1,AMP4_4[[#All],[Date]],"&lt;"&amp;$A$2),"")</f>
        <v/>
      </c>
      <c r="R2" s="2">
        <f>IFERROR(AVERAGEIFS(AMP4_4[[#All],[Dim 9_1]],AMP4_4[[#All],[Blade Part Number]],$B2,AMP4_4[[#All],[Date]],"&gt;"&amp;$A$1,AMP4_4[[#All],[Date]],"&lt;"&amp;$A$2),"")</f>
        <v>17.250166666666662</v>
      </c>
      <c r="S2" s="2">
        <f>IFERROR(AVERAGEIFS(AMP4_4[[#All],[Dim 9_2]],AMP4_4[[#All],[Blade Part Number]],$B2,AMP4_4[[#All],[Date]],"&gt;"&amp;$A$1,AMP4_4[[#All],[Date]],"&lt;"&amp;$A$2),"")</f>
        <v>17.226297619047621</v>
      </c>
      <c r="T2" s="2">
        <f>IFERROR(AVERAGEIFS(AMP4_4[[#All],[Dim 10_1]],AMP4_4[[#All],[Blade Part Number]],$B2,AMP4_4[[#All],[Date]],"&gt;"&amp;$A$1,AMP4_4[[#All],[Date]],"&lt;"&amp;$A$2),"")</f>
        <v>37.178357142857145</v>
      </c>
      <c r="U2" s="2">
        <f>IFERROR(AVERAGEIFS(AMP4_4[[#All],[Dim 10_2]],AMP4_4[[#All],[Blade Part Number]],$B2,AMP4_4[[#All],[Date]],"&gt;"&amp;$A$1,AMP4_4[[#All],[Date]],"&lt;"&amp;$A$2),"")</f>
        <v>37.722845238095239</v>
      </c>
      <c r="V2" s="2" t="str">
        <f>IFERROR(AVERAGEIFS(AMP4_4[[#All],[Dim 11]],AMP4_4[[#All],[Blade Part Number]],$B2,AMP4_4[[#All],[Date]],"&gt;"&amp;$A$1,AMP4_4[[#All],[Date]],"&lt;"&amp;$A$2),"")</f>
        <v/>
      </c>
      <c r="W2" s="2">
        <f>IFERROR(AVERAGEIFS(AMP4_4[[#All],[Dim 11 Max]],AMP4_4[[#All],[Blade Part Number]],$B2,AMP4_4[[#All],[Date]],"&gt;"&amp;$A$1,AMP4_4[[#All],[Date]],"&lt;"&amp;$A$2),"")</f>
        <v>0.10754761904761906</v>
      </c>
      <c r="X2" s="2">
        <f>IFERROR(AVERAGEIFS(AMP4_4[[#All],[Dim 11 Min]],AMP4_4[[#All],[Blade Part Number]],$B2,AMP4_4[[#All],[Date]],"&gt;"&amp;$A$1,AMP4_4[[#All],[Date]],"&lt;"&amp;$A$2),"")</f>
        <v>-2.6178571428571436E-2</v>
      </c>
      <c r="Y2" s="2" t="str">
        <f>IFERROR(AVERAGEIFS(AMP4_4[[#All],[Dim 12]],AMP4_4[[#All],[Blade Part Number]],$B2,AMP4_4[[#All],[Date]],"&gt;"&amp;$A$1,AMP4_4[[#All],[Date]],"&lt;"&amp;$A$2),"")</f>
        <v/>
      </c>
      <c r="Z2" s="2">
        <f>IFERROR(AVERAGEIFS(AMP4_4[[#All],[Dim 12 Max]],AMP4_4[[#All],[Blade Part Number]],$B2,AMP4_4[[#All],[Date]],"&gt;"&amp;$A$1,AMP4_4[[#All],[Date]],"&lt;"&amp;$A$2),"")</f>
        <v>0.11451190476190479</v>
      </c>
      <c r="AA2" s="2">
        <f>IFERROR(AVERAGEIFS(AMP4_4[[#All],[Dim 12 Min]],AMP4_4[[#All],[Blade Part Number]],$B2,AMP4_4[[#All],[Date]],"&gt;"&amp;$A$1,AMP4_4[[#All],[Date]],"&lt;"&amp;$A$2),"")</f>
        <v>-5.8309523809523797E-2</v>
      </c>
      <c r="AB2" s="2">
        <f>IFERROR(AVERAGEIFS(AMP4_4[[#All],[T 1]],AMP4_4[[#All],[Blade Part Number]],$B2,AMP4_4[[#All],[Date]],"&gt;"&amp;$A$1,AMP4_4[[#All],[Date]],"&lt;"&amp;$A$2),"")</f>
        <v>5.5880952380952378E-2</v>
      </c>
      <c r="AC2" s="2">
        <f>IFERROR(AVERAGEIFS(AMP4_4[[#All],[T 2]],AMP4_4[[#All],[Blade Part Number]],$B2,AMP4_4[[#All],[Date]],"&gt;"&amp;$A$1,AMP4_4[[#All],[Date]],"&lt;"&amp;$A$2),"")</f>
        <v>7.6857142857142846E-2</v>
      </c>
      <c r="AD2" s="2">
        <f>IFERROR(AVERAGEIFS(AMP4_4[[#All],[T 3]],AMP4_4[[#All],[Blade Part Number]],$B2,AMP4_4[[#All],[Date]],"&gt;"&amp;$A$1,AMP4_4[[#All],[Date]],"&lt;"&amp;$A$2),"")</f>
        <v>2.5369047619047628E-2</v>
      </c>
      <c r="AE2" s="2">
        <f>IFERROR(AVERAGEIFS(AMP4_4[[#All],[T 4]],AMP4_4[[#All],[Blade Part Number]],$B2,AMP4_4[[#All],[Date]],"&gt;"&amp;$A$1,AMP4_4[[#All],[Date]],"&lt;"&amp;$A$2),"")</f>
        <v>9.8095238095238062E-3</v>
      </c>
      <c r="AF2" s="2">
        <f>IFERROR(AVERAGEIFS(AMP4_4[[#All],[T 5]],AMP4_4[[#All],[Blade Part Number]],$B2,AMP4_4[[#All],[Date]],"&gt;"&amp;$A$1,AMP4_4[[#All],[Date]],"&lt;"&amp;$A$2),"")</f>
        <v>0.10417857142857144</v>
      </c>
      <c r="AG2" s="2">
        <f>IFERROR(AVERAGEIFS(AMP4_4[[#All],[T 6]],AMP4_4[[#All],[Blade Part Number]],$B2,AMP4_4[[#All],[Date]],"&gt;"&amp;$A$1,AMP4_4[[#All],[Date]],"&lt;"&amp;$A$2),"")</f>
        <v>3.1357142857142861E-2</v>
      </c>
      <c r="AH2" s="2">
        <f>IFERROR(AVERAGEIFS(AMP4_4[[#All],[T 7]],AMP4_4[[#All],[Blade Part Number]],$B2,AMP4_4[[#All],[Date]],"&gt;"&amp;$A$1,AMP4_4[[#All],[Date]],"&lt;"&amp;$A$2),"")</f>
        <v>-8.4166666666666556E-3</v>
      </c>
      <c r="AI2" s="2">
        <f>IFERROR(AVERAGEIFS(AMP4_4[[#All],[T 8]],AMP4_4[[#All],[Blade Part Number]],$B2,AMP4_4[[#All],[Date]],"&gt;"&amp;$A$1,AMP4_4[[#All],[Date]],"&lt;"&amp;$A$2),"")</f>
        <v>-4.0630952380952393E-2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0.10152380952380469</v>
      </c>
      <c r="G6" s="11">
        <f t="shared" si="0"/>
        <v>9.9642857142846708E-2</v>
      </c>
      <c r="H6" s="11">
        <f t="shared" si="0"/>
        <v>2.7190476190469326E-2</v>
      </c>
      <c r="I6" s="11">
        <f t="shared" si="0"/>
        <v>-7.9750000000046839E-2</v>
      </c>
      <c r="J6" s="11" t="str">
        <f t="shared" si="0"/>
        <v/>
      </c>
      <c r="K6" s="11" t="str">
        <f t="shared" si="0"/>
        <v/>
      </c>
      <c r="L6" s="11">
        <f t="shared" si="0"/>
        <v>0.15642857142856315</v>
      </c>
      <c r="M6" s="11">
        <f t="shared" si="0"/>
        <v>-0.12613095238097571</v>
      </c>
      <c r="N6" s="11">
        <f t="shared" si="0"/>
        <v>-0.19034523809524373</v>
      </c>
      <c r="O6" s="11">
        <f t="shared" si="0"/>
        <v>1.130952380961503E-3</v>
      </c>
      <c r="P6" s="11" t="str">
        <f t="shared" si="0"/>
        <v/>
      </c>
      <c r="Q6" s="11" t="str">
        <f t="shared" si="0"/>
        <v/>
      </c>
      <c r="R6" s="11">
        <f t="shared" si="0"/>
        <v>-1.3273809523806079E-2</v>
      </c>
      <c r="S6" s="11">
        <f t="shared" si="0"/>
        <v>-2.0583333333327403E-2</v>
      </c>
      <c r="T6" s="11">
        <f t="shared" si="0"/>
        <v>1.7324285714285779</v>
      </c>
      <c r="U6" s="11">
        <f t="shared" si="0"/>
        <v>2.5383452380952463</v>
      </c>
      <c r="V6" s="11" t="str">
        <f t="shared" si="0"/>
        <v/>
      </c>
      <c r="W6" s="11">
        <f t="shared" si="0"/>
        <v>6.8238095238095264E-2</v>
      </c>
      <c r="X6" s="11">
        <f t="shared" si="0"/>
        <v>-9.6821428571428586E-2</v>
      </c>
      <c r="Y6" s="11" t="str">
        <f t="shared" si="0"/>
        <v/>
      </c>
      <c r="Z6" s="11">
        <f t="shared" si="0"/>
        <v>5.9809523809523799E-2</v>
      </c>
      <c r="AA6" s="11">
        <f t="shared" si="0"/>
        <v>-6.3511904761904756E-2</v>
      </c>
      <c r="AB6" s="406">
        <f t="shared" si="0"/>
        <v>-5.9654761904761919E-2</v>
      </c>
      <c r="AC6" s="406">
        <f t="shared" si="0"/>
        <v>-5.2297619047619058E-2</v>
      </c>
      <c r="AD6" s="407">
        <f t="shared" si="0"/>
        <v>6.6500000000000017E-2</v>
      </c>
      <c r="AE6" s="407">
        <f t="shared" si="0"/>
        <v>-7.1666666666666684E-2</v>
      </c>
      <c r="AF6" s="406">
        <f t="shared" si="0"/>
        <v>-7.5714285714285753E-3</v>
      </c>
      <c r="AG6" s="406">
        <f t="shared" si="0"/>
        <v>-5.4976190476190491E-2</v>
      </c>
      <c r="AH6" s="407">
        <f t="shared" si="0"/>
        <v>1.7928571428571433E-2</v>
      </c>
      <c r="AI6" s="407">
        <f t="shared" si="0"/>
        <v>4.9785714285714266E-2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-0.2478809523809673</v>
      </c>
      <c r="I7" s="11">
        <f t="shared" si="1"/>
        <v>-0.10316666666665242</v>
      </c>
      <c r="J7" s="11">
        <f t="shared" si="1"/>
        <v>-0.19841666666664537</v>
      </c>
      <c r="K7" s="11">
        <f t="shared" si="1"/>
        <v>-0.34407142857142503</v>
      </c>
      <c r="L7" s="11">
        <f t="shared" si="1"/>
        <v>-5.1500000000089585E-2</v>
      </c>
      <c r="M7" s="11">
        <f t="shared" si="1"/>
        <v>-0.12458333333330529</v>
      </c>
      <c r="N7" s="11">
        <f t="shared" si="1"/>
        <v>5.8916666666661399E-2</v>
      </c>
      <c r="O7" s="11">
        <f t="shared" si="1"/>
        <v>0.19784523809523336</v>
      </c>
      <c r="P7" s="11" t="str">
        <f t="shared" si="1"/>
        <v/>
      </c>
      <c r="Q7" s="11" t="str">
        <f t="shared" si="1"/>
        <v/>
      </c>
      <c r="R7" s="11">
        <f t="shared" si="1"/>
        <v>1.6666666666154129E-4</v>
      </c>
      <c r="S7" s="11">
        <f t="shared" si="1"/>
        <v>-2.3702380952379087E-2</v>
      </c>
      <c r="T7" s="11">
        <f t="shared" si="1"/>
        <v>5.1783571428571449</v>
      </c>
      <c r="U7" s="11">
        <f t="shared" si="1"/>
        <v>5.722845238095239</v>
      </c>
      <c r="V7" s="11" t="str">
        <f t="shared" si="1"/>
        <v/>
      </c>
      <c r="W7" s="11">
        <f t="shared" si="1"/>
        <v>0.10754761904761906</v>
      </c>
      <c r="X7" s="11">
        <f t="shared" si="1"/>
        <v>-2.6178571428571436E-2</v>
      </c>
      <c r="Y7" s="11" t="str">
        <f t="shared" si="1"/>
        <v/>
      </c>
      <c r="Z7" s="11">
        <f t="shared" si="1"/>
        <v>0.11451190476190479</v>
      </c>
      <c r="AA7" s="11">
        <f t="shared" si="1"/>
        <v>-5.8309523809523797E-2</v>
      </c>
      <c r="AB7" s="407">
        <f t="shared" si="1"/>
        <v>5.5880952380952378E-2</v>
      </c>
      <c r="AC7" s="407">
        <f t="shared" si="1"/>
        <v>7.6857142857142846E-2</v>
      </c>
      <c r="AD7" s="406">
        <f t="shared" si="1"/>
        <v>2.5369047619047628E-2</v>
      </c>
      <c r="AE7" s="406">
        <f t="shared" si="1"/>
        <v>9.8095238095238062E-3</v>
      </c>
      <c r="AF7" s="407">
        <f t="shared" si="1"/>
        <v>0.10417857142857144</v>
      </c>
      <c r="AG7" s="407">
        <f t="shared" si="1"/>
        <v>3.1357142857142861E-2</v>
      </c>
      <c r="AH7" s="406">
        <f t="shared" si="1"/>
        <v>-8.4166666666666556E-3</v>
      </c>
      <c r="AI7" s="406">
        <f t="shared" si="1"/>
        <v>-4.0630952380952393E-2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1018</v>
      </c>
      <c r="B9" t="s">
        <v>32</v>
      </c>
      <c r="C9" s="25">
        <v>43698.511469907404</v>
      </c>
      <c r="D9" s="741" t="s">
        <v>969</v>
      </c>
      <c r="E9" s="741">
        <f t="array" ref="E9">SUMPRODUCT(IF(AMP4_4[[#This Row],[Dim 1_1]:[T 8]]-$F$4:$AI$4&lt;0,1,0)+IF($F$5:$AI$5-AMP4_4[[#This Row],[Dim 1_1]:[T 8]]&lt;0,1,0),IF(ISNUMBER(AMP4_4[[#This Row],[Dim 1_1]:[T 8]])=TRUE,1,0))</f>
        <v>0</v>
      </c>
      <c r="F9">
        <v>41.552999999999997</v>
      </c>
      <c r="G9">
        <v>41.639000000000003</v>
      </c>
      <c r="H9">
        <v>155.87799999999999</v>
      </c>
      <c r="I9">
        <v>155.71899999999999</v>
      </c>
      <c r="L9">
        <v>156.00200000000001</v>
      </c>
      <c r="M9">
        <v>155.643</v>
      </c>
      <c r="N9">
        <v>27.123999999999999</v>
      </c>
      <c r="O9">
        <v>27.38</v>
      </c>
      <c r="R9">
        <v>17.234999999999999</v>
      </c>
      <c r="S9">
        <v>17.277999999999999</v>
      </c>
      <c r="T9">
        <v>34.186</v>
      </c>
      <c r="U9">
        <v>34.241</v>
      </c>
      <c r="W9">
        <v>0.14000000000000001</v>
      </c>
      <c r="X9">
        <v>-3.4000000000000002E-2</v>
      </c>
      <c r="Z9">
        <v>-4.5999999999999999E-2</v>
      </c>
      <c r="AA9">
        <v>-0.128</v>
      </c>
      <c r="AB9">
        <v>-3.4000000000000002E-2</v>
      </c>
      <c r="AC9">
        <v>-2.5000000000000001E-2</v>
      </c>
      <c r="AD9">
        <v>0.14000000000000001</v>
      </c>
      <c r="AE9">
        <v>7.5999999999999998E-2</v>
      </c>
      <c r="AF9">
        <v>-7.9000000000000001E-2</v>
      </c>
      <c r="AG9">
        <v>-0.128</v>
      </c>
      <c r="AH9">
        <v>-6.5000000000000002E-2</v>
      </c>
      <c r="AI9">
        <v>-4.5999999999999999E-2</v>
      </c>
    </row>
    <row r="10" spans="1:35" x14ac:dyDescent="0.25">
      <c r="A10" t="s">
        <v>1019</v>
      </c>
      <c r="B10" t="s">
        <v>31</v>
      </c>
      <c r="C10" s="25">
        <v>43698.513518518521</v>
      </c>
      <c r="D10" s="741" t="s">
        <v>969</v>
      </c>
      <c r="E10" s="741">
        <f t="array" ref="E10">SUMPRODUCT(IF(AMP4_4[[#This Row],[Dim 1_1]:[T 8]]-$F$4:$AI$4&lt;0,1,0)+IF($F$5:$AI$5-AMP4_4[[#This Row],[Dim 1_1]:[T 8]]&lt;0,1,0),IF(ISNUMBER(AMP4_4[[#This Row],[Dim 1_1]:[T 8]])=TRUE,1,0))</f>
        <v>0</v>
      </c>
      <c r="H10">
        <v>155.578</v>
      </c>
      <c r="I10">
        <v>155.803</v>
      </c>
      <c r="J10">
        <v>168.68600000000001</v>
      </c>
      <c r="K10">
        <v>168.572</v>
      </c>
      <c r="L10">
        <v>155.80699999999999</v>
      </c>
      <c r="M10">
        <v>155.76499999999999</v>
      </c>
      <c r="N10">
        <v>27.434999999999999</v>
      </c>
      <c r="O10">
        <v>27.547999999999998</v>
      </c>
      <c r="R10">
        <v>17.247</v>
      </c>
      <c r="S10">
        <v>17.155000000000001</v>
      </c>
      <c r="T10">
        <v>36.726999999999997</v>
      </c>
      <c r="U10">
        <v>37.61</v>
      </c>
      <c r="W10">
        <v>0</v>
      </c>
      <c r="X10">
        <v>-5.1999999999999998E-2</v>
      </c>
      <c r="Z10">
        <v>-1.0999999999999999E-2</v>
      </c>
      <c r="AA10">
        <v>-0.247</v>
      </c>
      <c r="AB10">
        <v>-3.5000000000000003E-2</v>
      </c>
      <c r="AC10">
        <v>0</v>
      </c>
      <c r="AD10">
        <v>-5.1999999999999998E-2</v>
      </c>
      <c r="AE10">
        <v>-3.2000000000000001E-2</v>
      </c>
      <c r="AF10">
        <v>-1.0999999999999999E-2</v>
      </c>
      <c r="AG10">
        <v>-0.13800000000000001</v>
      </c>
      <c r="AH10">
        <v>-3.2000000000000001E-2</v>
      </c>
      <c r="AI10">
        <v>-0.247</v>
      </c>
    </row>
    <row r="11" spans="1:35" x14ac:dyDescent="0.25">
      <c r="A11" t="s">
        <v>1020</v>
      </c>
      <c r="B11" t="s">
        <v>32</v>
      </c>
      <c r="C11" s="25">
        <v>43698.616087962961</v>
      </c>
      <c r="D11" s="741" t="s">
        <v>969</v>
      </c>
      <c r="E11" s="741">
        <f t="array" ref="E11">SUMPRODUCT(IF(AMP4_4[[#This Row],[Dim 1_1]:[T 8]]-$F$4:$AI$4&lt;0,1,0)+IF($F$5:$AI$5-AMP4_4[[#This Row],[Dim 1_1]:[T 8]]&lt;0,1,0),IF(ISNUMBER(AMP4_4[[#This Row],[Dim 1_1]:[T 8]])=TRUE,1,0))</f>
        <v>0</v>
      </c>
      <c r="F11">
        <v>41.533000000000001</v>
      </c>
      <c r="G11">
        <v>41.61</v>
      </c>
      <c r="H11">
        <v>155.66</v>
      </c>
      <c r="I11">
        <v>155.52199999999999</v>
      </c>
      <c r="L11">
        <v>155.74799999999999</v>
      </c>
      <c r="M11">
        <v>155.42599999999999</v>
      </c>
      <c r="N11">
        <v>27.431999999999999</v>
      </c>
      <c r="O11">
        <v>27.661000000000001</v>
      </c>
      <c r="R11">
        <v>17.248999999999999</v>
      </c>
      <c r="S11">
        <v>17.318000000000001</v>
      </c>
      <c r="T11">
        <v>33.954000000000001</v>
      </c>
      <c r="U11">
        <v>34.469000000000001</v>
      </c>
      <c r="W11">
        <v>0.218</v>
      </c>
      <c r="X11">
        <v>0.16600000000000001</v>
      </c>
      <c r="Z11">
        <v>0.192</v>
      </c>
      <c r="AA11">
        <v>9.9000000000000005E-2</v>
      </c>
      <c r="AB11">
        <v>0.17699999999999999</v>
      </c>
      <c r="AC11">
        <v>0.16600000000000001</v>
      </c>
      <c r="AD11">
        <v>0.218</v>
      </c>
      <c r="AE11">
        <v>0.20200000000000001</v>
      </c>
      <c r="AF11">
        <v>0.14399999999999999</v>
      </c>
      <c r="AG11">
        <v>0.11</v>
      </c>
      <c r="AH11">
        <v>9.9000000000000005E-2</v>
      </c>
      <c r="AI11">
        <v>0.192</v>
      </c>
    </row>
    <row r="12" spans="1:35" x14ac:dyDescent="0.25">
      <c r="A12" t="s">
        <v>1021</v>
      </c>
      <c r="B12" t="s">
        <v>31</v>
      </c>
      <c r="C12" s="25">
        <v>43698.61824074074</v>
      </c>
      <c r="D12" s="741" t="s">
        <v>969</v>
      </c>
      <c r="E12" s="741">
        <f t="array" ref="E12">SUMPRODUCT(IF(AMP4_4[[#This Row],[Dim 1_1]:[T 8]]-$F$4:$AI$4&lt;0,1,0)+IF($F$5:$AI$5-AMP4_4[[#This Row],[Dim 1_1]:[T 8]]&lt;0,1,0),IF(ISNUMBER(AMP4_4[[#This Row],[Dim 1_1]:[T 8]])=TRUE,1,0))</f>
        <v>0</v>
      </c>
      <c r="H12">
        <v>155.38900000000001</v>
      </c>
      <c r="I12">
        <v>155.57900000000001</v>
      </c>
      <c r="J12">
        <v>168.45699999999999</v>
      </c>
      <c r="K12">
        <v>168.339</v>
      </c>
      <c r="L12">
        <v>155.595</v>
      </c>
      <c r="M12">
        <v>155.50299999999999</v>
      </c>
      <c r="N12">
        <v>27.602</v>
      </c>
      <c r="O12">
        <v>27.696999999999999</v>
      </c>
      <c r="R12">
        <v>17.245999999999999</v>
      </c>
      <c r="S12">
        <v>17.234000000000002</v>
      </c>
      <c r="T12">
        <v>37.335999999999999</v>
      </c>
      <c r="U12">
        <v>37.661999999999999</v>
      </c>
      <c r="W12">
        <v>0.19700000000000001</v>
      </c>
      <c r="X12">
        <v>-7.1999999999999995E-2</v>
      </c>
      <c r="Z12">
        <v>0.20799999999999999</v>
      </c>
      <c r="AA12">
        <v>-7.1999999999999995E-2</v>
      </c>
      <c r="AB12">
        <v>0.16900000000000001</v>
      </c>
      <c r="AC12">
        <v>0.19700000000000001</v>
      </c>
      <c r="AD12">
        <v>-1.4E-2</v>
      </c>
      <c r="AE12">
        <v>-7.1999999999999995E-2</v>
      </c>
      <c r="AF12">
        <v>0.20799999999999999</v>
      </c>
      <c r="AG12">
        <v>0.14699999999999999</v>
      </c>
      <c r="AH12">
        <v>-7.1999999999999995E-2</v>
      </c>
      <c r="AI12">
        <v>8.9999999999999993E-3</v>
      </c>
    </row>
    <row r="13" spans="1:35" x14ac:dyDescent="0.25">
      <c r="A13" t="s">
        <v>1022</v>
      </c>
      <c r="B13" t="s">
        <v>32</v>
      </c>
      <c r="C13" s="25">
        <v>43698.797222222223</v>
      </c>
      <c r="D13" s="741" t="s">
        <v>969</v>
      </c>
      <c r="E13" s="741">
        <f t="array" ref="E13">SUMPRODUCT(IF(AMP4_4[[#This Row],[Dim 1_1]:[T 8]]-$F$4:$AI$4&lt;0,1,0)+IF($F$5:$AI$5-AMP4_4[[#This Row],[Dim 1_1]:[T 8]]&lt;0,1,0),IF(ISNUMBER(AMP4_4[[#This Row],[Dim 1_1]:[T 8]])=TRUE,1,0))</f>
        <v>0</v>
      </c>
      <c r="F13">
        <v>41.63</v>
      </c>
      <c r="G13">
        <v>41.561</v>
      </c>
      <c r="H13">
        <v>155.721</v>
      </c>
      <c r="I13">
        <v>155.56899999999999</v>
      </c>
      <c r="L13">
        <v>155.83099999999999</v>
      </c>
      <c r="M13">
        <v>155.49199999999999</v>
      </c>
      <c r="N13">
        <v>27.356999999999999</v>
      </c>
      <c r="O13">
        <v>27.588000000000001</v>
      </c>
      <c r="R13">
        <v>17.277000000000001</v>
      </c>
      <c r="S13">
        <v>17.314</v>
      </c>
      <c r="T13">
        <v>33.527000000000001</v>
      </c>
      <c r="U13">
        <v>34.524999999999999</v>
      </c>
      <c r="W13">
        <v>0.19</v>
      </c>
      <c r="X13">
        <v>8.2000000000000003E-2</v>
      </c>
      <c r="Z13">
        <v>0.14299999999999999</v>
      </c>
      <c r="AA13">
        <v>3.3000000000000002E-2</v>
      </c>
      <c r="AB13">
        <v>8.2000000000000003E-2</v>
      </c>
      <c r="AC13">
        <v>9.4E-2</v>
      </c>
      <c r="AD13">
        <v>0.19</v>
      </c>
      <c r="AE13">
        <v>0.12</v>
      </c>
      <c r="AF13">
        <v>7.3999999999999996E-2</v>
      </c>
      <c r="AG13">
        <v>3.3000000000000002E-2</v>
      </c>
      <c r="AH13">
        <v>8.1000000000000003E-2</v>
      </c>
      <c r="AI13">
        <v>0.14299999999999999</v>
      </c>
    </row>
    <row r="14" spans="1:35" x14ac:dyDescent="0.25">
      <c r="A14" t="s">
        <v>1023</v>
      </c>
      <c r="B14" t="s">
        <v>31</v>
      </c>
      <c r="C14" s="25">
        <v>43698.799351851849</v>
      </c>
      <c r="D14" s="741" t="s">
        <v>969</v>
      </c>
      <c r="E14" s="741">
        <f t="array" ref="E14">SUMPRODUCT(IF(AMP4_4[[#This Row],[Dim 1_1]:[T 8]]-$F$4:$AI$4&lt;0,1,0)+IF($F$5:$AI$5-AMP4_4[[#This Row],[Dim 1_1]:[T 8]]&lt;0,1,0),IF(ISNUMBER(AMP4_4[[#This Row],[Dim 1_1]:[T 8]])=TRUE,1,0))</f>
        <v>0</v>
      </c>
      <c r="H14">
        <v>155.44300000000001</v>
      </c>
      <c r="I14">
        <v>155.602</v>
      </c>
      <c r="J14">
        <v>168.619</v>
      </c>
      <c r="K14">
        <v>168.13900000000001</v>
      </c>
      <c r="L14">
        <v>155.66200000000001</v>
      </c>
      <c r="M14">
        <v>155.55500000000001</v>
      </c>
      <c r="N14">
        <v>27.533999999999999</v>
      </c>
      <c r="O14">
        <v>27.68</v>
      </c>
      <c r="R14">
        <v>17.266999999999999</v>
      </c>
      <c r="S14">
        <v>17.202000000000002</v>
      </c>
      <c r="T14">
        <v>39.662999999999997</v>
      </c>
      <c r="U14">
        <v>38.744</v>
      </c>
      <c r="W14">
        <v>0.129</v>
      </c>
      <c r="X14">
        <v>-1.4999999999999999E-2</v>
      </c>
      <c r="Z14">
        <v>0.161</v>
      </c>
      <c r="AA14">
        <v>-1.2E-2</v>
      </c>
      <c r="AB14">
        <v>8.6999999999999994E-2</v>
      </c>
      <c r="AC14">
        <v>0.129</v>
      </c>
      <c r="AD14">
        <v>6.0000000000000001E-3</v>
      </c>
      <c r="AE14">
        <v>-1.4999999999999999E-2</v>
      </c>
      <c r="AF14">
        <v>0.161</v>
      </c>
      <c r="AG14">
        <v>8.5000000000000006E-2</v>
      </c>
      <c r="AH14">
        <v>-1.2E-2</v>
      </c>
      <c r="AI14">
        <v>-3.0000000000000001E-3</v>
      </c>
    </row>
    <row r="15" spans="1:35" x14ac:dyDescent="0.25">
      <c r="A15" t="s">
        <v>1024</v>
      </c>
      <c r="B15" t="s">
        <v>32</v>
      </c>
      <c r="C15" s="25">
        <v>43698.818414351852</v>
      </c>
      <c r="D15" s="741" t="s">
        <v>969</v>
      </c>
      <c r="E15" s="741">
        <f t="array" ref="E15">SUMPRODUCT(IF(AMP4_4[[#This Row],[Dim 1_1]:[T 8]]-$F$4:$AI$4&lt;0,1,0)+IF($F$5:$AI$5-AMP4_4[[#This Row],[Dim 1_1]:[T 8]]&lt;0,1,0),IF(ISNUMBER(AMP4_4[[#This Row],[Dim 1_1]:[T 8]])=TRUE,1,0))</f>
        <v>0</v>
      </c>
      <c r="F15">
        <v>41.521999999999998</v>
      </c>
      <c r="G15">
        <v>41.460999999999999</v>
      </c>
      <c r="H15">
        <v>155.709</v>
      </c>
      <c r="I15">
        <v>155.596</v>
      </c>
      <c r="L15">
        <v>155.82900000000001</v>
      </c>
      <c r="M15">
        <v>155.52600000000001</v>
      </c>
      <c r="N15">
        <v>27.326000000000001</v>
      </c>
      <c r="O15">
        <v>27.542999999999999</v>
      </c>
      <c r="R15">
        <v>17.239000000000001</v>
      </c>
      <c r="S15">
        <v>17.303999999999998</v>
      </c>
      <c r="T15">
        <v>33.896000000000001</v>
      </c>
      <c r="U15">
        <v>34.432000000000002</v>
      </c>
      <c r="W15">
        <v>0.14299999999999999</v>
      </c>
      <c r="X15">
        <v>2.5000000000000001E-2</v>
      </c>
      <c r="Z15">
        <v>0.09</v>
      </c>
      <c r="AA15">
        <v>2.1000000000000001E-2</v>
      </c>
      <c r="AB15">
        <v>8.6999999999999994E-2</v>
      </c>
      <c r="AC15">
        <v>8.5000000000000006E-2</v>
      </c>
      <c r="AD15">
        <v>0.14299999999999999</v>
      </c>
      <c r="AE15">
        <v>2.5000000000000001E-2</v>
      </c>
      <c r="AF15">
        <v>0.09</v>
      </c>
      <c r="AG15">
        <v>4.2000000000000003E-2</v>
      </c>
      <c r="AH15">
        <v>2.1000000000000001E-2</v>
      </c>
      <c r="AI15">
        <v>8.8999999999999996E-2</v>
      </c>
    </row>
    <row r="16" spans="1:35" x14ac:dyDescent="0.25">
      <c r="A16" t="s">
        <v>1025</v>
      </c>
      <c r="B16" t="s">
        <v>31</v>
      </c>
      <c r="C16" s="25">
        <v>43698.820405092592</v>
      </c>
      <c r="D16" s="741" t="s">
        <v>969</v>
      </c>
      <c r="E16" s="741">
        <f t="array" ref="E16">SUMPRODUCT(IF(AMP4_4[[#This Row],[Dim 1_1]:[T 8]]-$F$4:$AI$4&lt;0,1,0)+IF($F$5:$AI$5-AMP4_4[[#This Row],[Dim 1_1]:[T 8]]&lt;0,1,0),IF(ISNUMBER(AMP4_4[[#This Row],[Dim 1_1]:[T 8]])=TRUE,1,0))</f>
        <v>0</v>
      </c>
      <c r="H16">
        <v>155.464</v>
      </c>
      <c r="I16">
        <v>155.648</v>
      </c>
      <c r="J16">
        <v>168.547</v>
      </c>
      <c r="K16">
        <v>168.27</v>
      </c>
      <c r="L16">
        <v>155.643</v>
      </c>
      <c r="M16">
        <v>155.577</v>
      </c>
      <c r="N16">
        <v>27.568000000000001</v>
      </c>
      <c r="O16">
        <v>27.657</v>
      </c>
      <c r="R16">
        <v>17.231000000000002</v>
      </c>
      <c r="S16">
        <v>17.231999999999999</v>
      </c>
      <c r="T16">
        <v>37.707000000000001</v>
      </c>
      <c r="U16">
        <v>37.786999999999999</v>
      </c>
      <c r="W16">
        <v>0.13900000000000001</v>
      </c>
      <c r="X16">
        <v>-6.0999999999999999E-2</v>
      </c>
      <c r="Z16">
        <v>0.129</v>
      </c>
      <c r="AA16">
        <v>-7.3999999999999996E-2</v>
      </c>
      <c r="AB16">
        <v>0.11899999999999999</v>
      </c>
      <c r="AC16">
        <v>0.13900000000000001</v>
      </c>
      <c r="AD16">
        <v>-1.4E-2</v>
      </c>
      <c r="AE16">
        <v>-6.0999999999999999E-2</v>
      </c>
      <c r="AF16">
        <v>0.129</v>
      </c>
      <c r="AG16">
        <v>5.8999999999999997E-2</v>
      </c>
      <c r="AH16">
        <v>-6.8000000000000005E-2</v>
      </c>
      <c r="AI16">
        <v>-7.3999999999999996E-2</v>
      </c>
    </row>
    <row r="17" spans="1:35" x14ac:dyDescent="0.25">
      <c r="A17" t="s">
        <v>1026</v>
      </c>
      <c r="B17" t="s">
        <v>32</v>
      </c>
      <c r="C17" s="25">
        <v>43698.868796296294</v>
      </c>
      <c r="D17" s="741" t="s">
        <v>969</v>
      </c>
      <c r="E17" s="741">
        <f t="array" ref="E17">SUMPRODUCT(IF(AMP4_4[[#This Row],[Dim 1_1]:[T 8]]-$F$4:$AI$4&lt;0,1,0)+IF($F$5:$AI$5-AMP4_4[[#This Row],[Dim 1_1]:[T 8]]&lt;0,1,0),IF(ISNUMBER(AMP4_4[[#This Row],[Dim 1_1]:[T 8]])=TRUE,1,0))</f>
        <v>0</v>
      </c>
      <c r="F17">
        <v>41.435000000000002</v>
      </c>
      <c r="G17">
        <v>41.343000000000004</v>
      </c>
      <c r="H17">
        <v>155.74600000000001</v>
      </c>
      <c r="I17">
        <v>155.655</v>
      </c>
      <c r="L17">
        <v>155.875</v>
      </c>
      <c r="M17">
        <v>155.607</v>
      </c>
      <c r="N17">
        <v>27.294</v>
      </c>
      <c r="O17">
        <v>27.481999999999999</v>
      </c>
      <c r="R17">
        <v>17.236999999999998</v>
      </c>
      <c r="S17">
        <v>17.213000000000001</v>
      </c>
      <c r="T17">
        <v>33.51</v>
      </c>
      <c r="U17">
        <v>34.667000000000002</v>
      </c>
      <c r="W17">
        <v>0.11799999999999999</v>
      </c>
      <c r="X17">
        <v>-4.4999999999999998E-2</v>
      </c>
      <c r="Z17">
        <v>0.154</v>
      </c>
      <c r="AA17">
        <v>2.1999999999999999E-2</v>
      </c>
      <c r="AB17">
        <v>-2.4E-2</v>
      </c>
      <c r="AC17">
        <v>-1.9E-2</v>
      </c>
      <c r="AD17">
        <v>0.11799999999999999</v>
      </c>
      <c r="AE17">
        <v>-4.4999999999999998E-2</v>
      </c>
      <c r="AF17">
        <v>6.8000000000000005E-2</v>
      </c>
      <c r="AG17">
        <v>2.1999999999999999E-2</v>
      </c>
      <c r="AH17">
        <v>0.108</v>
      </c>
      <c r="AI17">
        <v>0.154</v>
      </c>
    </row>
    <row r="18" spans="1:35" x14ac:dyDescent="0.25">
      <c r="A18" t="s">
        <v>1027</v>
      </c>
      <c r="B18" t="s">
        <v>31</v>
      </c>
      <c r="C18" s="25">
        <v>43698.870833333334</v>
      </c>
      <c r="D18" s="741" t="s">
        <v>969</v>
      </c>
      <c r="E18" s="741">
        <f t="array" ref="E18">SUMPRODUCT(IF(AMP4_4[[#This Row],[Dim 1_1]:[T 8]]-$F$4:$AI$4&lt;0,1,0)+IF($F$5:$AI$5-AMP4_4[[#This Row],[Dim 1_1]:[T 8]]&lt;0,1,0),IF(ISNUMBER(AMP4_4[[#This Row],[Dim 1_1]:[T 8]])=TRUE,1,0))</f>
        <v>0</v>
      </c>
      <c r="H18">
        <v>155.50800000000001</v>
      </c>
      <c r="I18">
        <v>155.67599999999999</v>
      </c>
      <c r="J18">
        <v>168.483</v>
      </c>
      <c r="K18">
        <v>168.32300000000001</v>
      </c>
      <c r="L18">
        <v>155.69499999999999</v>
      </c>
      <c r="M18">
        <v>155.64099999999999</v>
      </c>
      <c r="N18">
        <v>27.521999999999998</v>
      </c>
      <c r="O18">
        <v>27.594000000000001</v>
      </c>
      <c r="R18">
        <v>17.248999999999999</v>
      </c>
      <c r="S18">
        <v>17.318999999999999</v>
      </c>
      <c r="T18">
        <v>36.627000000000002</v>
      </c>
      <c r="U18">
        <v>35.741</v>
      </c>
      <c r="W18">
        <v>0.11700000000000001</v>
      </c>
      <c r="X18">
        <v>-0.108</v>
      </c>
      <c r="Z18">
        <v>0.123</v>
      </c>
      <c r="AA18">
        <v>-0.125</v>
      </c>
      <c r="AB18">
        <v>0.1</v>
      </c>
      <c r="AC18">
        <v>0.11700000000000001</v>
      </c>
      <c r="AD18">
        <v>-0.108</v>
      </c>
      <c r="AE18">
        <v>-9.6000000000000002E-2</v>
      </c>
      <c r="AF18">
        <v>0.123</v>
      </c>
      <c r="AG18">
        <v>6.0999999999999999E-2</v>
      </c>
      <c r="AH18">
        <v>-0.115</v>
      </c>
      <c r="AI18">
        <v>-0.125</v>
      </c>
    </row>
    <row r="19" spans="1:35" x14ac:dyDescent="0.25">
      <c r="A19" t="s">
        <v>1028</v>
      </c>
      <c r="B19" t="s">
        <v>32</v>
      </c>
      <c r="C19" s="25">
        <v>43698.956828703704</v>
      </c>
      <c r="D19" s="741" t="s">
        <v>969</v>
      </c>
      <c r="E19" s="741">
        <f t="array" ref="E19">SUMPRODUCT(IF(AMP4_4[[#This Row],[Dim 1_1]:[T 8]]-$F$4:$AI$4&lt;0,1,0)+IF($F$5:$AI$5-AMP4_4[[#This Row],[Dim 1_1]:[T 8]]&lt;0,1,0),IF(ISNUMBER(AMP4_4[[#This Row],[Dim 1_1]:[T 8]])=TRUE,1,0))</f>
        <v>0</v>
      </c>
      <c r="F19">
        <v>41.497</v>
      </c>
      <c r="G19">
        <v>41.463000000000001</v>
      </c>
      <c r="H19">
        <v>155.751</v>
      </c>
      <c r="I19">
        <v>155.61500000000001</v>
      </c>
      <c r="L19">
        <v>155.87299999999999</v>
      </c>
      <c r="M19">
        <v>155.54400000000001</v>
      </c>
      <c r="N19">
        <v>27.291</v>
      </c>
      <c r="O19">
        <v>27.542999999999999</v>
      </c>
      <c r="R19">
        <v>17.225000000000001</v>
      </c>
      <c r="S19">
        <v>17.227</v>
      </c>
      <c r="T19">
        <v>33.834000000000003</v>
      </c>
      <c r="U19">
        <v>34.6</v>
      </c>
      <c r="W19">
        <v>0.21</v>
      </c>
      <c r="X19">
        <v>0.10100000000000001</v>
      </c>
      <c r="Z19">
        <v>0.14199999999999999</v>
      </c>
      <c r="AA19">
        <v>1.7000000000000001E-2</v>
      </c>
      <c r="AB19">
        <v>0.10100000000000001</v>
      </c>
      <c r="AC19">
        <v>0.10199999999999999</v>
      </c>
      <c r="AD19">
        <v>0.21</v>
      </c>
      <c r="AE19">
        <v>0.112</v>
      </c>
      <c r="AF19">
        <v>8.6999999999999994E-2</v>
      </c>
      <c r="AG19">
        <v>1.7000000000000001E-2</v>
      </c>
      <c r="AH19">
        <v>9.9000000000000005E-2</v>
      </c>
      <c r="AI19">
        <v>0.14199999999999999</v>
      </c>
    </row>
    <row r="20" spans="1:35" x14ac:dyDescent="0.25">
      <c r="A20" t="s">
        <v>1029</v>
      </c>
      <c r="B20" t="s">
        <v>31</v>
      </c>
      <c r="C20" s="25">
        <v>43698.959756944445</v>
      </c>
      <c r="D20" s="741" t="s">
        <v>969</v>
      </c>
      <c r="E20" s="741">
        <f t="array" ref="E20">SUMPRODUCT(IF(AMP4_4[[#This Row],[Dim 1_1]:[T 8]]-$F$4:$AI$4&lt;0,1,0)+IF($F$5:$AI$5-AMP4_4[[#This Row],[Dim 1_1]:[T 8]]&lt;0,1,0),IF(ISNUMBER(AMP4_4[[#This Row],[Dim 1_1]:[T 8]])=TRUE,1,0))</f>
        <v>0</v>
      </c>
      <c r="H20">
        <v>155.47200000000001</v>
      </c>
      <c r="I20">
        <v>155.64599999999999</v>
      </c>
      <c r="J20">
        <v>168.51499999999999</v>
      </c>
      <c r="K20">
        <v>168.251</v>
      </c>
      <c r="L20">
        <v>155.631</v>
      </c>
      <c r="M20">
        <v>155.589</v>
      </c>
      <c r="N20">
        <v>27.579000000000001</v>
      </c>
      <c r="O20">
        <v>27.65</v>
      </c>
      <c r="R20">
        <v>17.242999999999999</v>
      </c>
      <c r="S20">
        <v>17.210999999999999</v>
      </c>
      <c r="T20">
        <v>39.314999999999998</v>
      </c>
      <c r="U20">
        <v>38.734000000000002</v>
      </c>
      <c r="W20">
        <v>0.11</v>
      </c>
      <c r="X20">
        <v>-6.3E-2</v>
      </c>
      <c r="Z20">
        <v>7.8E-2</v>
      </c>
      <c r="AA20">
        <v>-0.108</v>
      </c>
      <c r="AB20">
        <v>9.6000000000000002E-2</v>
      </c>
      <c r="AC20">
        <v>0.11</v>
      </c>
      <c r="AD20">
        <v>-3.6999999999999998E-2</v>
      </c>
      <c r="AE20">
        <v>-6.3E-2</v>
      </c>
      <c r="AF20">
        <v>7.8E-2</v>
      </c>
      <c r="AG20">
        <v>2.5999999999999999E-2</v>
      </c>
      <c r="AH20">
        <v>-0.107</v>
      </c>
      <c r="AI20">
        <v>-0.108</v>
      </c>
    </row>
    <row r="21" spans="1:35" x14ac:dyDescent="0.25">
      <c r="A21" t="s">
        <v>1030</v>
      </c>
      <c r="B21" t="s">
        <v>32</v>
      </c>
      <c r="C21" s="25">
        <v>43699.041145833333</v>
      </c>
      <c r="D21" s="741" t="s">
        <v>969</v>
      </c>
      <c r="E21" s="741">
        <f t="array" ref="E21">SUMPRODUCT(IF(AMP4_4[[#This Row],[Dim 1_1]:[T 8]]-$F$4:$AI$4&lt;0,1,0)+IF($F$5:$AI$5-AMP4_4[[#This Row],[Dim 1_1]:[T 8]]&lt;0,1,0),IF(ISNUMBER(AMP4_4[[#This Row],[Dim 1_1]:[T 8]])=TRUE,1,0))</f>
        <v>0</v>
      </c>
      <c r="F21">
        <v>41.399000000000001</v>
      </c>
      <c r="G21">
        <v>41.320999999999998</v>
      </c>
      <c r="H21">
        <v>155.82900000000001</v>
      </c>
      <c r="I21">
        <v>155.73099999999999</v>
      </c>
      <c r="L21">
        <v>155.952</v>
      </c>
      <c r="M21">
        <v>155.67500000000001</v>
      </c>
      <c r="N21">
        <v>27.19</v>
      </c>
      <c r="O21">
        <v>27.39</v>
      </c>
      <c r="R21">
        <v>17.236000000000001</v>
      </c>
      <c r="S21">
        <v>17.206</v>
      </c>
      <c r="T21">
        <v>33.725000000000001</v>
      </c>
      <c r="U21">
        <v>34.468000000000004</v>
      </c>
      <c r="W21">
        <v>0.14399999999999999</v>
      </c>
      <c r="X21">
        <v>-0.13900000000000001</v>
      </c>
      <c r="Z21">
        <v>5.0999999999999997E-2</v>
      </c>
      <c r="AA21">
        <v>-9.8000000000000004E-2</v>
      </c>
      <c r="AB21">
        <v>-0.10199999999999999</v>
      </c>
      <c r="AC21">
        <v>-0.13900000000000001</v>
      </c>
      <c r="AD21">
        <v>0.14399999999999999</v>
      </c>
      <c r="AE21">
        <v>-0.11799999999999999</v>
      </c>
      <c r="AF21">
        <v>-4.9000000000000002E-2</v>
      </c>
      <c r="AG21">
        <v>-9.8000000000000004E-2</v>
      </c>
      <c r="AH21">
        <v>2.8000000000000001E-2</v>
      </c>
      <c r="AI21">
        <v>5.0999999999999997E-2</v>
      </c>
    </row>
    <row r="22" spans="1:35" x14ac:dyDescent="0.25">
      <c r="A22" t="s">
        <v>1031</v>
      </c>
      <c r="B22" t="s">
        <v>31</v>
      </c>
      <c r="C22" s="25">
        <v>43699.043587962966</v>
      </c>
      <c r="D22" s="741" t="s">
        <v>969</v>
      </c>
      <c r="E22" s="741">
        <f t="array" ref="E22">SUMPRODUCT(IF(AMP4_4[[#This Row],[Dim 1_1]:[T 8]]-$F$4:$AI$4&lt;0,1,0)+IF($F$5:$AI$5-AMP4_4[[#This Row],[Dim 1_1]:[T 8]]&lt;0,1,0),IF(ISNUMBER(AMP4_4[[#This Row],[Dim 1_1]:[T 8]])=TRUE,1,0))</f>
        <v>0</v>
      </c>
      <c r="H22">
        <v>155.559</v>
      </c>
      <c r="I22">
        <v>155.69900000000001</v>
      </c>
      <c r="J22">
        <v>168.54</v>
      </c>
      <c r="K22">
        <v>168.37</v>
      </c>
      <c r="L22">
        <v>155.761</v>
      </c>
      <c r="M22">
        <v>155.68600000000001</v>
      </c>
      <c r="N22">
        <v>27.472999999999999</v>
      </c>
      <c r="O22">
        <v>27.579000000000001</v>
      </c>
      <c r="R22">
        <v>17.236999999999998</v>
      </c>
      <c r="S22">
        <v>17.231999999999999</v>
      </c>
      <c r="T22">
        <v>36.613999999999997</v>
      </c>
      <c r="U22">
        <v>36.725000000000001</v>
      </c>
      <c r="W22">
        <v>4.7E-2</v>
      </c>
      <c r="X22">
        <v>-2.5000000000000001E-2</v>
      </c>
      <c r="Z22">
        <v>0.02</v>
      </c>
      <c r="AA22">
        <v>-0.108</v>
      </c>
      <c r="AB22">
        <v>0.03</v>
      </c>
      <c r="AC22">
        <v>4.7E-2</v>
      </c>
      <c r="AD22">
        <v>-1.2999999999999999E-2</v>
      </c>
      <c r="AE22">
        <v>-2.5000000000000001E-2</v>
      </c>
      <c r="AF22">
        <v>0.02</v>
      </c>
      <c r="AG22">
        <v>-5.1999999999999998E-2</v>
      </c>
      <c r="AH22">
        <v>-1.9E-2</v>
      </c>
      <c r="AI22">
        <v>-0.108</v>
      </c>
    </row>
    <row r="23" spans="1:35" x14ac:dyDescent="0.25">
      <c r="A23" t="s">
        <v>1032</v>
      </c>
      <c r="B23" t="s">
        <v>32</v>
      </c>
      <c r="C23" s="25">
        <v>43699.360208333332</v>
      </c>
      <c r="D23" s="741" t="s">
        <v>969</v>
      </c>
      <c r="E23" s="741">
        <f t="array" ref="E23">SUMPRODUCT(IF(AMP4_4[[#This Row],[Dim 1_1]:[T 8]]-$F$4:$AI$4&lt;0,1,0)+IF($F$5:$AI$5-AMP4_4[[#This Row],[Dim 1_1]:[T 8]]&lt;0,1,0),IF(ISNUMBER(AMP4_4[[#This Row],[Dim 1_1]:[T 8]])=TRUE,1,0))</f>
        <v>0</v>
      </c>
      <c r="F23">
        <v>41.326000000000001</v>
      </c>
      <c r="G23">
        <v>41.32</v>
      </c>
      <c r="H23">
        <v>155.78299999999999</v>
      </c>
      <c r="I23">
        <v>155.69800000000001</v>
      </c>
      <c r="L23">
        <v>155.88499999999999</v>
      </c>
      <c r="M23">
        <v>155.625</v>
      </c>
      <c r="N23">
        <v>27.259</v>
      </c>
      <c r="O23">
        <v>27.463999999999999</v>
      </c>
      <c r="R23">
        <v>17.254999999999999</v>
      </c>
      <c r="S23">
        <v>17.256</v>
      </c>
      <c r="T23">
        <v>33.948</v>
      </c>
      <c r="U23">
        <v>34.573999999999998</v>
      </c>
      <c r="W23">
        <v>0.121</v>
      </c>
      <c r="X23">
        <v>-0.01</v>
      </c>
      <c r="Z23">
        <v>0.16</v>
      </c>
      <c r="AA23">
        <v>3.3000000000000002E-2</v>
      </c>
      <c r="AB23">
        <v>1.7999999999999999E-2</v>
      </c>
      <c r="AC23">
        <v>1.7999999999999999E-2</v>
      </c>
      <c r="AD23">
        <v>0.121</v>
      </c>
      <c r="AE23">
        <v>-0.01</v>
      </c>
      <c r="AF23">
        <v>7.2999999999999995E-2</v>
      </c>
      <c r="AG23">
        <v>3.3000000000000002E-2</v>
      </c>
      <c r="AH23">
        <v>0.108</v>
      </c>
      <c r="AI23">
        <v>0.16</v>
      </c>
    </row>
    <row r="24" spans="1:35" x14ac:dyDescent="0.25">
      <c r="A24" t="s">
        <v>1033</v>
      </c>
      <c r="B24" t="s">
        <v>31</v>
      </c>
      <c r="C24" s="25">
        <v>43699.362384259257</v>
      </c>
      <c r="D24" s="741" t="s">
        <v>969</v>
      </c>
      <c r="E24" s="741">
        <f t="array" ref="E24">SUMPRODUCT(IF(AMP4_4[[#This Row],[Dim 1_1]:[T 8]]-$F$4:$AI$4&lt;0,1,0)+IF($F$5:$AI$5-AMP4_4[[#This Row],[Dim 1_1]:[T 8]]&lt;0,1,0),IF(ISNUMBER(AMP4_4[[#This Row],[Dim 1_1]:[T 8]])=TRUE,1,0))</f>
        <v>0</v>
      </c>
      <c r="H24">
        <v>155.54599999999999</v>
      </c>
      <c r="I24">
        <v>155.709</v>
      </c>
      <c r="J24">
        <v>168.37</v>
      </c>
      <c r="K24">
        <v>168.21799999999999</v>
      </c>
      <c r="L24">
        <v>155.76</v>
      </c>
      <c r="M24">
        <v>155.649</v>
      </c>
      <c r="N24">
        <v>27.474</v>
      </c>
      <c r="O24">
        <v>27.620999999999999</v>
      </c>
      <c r="R24">
        <v>17.207999999999998</v>
      </c>
      <c r="S24">
        <v>17.248999999999999</v>
      </c>
      <c r="T24">
        <v>36.384</v>
      </c>
      <c r="U24">
        <v>37.277000000000001</v>
      </c>
      <c r="W24">
        <v>6.2E-2</v>
      </c>
      <c r="X24">
        <v>-8.5999999999999993E-2</v>
      </c>
      <c r="Z24">
        <v>6.4000000000000001E-2</v>
      </c>
      <c r="AA24">
        <v>-0.188</v>
      </c>
      <c r="AB24">
        <v>3.6999999999999998E-2</v>
      </c>
      <c r="AC24">
        <v>6.2E-2</v>
      </c>
      <c r="AD24">
        <v>-5.8999999999999997E-2</v>
      </c>
      <c r="AE24">
        <v>-8.5999999999999993E-2</v>
      </c>
      <c r="AF24">
        <v>6.4000000000000001E-2</v>
      </c>
      <c r="AG24">
        <v>-5.0000000000000001E-3</v>
      </c>
      <c r="AH24">
        <v>-0.188</v>
      </c>
      <c r="AI24">
        <v>-0.109</v>
      </c>
    </row>
    <row r="25" spans="1:35" x14ac:dyDescent="0.25">
      <c r="A25" t="s">
        <v>1034</v>
      </c>
      <c r="B25" t="s">
        <v>32</v>
      </c>
      <c r="C25" s="25">
        <v>43699.450092592589</v>
      </c>
      <c r="D25" s="741" t="s">
        <v>969</v>
      </c>
      <c r="E25" s="741">
        <f t="array" ref="E25">SUMPRODUCT(IF(AMP4_4[[#This Row],[Dim 1_1]:[T 8]]-$F$4:$AI$4&lt;0,1,0)+IF($F$5:$AI$5-AMP4_4[[#This Row],[Dim 1_1]:[T 8]]&lt;0,1,0),IF(ISNUMBER(AMP4_4[[#This Row],[Dim 1_1]:[T 8]])=TRUE,1,0))</f>
        <v>0</v>
      </c>
      <c r="F25">
        <v>41.485999999999997</v>
      </c>
      <c r="G25">
        <v>41.470999999999997</v>
      </c>
      <c r="H25">
        <v>155.80699999999999</v>
      </c>
      <c r="I25">
        <v>155.66499999999999</v>
      </c>
      <c r="L25">
        <v>155.90799999999999</v>
      </c>
      <c r="M25">
        <v>155.584</v>
      </c>
      <c r="N25">
        <v>27.24</v>
      </c>
      <c r="O25">
        <v>27.489000000000001</v>
      </c>
      <c r="R25">
        <v>17.266999999999999</v>
      </c>
      <c r="S25">
        <v>17.154</v>
      </c>
      <c r="T25">
        <v>33.768999999999998</v>
      </c>
      <c r="U25">
        <v>34.732999999999997</v>
      </c>
      <c r="W25">
        <v>0.28199999999999997</v>
      </c>
      <c r="X25">
        <v>-4.5999999999999999E-2</v>
      </c>
      <c r="Z25">
        <v>0.26200000000000001</v>
      </c>
      <c r="AA25">
        <v>3.0000000000000001E-3</v>
      </c>
      <c r="AB25">
        <v>8.0000000000000002E-3</v>
      </c>
      <c r="AC25">
        <v>-4.5999999999999999E-2</v>
      </c>
      <c r="AD25">
        <v>0.28199999999999997</v>
      </c>
      <c r="AE25">
        <v>5.5E-2</v>
      </c>
      <c r="AF25">
        <v>4.4999999999999998E-2</v>
      </c>
      <c r="AG25">
        <v>3.0000000000000001E-3</v>
      </c>
      <c r="AH25">
        <v>0.20200000000000001</v>
      </c>
      <c r="AI25">
        <v>0.26200000000000001</v>
      </c>
    </row>
    <row r="26" spans="1:35" x14ac:dyDescent="0.25">
      <c r="A26" t="s">
        <v>1035</v>
      </c>
      <c r="B26" t="s">
        <v>31</v>
      </c>
      <c r="C26" s="25">
        <v>43699.452152777776</v>
      </c>
      <c r="D26" s="741" t="s">
        <v>969</v>
      </c>
      <c r="E26" s="741">
        <f t="array" ref="E26">SUMPRODUCT(IF(AMP4_4[[#This Row],[Dim 1_1]:[T 8]]-$F$4:$AI$4&lt;0,1,0)+IF($F$5:$AI$5-AMP4_4[[#This Row],[Dim 1_1]:[T 8]]&lt;0,1,0),IF(ISNUMBER(AMP4_4[[#This Row],[Dim 1_1]:[T 8]])=TRUE,1,0))</f>
        <v>0</v>
      </c>
      <c r="H26">
        <v>155.55699999999999</v>
      </c>
      <c r="I26">
        <v>155.69399999999999</v>
      </c>
      <c r="J26">
        <v>168.62200000000001</v>
      </c>
      <c r="K26">
        <v>168.398</v>
      </c>
      <c r="L26">
        <v>155.749</v>
      </c>
      <c r="M26">
        <v>155.65700000000001</v>
      </c>
      <c r="N26">
        <v>27.463000000000001</v>
      </c>
      <c r="O26">
        <v>27.613</v>
      </c>
      <c r="R26">
        <v>17.260999999999999</v>
      </c>
      <c r="S26">
        <v>17.213999999999999</v>
      </c>
      <c r="T26">
        <v>37.295000000000002</v>
      </c>
      <c r="U26">
        <v>38.796999999999997</v>
      </c>
      <c r="W26">
        <v>0.121</v>
      </c>
      <c r="X26">
        <v>6.0000000000000001E-3</v>
      </c>
      <c r="Z26">
        <v>0.10299999999999999</v>
      </c>
      <c r="AA26">
        <v>-3.4000000000000002E-2</v>
      </c>
      <c r="AB26">
        <v>0.1</v>
      </c>
      <c r="AC26">
        <v>0.121</v>
      </c>
      <c r="AD26">
        <v>8.4000000000000005E-2</v>
      </c>
      <c r="AE26">
        <v>6.0000000000000001E-3</v>
      </c>
      <c r="AF26">
        <v>0.10299999999999999</v>
      </c>
      <c r="AG26">
        <v>2.8000000000000001E-2</v>
      </c>
      <c r="AH26">
        <v>8.0000000000000002E-3</v>
      </c>
      <c r="AI26">
        <v>-3.4000000000000002E-2</v>
      </c>
    </row>
    <row r="27" spans="1:35" x14ac:dyDescent="0.25">
      <c r="A27" t="s">
        <v>1036</v>
      </c>
      <c r="B27" t="s">
        <v>32</v>
      </c>
      <c r="C27" s="25">
        <v>43699.49459490741</v>
      </c>
      <c r="D27" s="741" t="s">
        <v>969</v>
      </c>
      <c r="E27" s="741">
        <f t="array" ref="E27">SUMPRODUCT(IF(AMP4_4[[#This Row],[Dim 1_1]:[T 8]]-$F$4:$AI$4&lt;0,1,0)+IF($F$5:$AI$5-AMP4_4[[#This Row],[Dim 1_1]:[T 8]]&lt;0,1,0),IF(ISNUMBER(AMP4_4[[#This Row],[Dim 1_1]:[T 8]])=TRUE,1,0))</f>
        <v>0</v>
      </c>
      <c r="F27">
        <v>41.545000000000002</v>
      </c>
      <c r="G27">
        <v>41.609000000000002</v>
      </c>
      <c r="H27">
        <v>155.84299999999999</v>
      </c>
      <c r="I27">
        <v>155.708</v>
      </c>
      <c r="L27">
        <v>155.964</v>
      </c>
      <c r="M27">
        <v>155.66800000000001</v>
      </c>
      <c r="N27">
        <v>27.21</v>
      </c>
      <c r="O27">
        <v>27.425999999999998</v>
      </c>
      <c r="R27">
        <v>17.239000000000001</v>
      </c>
      <c r="S27">
        <v>17.128</v>
      </c>
      <c r="T27">
        <v>33.573999999999998</v>
      </c>
      <c r="U27">
        <v>34.704000000000001</v>
      </c>
      <c r="W27">
        <v>0.155</v>
      </c>
      <c r="X27">
        <v>-0.124</v>
      </c>
      <c r="Z27">
        <v>0.154</v>
      </c>
      <c r="AA27">
        <v>-0.12</v>
      </c>
      <c r="AB27">
        <v>-0.124</v>
      </c>
      <c r="AC27">
        <v>-0.121</v>
      </c>
      <c r="AD27">
        <v>0.155</v>
      </c>
      <c r="AE27">
        <v>0</v>
      </c>
      <c r="AF27">
        <v>-6.4000000000000001E-2</v>
      </c>
      <c r="AG27">
        <v>-0.12</v>
      </c>
      <c r="AH27">
        <v>0.111</v>
      </c>
      <c r="AI27">
        <v>0.154</v>
      </c>
    </row>
    <row r="28" spans="1:35" x14ac:dyDescent="0.25">
      <c r="A28" t="s">
        <v>1037</v>
      </c>
      <c r="B28" t="s">
        <v>31</v>
      </c>
      <c r="C28" s="25">
        <v>43699.496620370373</v>
      </c>
      <c r="D28" s="741" t="s">
        <v>969</v>
      </c>
      <c r="E28" s="741">
        <f t="array" ref="E28">SUMPRODUCT(IF(AMP4_4[[#This Row],[Dim 1_1]:[T 8]]-$F$4:$AI$4&lt;0,1,0)+IF($F$5:$AI$5-AMP4_4[[#This Row],[Dim 1_1]:[T 8]]&lt;0,1,0),IF(ISNUMBER(AMP4_4[[#This Row],[Dim 1_1]:[T 8]])=TRUE,1,0))</f>
        <v>0</v>
      </c>
      <c r="H28">
        <v>155.57900000000001</v>
      </c>
      <c r="I28">
        <v>155.732</v>
      </c>
      <c r="J28">
        <v>168.68700000000001</v>
      </c>
      <c r="K28">
        <v>168.41800000000001</v>
      </c>
      <c r="L28">
        <v>155.79499999999999</v>
      </c>
      <c r="M28">
        <v>155.71</v>
      </c>
      <c r="N28">
        <v>27.388999999999999</v>
      </c>
      <c r="O28">
        <v>27.536000000000001</v>
      </c>
      <c r="R28">
        <v>17.251000000000001</v>
      </c>
      <c r="S28">
        <v>17.282</v>
      </c>
      <c r="T28">
        <v>38.713999999999999</v>
      </c>
      <c r="U28">
        <v>37.747</v>
      </c>
      <c r="W28">
        <v>9.6000000000000002E-2</v>
      </c>
      <c r="X28">
        <v>-0.04</v>
      </c>
      <c r="Z28">
        <v>0.183</v>
      </c>
      <c r="AA28">
        <v>-1.7000000000000001E-2</v>
      </c>
      <c r="AB28">
        <v>7.3999999999999996E-2</v>
      </c>
      <c r="AC28">
        <v>9.6000000000000002E-2</v>
      </c>
      <c r="AD28">
        <v>-0.04</v>
      </c>
      <c r="AE28">
        <v>-0.03</v>
      </c>
      <c r="AF28">
        <v>0.183</v>
      </c>
      <c r="AG28">
        <v>0.12</v>
      </c>
      <c r="AH28">
        <v>4.8000000000000001E-2</v>
      </c>
      <c r="AI28">
        <v>-1.7000000000000001E-2</v>
      </c>
    </row>
    <row r="29" spans="1:35" x14ac:dyDescent="0.25">
      <c r="A29" t="s">
        <v>1038</v>
      </c>
      <c r="B29" t="s">
        <v>32</v>
      </c>
      <c r="C29" s="25">
        <v>43699.61650462963</v>
      </c>
      <c r="D29" s="741" t="s">
        <v>969</v>
      </c>
      <c r="E29" s="741">
        <f t="array" ref="E29">SUMPRODUCT(IF(AMP4_4[[#This Row],[Dim 1_1]:[T 8]]-$F$4:$AI$4&lt;0,1,0)+IF($F$5:$AI$5-AMP4_4[[#This Row],[Dim 1_1]:[T 8]]&lt;0,1,0),IF(ISNUMBER(AMP4_4[[#This Row],[Dim 1_1]:[T 8]])=TRUE,1,0))</f>
        <v>0</v>
      </c>
      <c r="F29">
        <v>41.323</v>
      </c>
      <c r="G29">
        <v>41.268999999999998</v>
      </c>
      <c r="H29">
        <v>155.89599999999999</v>
      </c>
      <c r="I29">
        <v>155.81299999999999</v>
      </c>
      <c r="L29">
        <v>155.99299999999999</v>
      </c>
      <c r="M29">
        <v>155.726</v>
      </c>
      <c r="N29">
        <v>27.163</v>
      </c>
      <c r="O29">
        <v>27.344000000000001</v>
      </c>
      <c r="R29">
        <v>17.224</v>
      </c>
      <c r="S29">
        <v>17.251000000000001</v>
      </c>
      <c r="T29">
        <v>33.670999999999999</v>
      </c>
      <c r="U29">
        <v>34.317999999999998</v>
      </c>
      <c r="W29">
        <v>2.1999999999999999E-2</v>
      </c>
      <c r="X29">
        <v>-0.112</v>
      </c>
      <c r="Z29">
        <v>-3.3000000000000002E-2</v>
      </c>
      <c r="AA29">
        <v>-0.112</v>
      </c>
      <c r="AB29">
        <v>-9.6000000000000002E-2</v>
      </c>
      <c r="AC29">
        <v>-9.1999999999999998E-2</v>
      </c>
      <c r="AD29">
        <v>2.1999999999999999E-2</v>
      </c>
      <c r="AE29">
        <v>-0.112</v>
      </c>
      <c r="AF29">
        <v>-8.7999999999999995E-2</v>
      </c>
      <c r="AG29">
        <v>-0.112</v>
      </c>
      <c r="AH29">
        <v>-3.3000000000000002E-2</v>
      </c>
      <c r="AI29">
        <v>-3.4000000000000002E-2</v>
      </c>
    </row>
    <row r="30" spans="1:35" x14ac:dyDescent="0.25">
      <c r="A30" t="s">
        <v>1039</v>
      </c>
      <c r="B30" t="s">
        <v>31</v>
      </c>
      <c r="C30" s="25">
        <v>43699.618576388886</v>
      </c>
      <c r="D30" s="741" t="s">
        <v>969</v>
      </c>
      <c r="E30" s="741">
        <f t="array" ref="E30">SUMPRODUCT(IF(AMP4_4[[#This Row],[Dim 1_1]:[T 8]]-$F$4:$AI$4&lt;0,1,0)+IF($F$5:$AI$5-AMP4_4[[#This Row],[Dim 1_1]:[T 8]]&lt;0,1,0),IF(ISNUMBER(AMP4_4[[#This Row],[Dim 1_1]:[T 8]])=TRUE,1,0))</f>
        <v>0</v>
      </c>
      <c r="H30">
        <v>155.63900000000001</v>
      </c>
      <c r="I30">
        <v>155.75899999999999</v>
      </c>
      <c r="J30">
        <v>168.48</v>
      </c>
      <c r="K30">
        <v>168.37</v>
      </c>
      <c r="L30">
        <v>155.81899999999999</v>
      </c>
      <c r="M30">
        <v>155.77600000000001</v>
      </c>
      <c r="N30">
        <v>27.387</v>
      </c>
      <c r="O30">
        <v>27.507999999999999</v>
      </c>
      <c r="R30">
        <v>17.242000000000001</v>
      </c>
      <c r="S30">
        <v>17.2</v>
      </c>
      <c r="T30">
        <v>35.048000000000002</v>
      </c>
      <c r="U30">
        <v>36.012</v>
      </c>
      <c r="W30">
        <v>-8.5999999999999993E-2</v>
      </c>
      <c r="X30">
        <v>-0.115</v>
      </c>
      <c r="Z30">
        <v>-2.7E-2</v>
      </c>
      <c r="AA30">
        <v>-0.159</v>
      </c>
      <c r="AB30">
        <v>-0.114</v>
      </c>
      <c r="AC30">
        <v>-8.5999999999999993E-2</v>
      </c>
      <c r="AD30">
        <v>-0.115</v>
      </c>
      <c r="AE30">
        <v>-0.113</v>
      </c>
      <c r="AF30">
        <v>-2.7E-2</v>
      </c>
      <c r="AG30">
        <v>-0.105</v>
      </c>
      <c r="AH30">
        <v>-9.2999999999999999E-2</v>
      </c>
      <c r="AI30">
        <v>-0.159</v>
      </c>
    </row>
    <row r="31" spans="1:35" x14ac:dyDescent="0.25">
      <c r="A31" t="s">
        <v>1040</v>
      </c>
      <c r="B31" t="s">
        <v>32</v>
      </c>
      <c r="C31" s="25">
        <v>43699.672372685185</v>
      </c>
      <c r="D31" s="741" t="s">
        <v>969</v>
      </c>
      <c r="E31" s="741">
        <f t="array" ref="E31">SUMPRODUCT(IF(AMP4_4[[#This Row],[Dim 1_1]:[T 8]]-$F$4:$AI$4&lt;0,1,0)+IF($F$5:$AI$5-AMP4_4[[#This Row],[Dim 1_1]:[T 8]]&lt;0,1,0),IF(ISNUMBER(AMP4_4[[#This Row],[Dim 1_1]:[T 8]])=TRUE,1,0))</f>
        <v>0</v>
      </c>
      <c r="F31">
        <v>41.381</v>
      </c>
      <c r="G31">
        <v>41.448</v>
      </c>
      <c r="H31">
        <v>155.88200000000001</v>
      </c>
      <c r="I31">
        <v>155.745</v>
      </c>
      <c r="L31">
        <v>155.977</v>
      </c>
      <c r="M31">
        <v>155.63900000000001</v>
      </c>
      <c r="N31">
        <v>27.202000000000002</v>
      </c>
      <c r="O31">
        <v>27.422999999999998</v>
      </c>
      <c r="R31">
        <v>17.225999999999999</v>
      </c>
      <c r="S31">
        <v>17.239000000000001</v>
      </c>
      <c r="T31">
        <v>33.271000000000001</v>
      </c>
      <c r="U31">
        <v>34.558999999999997</v>
      </c>
      <c r="W31">
        <v>-2.8000000000000001E-2</v>
      </c>
      <c r="X31">
        <v>-0.20499999999999999</v>
      </c>
      <c r="Z31">
        <v>-0.12</v>
      </c>
      <c r="AA31">
        <v>-0.18099999999999999</v>
      </c>
      <c r="AB31">
        <v>-0.10100000000000001</v>
      </c>
      <c r="AC31">
        <v>-0.1</v>
      </c>
      <c r="AD31">
        <v>-2.8000000000000001E-2</v>
      </c>
      <c r="AE31">
        <v>-0.20499999999999999</v>
      </c>
      <c r="AF31">
        <v>-0.12</v>
      </c>
      <c r="AG31">
        <v>-0.18099999999999999</v>
      </c>
      <c r="AH31">
        <v>-0.16200000000000001</v>
      </c>
      <c r="AI31">
        <v>-0.13800000000000001</v>
      </c>
    </row>
    <row r="32" spans="1:35" x14ac:dyDescent="0.25">
      <c r="A32" t="s">
        <v>1041</v>
      </c>
      <c r="B32" t="s">
        <v>31</v>
      </c>
      <c r="C32" s="25">
        <v>43699.674351851849</v>
      </c>
      <c r="D32" s="741" t="s">
        <v>969</v>
      </c>
      <c r="E32" s="741">
        <f t="array" ref="E32">SUMPRODUCT(IF(AMP4_4[[#This Row],[Dim 1_1]:[T 8]]-$F$4:$AI$4&lt;0,1,0)+IF($F$5:$AI$5-AMP4_4[[#This Row],[Dim 1_1]:[T 8]]&lt;0,1,0),IF(ISNUMBER(AMP4_4[[#This Row],[Dim 1_1]:[T 8]])=TRUE,1,0))</f>
        <v>0</v>
      </c>
      <c r="H32">
        <v>155.58699999999999</v>
      </c>
      <c r="I32">
        <v>155.77799999999999</v>
      </c>
      <c r="J32">
        <v>168.64099999999999</v>
      </c>
      <c r="K32">
        <v>168.42599999999999</v>
      </c>
      <c r="L32">
        <v>155.80500000000001</v>
      </c>
      <c r="M32">
        <v>155.774</v>
      </c>
      <c r="N32">
        <v>27.395</v>
      </c>
      <c r="O32">
        <v>27.488</v>
      </c>
      <c r="R32">
        <v>17.251999999999999</v>
      </c>
      <c r="S32">
        <v>17.248000000000001</v>
      </c>
      <c r="T32">
        <v>40.284999999999997</v>
      </c>
      <c r="U32">
        <v>40.008000000000003</v>
      </c>
      <c r="W32">
        <v>2.5999999999999999E-2</v>
      </c>
      <c r="X32">
        <v>-0.14699999999999999</v>
      </c>
      <c r="Z32">
        <v>3.0000000000000001E-3</v>
      </c>
      <c r="AA32">
        <v>-0.217</v>
      </c>
      <c r="AB32">
        <v>-2E-3</v>
      </c>
      <c r="AC32">
        <v>2.5999999999999999E-2</v>
      </c>
      <c r="AD32">
        <v>-0.13</v>
      </c>
      <c r="AE32">
        <v>-0.14699999999999999</v>
      </c>
      <c r="AF32">
        <v>3.0000000000000001E-3</v>
      </c>
      <c r="AG32">
        <v>-6.3E-2</v>
      </c>
      <c r="AH32">
        <v>-0.191</v>
      </c>
      <c r="AI32">
        <v>-0.217</v>
      </c>
    </row>
    <row r="33" spans="1:35" x14ac:dyDescent="0.25">
      <c r="A33" t="s">
        <v>1187</v>
      </c>
      <c r="B33" t="s">
        <v>32</v>
      </c>
      <c r="C33" s="25">
        <v>43699.754282407404</v>
      </c>
      <c r="D33" s="741" t="s">
        <v>969</v>
      </c>
      <c r="E33" s="741">
        <f t="array" ref="E33">SUMPRODUCT(IF(AMP4_4[[#This Row],[Dim 1_1]:[T 8]]-$F$4:$AI$4&lt;0,1,0)+IF($F$5:$AI$5-AMP4_4[[#This Row],[Dim 1_1]:[T 8]]&lt;0,1,0),IF(ISNUMBER(AMP4_4[[#This Row],[Dim 1_1]:[T 8]])=TRUE,1,0))</f>
        <v>0</v>
      </c>
      <c r="F33">
        <v>41.326999999999998</v>
      </c>
      <c r="G33">
        <v>41.305</v>
      </c>
      <c r="H33">
        <v>155.88200000000001</v>
      </c>
      <c r="I33">
        <v>155.79</v>
      </c>
      <c r="L33">
        <v>156.011</v>
      </c>
      <c r="M33">
        <v>155.732</v>
      </c>
      <c r="N33">
        <v>27.149000000000001</v>
      </c>
      <c r="O33">
        <v>27.332000000000001</v>
      </c>
      <c r="R33">
        <v>17.245999999999999</v>
      </c>
      <c r="S33">
        <v>17.167999999999999</v>
      </c>
      <c r="T33">
        <v>33.613999999999997</v>
      </c>
      <c r="U33">
        <v>34.526000000000003</v>
      </c>
      <c r="W33">
        <v>6.0999999999999999E-2</v>
      </c>
      <c r="X33">
        <v>-0.10299999999999999</v>
      </c>
      <c r="Z33">
        <v>1.0999999999999999E-2</v>
      </c>
      <c r="AA33">
        <v>-0.123</v>
      </c>
      <c r="AB33">
        <v>-0.10299999999999999</v>
      </c>
      <c r="AC33">
        <v>-9.5000000000000001E-2</v>
      </c>
      <c r="AD33">
        <v>6.0999999999999999E-2</v>
      </c>
      <c r="AE33">
        <v>-9.9000000000000005E-2</v>
      </c>
      <c r="AF33">
        <v>-6.5000000000000002E-2</v>
      </c>
      <c r="AG33">
        <v>-0.123</v>
      </c>
      <c r="AH33">
        <v>-1.4E-2</v>
      </c>
      <c r="AI33">
        <v>1.0999999999999999E-2</v>
      </c>
    </row>
    <row r="34" spans="1:35" x14ac:dyDescent="0.25">
      <c r="A34" t="s">
        <v>1188</v>
      </c>
      <c r="B34" t="s">
        <v>31</v>
      </c>
      <c r="C34" s="25">
        <v>43699.756273148145</v>
      </c>
      <c r="D34" s="741" t="s">
        <v>969</v>
      </c>
      <c r="E34" s="741">
        <f t="array" ref="E34">SUMPRODUCT(IF(AMP4_4[[#This Row],[Dim 1_1]:[T 8]]-$F$4:$AI$4&lt;0,1,0)+IF($F$5:$AI$5-AMP4_4[[#This Row],[Dim 1_1]:[T 8]]&lt;0,1,0),IF(ISNUMBER(AMP4_4[[#This Row],[Dim 1_1]:[T 8]])=TRUE,1,0))</f>
        <v>0</v>
      </c>
      <c r="H34">
        <v>155.63399999999999</v>
      </c>
      <c r="I34">
        <v>155.82900000000001</v>
      </c>
      <c r="J34">
        <v>168.571</v>
      </c>
      <c r="K34">
        <v>168.47200000000001</v>
      </c>
      <c r="L34">
        <v>155.84700000000001</v>
      </c>
      <c r="M34">
        <v>155.81399999999999</v>
      </c>
      <c r="N34">
        <v>27.382000000000001</v>
      </c>
      <c r="O34">
        <v>27.466000000000001</v>
      </c>
      <c r="R34">
        <v>17.263999999999999</v>
      </c>
      <c r="S34">
        <v>17.273</v>
      </c>
      <c r="T34">
        <v>39.011000000000003</v>
      </c>
      <c r="U34">
        <v>38.301000000000002</v>
      </c>
      <c r="W34">
        <v>-1.0999999999999999E-2</v>
      </c>
      <c r="X34">
        <v>-0.159</v>
      </c>
      <c r="Z34">
        <v>1.6E-2</v>
      </c>
      <c r="AA34">
        <v>-0.217</v>
      </c>
      <c r="AB34">
        <v>-3.4000000000000002E-2</v>
      </c>
      <c r="AC34">
        <v>-1.0999999999999999E-2</v>
      </c>
      <c r="AD34">
        <v>-0.14299999999999999</v>
      </c>
      <c r="AE34">
        <v>-0.159</v>
      </c>
      <c r="AF34">
        <v>1.6E-2</v>
      </c>
      <c r="AG34">
        <v>-7.8E-2</v>
      </c>
      <c r="AH34">
        <v>-0.14899999999999999</v>
      </c>
      <c r="AI34">
        <v>-0.217</v>
      </c>
    </row>
    <row r="35" spans="1:35" x14ac:dyDescent="0.25">
      <c r="A35" t="s">
        <v>1189</v>
      </c>
      <c r="B35" t="s">
        <v>32</v>
      </c>
      <c r="C35" s="25">
        <v>43699.936249999999</v>
      </c>
      <c r="D35" s="741" t="s">
        <v>969</v>
      </c>
      <c r="E35" s="741">
        <f t="array" ref="E35">SUMPRODUCT(IF(AMP4_4[[#This Row],[Dim 1_1]:[T 8]]-$F$4:$AI$4&lt;0,1,0)+IF($F$5:$AI$5-AMP4_4[[#This Row],[Dim 1_1]:[T 8]]&lt;0,1,0),IF(ISNUMBER(AMP4_4[[#This Row],[Dim 1_1]:[T 8]])=TRUE,1,0))</f>
        <v>0</v>
      </c>
      <c r="F35">
        <v>41.317999999999998</v>
      </c>
      <c r="G35">
        <v>41.427</v>
      </c>
      <c r="H35">
        <v>155.73699999999999</v>
      </c>
      <c r="I35">
        <v>155.64500000000001</v>
      </c>
      <c r="L35">
        <v>155.85300000000001</v>
      </c>
      <c r="M35">
        <v>155.61099999999999</v>
      </c>
      <c r="N35">
        <v>27.285</v>
      </c>
      <c r="O35">
        <v>27.437999999999999</v>
      </c>
      <c r="R35">
        <v>17.254999999999999</v>
      </c>
      <c r="S35">
        <v>17.331</v>
      </c>
      <c r="T35">
        <v>33.996000000000002</v>
      </c>
      <c r="U35">
        <v>34.454000000000001</v>
      </c>
      <c r="W35">
        <v>4.3999999999999997E-2</v>
      </c>
      <c r="X35">
        <v>-0.1</v>
      </c>
      <c r="Z35">
        <v>9.2999999999999999E-2</v>
      </c>
      <c r="AA35">
        <v>-3.2000000000000001E-2</v>
      </c>
      <c r="AB35">
        <v>4.3999999999999997E-2</v>
      </c>
      <c r="AC35">
        <v>3.4000000000000002E-2</v>
      </c>
      <c r="AD35">
        <v>0.01</v>
      </c>
      <c r="AE35">
        <v>-0.1</v>
      </c>
      <c r="AF35">
        <v>9.2999999999999999E-2</v>
      </c>
      <c r="AG35">
        <v>6.2E-2</v>
      </c>
      <c r="AH35">
        <v>-3.2000000000000001E-2</v>
      </c>
      <c r="AI35">
        <v>3.7999999999999999E-2</v>
      </c>
    </row>
    <row r="36" spans="1:35" x14ac:dyDescent="0.25">
      <c r="A36" t="s">
        <v>1190</v>
      </c>
      <c r="B36" t="s">
        <v>31</v>
      </c>
      <c r="C36" s="25">
        <v>43699.938622685186</v>
      </c>
      <c r="D36" s="741" t="s">
        <v>969</v>
      </c>
      <c r="E36" s="741">
        <f t="array" ref="E36">SUMPRODUCT(IF(AMP4_4[[#This Row],[Dim 1_1]:[T 8]]-$F$4:$AI$4&lt;0,1,0)+IF($F$5:$AI$5-AMP4_4[[#This Row],[Dim 1_1]:[T 8]]&lt;0,1,0),IF(ISNUMBER(AMP4_4[[#This Row],[Dim 1_1]:[T 8]])=TRUE,1,0))</f>
        <v>0</v>
      </c>
      <c r="H36">
        <v>155.42400000000001</v>
      </c>
      <c r="I36">
        <v>155.495</v>
      </c>
      <c r="J36">
        <v>168.233</v>
      </c>
      <c r="K36">
        <v>168.05699999999999</v>
      </c>
      <c r="L36">
        <v>155.529</v>
      </c>
      <c r="M36">
        <v>155.435</v>
      </c>
      <c r="N36">
        <v>27.67</v>
      </c>
      <c r="O36">
        <v>27.785</v>
      </c>
      <c r="R36">
        <v>17.256</v>
      </c>
      <c r="S36">
        <v>17.178999999999998</v>
      </c>
      <c r="T36">
        <v>36.246000000000002</v>
      </c>
      <c r="U36">
        <v>37.808999999999997</v>
      </c>
      <c r="W36">
        <v>0.218</v>
      </c>
      <c r="X36">
        <v>0.02</v>
      </c>
      <c r="Z36">
        <v>0.22900000000000001</v>
      </c>
      <c r="AA36">
        <v>-3.1E-2</v>
      </c>
      <c r="AB36">
        <v>0.20899999999999999</v>
      </c>
      <c r="AC36">
        <v>0.218</v>
      </c>
      <c r="AD36">
        <v>3.4000000000000002E-2</v>
      </c>
      <c r="AE36">
        <v>0.02</v>
      </c>
      <c r="AF36">
        <v>0.22900000000000001</v>
      </c>
      <c r="AG36">
        <v>0.14699999999999999</v>
      </c>
      <c r="AH36">
        <v>-3.1E-2</v>
      </c>
      <c r="AI36">
        <v>-1E-3</v>
      </c>
    </row>
    <row r="37" spans="1:35" x14ac:dyDescent="0.25">
      <c r="A37" t="s">
        <v>1191</v>
      </c>
      <c r="B37" t="s">
        <v>32</v>
      </c>
      <c r="C37" s="25">
        <v>43700.025185185186</v>
      </c>
      <c r="D37" s="741" t="s">
        <v>969</v>
      </c>
      <c r="E37" s="741">
        <f t="array" ref="E37">SUMPRODUCT(IF(AMP4_4[[#This Row],[Dim 1_1]:[T 8]]-$F$4:$AI$4&lt;0,1,0)+IF($F$5:$AI$5-AMP4_4[[#This Row],[Dim 1_1]:[T 8]]&lt;0,1,0),IF(ISNUMBER(AMP4_4[[#This Row],[Dim 1_1]:[T 8]])=TRUE,1,0))</f>
        <v>0</v>
      </c>
      <c r="F37">
        <v>41.656999999999996</v>
      </c>
      <c r="G37">
        <v>41.604999999999997</v>
      </c>
      <c r="H37">
        <v>155.68100000000001</v>
      </c>
      <c r="I37">
        <v>155.56399999999999</v>
      </c>
      <c r="L37">
        <v>155.81</v>
      </c>
      <c r="M37">
        <v>155.51599999999999</v>
      </c>
      <c r="N37">
        <v>27.355</v>
      </c>
      <c r="O37">
        <v>27.556000000000001</v>
      </c>
      <c r="R37">
        <v>17.236000000000001</v>
      </c>
      <c r="S37">
        <v>17.311</v>
      </c>
      <c r="T37">
        <v>33.869999999999997</v>
      </c>
      <c r="U37">
        <v>34.643000000000001</v>
      </c>
      <c r="W37">
        <v>0.221</v>
      </c>
      <c r="X37">
        <v>0.1</v>
      </c>
      <c r="Z37">
        <v>6.0999999999999999E-2</v>
      </c>
      <c r="AA37">
        <v>-5.2999999999999999E-2</v>
      </c>
      <c r="AB37">
        <v>0.16500000000000001</v>
      </c>
      <c r="AC37">
        <v>0.156</v>
      </c>
      <c r="AD37">
        <v>0.221</v>
      </c>
      <c r="AE37">
        <v>0.1</v>
      </c>
      <c r="AF37">
        <v>6.0999999999999999E-2</v>
      </c>
      <c r="AG37">
        <v>3.1E-2</v>
      </c>
      <c r="AH37">
        <v>-5.2999999999999999E-2</v>
      </c>
      <c r="AI37">
        <v>4.1000000000000002E-2</v>
      </c>
    </row>
    <row r="38" spans="1:35" x14ac:dyDescent="0.25">
      <c r="A38" t="s">
        <v>1192</v>
      </c>
      <c r="B38" t="s">
        <v>31</v>
      </c>
      <c r="C38" s="25">
        <v>43700.027291666665</v>
      </c>
      <c r="D38" s="741" t="s">
        <v>969</v>
      </c>
      <c r="E38" s="741">
        <f t="array" ref="E38">SUMPRODUCT(IF(AMP4_4[[#This Row],[Dim 1_1]:[T 8]]-$F$4:$AI$4&lt;0,1,0)+IF($F$5:$AI$5-AMP4_4[[#This Row],[Dim 1_1]:[T 8]]&lt;0,1,0),IF(ISNUMBER(AMP4_4[[#This Row],[Dim 1_1]:[T 8]])=TRUE,1,0))</f>
        <v>0</v>
      </c>
      <c r="H38">
        <v>155.364</v>
      </c>
      <c r="I38">
        <v>155.56200000000001</v>
      </c>
      <c r="J38">
        <v>168.50299999999999</v>
      </c>
      <c r="K38">
        <v>168.09899999999999</v>
      </c>
      <c r="L38">
        <v>155.49199999999999</v>
      </c>
      <c r="M38">
        <v>155.46100000000001</v>
      </c>
      <c r="N38">
        <v>27.681000000000001</v>
      </c>
      <c r="O38">
        <v>27.751000000000001</v>
      </c>
      <c r="R38">
        <v>17.289000000000001</v>
      </c>
      <c r="S38">
        <v>17.295999999999999</v>
      </c>
      <c r="T38">
        <v>34.213000000000001</v>
      </c>
      <c r="U38">
        <v>37.956000000000003</v>
      </c>
      <c r="W38">
        <v>0.17799999999999999</v>
      </c>
      <c r="X38">
        <v>-0.107</v>
      </c>
      <c r="Z38">
        <v>0.11</v>
      </c>
      <c r="AA38">
        <v>-0.222</v>
      </c>
      <c r="AB38">
        <v>0.152</v>
      </c>
      <c r="AC38">
        <v>0.17799999999999999</v>
      </c>
      <c r="AD38">
        <v>-7.9000000000000001E-2</v>
      </c>
      <c r="AE38">
        <v>-0.107</v>
      </c>
      <c r="AF38">
        <v>0.11</v>
      </c>
      <c r="AG38">
        <v>3.6999999999999998E-2</v>
      </c>
      <c r="AH38">
        <v>-0.222</v>
      </c>
      <c r="AI38">
        <v>-0.17499999999999999</v>
      </c>
    </row>
    <row r="39" spans="1:35" x14ac:dyDescent="0.25">
      <c r="A39" t="s">
        <v>1193</v>
      </c>
      <c r="B39" t="s">
        <v>32</v>
      </c>
      <c r="C39" s="25">
        <v>43700.31653935185</v>
      </c>
      <c r="D39" s="741" t="s">
        <v>969</v>
      </c>
      <c r="E39" s="741">
        <f t="array" ref="E39">SUMPRODUCT(IF(AMP4_4[[#This Row],[Dim 1_1]:[T 8]]-$F$4:$AI$4&lt;0,1,0)+IF($F$5:$AI$5-AMP4_4[[#This Row],[Dim 1_1]:[T 8]]&lt;0,1,0),IF(ISNUMBER(AMP4_4[[#This Row],[Dim 1_1]:[T 8]])=TRUE,1,0))</f>
        <v>0</v>
      </c>
      <c r="F39">
        <v>41.551000000000002</v>
      </c>
      <c r="G39">
        <v>41.463000000000001</v>
      </c>
      <c r="H39">
        <v>155.738</v>
      </c>
      <c r="I39">
        <v>155.637</v>
      </c>
      <c r="L39">
        <v>155.863</v>
      </c>
      <c r="M39">
        <v>155.59800000000001</v>
      </c>
      <c r="N39">
        <v>27.329000000000001</v>
      </c>
      <c r="O39">
        <v>27.466000000000001</v>
      </c>
      <c r="R39">
        <v>17.233000000000001</v>
      </c>
      <c r="S39">
        <v>17.303999999999998</v>
      </c>
      <c r="T39">
        <v>32.996000000000002</v>
      </c>
      <c r="U39">
        <v>33.542999999999999</v>
      </c>
      <c r="W39">
        <v>-3.4000000000000002E-2</v>
      </c>
      <c r="X39">
        <v>-0.19500000000000001</v>
      </c>
      <c r="Z39">
        <v>-0.113</v>
      </c>
      <c r="AA39">
        <v>-0.217</v>
      </c>
      <c r="AB39">
        <v>-4.8000000000000001E-2</v>
      </c>
      <c r="AC39">
        <v>-3.4000000000000002E-2</v>
      </c>
      <c r="AD39">
        <v>-9.0999999999999998E-2</v>
      </c>
      <c r="AE39">
        <v>-0.19500000000000001</v>
      </c>
      <c r="AF39">
        <v>-0.113</v>
      </c>
      <c r="AG39">
        <v>-0.16700000000000001</v>
      </c>
      <c r="AH39">
        <v>-0.217</v>
      </c>
      <c r="AI39">
        <v>-0.189</v>
      </c>
    </row>
    <row r="40" spans="1:35" x14ac:dyDescent="0.25">
      <c r="A40" t="s">
        <v>1194</v>
      </c>
      <c r="B40" t="s">
        <v>31</v>
      </c>
      <c r="C40" s="25">
        <v>43700.318854166668</v>
      </c>
      <c r="D40" s="741" t="s">
        <v>969</v>
      </c>
      <c r="E40" s="741">
        <f t="array" ref="E40">SUMPRODUCT(IF(AMP4_4[[#This Row],[Dim 1_1]:[T 8]]-$F$4:$AI$4&lt;0,1,0)+IF($F$5:$AI$5-AMP4_4[[#This Row],[Dim 1_1]:[T 8]]&lt;0,1,0),IF(ISNUMBER(AMP4_4[[#This Row],[Dim 1_1]:[T 8]])=TRUE,1,0))</f>
        <v>0</v>
      </c>
      <c r="H40">
        <v>155.37799999999999</v>
      </c>
      <c r="I40">
        <v>155.55500000000001</v>
      </c>
      <c r="J40">
        <v>168.47</v>
      </c>
      <c r="K40">
        <v>168.21799999999999</v>
      </c>
      <c r="L40">
        <v>155.535</v>
      </c>
      <c r="M40">
        <v>155.453</v>
      </c>
      <c r="N40">
        <v>27.646999999999998</v>
      </c>
      <c r="O40">
        <v>27.785</v>
      </c>
      <c r="R40">
        <v>17.277000000000001</v>
      </c>
      <c r="S40">
        <v>17.224</v>
      </c>
      <c r="T40">
        <v>37.683</v>
      </c>
      <c r="U40">
        <v>37.173000000000002</v>
      </c>
      <c r="W40">
        <v>0.124</v>
      </c>
      <c r="X40">
        <v>-6.9000000000000006E-2</v>
      </c>
      <c r="Z40">
        <v>3.9E-2</v>
      </c>
      <c r="AA40">
        <v>-0.21099999999999999</v>
      </c>
      <c r="AB40">
        <v>0.11899999999999999</v>
      </c>
      <c r="AC40">
        <v>0.124</v>
      </c>
      <c r="AD40">
        <v>-2.5999999999999999E-2</v>
      </c>
      <c r="AE40">
        <v>-6.9000000000000006E-2</v>
      </c>
      <c r="AF40">
        <v>3.9E-2</v>
      </c>
      <c r="AG40">
        <v>-4.1000000000000002E-2</v>
      </c>
      <c r="AH40">
        <v>-0.21099999999999999</v>
      </c>
      <c r="AI40">
        <v>-0.19</v>
      </c>
    </row>
    <row r="41" spans="1:35" x14ac:dyDescent="0.25">
      <c r="A41" t="s">
        <v>1195</v>
      </c>
      <c r="B41" t="s">
        <v>32</v>
      </c>
      <c r="C41" s="25">
        <v>43700.429583333331</v>
      </c>
      <c r="D41" s="741" t="s">
        <v>969</v>
      </c>
      <c r="E41" s="741">
        <f t="array" ref="E41">SUMPRODUCT(IF(AMP4_4[[#This Row],[Dim 1_1]:[T 8]]-$F$4:$AI$4&lt;0,1,0)+IF($F$5:$AI$5-AMP4_4[[#This Row],[Dim 1_1]:[T 8]]&lt;0,1,0),IF(ISNUMBER(AMP4_4[[#This Row],[Dim 1_1]:[T 8]])=TRUE,1,0))</f>
        <v>0</v>
      </c>
      <c r="F41">
        <v>41.6</v>
      </c>
      <c r="G41">
        <v>41.470999999999997</v>
      </c>
      <c r="H41">
        <v>155.73400000000001</v>
      </c>
      <c r="I41">
        <v>155.66399999999999</v>
      </c>
      <c r="L41">
        <v>155.863</v>
      </c>
      <c r="M41">
        <v>155.63499999999999</v>
      </c>
      <c r="N41">
        <v>27.332000000000001</v>
      </c>
      <c r="O41">
        <v>27.456</v>
      </c>
      <c r="R41">
        <v>17.248000000000001</v>
      </c>
      <c r="S41">
        <v>17.359000000000002</v>
      </c>
      <c r="T41">
        <v>32.851999999999997</v>
      </c>
      <c r="U41">
        <v>33.552</v>
      </c>
      <c r="W41">
        <v>-3.3000000000000002E-2</v>
      </c>
      <c r="X41">
        <v>-0.251</v>
      </c>
      <c r="Z41">
        <v>-0.14399999999999999</v>
      </c>
      <c r="AA41">
        <v>-0.32300000000000001</v>
      </c>
      <c r="AB41">
        <v>-3.5000000000000003E-2</v>
      </c>
      <c r="AC41">
        <v>-3.3000000000000002E-2</v>
      </c>
      <c r="AD41">
        <v>-8.7999999999999995E-2</v>
      </c>
      <c r="AE41">
        <v>-0.251</v>
      </c>
      <c r="AF41">
        <v>-0.14399999999999999</v>
      </c>
      <c r="AG41">
        <v>-0.186</v>
      </c>
      <c r="AH41">
        <v>-0.32300000000000001</v>
      </c>
      <c r="AI41">
        <v>-0.246</v>
      </c>
    </row>
    <row r="42" spans="1:35" x14ac:dyDescent="0.25">
      <c r="A42" t="s">
        <v>1196</v>
      </c>
      <c r="B42" t="s">
        <v>31</v>
      </c>
      <c r="C42" s="25">
        <v>43700.431875000002</v>
      </c>
      <c r="D42" s="741" t="s">
        <v>969</v>
      </c>
      <c r="E42" s="741">
        <f t="array" ref="E42">SUMPRODUCT(IF(AMP4_4[[#This Row],[Dim 1_1]:[T 8]]-$F$4:$AI$4&lt;0,1,0)+IF($F$5:$AI$5-AMP4_4[[#This Row],[Dim 1_1]:[T 8]]&lt;0,1,0),IF(ISNUMBER(AMP4_4[[#This Row],[Dim 1_1]:[T 8]])=TRUE,1,0))</f>
        <v>0</v>
      </c>
      <c r="H42">
        <v>155.37</v>
      </c>
      <c r="I42">
        <v>155.542</v>
      </c>
      <c r="J42">
        <v>168.56200000000001</v>
      </c>
      <c r="K42">
        <v>168.38</v>
      </c>
      <c r="L42">
        <v>155.55799999999999</v>
      </c>
      <c r="M42">
        <v>155.43899999999999</v>
      </c>
      <c r="N42">
        <v>27.631</v>
      </c>
      <c r="O42">
        <v>27.785</v>
      </c>
      <c r="R42">
        <v>17.257000000000001</v>
      </c>
      <c r="S42">
        <v>17.244</v>
      </c>
      <c r="T42">
        <v>37.814999999999998</v>
      </c>
      <c r="U42">
        <v>36.840000000000003</v>
      </c>
      <c r="W42">
        <v>5.8000000000000003E-2</v>
      </c>
      <c r="X42">
        <v>-0.155</v>
      </c>
      <c r="Z42">
        <v>8.9999999999999993E-3</v>
      </c>
      <c r="AA42">
        <v>-0.27700000000000002</v>
      </c>
      <c r="AB42">
        <v>5.8000000000000003E-2</v>
      </c>
      <c r="AC42">
        <v>4.5999999999999999E-2</v>
      </c>
      <c r="AD42">
        <v>-9.6000000000000002E-2</v>
      </c>
      <c r="AE42">
        <v>-0.155</v>
      </c>
      <c r="AF42">
        <v>8.9999999999999993E-3</v>
      </c>
      <c r="AG42">
        <v>-7.1999999999999995E-2</v>
      </c>
      <c r="AH42">
        <v>-0.27700000000000002</v>
      </c>
      <c r="AI42">
        <v>-0.248</v>
      </c>
    </row>
    <row r="43" spans="1:35" x14ac:dyDescent="0.25">
      <c r="A43" t="s">
        <v>1255</v>
      </c>
      <c r="B43" t="s">
        <v>32</v>
      </c>
      <c r="C43" s="25">
        <v>43700.525995370372</v>
      </c>
      <c r="D43" s="741" t="s">
        <v>969</v>
      </c>
      <c r="E43" s="741">
        <f t="array" ref="E43">SUMPRODUCT(IF(AMP4_4[[#This Row],[Dim 1_1]:[T 8]]-$F$4:$AI$4&lt;0,1,0)+IF($F$5:$AI$5-AMP4_4[[#This Row],[Dim 1_1]:[T 8]]&lt;0,1,0),IF(ISNUMBER(AMP4_4[[#This Row],[Dim 1_1]:[T 8]])=TRUE,1,0))</f>
        <v>0</v>
      </c>
      <c r="F43">
        <v>41.454000000000001</v>
      </c>
      <c r="G43">
        <v>41.533999999999999</v>
      </c>
      <c r="H43">
        <v>155.80699999999999</v>
      </c>
      <c r="I43">
        <v>155.73500000000001</v>
      </c>
      <c r="L43">
        <v>155.95400000000001</v>
      </c>
      <c r="M43">
        <v>155.721</v>
      </c>
      <c r="N43">
        <v>27.207999999999998</v>
      </c>
      <c r="O43">
        <v>27.384</v>
      </c>
      <c r="R43">
        <v>17.253</v>
      </c>
      <c r="S43">
        <v>17.222999999999999</v>
      </c>
      <c r="T43">
        <v>33.744999999999997</v>
      </c>
      <c r="U43">
        <v>34.649000000000001</v>
      </c>
      <c r="W43">
        <v>-6.2E-2</v>
      </c>
      <c r="X43">
        <v>-0.191</v>
      </c>
      <c r="Z43">
        <v>4.1000000000000002E-2</v>
      </c>
      <c r="AA43">
        <v>-0.03</v>
      </c>
      <c r="AB43">
        <v>-0.17199999999999999</v>
      </c>
      <c r="AC43">
        <v>-0.158</v>
      </c>
      <c r="AD43">
        <v>-6.2E-2</v>
      </c>
      <c r="AE43">
        <v>-0.191</v>
      </c>
      <c r="AF43">
        <v>-5.0000000000000001E-3</v>
      </c>
      <c r="AG43">
        <v>-0.03</v>
      </c>
      <c r="AH43">
        <v>-4.0000000000000001E-3</v>
      </c>
      <c r="AI43">
        <v>4.1000000000000002E-2</v>
      </c>
    </row>
    <row r="44" spans="1:35" x14ac:dyDescent="0.25">
      <c r="A44" t="s">
        <v>1256</v>
      </c>
      <c r="B44" t="s">
        <v>31</v>
      </c>
      <c r="C44" s="25">
        <v>43700.527638888889</v>
      </c>
      <c r="D44" s="741" t="s">
        <v>969</v>
      </c>
      <c r="E44" s="741">
        <f t="array" ref="E44">SUMPRODUCT(IF(AMP4_4[[#This Row],[Dim 1_1]:[T 8]]-$F$4:$AI$4&lt;0,1,0)+IF($F$5:$AI$5-AMP4_4[[#This Row],[Dim 1_1]:[T 8]]&lt;0,1,0),IF(ISNUMBER(AMP4_4[[#This Row],[Dim 1_1]:[T 8]])=TRUE,1,0))</f>
        <v>0</v>
      </c>
      <c r="H44">
        <v>155.38800000000001</v>
      </c>
      <c r="I44">
        <v>155.53200000000001</v>
      </c>
      <c r="J44">
        <v>168.34700000000001</v>
      </c>
      <c r="K44">
        <v>168.17500000000001</v>
      </c>
      <c r="L44">
        <v>155.673</v>
      </c>
      <c r="M44">
        <v>155.56100000000001</v>
      </c>
      <c r="N44">
        <v>27.603999999999999</v>
      </c>
      <c r="O44">
        <v>27.745999999999999</v>
      </c>
      <c r="R44">
        <v>17.238</v>
      </c>
      <c r="S44">
        <v>17.248000000000001</v>
      </c>
      <c r="T44">
        <v>38.82</v>
      </c>
      <c r="U44">
        <v>38.917999999999999</v>
      </c>
      <c r="W44">
        <v>0.104</v>
      </c>
      <c r="X44">
        <v>-7.5999999999999998E-2</v>
      </c>
      <c r="Z44">
        <v>0.17899999999999999</v>
      </c>
      <c r="AA44">
        <v>-2.8000000000000001E-2</v>
      </c>
      <c r="AB44">
        <v>6.2E-2</v>
      </c>
      <c r="AC44">
        <v>0.104</v>
      </c>
      <c r="AD44">
        <v>-4.2999999999999997E-2</v>
      </c>
      <c r="AE44">
        <v>-7.5999999999999998E-2</v>
      </c>
      <c r="AF44">
        <v>0.17899999999999999</v>
      </c>
      <c r="AG44">
        <v>0.11700000000000001</v>
      </c>
      <c r="AH44">
        <v>-0.01</v>
      </c>
      <c r="AI44">
        <v>-2.8000000000000001E-2</v>
      </c>
    </row>
    <row r="45" spans="1:35" x14ac:dyDescent="0.25">
      <c r="A45" t="s">
        <v>1363</v>
      </c>
      <c r="B45" t="s">
        <v>32</v>
      </c>
      <c r="C45" s="25">
        <v>43700.663310185184</v>
      </c>
      <c r="D45" s="741" t="s">
        <v>969</v>
      </c>
      <c r="E45" s="741">
        <f t="array" ref="E45">SUMPRODUCT(IF(AMP4_4[[#This Row],[Dim 1_1]:[T 8]]-$F$4:$AI$4&lt;0,1,0)+IF($F$5:$AI$5-AMP4_4[[#This Row],[Dim 1_1]:[T 8]]&lt;0,1,0),IF(ISNUMBER(AMP4_4[[#This Row],[Dim 1_1]:[T 8]])=TRUE,1,0))</f>
        <v>0</v>
      </c>
      <c r="F45">
        <v>41.523000000000003</v>
      </c>
      <c r="G45">
        <v>41.427999999999997</v>
      </c>
      <c r="H45">
        <v>155.79</v>
      </c>
      <c r="I45">
        <v>155.697</v>
      </c>
      <c r="L45">
        <v>155.923</v>
      </c>
      <c r="M45">
        <v>155.69</v>
      </c>
      <c r="N45">
        <v>27.24</v>
      </c>
      <c r="O45">
        <v>27.39</v>
      </c>
      <c r="R45">
        <v>17.239000000000001</v>
      </c>
      <c r="S45">
        <v>17.256</v>
      </c>
      <c r="T45">
        <v>33.692</v>
      </c>
      <c r="U45">
        <v>34.54</v>
      </c>
      <c r="W45">
        <v>1.0999999999999999E-2</v>
      </c>
      <c r="X45">
        <v>-0.113</v>
      </c>
      <c r="Z45">
        <v>2.5999999999999999E-2</v>
      </c>
      <c r="AA45">
        <v>-2.1999999999999999E-2</v>
      </c>
      <c r="AB45">
        <v>-8.4000000000000005E-2</v>
      </c>
      <c r="AC45">
        <v>-0.03</v>
      </c>
      <c r="AD45">
        <v>1.0999999999999999E-2</v>
      </c>
      <c r="AE45">
        <v>-0.113</v>
      </c>
      <c r="AF45">
        <v>1.4E-2</v>
      </c>
      <c r="AG45">
        <v>-2.1999999999999999E-2</v>
      </c>
      <c r="AH45">
        <v>-2E-3</v>
      </c>
      <c r="AI45">
        <v>2.5999999999999999E-2</v>
      </c>
    </row>
    <row r="46" spans="1:35" x14ac:dyDescent="0.25">
      <c r="A46" t="s">
        <v>1364</v>
      </c>
      <c r="B46" t="s">
        <v>31</v>
      </c>
      <c r="C46" s="25">
        <v>43700.664930555555</v>
      </c>
      <c r="D46" s="741" t="s">
        <v>969</v>
      </c>
      <c r="E46" s="741">
        <f t="array" ref="E46">SUMPRODUCT(IF(AMP4_4[[#This Row],[Dim 1_1]:[T 8]]-$F$4:$AI$4&lt;0,1,0)+IF($F$5:$AI$5-AMP4_4[[#This Row],[Dim 1_1]:[T 8]]&lt;0,1,0),IF(ISNUMBER(AMP4_4[[#This Row],[Dim 1_1]:[T 8]])=TRUE,1,0))</f>
        <v>0</v>
      </c>
      <c r="H46">
        <v>155.38900000000001</v>
      </c>
      <c r="I46">
        <v>155.52500000000001</v>
      </c>
      <c r="J46">
        <v>168.42099999999999</v>
      </c>
      <c r="K46">
        <v>168.25700000000001</v>
      </c>
      <c r="L46">
        <v>155.59399999999999</v>
      </c>
      <c r="M46">
        <v>155.49799999999999</v>
      </c>
      <c r="N46">
        <v>27.625</v>
      </c>
      <c r="O46">
        <v>27.75</v>
      </c>
      <c r="R46">
        <v>17.241</v>
      </c>
      <c r="S46">
        <v>17.193999999999999</v>
      </c>
      <c r="T46">
        <v>37.563000000000002</v>
      </c>
      <c r="U46">
        <v>36.793999999999997</v>
      </c>
      <c r="W46">
        <v>0.14099999999999999</v>
      </c>
      <c r="X46">
        <v>3.5999999999999997E-2</v>
      </c>
      <c r="Z46">
        <v>0.17199999999999999</v>
      </c>
      <c r="AA46">
        <v>7.0000000000000001E-3</v>
      </c>
      <c r="AB46">
        <v>0.126</v>
      </c>
      <c r="AC46">
        <v>0.14099999999999999</v>
      </c>
      <c r="AD46">
        <v>5.6000000000000001E-2</v>
      </c>
      <c r="AE46">
        <v>3.5999999999999997E-2</v>
      </c>
      <c r="AF46">
        <v>0.17199999999999999</v>
      </c>
      <c r="AG46">
        <v>9.5000000000000001E-2</v>
      </c>
      <c r="AH46">
        <v>1.6E-2</v>
      </c>
      <c r="AI46">
        <v>7.0000000000000001E-3</v>
      </c>
    </row>
    <row r="47" spans="1:35" x14ac:dyDescent="0.25">
      <c r="A47" t="s">
        <v>1365</v>
      </c>
      <c r="B47" t="s">
        <v>32</v>
      </c>
      <c r="C47" s="25">
        <v>43701.310173611113</v>
      </c>
      <c r="D47" s="741" t="s">
        <v>969</v>
      </c>
      <c r="E47" s="741">
        <f t="array" ref="E47">SUMPRODUCT(IF(AMP4_4[[#This Row],[Dim 1_1]:[T 8]]-$F$4:$AI$4&lt;0,1,0)+IF($F$5:$AI$5-AMP4_4[[#This Row],[Dim 1_1]:[T 8]]&lt;0,1,0),IF(ISNUMBER(AMP4_4[[#This Row],[Dim 1_1]:[T 8]])=TRUE,1,0))</f>
        <v>0</v>
      </c>
      <c r="F47">
        <v>41.462000000000003</v>
      </c>
      <c r="G47">
        <v>41.441000000000003</v>
      </c>
      <c r="H47">
        <v>155.86500000000001</v>
      </c>
      <c r="I47">
        <v>155.77099999999999</v>
      </c>
      <c r="L47">
        <v>155.995</v>
      </c>
      <c r="M47">
        <v>155.739</v>
      </c>
      <c r="N47">
        <v>27.161999999999999</v>
      </c>
      <c r="O47">
        <v>27.33</v>
      </c>
      <c r="R47">
        <v>17.247</v>
      </c>
      <c r="S47">
        <v>17.260000000000002</v>
      </c>
      <c r="T47">
        <v>33.944000000000003</v>
      </c>
      <c r="U47">
        <v>34.853000000000002</v>
      </c>
      <c r="W47">
        <v>1.9E-2</v>
      </c>
      <c r="X47">
        <v>-0.11899999999999999</v>
      </c>
      <c r="Z47">
        <v>0.02</v>
      </c>
      <c r="AA47">
        <v>-2.8000000000000001E-2</v>
      </c>
      <c r="AB47">
        <v>-7.8E-2</v>
      </c>
      <c r="AC47">
        <v>-7.3999999999999996E-2</v>
      </c>
      <c r="AD47">
        <v>1.9E-2</v>
      </c>
      <c r="AE47">
        <v>-0.11899999999999999</v>
      </c>
      <c r="AF47">
        <v>1.0999999999999999E-2</v>
      </c>
      <c r="AG47">
        <v>-2.8000000000000001E-2</v>
      </c>
      <c r="AH47">
        <v>4.0000000000000001E-3</v>
      </c>
      <c r="AI47">
        <v>0.02</v>
      </c>
    </row>
    <row r="48" spans="1:35" x14ac:dyDescent="0.25">
      <c r="A48" t="s">
        <v>1366</v>
      </c>
      <c r="B48" t="s">
        <v>31</v>
      </c>
      <c r="C48" s="25">
        <v>43701.311967592592</v>
      </c>
      <c r="D48" s="741" t="s">
        <v>969</v>
      </c>
      <c r="E48" s="741">
        <f t="array" ref="E48">SUMPRODUCT(IF(AMP4_4[[#This Row],[Dim 1_1]:[T 8]]-$F$4:$AI$4&lt;0,1,0)+IF($F$5:$AI$5-AMP4_4[[#This Row],[Dim 1_1]:[T 8]]&lt;0,1,0),IF(ISNUMBER(AMP4_4[[#This Row],[Dim 1_1]:[T 8]])=TRUE,1,0))</f>
        <v>0</v>
      </c>
      <c r="H48">
        <v>155.44999999999999</v>
      </c>
      <c r="I48">
        <v>155.60300000000001</v>
      </c>
      <c r="J48">
        <v>168.441</v>
      </c>
      <c r="K48">
        <v>168.239</v>
      </c>
      <c r="L48">
        <v>155.625</v>
      </c>
      <c r="M48">
        <v>155.529</v>
      </c>
      <c r="N48">
        <v>27.576000000000001</v>
      </c>
      <c r="O48">
        <v>27.710999999999999</v>
      </c>
      <c r="R48">
        <v>17.254000000000001</v>
      </c>
      <c r="S48">
        <v>17.234000000000002</v>
      </c>
      <c r="T48">
        <v>34.908999999999999</v>
      </c>
      <c r="U48">
        <v>36.427999999999997</v>
      </c>
      <c r="W48">
        <v>0.16300000000000001</v>
      </c>
      <c r="X48">
        <v>4.2000000000000003E-2</v>
      </c>
      <c r="Z48">
        <v>0.20200000000000001</v>
      </c>
      <c r="AA48">
        <v>2.9000000000000001E-2</v>
      </c>
      <c r="AB48">
        <v>0.16</v>
      </c>
      <c r="AC48">
        <v>0.16300000000000001</v>
      </c>
      <c r="AD48">
        <v>9.7000000000000003E-2</v>
      </c>
      <c r="AE48">
        <v>4.2000000000000003E-2</v>
      </c>
      <c r="AF48">
        <v>0.20200000000000001</v>
      </c>
      <c r="AG48">
        <v>0.13200000000000001</v>
      </c>
      <c r="AH48">
        <v>4.1000000000000002E-2</v>
      </c>
      <c r="AI48">
        <v>2.9000000000000001E-2</v>
      </c>
    </row>
    <row r="49" spans="1:35" x14ac:dyDescent="0.25">
      <c r="A49" t="s">
        <v>1367</v>
      </c>
      <c r="B49" t="s">
        <v>32</v>
      </c>
      <c r="C49" s="25">
        <v>43701.393506944441</v>
      </c>
      <c r="D49" s="741" t="s">
        <v>969</v>
      </c>
      <c r="E49" s="741">
        <f t="array" ref="E49">SUMPRODUCT(IF(AMP4_4[[#This Row],[Dim 1_1]:[T 8]]-$F$4:$AI$4&lt;0,1,0)+IF($F$5:$AI$5-AMP4_4[[#This Row],[Dim 1_1]:[T 8]]&lt;0,1,0),IF(ISNUMBER(AMP4_4[[#This Row],[Dim 1_1]:[T 8]])=TRUE,1,0))</f>
        <v>0</v>
      </c>
      <c r="F49">
        <v>41.506</v>
      </c>
      <c r="G49">
        <v>41.484999999999999</v>
      </c>
      <c r="H49">
        <v>155.846</v>
      </c>
      <c r="I49">
        <v>155.75200000000001</v>
      </c>
      <c r="L49">
        <v>155.96299999999999</v>
      </c>
      <c r="M49">
        <v>155.721</v>
      </c>
      <c r="N49">
        <v>27.216999999999999</v>
      </c>
      <c r="O49">
        <v>27.376999999999999</v>
      </c>
      <c r="R49">
        <v>17.248999999999999</v>
      </c>
      <c r="S49">
        <v>17.169</v>
      </c>
      <c r="T49">
        <v>33.780999999999999</v>
      </c>
      <c r="U49">
        <v>34.844999999999999</v>
      </c>
      <c r="W49">
        <v>0.125</v>
      </c>
      <c r="X49">
        <v>-6.5000000000000002E-2</v>
      </c>
      <c r="Z49">
        <v>0.108</v>
      </c>
      <c r="AA49">
        <v>-4.9000000000000002E-2</v>
      </c>
      <c r="AB49">
        <v>-6.5000000000000002E-2</v>
      </c>
      <c r="AC49">
        <v>-3.5999999999999997E-2</v>
      </c>
      <c r="AD49">
        <v>0.125</v>
      </c>
      <c r="AE49">
        <v>1.9E-2</v>
      </c>
      <c r="AF49">
        <v>-5.0000000000000001E-3</v>
      </c>
      <c r="AG49">
        <v>-4.9000000000000002E-2</v>
      </c>
      <c r="AH49">
        <v>8.8999999999999996E-2</v>
      </c>
      <c r="AI49">
        <v>0.108</v>
      </c>
    </row>
    <row r="50" spans="1:35" x14ac:dyDescent="0.25">
      <c r="A50" t="s">
        <v>1368</v>
      </c>
      <c r="B50" t="s">
        <v>31</v>
      </c>
      <c r="C50" s="25">
        <v>43701.411446759259</v>
      </c>
      <c r="D50" s="741" t="s">
        <v>969</v>
      </c>
      <c r="E50" s="741">
        <f t="array" ref="E50">SUMPRODUCT(IF(AMP4_4[[#This Row],[Dim 1_1]:[T 8]]-$F$4:$AI$4&lt;0,1,0)+IF($F$5:$AI$5-AMP4_4[[#This Row],[Dim 1_1]:[T 8]]&lt;0,1,0),IF(ISNUMBER(AMP4_4[[#This Row],[Dim 1_1]:[T 8]])=TRUE,1,0))</f>
        <v>0</v>
      </c>
      <c r="H50">
        <v>155.417</v>
      </c>
      <c r="I50">
        <v>155.56800000000001</v>
      </c>
      <c r="J50">
        <v>168.483</v>
      </c>
      <c r="K50">
        <v>168.32</v>
      </c>
      <c r="L50">
        <v>155.60599999999999</v>
      </c>
      <c r="M50">
        <v>155.51900000000001</v>
      </c>
      <c r="N50">
        <v>27.603999999999999</v>
      </c>
      <c r="O50">
        <v>27.754999999999999</v>
      </c>
      <c r="R50">
        <v>17.271999999999998</v>
      </c>
      <c r="S50">
        <v>17.190999999999999</v>
      </c>
      <c r="T50">
        <v>35.715000000000003</v>
      </c>
      <c r="U50">
        <v>36.058</v>
      </c>
      <c r="W50">
        <v>0.13200000000000001</v>
      </c>
      <c r="X50">
        <v>9.0999999999999998E-2</v>
      </c>
      <c r="Z50">
        <v>0.124</v>
      </c>
      <c r="AA50">
        <v>2.1999999999999999E-2</v>
      </c>
      <c r="AB50">
        <v>0.123</v>
      </c>
      <c r="AC50">
        <v>0.13200000000000001</v>
      </c>
      <c r="AD50">
        <v>0.112</v>
      </c>
      <c r="AE50">
        <v>9.0999999999999998E-2</v>
      </c>
      <c r="AF50">
        <v>0.124</v>
      </c>
      <c r="AG50">
        <v>5.5E-2</v>
      </c>
      <c r="AH50">
        <v>3.1E-2</v>
      </c>
      <c r="AI50">
        <v>2.1999999999999999E-2</v>
      </c>
    </row>
    <row r="51" spans="1:35" x14ac:dyDescent="0.25">
      <c r="A51" t="s">
        <v>1369</v>
      </c>
      <c r="B51" t="s">
        <v>32</v>
      </c>
      <c r="C51" s="25">
        <v>43701.51425925926</v>
      </c>
      <c r="D51" s="741" t="s">
        <v>969</v>
      </c>
      <c r="E51" s="741">
        <f t="array" ref="E51">SUMPRODUCT(IF(AMP4_4[[#This Row],[Dim 1_1]:[T 8]]-$F$4:$AI$4&lt;0,1,0)+IF($F$5:$AI$5-AMP4_4[[#This Row],[Dim 1_1]:[T 8]]&lt;0,1,0),IF(ISNUMBER(AMP4_4[[#This Row],[Dim 1_1]:[T 8]])=TRUE,1,0))</f>
        <v>0</v>
      </c>
      <c r="F51">
        <v>41.545000000000002</v>
      </c>
      <c r="G51">
        <v>41.503</v>
      </c>
      <c r="H51">
        <v>155.80799999999999</v>
      </c>
      <c r="I51">
        <v>155.72399999999999</v>
      </c>
      <c r="L51">
        <v>155.953</v>
      </c>
      <c r="M51">
        <v>155.67400000000001</v>
      </c>
      <c r="N51">
        <v>27.231000000000002</v>
      </c>
      <c r="O51">
        <v>27.4</v>
      </c>
      <c r="R51">
        <v>17.234000000000002</v>
      </c>
      <c r="S51">
        <v>17.213999999999999</v>
      </c>
      <c r="T51">
        <v>33.86</v>
      </c>
      <c r="U51">
        <v>34.777000000000001</v>
      </c>
      <c r="W51">
        <v>0.126</v>
      </c>
      <c r="X51">
        <v>-0.03</v>
      </c>
      <c r="Z51">
        <v>7.2999999999999995E-2</v>
      </c>
      <c r="AA51">
        <v>-4.5999999999999999E-2</v>
      </c>
      <c r="AB51">
        <v>-1.4999999999999999E-2</v>
      </c>
      <c r="AC51">
        <v>-4.0000000000000001E-3</v>
      </c>
      <c r="AD51">
        <v>0.126</v>
      </c>
      <c r="AE51">
        <v>-0.03</v>
      </c>
      <c r="AF51">
        <v>1.4E-2</v>
      </c>
      <c r="AG51">
        <v>-4.5999999999999999E-2</v>
      </c>
      <c r="AH51">
        <v>6.8000000000000005E-2</v>
      </c>
      <c r="AI51">
        <v>7.2999999999999995E-2</v>
      </c>
    </row>
    <row r="52" spans="1:35" x14ac:dyDescent="0.25">
      <c r="A52" t="s">
        <v>1370</v>
      </c>
      <c r="B52" t="s">
        <v>31</v>
      </c>
      <c r="C52" s="25">
        <v>43701.515925925924</v>
      </c>
      <c r="D52" s="741" t="s">
        <v>969</v>
      </c>
      <c r="E52" s="741">
        <f t="array" ref="E52">SUMPRODUCT(IF(AMP4_4[[#This Row],[Dim 1_1]:[T 8]]-$F$4:$AI$4&lt;0,1,0)+IF($F$5:$AI$5-AMP4_4[[#This Row],[Dim 1_1]:[T 8]]&lt;0,1,0),IF(ISNUMBER(AMP4_4[[#This Row],[Dim 1_1]:[T 8]])=TRUE,1,0))</f>
        <v>0</v>
      </c>
      <c r="H52">
        <v>155.37200000000001</v>
      </c>
      <c r="I52">
        <v>155.50399999999999</v>
      </c>
      <c r="J52">
        <v>168.48099999999999</v>
      </c>
      <c r="K52">
        <v>168.33600000000001</v>
      </c>
      <c r="L52">
        <v>155.589</v>
      </c>
      <c r="M52">
        <v>155.495</v>
      </c>
      <c r="N52">
        <v>27.620999999999999</v>
      </c>
      <c r="O52">
        <v>27.780999999999999</v>
      </c>
      <c r="R52">
        <v>17.268000000000001</v>
      </c>
      <c r="S52">
        <v>17.199000000000002</v>
      </c>
      <c r="T52">
        <v>36.722999999999999</v>
      </c>
      <c r="U52">
        <v>36.069000000000003</v>
      </c>
      <c r="W52">
        <v>0.17</v>
      </c>
      <c r="X52">
        <v>0.14599999999999999</v>
      </c>
      <c r="Z52">
        <v>0.17399999999999999</v>
      </c>
      <c r="AA52">
        <v>6.5000000000000002E-2</v>
      </c>
      <c r="AB52">
        <v>0.17</v>
      </c>
      <c r="AC52">
        <v>0.16800000000000001</v>
      </c>
      <c r="AD52">
        <v>0.159</v>
      </c>
      <c r="AE52">
        <v>0.14599999999999999</v>
      </c>
      <c r="AF52">
        <v>0.17399999999999999</v>
      </c>
      <c r="AG52">
        <v>8.3000000000000004E-2</v>
      </c>
      <c r="AH52">
        <v>0.08</v>
      </c>
      <c r="AI52">
        <v>6.5000000000000002E-2</v>
      </c>
    </row>
    <row r="53" spans="1:35" x14ac:dyDescent="0.25">
      <c r="A53" t="s">
        <v>1371</v>
      </c>
      <c r="B53" t="s">
        <v>32</v>
      </c>
      <c r="C53" s="25">
        <v>43701.593958333331</v>
      </c>
      <c r="D53" s="741" t="s">
        <v>969</v>
      </c>
      <c r="E53" s="741">
        <f t="array" ref="E53">SUMPRODUCT(IF(AMP4_4[[#This Row],[Dim 1_1]:[T 8]]-$F$4:$AI$4&lt;0,1,0)+IF($F$5:$AI$5-AMP4_4[[#This Row],[Dim 1_1]:[T 8]]&lt;0,1,0),IF(ISNUMBER(AMP4_4[[#This Row],[Dim 1_1]:[T 8]])=TRUE,1,0))</f>
        <v>0</v>
      </c>
      <c r="F53">
        <v>41.613</v>
      </c>
      <c r="G53">
        <v>41.613</v>
      </c>
      <c r="H53">
        <v>155.80699999999999</v>
      </c>
      <c r="I53">
        <v>155.738</v>
      </c>
      <c r="L53">
        <v>155.952</v>
      </c>
      <c r="M53">
        <v>155.71799999999999</v>
      </c>
      <c r="N53">
        <v>27.216000000000001</v>
      </c>
      <c r="O53">
        <v>27.364000000000001</v>
      </c>
      <c r="R53">
        <v>17.227</v>
      </c>
      <c r="S53">
        <v>17.201000000000001</v>
      </c>
      <c r="T53">
        <v>33.743000000000002</v>
      </c>
      <c r="U53">
        <v>34.665999999999997</v>
      </c>
      <c r="W53">
        <v>0.10100000000000001</v>
      </c>
      <c r="X53">
        <v>-5.2999999999999999E-2</v>
      </c>
      <c r="Z53">
        <v>4.5999999999999999E-2</v>
      </c>
      <c r="AA53">
        <v>-7.5999999999999998E-2</v>
      </c>
      <c r="AB53">
        <v>-5.2999999999999999E-2</v>
      </c>
      <c r="AC53">
        <v>-0.04</v>
      </c>
      <c r="AD53">
        <v>0.10100000000000001</v>
      </c>
      <c r="AE53">
        <v>-4.7E-2</v>
      </c>
      <c r="AF53">
        <v>-2.8000000000000001E-2</v>
      </c>
      <c r="AG53">
        <v>-7.5999999999999998E-2</v>
      </c>
      <c r="AH53">
        <v>2.7E-2</v>
      </c>
      <c r="AI53">
        <v>4.5999999999999999E-2</v>
      </c>
    </row>
    <row r="54" spans="1:35" x14ac:dyDescent="0.25">
      <c r="A54" t="s">
        <v>1372</v>
      </c>
      <c r="B54" t="s">
        <v>31</v>
      </c>
      <c r="C54" s="25">
        <v>43701.595532407409</v>
      </c>
      <c r="D54" s="741" t="s">
        <v>969</v>
      </c>
      <c r="E54" s="741">
        <f t="array" ref="E54">SUMPRODUCT(IF(AMP4_4[[#This Row],[Dim 1_1]:[T 8]]-$F$4:$AI$4&lt;0,1,0)+IF($F$5:$AI$5-AMP4_4[[#This Row],[Dim 1_1]:[T 8]]&lt;0,1,0),IF(ISNUMBER(AMP4_4[[#This Row],[Dim 1_1]:[T 8]])=TRUE,1,0))</f>
        <v>0</v>
      </c>
      <c r="H54">
        <v>155.38399999999999</v>
      </c>
      <c r="I54">
        <v>155.518</v>
      </c>
      <c r="J54">
        <v>168.56899999999999</v>
      </c>
      <c r="K54">
        <v>168.45599999999999</v>
      </c>
      <c r="L54">
        <v>155.58099999999999</v>
      </c>
      <c r="M54">
        <v>155.47499999999999</v>
      </c>
      <c r="N54">
        <v>27.608000000000001</v>
      </c>
      <c r="O54">
        <v>27.792999999999999</v>
      </c>
      <c r="R54">
        <v>17.242999999999999</v>
      </c>
      <c r="S54">
        <v>17.283000000000001</v>
      </c>
      <c r="T54">
        <v>39.817</v>
      </c>
      <c r="U54">
        <v>39.872</v>
      </c>
      <c r="W54">
        <v>9.4E-2</v>
      </c>
      <c r="X54">
        <v>6.2E-2</v>
      </c>
      <c r="Z54">
        <v>6.6000000000000003E-2</v>
      </c>
      <c r="AA54">
        <v>-6.2E-2</v>
      </c>
      <c r="AB54">
        <v>0.08</v>
      </c>
      <c r="AC54">
        <v>9.4E-2</v>
      </c>
      <c r="AD54">
        <v>0.08</v>
      </c>
      <c r="AE54">
        <v>6.2E-2</v>
      </c>
      <c r="AF54">
        <v>6.6000000000000003E-2</v>
      </c>
      <c r="AG54">
        <v>-2E-3</v>
      </c>
      <c r="AH54">
        <v>-3.9E-2</v>
      </c>
      <c r="AI54">
        <v>-6.2E-2</v>
      </c>
    </row>
    <row r="55" spans="1:35" x14ac:dyDescent="0.25">
      <c r="A55" t="s">
        <v>1373</v>
      </c>
      <c r="B55" t="s">
        <v>32</v>
      </c>
      <c r="C55" s="25">
        <v>43701.712326388886</v>
      </c>
      <c r="D55" s="741" t="s">
        <v>969</v>
      </c>
      <c r="E55" s="741">
        <f t="array" ref="E55">SUMPRODUCT(IF(AMP4_4[[#This Row],[Dim 1_1]:[T 8]]-$F$4:$AI$4&lt;0,1,0)+IF($F$5:$AI$5-AMP4_4[[#This Row],[Dim 1_1]:[T 8]]&lt;0,1,0),IF(ISNUMBER(AMP4_4[[#This Row],[Dim 1_1]:[T 8]])=TRUE,1,0))</f>
        <v>0</v>
      </c>
      <c r="F55">
        <v>41.453000000000003</v>
      </c>
      <c r="G55">
        <v>41.640999999999998</v>
      </c>
      <c r="H55">
        <v>155.86600000000001</v>
      </c>
      <c r="I55">
        <v>155.745</v>
      </c>
      <c r="L55">
        <v>156.02099999999999</v>
      </c>
      <c r="M55">
        <v>155.762</v>
      </c>
      <c r="N55">
        <v>27.135999999999999</v>
      </c>
      <c r="O55">
        <v>27.315000000000001</v>
      </c>
      <c r="R55">
        <v>17.227</v>
      </c>
      <c r="S55">
        <v>17.201000000000001</v>
      </c>
      <c r="T55">
        <v>33.777999999999999</v>
      </c>
      <c r="U55">
        <v>34.658999999999999</v>
      </c>
      <c r="W55">
        <v>3.9E-2</v>
      </c>
      <c r="X55">
        <v>-0.11</v>
      </c>
      <c r="Z55">
        <v>8.0000000000000002E-3</v>
      </c>
      <c r="AA55">
        <v>-0.115</v>
      </c>
      <c r="AB55">
        <v>-0.11</v>
      </c>
      <c r="AC55">
        <v>-0.10199999999999999</v>
      </c>
      <c r="AD55">
        <v>3.9E-2</v>
      </c>
      <c r="AE55">
        <v>-9.7000000000000003E-2</v>
      </c>
      <c r="AF55">
        <v>-4.3999999999999997E-2</v>
      </c>
      <c r="AG55">
        <v>-0.115</v>
      </c>
      <c r="AH55">
        <v>8.0000000000000002E-3</v>
      </c>
      <c r="AI55">
        <v>8.0000000000000002E-3</v>
      </c>
    </row>
    <row r="56" spans="1:35" x14ac:dyDescent="0.25">
      <c r="A56" t="s">
        <v>1374</v>
      </c>
      <c r="B56" t="s">
        <v>31</v>
      </c>
      <c r="C56" s="25">
        <v>43701.71435185185</v>
      </c>
      <c r="D56" s="741" t="s">
        <v>969</v>
      </c>
      <c r="E56" s="741">
        <f t="array" ref="E56">SUMPRODUCT(IF(AMP4_4[[#This Row],[Dim 1_1]:[T 8]]-$F$4:$AI$4&lt;0,1,0)+IF($F$5:$AI$5-AMP4_4[[#This Row],[Dim 1_1]:[T 8]]&lt;0,1,0),IF(ISNUMBER(AMP4_4[[#This Row],[Dim 1_1]:[T 8]])=TRUE,1,0))</f>
        <v>0</v>
      </c>
      <c r="H56">
        <v>155.45599999999999</v>
      </c>
      <c r="I56">
        <v>155.54900000000001</v>
      </c>
      <c r="J56">
        <v>168.47</v>
      </c>
      <c r="K56">
        <v>168.41200000000001</v>
      </c>
      <c r="L56">
        <v>155.667</v>
      </c>
      <c r="M56">
        <v>155.55099999999999</v>
      </c>
      <c r="N56">
        <v>27.562000000000001</v>
      </c>
      <c r="O56">
        <v>27.754000000000001</v>
      </c>
      <c r="R56">
        <v>17.27</v>
      </c>
      <c r="S56">
        <v>17.231000000000002</v>
      </c>
      <c r="T56">
        <v>37.252000000000002</v>
      </c>
      <c r="U56">
        <v>37.44</v>
      </c>
      <c r="W56">
        <v>0.10299999999999999</v>
      </c>
      <c r="X56">
        <v>6.4000000000000001E-2</v>
      </c>
      <c r="Z56">
        <v>9.4E-2</v>
      </c>
      <c r="AA56">
        <v>-1.9E-2</v>
      </c>
      <c r="AB56">
        <v>6.5000000000000002E-2</v>
      </c>
      <c r="AC56">
        <v>8.7999999999999995E-2</v>
      </c>
      <c r="AD56">
        <v>0.10299999999999999</v>
      </c>
      <c r="AE56">
        <v>6.4000000000000001E-2</v>
      </c>
      <c r="AF56">
        <v>9.4E-2</v>
      </c>
      <c r="AG56">
        <v>1E-3</v>
      </c>
      <c r="AH56">
        <v>3.5999999999999997E-2</v>
      </c>
      <c r="AI56">
        <v>-1.9E-2</v>
      </c>
    </row>
    <row r="57" spans="1:35" x14ac:dyDescent="0.25">
      <c r="A57" t="s">
        <v>1375</v>
      </c>
      <c r="B57" t="s">
        <v>32</v>
      </c>
      <c r="C57" s="25">
        <v>43702.314502314817</v>
      </c>
      <c r="D57" s="741" t="s">
        <v>969</v>
      </c>
      <c r="E57" s="741">
        <f t="array" ref="E57">SUMPRODUCT(IF(AMP4_4[[#This Row],[Dim 1_1]:[T 8]]-$F$4:$AI$4&lt;0,1,0)+IF($F$5:$AI$5-AMP4_4[[#This Row],[Dim 1_1]:[T 8]]&lt;0,1,0),IF(ISNUMBER(AMP4_4[[#This Row],[Dim 1_1]:[T 8]])=TRUE,1,0))</f>
        <v>0</v>
      </c>
      <c r="F57">
        <v>41.506999999999998</v>
      </c>
      <c r="G57">
        <v>41.48</v>
      </c>
      <c r="H57">
        <v>155.881</v>
      </c>
      <c r="I57">
        <v>155.79599999999999</v>
      </c>
      <c r="L57">
        <v>156.006</v>
      </c>
      <c r="M57">
        <v>155.774</v>
      </c>
      <c r="N57">
        <v>27.189</v>
      </c>
      <c r="O57">
        <v>27.314</v>
      </c>
      <c r="R57">
        <v>17.236000000000001</v>
      </c>
      <c r="S57">
        <v>17.167000000000002</v>
      </c>
      <c r="T57">
        <v>33.991</v>
      </c>
      <c r="U57">
        <v>34.896999999999998</v>
      </c>
      <c r="W57">
        <v>0.125</v>
      </c>
      <c r="X57">
        <v>-0.106</v>
      </c>
      <c r="Z57">
        <v>0.11600000000000001</v>
      </c>
      <c r="AA57">
        <v>-6.9000000000000006E-2</v>
      </c>
      <c r="AB57">
        <v>-0.1</v>
      </c>
      <c r="AC57">
        <v>-0.106</v>
      </c>
      <c r="AD57">
        <v>0.125</v>
      </c>
      <c r="AE57">
        <v>-0.01</v>
      </c>
      <c r="AF57">
        <v>-3.1E-2</v>
      </c>
      <c r="AG57">
        <v>-6.9000000000000006E-2</v>
      </c>
      <c r="AH57">
        <v>8.6999999999999994E-2</v>
      </c>
      <c r="AI57">
        <v>0.11600000000000001</v>
      </c>
    </row>
    <row r="58" spans="1:35" x14ac:dyDescent="0.25">
      <c r="A58" t="s">
        <v>1376</v>
      </c>
      <c r="B58" t="s">
        <v>31</v>
      </c>
      <c r="C58" s="25">
        <v>43702.316250000003</v>
      </c>
      <c r="D58" s="741" t="s">
        <v>969</v>
      </c>
      <c r="E58" s="741">
        <f t="array" ref="E58">SUMPRODUCT(IF(AMP4_4[[#This Row],[Dim 1_1]:[T 8]]-$F$4:$AI$4&lt;0,1,0)+IF($F$5:$AI$5-AMP4_4[[#This Row],[Dim 1_1]:[T 8]]&lt;0,1,0),IF(ISNUMBER(AMP4_4[[#This Row],[Dim 1_1]:[T 8]])=TRUE,1,0))</f>
        <v>0</v>
      </c>
      <c r="H58">
        <v>155.44499999999999</v>
      </c>
      <c r="I58">
        <v>155.52099999999999</v>
      </c>
      <c r="J58">
        <v>168.49299999999999</v>
      </c>
      <c r="K58">
        <v>168.37200000000001</v>
      </c>
      <c r="L58">
        <v>155.65700000000001</v>
      </c>
      <c r="M58">
        <v>155.52099999999999</v>
      </c>
      <c r="N58">
        <v>27.555</v>
      </c>
      <c r="O58">
        <v>27.777999999999999</v>
      </c>
      <c r="R58">
        <v>17.228000000000002</v>
      </c>
      <c r="S58">
        <v>17.091999999999999</v>
      </c>
      <c r="T58">
        <v>36.091000000000001</v>
      </c>
      <c r="U58">
        <v>35.078000000000003</v>
      </c>
      <c r="W58">
        <v>0.218</v>
      </c>
      <c r="X58">
        <v>0.14699999999999999</v>
      </c>
      <c r="Z58">
        <v>0.18</v>
      </c>
      <c r="AA58">
        <v>0.11899999999999999</v>
      </c>
      <c r="AB58">
        <v>0.14699999999999999</v>
      </c>
      <c r="AC58">
        <v>0.17599999999999999</v>
      </c>
      <c r="AD58">
        <v>0.218</v>
      </c>
      <c r="AE58">
        <v>0.20100000000000001</v>
      </c>
      <c r="AF58">
        <v>0.18</v>
      </c>
      <c r="AG58">
        <v>0.11899999999999999</v>
      </c>
      <c r="AH58">
        <v>0.16700000000000001</v>
      </c>
      <c r="AI58">
        <v>0.14699999999999999</v>
      </c>
    </row>
    <row r="59" spans="1:35" x14ac:dyDescent="0.25">
      <c r="A59" t="s">
        <v>1377</v>
      </c>
      <c r="B59" t="s">
        <v>32</v>
      </c>
      <c r="C59" s="25">
        <v>43702.405798611115</v>
      </c>
      <c r="D59" s="741" t="s">
        <v>969</v>
      </c>
      <c r="E59" s="741">
        <f t="array" ref="E59">SUMPRODUCT(IF(AMP4_4[[#This Row],[Dim 1_1]:[T 8]]-$F$4:$AI$4&lt;0,1,0)+IF($F$5:$AI$5-AMP4_4[[#This Row],[Dim 1_1]:[T 8]]&lt;0,1,0),IF(ISNUMBER(AMP4_4[[#This Row],[Dim 1_1]:[T 8]])=TRUE,1,0))</f>
        <v>0</v>
      </c>
      <c r="F59">
        <v>41.481000000000002</v>
      </c>
      <c r="G59">
        <v>41.524000000000001</v>
      </c>
      <c r="H59">
        <v>155.929</v>
      </c>
      <c r="I59">
        <v>155.83600000000001</v>
      </c>
      <c r="L59">
        <v>156.06299999999999</v>
      </c>
      <c r="M59">
        <v>155.803</v>
      </c>
      <c r="N59">
        <v>27.106999999999999</v>
      </c>
      <c r="O59">
        <v>27.260999999999999</v>
      </c>
      <c r="R59">
        <v>17.244</v>
      </c>
      <c r="S59">
        <v>17.204000000000001</v>
      </c>
      <c r="T59">
        <v>33.880000000000003</v>
      </c>
      <c r="U59">
        <v>34.783999999999999</v>
      </c>
      <c r="W59">
        <v>0.08</v>
      </c>
      <c r="X59">
        <v>-9.5000000000000001E-2</v>
      </c>
      <c r="Z59">
        <v>2.4E-2</v>
      </c>
      <c r="AA59">
        <v>-0.153</v>
      </c>
      <c r="AB59">
        <v>-0.09</v>
      </c>
      <c r="AC59">
        <v>-9.5000000000000001E-2</v>
      </c>
      <c r="AD59">
        <v>0.08</v>
      </c>
      <c r="AE59">
        <v>-0.05</v>
      </c>
      <c r="AF59">
        <v>-0.1</v>
      </c>
      <c r="AG59">
        <v>-0.153</v>
      </c>
      <c r="AH59">
        <v>2.4E-2</v>
      </c>
      <c r="AI59">
        <v>-2.3E-2</v>
      </c>
    </row>
    <row r="60" spans="1:35" x14ac:dyDescent="0.25">
      <c r="A60" t="s">
        <v>1378</v>
      </c>
      <c r="B60" t="s">
        <v>31</v>
      </c>
      <c r="C60" s="25">
        <v>43702.407395833332</v>
      </c>
      <c r="D60" s="741" t="s">
        <v>969</v>
      </c>
      <c r="E60" s="741">
        <f t="array" ref="E60">SUMPRODUCT(IF(AMP4_4[[#This Row],[Dim 1_1]:[T 8]]-$F$4:$AI$4&lt;0,1,0)+IF($F$5:$AI$5-AMP4_4[[#This Row],[Dim 1_1]:[T 8]]&lt;0,1,0),IF(ISNUMBER(AMP4_4[[#This Row],[Dim 1_1]:[T 8]])=TRUE,1,0))</f>
        <v>0</v>
      </c>
      <c r="H60">
        <v>155.47</v>
      </c>
      <c r="I60">
        <v>155.57599999999999</v>
      </c>
      <c r="J60">
        <v>168.53399999999999</v>
      </c>
      <c r="K60">
        <v>168.44300000000001</v>
      </c>
      <c r="L60">
        <v>155.65899999999999</v>
      </c>
      <c r="M60">
        <v>155.54900000000001</v>
      </c>
      <c r="N60">
        <v>27.533999999999999</v>
      </c>
      <c r="O60">
        <v>27.731000000000002</v>
      </c>
      <c r="R60">
        <v>17.259</v>
      </c>
      <c r="S60">
        <v>17.227</v>
      </c>
      <c r="T60">
        <v>38.554000000000002</v>
      </c>
      <c r="U60">
        <v>39.213999999999999</v>
      </c>
      <c r="W60">
        <v>8.6999999999999994E-2</v>
      </c>
      <c r="X60">
        <v>1.9E-2</v>
      </c>
      <c r="Z60">
        <v>3.3000000000000002E-2</v>
      </c>
      <c r="AA60">
        <v>-6.8000000000000005E-2</v>
      </c>
      <c r="AB60">
        <v>1.9E-2</v>
      </c>
      <c r="AC60">
        <v>2.1999999999999999E-2</v>
      </c>
      <c r="AD60">
        <v>8.6999999999999994E-2</v>
      </c>
      <c r="AE60">
        <v>0.08</v>
      </c>
      <c r="AF60">
        <v>3.3000000000000002E-2</v>
      </c>
      <c r="AG60">
        <v>-5.8999999999999997E-2</v>
      </c>
      <c r="AH60">
        <v>-4.0000000000000001E-3</v>
      </c>
      <c r="AI60">
        <v>-6.8000000000000005E-2</v>
      </c>
    </row>
    <row r="61" spans="1:35" x14ac:dyDescent="0.25">
      <c r="A61" t="s">
        <v>1379</v>
      </c>
      <c r="B61" t="s">
        <v>32</v>
      </c>
      <c r="C61" s="25">
        <v>43702.485381944447</v>
      </c>
      <c r="D61" s="741" t="s">
        <v>969</v>
      </c>
      <c r="E61" s="741">
        <f t="array" ref="E61">SUMPRODUCT(IF(AMP4_4[[#This Row],[Dim 1_1]:[T 8]]-$F$4:$AI$4&lt;0,1,0)+IF($F$5:$AI$5-AMP4_4[[#This Row],[Dim 1_1]:[T 8]]&lt;0,1,0),IF(ISNUMBER(AMP4_4[[#This Row],[Dim 1_1]:[T 8]])=TRUE,1,0))</f>
        <v>0</v>
      </c>
      <c r="F61">
        <v>41.593000000000004</v>
      </c>
      <c r="G61">
        <v>41.634999999999998</v>
      </c>
      <c r="H61">
        <v>155.84</v>
      </c>
      <c r="I61">
        <v>155.755</v>
      </c>
      <c r="L61">
        <v>156</v>
      </c>
      <c r="M61">
        <v>155.75200000000001</v>
      </c>
      <c r="N61">
        <v>27.169</v>
      </c>
      <c r="O61">
        <v>27.329000000000001</v>
      </c>
      <c r="R61">
        <v>17.248999999999999</v>
      </c>
      <c r="S61">
        <v>17.202999999999999</v>
      </c>
      <c r="T61">
        <v>33.863999999999997</v>
      </c>
      <c r="U61">
        <v>34.701999999999998</v>
      </c>
      <c r="W61">
        <v>0.104</v>
      </c>
      <c r="X61">
        <v>-6.9000000000000006E-2</v>
      </c>
      <c r="Z61">
        <v>4.8000000000000001E-2</v>
      </c>
      <c r="AA61">
        <v>-0.10299999999999999</v>
      </c>
      <c r="AB61">
        <v>-5.7000000000000002E-2</v>
      </c>
      <c r="AC61">
        <v>-6.9000000000000006E-2</v>
      </c>
      <c r="AD61">
        <v>0.104</v>
      </c>
      <c r="AE61">
        <v>-3.5999999999999997E-2</v>
      </c>
      <c r="AF61">
        <v>-4.3999999999999997E-2</v>
      </c>
      <c r="AG61">
        <v>-0.10299999999999999</v>
      </c>
      <c r="AH61">
        <v>0.04</v>
      </c>
      <c r="AI61">
        <v>4.8000000000000001E-2</v>
      </c>
    </row>
    <row r="62" spans="1:35" x14ac:dyDescent="0.25">
      <c r="A62" t="s">
        <v>1380</v>
      </c>
      <c r="B62" t="s">
        <v>31</v>
      </c>
      <c r="C62" s="25">
        <v>43702.487916666665</v>
      </c>
      <c r="D62" s="741" t="s">
        <v>969</v>
      </c>
      <c r="E62" s="741">
        <f t="array" ref="E62">SUMPRODUCT(IF(AMP4_4[[#This Row],[Dim 1_1]:[T 8]]-$F$4:$AI$4&lt;0,1,0)+IF($F$5:$AI$5-AMP4_4[[#This Row],[Dim 1_1]:[T 8]]&lt;0,1,0),IF(ISNUMBER(AMP4_4[[#This Row],[Dim 1_1]:[T 8]])=TRUE,1,0))</f>
        <v>0</v>
      </c>
      <c r="H62">
        <v>155.39099999999999</v>
      </c>
      <c r="I62">
        <v>155.50299999999999</v>
      </c>
      <c r="J62">
        <v>168.56100000000001</v>
      </c>
      <c r="K62">
        <v>168.41800000000001</v>
      </c>
      <c r="L62">
        <v>155.577</v>
      </c>
      <c r="M62">
        <v>155.48500000000001</v>
      </c>
      <c r="N62">
        <v>27.617999999999999</v>
      </c>
      <c r="O62">
        <v>27.806999999999999</v>
      </c>
      <c r="R62">
        <v>17.285</v>
      </c>
      <c r="S62">
        <v>17.169</v>
      </c>
      <c r="T62">
        <v>37.642000000000003</v>
      </c>
      <c r="U62">
        <v>37.412999999999997</v>
      </c>
      <c r="W62">
        <v>0.23899999999999999</v>
      </c>
      <c r="X62">
        <v>0.109</v>
      </c>
      <c r="Z62">
        <v>0.10299999999999999</v>
      </c>
      <c r="AA62">
        <v>2.3E-2</v>
      </c>
      <c r="AB62">
        <v>0.109</v>
      </c>
      <c r="AC62">
        <v>0.13300000000000001</v>
      </c>
      <c r="AD62">
        <v>0.23899999999999999</v>
      </c>
      <c r="AE62">
        <v>0.219</v>
      </c>
      <c r="AF62">
        <v>0.10299999999999999</v>
      </c>
      <c r="AG62">
        <v>2.3E-2</v>
      </c>
      <c r="AH62">
        <v>9.2999999999999999E-2</v>
      </c>
      <c r="AI62">
        <v>7.5999999999999998E-2</v>
      </c>
    </row>
    <row r="63" spans="1:35" x14ac:dyDescent="0.25">
      <c r="A63" t="s">
        <v>1381</v>
      </c>
      <c r="B63" t="s">
        <v>32</v>
      </c>
      <c r="C63" s="25">
        <v>43702.581956018519</v>
      </c>
      <c r="D63" s="741" t="s">
        <v>969</v>
      </c>
      <c r="E63" s="741">
        <f t="array" ref="E63">SUMPRODUCT(IF(AMP4_4[[#This Row],[Dim 1_1]:[T 8]]-$F$4:$AI$4&lt;0,1,0)+IF($F$5:$AI$5-AMP4_4[[#This Row],[Dim 1_1]:[T 8]]&lt;0,1,0),IF(ISNUMBER(AMP4_4[[#This Row],[Dim 1_1]:[T 8]])=TRUE,1,0))</f>
        <v>0</v>
      </c>
      <c r="F63">
        <v>41.555999999999997</v>
      </c>
      <c r="G63">
        <v>41.526000000000003</v>
      </c>
      <c r="H63">
        <v>155.90100000000001</v>
      </c>
      <c r="I63">
        <v>155.81299999999999</v>
      </c>
      <c r="L63">
        <v>156.03299999999999</v>
      </c>
      <c r="M63">
        <v>155.78100000000001</v>
      </c>
      <c r="N63">
        <v>27.151</v>
      </c>
      <c r="O63">
        <v>27.298999999999999</v>
      </c>
      <c r="R63">
        <v>17.228000000000002</v>
      </c>
      <c r="S63">
        <v>17.161000000000001</v>
      </c>
      <c r="T63">
        <v>33.752000000000002</v>
      </c>
      <c r="U63">
        <v>34.65</v>
      </c>
      <c r="W63">
        <v>8.6999999999999994E-2</v>
      </c>
      <c r="X63">
        <v>-0.104</v>
      </c>
      <c r="Z63">
        <v>7.2999999999999995E-2</v>
      </c>
      <c r="AA63">
        <v>-9.4E-2</v>
      </c>
      <c r="AB63">
        <v>-0.104</v>
      </c>
      <c r="AC63">
        <v>-0.1</v>
      </c>
      <c r="AD63">
        <v>8.6999999999999994E-2</v>
      </c>
      <c r="AE63">
        <v>-4.5999999999999999E-2</v>
      </c>
      <c r="AF63">
        <v>-0.04</v>
      </c>
      <c r="AG63">
        <v>-9.4E-2</v>
      </c>
      <c r="AH63">
        <v>5.1999999999999998E-2</v>
      </c>
      <c r="AI63">
        <v>7.2999999999999995E-2</v>
      </c>
    </row>
    <row r="64" spans="1:35" x14ac:dyDescent="0.25">
      <c r="A64" t="s">
        <v>1382</v>
      </c>
      <c r="B64" t="s">
        <v>31</v>
      </c>
      <c r="C64" s="25">
        <v>43702.583541666667</v>
      </c>
      <c r="D64" s="741" t="s">
        <v>969</v>
      </c>
      <c r="E64" s="741">
        <f t="array" ref="E64">SUMPRODUCT(IF(AMP4_4[[#This Row],[Dim 1_1]:[T 8]]-$F$4:$AI$4&lt;0,1,0)+IF($F$5:$AI$5-AMP4_4[[#This Row],[Dim 1_1]:[T 8]]&lt;0,1,0),IF(ISNUMBER(AMP4_4[[#This Row],[Dim 1_1]:[T 8]])=TRUE,1,0))</f>
        <v>0</v>
      </c>
      <c r="H64">
        <v>155.417</v>
      </c>
      <c r="I64">
        <v>155.524</v>
      </c>
      <c r="J64">
        <v>168.572</v>
      </c>
      <c r="K64">
        <v>168.51499999999999</v>
      </c>
      <c r="L64">
        <v>155.63900000000001</v>
      </c>
      <c r="M64">
        <v>155.52500000000001</v>
      </c>
      <c r="N64">
        <v>27.576000000000001</v>
      </c>
      <c r="O64">
        <v>27.774000000000001</v>
      </c>
      <c r="R64">
        <v>17.257000000000001</v>
      </c>
      <c r="S64">
        <v>17.236000000000001</v>
      </c>
      <c r="T64">
        <v>36.857999999999997</v>
      </c>
      <c r="U64">
        <v>37.85</v>
      </c>
      <c r="W64">
        <v>0.11799999999999999</v>
      </c>
      <c r="X64">
        <v>8.4000000000000005E-2</v>
      </c>
      <c r="Z64">
        <v>9.5000000000000001E-2</v>
      </c>
      <c r="AA64">
        <v>-3.6999999999999998E-2</v>
      </c>
      <c r="AB64">
        <v>8.4000000000000005E-2</v>
      </c>
      <c r="AC64">
        <v>0.11799999999999999</v>
      </c>
      <c r="AD64">
        <v>0.107</v>
      </c>
      <c r="AE64">
        <v>9.8000000000000004E-2</v>
      </c>
      <c r="AF64">
        <v>9.5000000000000001E-2</v>
      </c>
      <c r="AG64">
        <v>2.7E-2</v>
      </c>
      <c r="AH64">
        <v>-1E-3</v>
      </c>
      <c r="AI64">
        <v>-3.6999999999999998E-2</v>
      </c>
    </row>
    <row r="65" spans="1:35" x14ac:dyDescent="0.25">
      <c r="A65" t="s">
        <v>1383</v>
      </c>
      <c r="B65" t="s">
        <v>32</v>
      </c>
      <c r="C65" s="25">
        <v>43702.668981481482</v>
      </c>
      <c r="D65" s="741" t="s">
        <v>969</v>
      </c>
      <c r="E65" s="741">
        <f t="array" ref="E65">SUMPRODUCT(IF(AMP4_4[[#This Row],[Dim 1_1]:[T 8]]-$F$4:$AI$4&lt;0,1,0)+IF($F$5:$AI$5-AMP4_4[[#This Row],[Dim 1_1]:[T 8]]&lt;0,1,0),IF(ISNUMBER(AMP4_4[[#This Row],[Dim 1_1]:[T 8]])=TRUE,1,0))</f>
        <v>0</v>
      </c>
      <c r="F65">
        <v>41.545999999999999</v>
      </c>
      <c r="G65">
        <v>41.753</v>
      </c>
      <c r="H65">
        <v>155.90700000000001</v>
      </c>
      <c r="I65">
        <v>155.82400000000001</v>
      </c>
      <c r="L65">
        <v>156.02799999999999</v>
      </c>
      <c r="M65">
        <v>155.78299999999999</v>
      </c>
      <c r="N65">
        <v>27.16</v>
      </c>
      <c r="O65">
        <v>27.302</v>
      </c>
      <c r="R65">
        <v>17.204999999999998</v>
      </c>
      <c r="S65">
        <v>17.161000000000001</v>
      </c>
      <c r="T65">
        <v>33.729999999999997</v>
      </c>
      <c r="U65">
        <v>34.673000000000002</v>
      </c>
      <c r="W65">
        <v>9.2999999999999999E-2</v>
      </c>
      <c r="X65">
        <v>-7.4999999999999997E-2</v>
      </c>
      <c r="Z65">
        <v>2.4E-2</v>
      </c>
      <c r="AA65">
        <v>-0.13800000000000001</v>
      </c>
      <c r="AB65">
        <v>-7.4999999999999997E-2</v>
      </c>
      <c r="AC65">
        <v>-6.7000000000000004E-2</v>
      </c>
      <c r="AD65">
        <v>9.2999999999999999E-2</v>
      </c>
      <c r="AE65">
        <v>-4.1000000000000002E-2</v>
      </c>
      <c r="AF65">
        <v>-7.6999999999999999E-2</v>
      </c>
      <c r="AG65">
        <v>-0.13800000000000001</v>
      </c>
      <c r="AH65">
        <v>1.4999999999999999E-2</v>
      </c>
      <c r="AI65">
        <v>2.4E-2</v>
      </c>
    </row>
    <row r="66" spans="1:35" x14ac:dyDescent="0.25">
      <c r="A66" t="s">
        <v>1384</v>
      </c>
      <c r="B66" t="s">
        <v>31</v>
      </c>
      <c r="C66" s="25">
        <v>43702.670891203707</v>
      </c>
      <c r="D66" s="741" t="s">
        <v>969</v>
      </c>
      <c r="E66" s="741">
        <f t="array" ref="E66">SUMPRODUCT(IF(AMP4_4[[#This Row],[Dim 1_1]:[T 8]]-$F$4:$AI$4&lt;0,1,0)+IF($F$5:$AI$5-AMP4_4[[#This Row],[Dim 1_1]:[T 8]]&lt;0,1,0),IF(ISNUMBER(AMP4_4[[#This Row],[Dim 1_1]:[T 8]])=TRUE,1,0))</f>
        <v>0</v>
      </c>
      <c r="H66">
        <v>155.429</v>
      </c>
      <c r="I66">
        <v>155.54300000000001</v>
      </c>
      <c r="J66">
        <v>168.55199999999999</v>
      </c>
      <c r="K66">
        <v>168.47399999999999</v>
      </c>
      <c r="L66">
        <v>155.63499999999999</v>
      </c>
      <c r="M66">
        <v>155.517</v>
      </c>
      <c r="N66">
        <v>27.553999999999998</v>
      </c>
      <c r="O66">
        <v>27.777000000000001</v>
      </c>
      <c r="R66">
        <v>17.271000000000001</v>
      </c>
      <c r="S66">
        <v>17.231999999999999</v>
      </c>
      <c r="T66">
        <v>37.207999999999998</v>
      </c>
      <c r="U66">
        <v>38.447000000000003</v>
      </c>
      <c r="W66">
        <v>0.10199999999999999</v>
      </c>
      <c r="X66">
        <v>3.7999999999999999E-2</v>
      </c>
      <c r="Z66">
        <v>0</v>
      </c>
      <c r="AA66">
        <v>-0.13600000000000001</v>
      </c>
      <c r="AB66">
        <v>3.7999999999999999E-2</v>
      </c>
      <c r="AC66">
        <v>6.8000000000000005E-2</v>
      </c>
      <c r="AD66">
        <v>0.10199999999999999</v>
      </c>
      <c r="AE66">
        <v>8.1000000000000003E-2</v>
      </c>
      <c r="AF66">
        <v>0</v>
      </c>
      <c r="AG66">
        <v>-0.10100000000000001</v>
      </c>
      <c r="AH66">
        <v>-7.0999999999999994E-2</v>
      </c>
      <c r="AI66">
        <v>-0.13600000000000001</v>
      </c>
    </row>
    <row r="67" spans="1:35" x14ac:dyDescent="0.25">
      <c r="A67" t="s">
        <v>1610</v>
      </c>
      <c r="B67" t="s">
        <v>32</v>
      </c>
      <c r="C67" s="25">
        <v>43703.272800925923</v>
      </c>
      <c r="D67" s="741" t="s">
        <v>969</v>
      </c>
      <c r="E67" s="741">
        <f t="array" ref="E67">SUMPRODUCT(IF(AMP4_4[[#This Row],[Dim 1_1]:[T 8]]-$F$4:$AI$4&lt;0,1,0)+IF($F$5:$AI$5-AMP4_4[[#This Row],[Dim 1_1]:[T 8]]&lt;0,1,0),IF(ISNUMBER(AMP4_4[[#This Row],[Dim 1_1]:[T 8]])=TRUE,1,0))</f>
        <v>0</v>
      </c>
      <c r="F67">
        <v>41.383000000000003</v>
      </c>
      <c r="G67">
        <v>41.481000000000002</v>
      </c>
      <c r="H67">
        <v>155.87200000000001</v>
      </c>
      <c r="I67">
        <v>155.821</v>
      </c>
      <c r="L67">
        <v>156.00299999999999</v>
      </c>
      <c r="M67">
        <v>155.80099999999999</v>
      </c>
      <c r="N67">
        <v>27.155999999999999</v>
      </c>
      <c r="O67">
        <v>27.266999999999999</v>
      </c>
      <c r="R67">
        <v>17.216999999999999</v>
      </c>
      <c r="S67">
        <v>17.166</v>
      </c>
      <c r="T67">
        <v>33.966000000000001</v>
      </c>
      <c r="U67">
        <v>34.972000000000001</v>
      </c>
      <c r="W67">
        <v>0.11700000000000001</v>
      </c>
      <c r="X67">
        <v>-5.1999999999999998E-2</v>
      </c>
      <c r="Z67">
        <v>0.124</v>
      </c>
      <c r="AA67">
        <v>-1.7000000000000001E-2</v>
      </c>
      <c r="AB67">
        <v>-5.1999999999999998E-2</v>
      </c>
      <c r="AC67">
        <v>-3.9E-2</v>
      </c>
      <c r="AD67">
        <v>0.11700000000000001</v>
      </c>
      <c r="AE67">
        <v>-3.5999999999999997E-2</v>
      </c>
      <c r="AF67">
        <v>3.4000000000000002E-2</v>
      </c>
      <c r="AG67">
        <v>-1.7000000000000001E-2</v>
      </c>
      <c r="AH67">
        <v>0.1</v>
      </c>
      <c r="AI67">
        <v>0.124</v>
      </c>
    </row>
    <row r="68" spans="1:35" x14ac:dyDescent="0.25">
      <c r="A68" t="s">
        <v>1611</v>
      </c>
      <c r="B68" t="s">
        <v>31</v>
      </c>
      <c r="C68" s="25">
        <v>43703.27443287037</v>
      </c>
      <c r="D68" s="741" t="s">
        <v>969</v>
      </c>
      <c r="E68" s="741">
        <f t="array" ref="E68">SUMPRODUCT(IF(AMP4_4[[#This Row],[Dim 1_1]:[T 8]]-$F$4:$AI$4&lt;0,1,0)+IF($F$5:$AI$5-AMP4_4[[#This Row],[Dim 1_1]:[T 8]]&lt;0,1,0),IF(ISNUMBER(AMP4_4[[#This Row],[Dim 1_1]:[T 8]])=TRUE,1,0))</f>
        <v>0</v>
      </c>
      <c r="H68">
        <v>155.452</v>
      </c>
      <c r="I68">
        <v>155.559</v>
      </c>
      <c r="J68">
        <v>168.39099999999999</v>
      </c>
      <c r="K68">
        <v>168.381</v>
      </c>
      <c r="L68">
        <v>155.63900000000001</v>
      </c>
      <c r="M68">
        <v>155.52000000000001</v>
      </c>
      <c r="N68">
        <v>27.577000000000002</v>
      </c>
      <c r="O68">
        <v>27.786999999999999</v>
      </c>
      <c r="R68">
        <v>17.260999999999999</v>
      </c>
      <c r="S68">
        <v>17.233000000000001</v>
      </c>
      <c r="T68">
        <v>35.439</v>
      </c>
      <c r="U68">
        <v>36.006999999999998</v>
      </c>
      <c r="W68">
        <v>0.26300000000000001</v>
      </c>
      <c r="X68">
        <v>0.193</v>
      </c>
      <c r="Z68">
        <v>0.18099999999999999</v>
      </c>
      <c r="AA68">
        <v>7.9000000000000001E-2</v>
      </c>
      <c r="AB68">
        <v>0.19500000000000001</v>
      </c>
      <c r="AC68">
        <v>0.193</v>
      </c>
      <c r="AD68">
        <v>0.26300000000000001</v>
      </c>
      <c r="AE68">
        <v>0.23899999999999999</v>
      </c>
      <c r="AF68">
        <v>0.18099999999999999</v>
      </c>
      <c r="AG68">
        <v>8.7999999999999995E-2</v>
      </c>
      <c r="AH68">
        <v>0.113</v>
      </c>
      <c r="AI68">
        <v>7.9000000000000001E-2</v>
      </c>
    </row>
    <row r="69" spans="1:35" x14ac:dyDescent="0.25">
      <c r="A69" t="s">
        <v>1612</v>
      </c>
      <c r="B69" t="s">
        <v>32</v>
      </c>
      <c r="C69" s="25">
        <v>43703.377453703702</v>
      </c>
      <c r="D69" s="741" t="s">
        <v>969</v>
      </c>
      <c r="E69" s="741">
        <f t="array" ref="E69">SUMPRODUCT(IF(AMP4_4[[#This Row],[Dim 1_1]:[T 8]]-$F$4:$AI$4&lt;0,1,0)+IF($F$5:$AI$5-AMP4_4[[#This Row],[Dim 1_1]:[T 8]]&lt;0,1,0),IF(ISNUMBER(AMP4_4[[#This Row],[Dim 1_1]:[T 8]])=TRUE,1,0))</f>
        <v>0</v>
      </c>
      <c r="F69">
        <v>41.529000000000003</v>
      </c>
      <c r="G69">
        <v>41.649000000000001</v>
      </c>
      <c r="H69">
        <v>155.97499999999999</v>
      </c>
      <c r="I69">
        <v>155.851</v>
      </c>
      <c r="L69">
        <v>156.07900000000001</v>
      </c>
      <c r="M69">
        <v>155.816</v>
      </c>
      <c r="N69">
        <v>27.114999999999998</v>
      </c>
      <c r="O69">
        <v>27.254000000000001</v>
      </c>
      <c r="R69">
        <v>17.227</v>
      </c>
      <c r="S69">
        <v>17.146000000000001</v>
      </c>
      <c r="T69">
        <v>33.761000000000003</v>
      </c>
      <c r="U69">
        <v>34.756999999999998</v>
      </c>
      <c r="W69">
        <v>0.153</v>
      </c>
      <c r="X69">
        <v>-0.14000000000000001</v>
      </c>
      <c r="Z69">
        <v>3.5000000000000003E-2</v>
      </c>
      <c r="AA69">
        <v>-0.20100000000000001</v>
      </c>
      <c r="AB69">
        <v>-0.14000000000000001</v>
      </c>
      <c r="AC69">
        <v>-0.12</v>
      </c>
      <c r="AD69">
        <v>0.153</v>
      </c>
      <c r="AE69">
        <v>2.7E-2</v>
      </c>
      <c r="AF69">
        <v>-0.14000000000000001</v>
      </c>
      <c r="AG69">
        <v>-0.20100000000000001</v>
      </c>
      <c r="AH69">
        <v>3.5000000000000003E-2</v>
      </c>
      <c r="AI69">
        <v>0.01</v>
      </c>
    </row>
    <row r="70" spans="1:35" x14ac:dyDescent="0.25">
      <c r="A70" t="s">
        <v>1613</v>
      </c>
      <c r="B70" t="s">
        <v>31</v>
      </c>
      <c r="C70" s="25">
        <v>43703.379027777781</v>
      </c>
      <c r="D70" s="741" t="s">
        <v>969</v>
      </c>
      <c r="E70" s="741">
        <f t="array" ref="E70">SUMPRODUCT(IF(AMP4_4[[#This Row],[Dim 1_1]:[T 8]]-$F$4:$AI$4&lt;0,1,0)+IF($F$5:$AI$5-AMP4_4[[#This Row],[Dim 1_1]:[T 8]]&lt;0,1,0),IF(ISNUMBER(AMP4_4[[#This Row],[Dim 1_1]:[T 8]])=TRUE,1,0))</f>
        <v>0</v>
      </c>
      <c r="H70">
        <v>155.547</v>
      </c>
      <c r="I70">
        <v>155.654</v>
      </c>
      <c r="J70">
        <v>168.649</v>
      </c>
      <c r="K70">
        <v>168.62299999999999</v>
      </c>
      <c r="L70">
        <v>155.732</v>
      </c>
      <c r="M70">
        <v>155.624</v>
      </c>
      <c r="N70">
        <v>27.457000000000001</v>
      </c>
      <c r="O70">
        <v>27.686</v>
      </c>
      <c r="R70">
        <v>17.263999999999999</v>
      </c>
      <c r="S70">
        <v>17.129000000000001</v>
      </c>
      <c r="T70">
        <v>36.542999999999999</v>
      </c>
      <c r="U70">
        <v>37.316000000000003</v>
      </c>
      <c r="W70">
        <v>0.22800000000000001</v>
      </c>
      <c r="X70">
        <v>5.5E-2</v>
      </c>
      <c r="Z70">
        <v>7.9000000000000001E-2</v>
      </c>
      <c r="AA70">
        <v>-8.6999999999999994E-2</v>
      </c>
      <c r="AB70">
        <v>5.5E-2</v>
      </c>
      <c r="AC70">
        <v>7.0000000000000007E-2</v>
      </c>
      <c r="AD70">
        <v>0.22800000000000001</v>
      </c>
      <c r="AE70">
        <v>0.20499999999999999</v>
      </c>
      <c r="AF70">
        <v>1.2999999999999999E-2</v>
      </c>
      <c r="AG70">
        <v>-8.6999999999999994E-2</v>
      </c>
      <c r="AH70">
        <v>7.9000000000000001E-2</v>
      </c>
      <c r="AI70">
        <v>-0.02</v>
      </c>
    </row>
    <row r="71" spans="1:35" x14ac:dyDescent="0.25">
      <c r="A71" t="s">
        <v>1614</v>
      </c>
      <c r="B71" t="s">
        <v>32</v>
      </c>
      <c r="C71" s="25">
        <v>43703.463391203702</v>
      </c>
      <c r="D71" s="741" t="s">
        <v>969</v>
      </c>
      <c r="E71" s="741">
        <f t="array" ref="E71">SUMPRODUCT(IF(AMP4_4[[#This Row],[Dim 1_1]:[T 8]]-$F$4:$AI$4&lt;0,1,0)+IF($F$5:$AI$5-AMP4_4[[#This Row],[Dim 1_1]:[T 8]]&lt;0,1,0),IF(ISNUMBER(AMP4_4[[#This Row],[Dim 1_1]:[T 8]])=TRUE,1,0))</f>
        <v>0</v>
      </c>
      <c r="F71">
        <v>41.548999999999999</v>
      </c>
      <c r="G71">
        <v>41.695</v>
      </c>
      <c r="H71">
        <v>155.90700000000001</v>
      </c>
      <c r="I71">
        <v>155.863</v>
      </c>
      <c r="L71">
        <v>156.01300000000001</v>
      </c>
      <c r="M71">
        <v>155.833</v>
      </c>
      <c r="N71">
        <v>27.123000000000001</v>
      </c>
      <c r="O71">
        <v>27.228000000000002</v>
      </c>
      <c r="R71">
        <v>17.195</v>
      </c>
      <c r="S71">
        <v>17.195</v>
      </c>
      <c r="T71">
        <v>33.807000000000002</v>
      </c>
      <c r="U71">
        <v>34.692</v>
      </c>
      <c r="W71">
        <v>6.4000000000000001E-2</v>
      </c>
      <c r="X71">
        <v>-0.10299999999999999</v>
      </c>
      <c r="Z71">
        <v>0.02</v>
      </c>
      <c r="AA71">
        <v>-9.1999999999999998E-2</v>
      </c>
      <c r="AB71">
        <v>-0.10199999999999999</v>
      </c>
      <c r="AC71">
        <v>-0.09</v>
      </c>
      <c r="AD71">
        <v>6.4000000000000001E-2</v>
      </c>
      <c r="AE71">
        <v>-0.10299999999999999</v>
      </c>
      <c r="AF71">
        <v>-5.1999999999999998E-2</v>
      </c>
      <c r="AG71">
        <v>-9.1999999999999998E-2</v>
      </c>
      <c r="AH71">
        <v>0.02</v>
      </c>
      <c r="AI71">
        <v>-1.2E-2</v>
      </c>
    </row>
    <row r="72" spans="1:35" x14ac:dyDescent="0.25">
      <c r="A72" t="s">
        <v>1615</v>
      </c>
      <c r="B72" t="s">
        <v>31</v>
      </c>
      <c r="C72" s="25">
        <v>43703.46502314815</v>
      </c>
      <c r="D72" s="741" t="s">
        <v>969</v>
      </c>
      <c r="E72" s="741">
        <f t="array" ref="E72">SUMPRODUCT(IF(AMP4_4[[#This Row],[Dim 1_1]:[T 8]]-$F$4:$AI$4&lt;0,1,0)+IF($F$5:$AI$5-AMP4_4[[#This Row],[Dim 1_1]:[T 8]]&lt;0,1,0),IF(ISNUMBER(AMP4_4[[#This Row],[Dim 1_1]:[T 8]])=TRUE,1,0))</f>
        <v>0</v>
      </c>
      <c r="H72">
        <v>155.46799999999999</v>
      </c>
      <c r="I72">
        <v>155.566</v>
      </c>
      <c r="J72">
        <v>168.61500000000001</v>
      </c>
      <c r="K72">
        <v>168.536</v>
      </c>
      <c r="L72">
        <v>155.65</v>
      </c>
      <c r="M72">
        <v>155.518</v>
      </c>
      <c r="N72">
        <v>27.587</v>
      </c>
      <c r="O72">
        <v>27.809000000000001</v>
      </c>
      <c r="R72">
        <v>17.263000000000002</v>
      </c>
      <c r="S72">
        <v>17.364000000000001</v>
      </c>
      <c r="T72">
        <v>38.409999999999997</v>
      </c>
      <c r="U72">
        <v>38.520000000000003</v>
      </c>
      <c r="W72">
        <v>0.14799999999999999</v>
      </c>
      <c r="X72">
        <v>5.5E-2</v>
      </c>
      <c r="Z72">
        <v>1.9E-2</v>
      </c>
      <c r="AA72">
        <v>-0.23899999999999999</v>
      </c>
      <c r="AB72">
        <v>6.0999999999999999E-2</v>
      </c>
      <c r="AC72">
        <v>0.128</v>
      </c>
      <c r="AD72">
        <v>5.5E-2</v>
      </c>
      <c r="AE72">
        <v>0.14799999999999999</v>
      </c>
      <c r="AF72">
        <v>1.9E-2</v>
      </c>
      <c r="AG72">
        <v>-8.6999999999999994E-2</v>
      </c>
      <c r="AH72">
        <v>-7.0999999999999994E-2</v>
      </c>
      <c r="AI72">
        <v>-0.23899999999999999</v>
      </c>
    </row>
    <row r="73" spans="1:35" x14ac:dyDescent="0.25">
      <c r="A73" t="s">
        <v>1616</v>
      </c>
      <c r="B73" t="s">
        <v>32</v>
      </c>
      <c r="C73" s="25">
        <v>43703.54760416667</v>
      </c>
      <c r="D73" s="741" t="s">
        <v>969</v>
      </c>
      <c r="E73" s="741">
        <f t="array" ref="E73">SUMPRODUCT(IF(AMP4_4[[#This Row],[Dim 1_1]:[T 8]]-$F$4:$AI$4&lt;0,1,0)+IF($F$5:$AI$5-AMP4_4[[#This Row],[Dim 1_1]:[T 8]]&lt;0,1,0),IF(ISNUMBER(AMP4_4[[#This Row],[Dim 1_1]:[T 8]])=TRUE,1,0))</f>
        <v>0</v>
      </c>
      <c r="F73">
        <v>41.384999999999998</v>
      </c>
      <c r="G73">
        <v>41.542999999999999</v>
      </c>
      <c r="H73">
        <v>155.96</v>
      </c>
      <c r="I73">
        <v>155.91200000000001</v>
      </c>
      <c r="L73">
        <v>156.09700000000001</v>
      </c>
      <c r="M73">
        <v>155.88999999999999</v>
      </c>
      <c r="N73">
        <v>27.027999999999999</v>
      </c>
      <c r="O73">
        <v>27.167000000000002</v>
      </c>
      <c r="R73">
        <v>17.228999999999999</v>
      </c>
      <c r="S73">
        <v>17.138000000000002</v>
      </c>
      <c r="T73">
        <v>33.786000000000001</v>
      </c>
      <c r="U73">
        <v>34.704999999999998</v>
      </c>
      <c r="W73">
        <v>2.5000000000000001E-2</v>
      </c>
      <c r="X73">
        <v>-0.192</v>
      </c>
      <c r="Z73">
        <v>-2E-3</v>
      </c>
      <c r="AA73">
        <v>-0.18099999999999999</v>
      </c>
      <c r="AB73">
        <v>-0.192</v>
      </c>
      <c r="AC73">
        <v>-0.17799999999999999</v>
      </c>
      <c r="AD73">
        <v>2.5000000000000001E-2</v>
      </c>
      <c r="AE73">
        <v>-0.08</v>
      </c>
      <c r="AF73">
        <v>-0.127</v>
      </c>
      <c r="AG73">
        <v>-0.18099999999999999</v>
      </c>
      <c r="AH73">
        <v>-2E-3</v>
      </c>
      <c r="AI73">
        <v>-2.1999999999999999E-2</v>
      </c>
    </row>
    <row r="74" spans="1:35" x14ac:dyDescent="0.25">
      <c r="A74" t="s">
        <v>1617</v>
      </c>
      <c r="B74" t="s">
        <v>31</v>
      </c>
      <c r="C74" s="25">
        <v>43703.549351851849</v>
      </c>
      <c r="D74" s="741" t="s">
        <v>969</v>
      </c>
      <c r="E74" s="741">
        <f t="array" ref="E74">SUMPRODUCT(IF(AMP4_4[[#This Row],[Dim 1_1]:[T 8]]-$F$4:$AI$4&lt;0,1,0)+IF($F$5:$AI$5-AMP4_4[[#This Row],[Dim 1_1]:[T 8]]&lt;0,1,0),IF(ISNUMBER(AMP4_4[[#This Row],[Dim 1_1]:[T 8]])=TRUE,1,0))</f>
        <v>0</v>
      </c>
      <c r="H74">
        <v>155.52799999999999</v>
      </c>
      <c r="I74">
        <v>155.625</v>
      </c>
      <c r="J74">
        <v>168.44200000000001</v>
      </c>
      <c r="K74">
        <v>168.435</v>
      </c>
      <c r="L74">
        <v>155.744</v>
      </c>
      <c r="M74">
        <v>155.59700000000001</v>
      </c>
      <c r="N74">
        <v>27.489000000000001</v>
      </c>
      <c r="O74">
        <v>27.724</v>
      </c>
      <c r="R74">
        <v>17.263999999999999</v>
      </c>
      <c r="S74">
        <v>17.271000000000001</v>
      </c>
      <c r="T74">
        <v>36.860999999999997</v>
      </c>
      <c r="U74">
        <v>36.219000000000001</v>
      </c>
      <c r="W74">
        <v>9.6000000000000002E-2</v>
      </c>
      <c r="X74">
        <v>-1.2999999999999999E-2</v>
      </c>
      <c r="Z74">
        <v>-6.9000000000000006E-2</v>
      </c>
      <c r="AA74">
        <v>-0.17699999999999999</v>
      </c>
      <c r="AB74">
        <v>-1.2999999999999999E-2</v>
      </c>
      <c r="AC74">
        <v>7.0000000000000001E-3</v>
      </c>
      <c r="AD74">
        <v>9.6000000000000002E-2</v>
      </c>
      <c r="AE74">
        <v>0.08</v>
      </c>
      <c r="AF74">
        <v>-6.9000000000000006E-2</v>
      </c>
      <c r="AG74">
        <v>-0.17399999999999999</v>
      </c>
      <c r="AH74">
        <v>-7.1999999999999995E-2</v>
      </c>
      <c r="AI74">
        <v>-0.17699999999999999</v>
      </c>
    </row>
    <row r="75" spans="1:35" x14ac:dyDescent="0.25">
      <c r="A75" t="s">
        <v>1618</v>
      </c>
      <c r="B75" t="s">
        <v>32</v>
      </c>
      <c r="C75" s="25">
        <v>43703.64203703704</v>
      </c>
      <c r="D75" s="741" t="s">
        <v>969</v>
      </c>
      <c r="E75" s="741">
        <f t="array" ref="E75">SUMPRODUCT(IF(AMP4_4[[#This Row],[Dim 1_1]:[T 8]]-$F$4:$AI$4&lt;0,1,0)+IF($F$5:$AI$5-AMP4_4[[#This Row],[Dim 1_1]:[T 8]]&lt;0,1,0),IF(ISNUMBER(AMP4_4[[#This Row],[Dim 1_1]:[T 8]])=TRUE,1,0))</f>
        <v>0</v>
      </c>
      <c r="F75">
        <v>41.468000000000004</v>
      </c>
      <c r="G75">
        <v>41.6</v>
      </c>
      <c r="H75">
        <v>155.892</v>
      </c>
      <c r="I75">
        <v>155.85300000000001</v>
      </c>
      <c r="L75">
        <v>156.04900000000001</v>
      </c>
      <c r="M75">
        <v>155.86600000000001</v>
      </c>
      <c r="N75">
        <v>27.114999999999998</v>
      </c>
      <c r="O75">
        <v>27.222000000000001</v>
      </c>
      <c r="R75">
        <v>17.222000000000001</v>
      </c>
      <c r="S75">
        <v>17.199000000000002</v>
      </c>
      <c r="T75">
        <v>33.816000000000003</v>
      </c>
      <c r="U75">
        <v>34.591000000000001</v>
      </c>
      <c r="W75">
        <v>0.02</v>
      </c>
      <c r="X75">
        <v>-0.128</v>
      </c>
      <c r="Z75">
        <v>-3.0000000000000001E-3</v>
      </c>
      <c r="AA75">
        <v>-0.114</v>
      </c>
      <c r="AB75">
        <v>-0.127</v>
      </c>
      <c r="AC75">
        <v>-0.127</v>
      </c>
      <c r="AD75">
        <v>0.02</v>
      </c>
      <c r="AE75">
        <v>-0.128</v>
      </c>
      <c r="AF75">
        <v>-6.7000000000000004E-2</v>
      </c>
      <c r="AG75">
        <v>-0.114</v>
      </c>
      <c r="AH75">
        <v>-1.2E-2</v>
      </c>
      <c r="AI75">
        <v>-3.0000000000000001E-3</v>
      </c>
    </row>
    <row r="76" spans="1:35" x14ac:dyDescent="0.25">
      <c r="A76" t="s">
        <v>1619</v>
      </c>
      <c r="B76" t="s">
        <v>31</v>
      </c>
      <c r="C76" s="25">
        <v>43703.643842592595</v>
      </c>
      <c r="D76" s="741" t="s">
        <v>969</v>
      </c>
      <c r="E76" s="741">
        <f t="array" ref="E76">SUMPRODUCT(IF(AMP4_4[[#This Row],[Dim 1_1]:[T 8]]-$F$4:$AI$4&lt;0,1,0)+IF($F$5:$AI$5-AMP4_4[[#This Row],[Dim 1_1]:[T 8]]&lt;0,1,0),IF(ISNUMBER(AMP4_4[[#This Row],[Dim 1_1]:[T 8]])=TRUE,1,0))</f>
        <v>0</v>
      </c>
      <c r="H76">
        <v>155.477</v>
      </c>
      <c r="I76">
        <v>155.53899999999999</v>
      </c>
      <c r="J76">
        <v>168.506</v>
      </c>
      <c r="K76">
        <v>168.46700000000001</v>
      </c>
      <c r="L76">
        <v>155.68299999999999</v>
      </c>
      <c r="M76">
        <v>155.52600000000001</v>
      </c>
      <c r="N76">
        <v>27.533000000000001</v>
      </c>
      <c r="O76">
        <v>27.797000000000001</v>
      </c>
      <c r="R76">
        <v>17.271999999999998</v>
      </c>
      <c r="S76">
        <v>17.225000000000001</v>
      </c>
      <c r="T76">
        <v>37.746000000000002</v>
      </c>
      <c r="U76">
        <v>36.317</v>
      </c>
      <c r="W76">
        <v>0.14000000000000001</v>
      </c>
      <c r="X76">
        <v>2.5999999999999999E-2</v>
      </c>
      <c r="Z76">
        <v>7.3999999999999996E-2</v>
      </c>
      <c r="AA76">
        <v>-2.3E-2</v>
      </c>
      <c r="AB76">
        <v>2.5999999999999999E-2</v>
      </c>
      <c r="AC76">
        <v>5.3999999999999999E-2</v>
      </c>
      <c r="AD76">
        <v>0.14000000000000001</v>
      </c>
      <c r="AE76">
        <v>0.127</v>
      </c>
      <c r="AF76">
        <v>7.3999999999999996E-2</v>
      </c>
      <c r="AG76">
        <v>-1.7999999999999999E-2</v>
      </c>
      <c r="AH76">
        <v>5.5E-2</v>
      </c>
      <c r="AI76">
        <v>-2.3E-2</v>
      </c>
    </row>
    <row r="77" spans="1:35" x14ac:dyDescent="0.25">
      <c r="A77" t="s">
        <v>1620</v>
      </c>
      <c r="B77" t="s">
        <v>32</v>
      </c>
      <c r="C77" s="25">
        <v>43703.729027777779</v>
      </c>
      <c r="D77" s="741" t="s">
        <v>969</v>
      </c>
      <c r="E77" s="741">
        <f t="array" ref="E77">SUMPRODUCT(IF(AMP4_4[[#This Row],[Dim 1_1]:[T 8]]-$F$4:$AI$4&lt;0,1,0)+IF($F$5:$AI$5-AMP4_4[[#This Row],[Dim 1_1]:[T 8]]&lt;0,1,0),IF(ISNUMBER(AMP4_4[[#This Row],[Dim 1_1]:[T 8]])=TRUE,1,0))</f>
        <v>0</v>
      </c>
      <c r="F77">
        <v>41.552</v>
      </c>
      <c r="G77">
        <v>41.680999999999997</v>
      </c>
      <c r="H77">
        <v>155.923</v>
      </c>
      <c r="I77">
        <v>155.84700000000001</v>
      </c>
      <c r="L77">
        <v>156.072</v>
      </c>
      <c r="M77">
        <v>155.833</v>
      </c>
      <c r="N77">
        <v>27.097000000000001</v>
      </c>
      <c r="O77">
        <v>27.254000000000001</v>
      </c>
      <c r="R77">
        <v>17.216999999999999</v>
      </c>
      <c r="S77">
        <v>17.138000000000002</v>
      </c>
      <c r="T77">
        <v>33.72</v>
      </c>
      <c r="U77">
        <v>34.616999999999997</v>
      </c>
      <c r="W77">
        <v>0.06</v>
      </c>
      <c r="X77">
        <v>-0.113</v>
      </c>
      <c r="Z77">
        <v>-8.0000000000000002E-3</v>
      </c>
      <c r="AA77">
        <v>-0.17399999999999999</v>
      </c>
      <c r="AB77">
        <v>-0.113</v>
      </c>
      <c r="AC77">
        <v>-9.6000000000000002E-2</v>
      </c>
      <c r="AD77">
        <v>0.06</v>
      </c>
      <c r="AE77">
        <v>-7.6999999999999999E-2</v>
      </c>
      <c r="AF77">
        <v>-0.113</v>
      </c>
      <c r="AG77">
        <v>-0.17399999999999999</v>
      </c>
      <c r="AH77">
        <v>-8.0000000000000002E-3</v>
      </c>
      <c r="AI77">
        <v>-3.5999999999999997E-2</v>
      </c>
    </row>
    <row r="78" spans="1:35" x14ac:dyDescent="0.25">
      <c r="A78" t="s">
        <v>1621</v>
      </c>
      <c r="B78" t="s">
        <v>31</v>
      </c>
      <c r="C78" s="25">
        <v>43703.730983796297</v>
      </c>
      <c r="D78" s="741" t="s">
        <v>969</v>
      </c>
      <c r="E78" s="741">
        <f t="array" ref="E78">SUMPRODUCT(IF(AMP4_4[[#This Row],[Dim 1_1]:[T 8]]-$F$4:$AI$4&lt;0,1,0)+IF($F$5:$AI$5-AMP4_4[[#This Row],[Dim 1_1]:[T 8]]&lt;0,1,0),IF(ISNUMBER(AMP4_4[[#This Row],[Dim 1_1]:[T 8]])=TRUE,1,0))</f>
        <v>0</v>
      </c>
      <c r="H78">
        <v>155.49700000000001</v>
      </c>
      <c r="I78">
        <v>155.61000000000001</v>
      </c>
      <c r="J78">
        <v>168.57599999999999</v>
      </c>
      <c r="K78">
        <v>168.53800000000001</v>
      </c>
      <c r="L78">
        <v>155.708</v>
      </c>
      <c r="M78">
        <v>155.58699999999999</v>
      </c>
      <c r="N78">
        <v>27.507999999999999</v>
      </c>
      <c r="O78">
        <v>27.725999999999999</v>
      </c>
      <c r="R78">
        <v>17.259</v>
      </c>
      <c r="S78">
        <v>17.172000000000001</v>
      </c>
      <c r="T78">
        <v>36.247999999999998</v>
      </c>
      <c r="U78">
        <v>36.859000000000002</v>
      </c>
      <c r="W78">
        <v>7.6999999999999999E-2</v>
      </c>
      <c r="X78">
        <v>2.8000000000000001E-2</v>
      </c>
      <c r="Z78">
        <v>-3.5999999999999997E-2</v>
      </c>
      <c r="AA78">
        <v>-0.18099999999999999</v>
      </c>
      <c r="AB78">
        <v>2.8000000000000001E-2</v>
      </c>
      <c r="AC78">
        <v>3.5999999999999997E-2</v>
      </c>
      <c r="AD78">
        <v>7.5999999999999998E-2</v>
      </c>
      <c r="AE78">
        <v>7.6999999999999999E-2</v>
      </c>
      <c r="AF78">
        <v>-3.5999999999999997E-2</v>
      </c>
      <c r="AG78">
        <v>-0.121</v>
      </c>
      <c r="AH78">
        <v>-9.7000000000000003E-2</v>
      </c>
      <c r="AI78">
        <v>-0.18099999999999999</v>
      </c>
    </row>
    <row r="79" spans="1:35" x14ac:dyDescent="0.25">
      <c r="A79" t="s">
        <v>1622</v>
      </c>
      <c r="B79" t="s">
        <v>32</v>
      </c>
      <c r="C79" s="25">
        <v>43703.795636574076</v>
      </c>
      <c r="D79" s="741" t="s">
        <v>969</v>
      </c>
      <c r="E79" s="741">
        <f t="array" ref="E79">SUMPRODUCT(IF(AMP4_4[[#This Row],[Dim 1_1]:[T 8]]-$F$4:$AI$4&lt;0,1,0)+IF($F$5:$AI$5-AMP4_4[[#This Row],[Dim 1_1]:[T 8]]&lt;0,1,0),IF(ISNUMBER(AMP4_4[[#This Row],[Dim 1_1]:[T 8]])=TRUE,1,0))</f>
        <v>0</v>
      </c>
      <c r="F79">
        <v>41.444000000000003</v>
      </c>
      <c r="G79">
        <v>41.588999999999999</v>
      </c>
      <c r="H79">
        <v>155.77000000000001</v>
      </c>
      <c r="I79">
        <v>155.631</v>
      </c>
      <c r="L79">
        <v>155.881</v>
      </c>
      <c r="M79">
        <v>155.56800000000001</v>
      </c>
      <c r="N79">
        <v>27.303000000000001</v>
      </c>
      <c r="O79">
        <v>27.516999999999999</v>
      </c>
      <c r="R79">
        <v>17.245999999999999</v>
      </c>
      <c r="S79">
        <v>17.315000000000001</v>
      </c>
      <c r="T79">
        <v>33.685000000000002</v>
      </c>
      <c r="U79">
        <v>34.390999999999998</v>
      </c>
      <c r="W79">
        <v>8.5000000000000006E-2</v>
      </c>
      <c r="X79">
        <v>-0.127</v>
      </c>
      <c r="Z79">
        <v>6.3E-2</v>
      </c>
      <c r="AA79">
        <v>-1.7000000000000001E-2</v>
      </c>
      <c r="AB79">
        <v>6.4000000000000001E-2</v>
      </c>
      <c r="AC79">
        <v>5.5E-2</v>
      </c>
      <c r="AD79">
        <v>8.5000000000000006E-2</v>
      </c>
      <c r="AE79">
        <v>-0.127</v>
      </c>
      <c r="AF79">
        <v>6.3E-2</v>
      </c>
      <c r="AG79">
        <v>3.2000000000000001E-2</v>
      </c>
      <c r="AH79">
        <v>-1.7000000000000001E-2</v>
      </c>
      <c r="AI79">
        <v>4.4999999999999998E-2</v>
      </c>
    </row>
    <row r="80" spans="1:35" x14ac:dyDescent="0.25">
      <c r="A80" t="s">
        <v>1623</v>
      </c>
      <c r="B80" t="s">
        <v>31</v>
      </c>
      <c r="C80" s="25">
        <v>43703.797442129631</v>
      </c>
      <c r="D80" s="741" t="s">
        <v>969</v>
      </c>
      <c r="E80" s="741">
        <f t="array" ref="E80">SUMPRODUCT(IF(AMP4_4[[#This Row],[Dim 1_1]:[T 8]]-$F$4:$AI$4&lt;0,1,0)+IF($F$5:$AI$5-AMP4_4[[#This Row],[Dim 1_1]:[T 8]]&lt;0,1,0),IF(ISNUMBER(AMP4_4[[#This Row],[Dim 1_1]:[T 8]])=TRUE,1,0))</f>
        <v>0</v>
      </c>
      <c r="H80">
        <v>155.56200000000001</v>
      </c>
      <c r="I80">
        <v>155.76499999999999</v>
      </c>
      <c r="J80">
        <v>168.55500000000001</v>
      </c>
      <c r="K80">
        <v>168.505</v>
      </c>
      <c r="L80">
        <v>155.749</v>
      </c>
      <c r="M80">
        <v>155.72300000000001</v>
      </c>
      <c r="N80">
        <v>27.417000000000002</v>
      </c>
      <c r="O80">
        <v>27.477</v>
      </c>
      <c r="R80">
        <v>17.206</v>
      </c>
      <c r="S80">
        <v>17.193999999999999</v>
      </c>
      <c r="T80">
        <v>38.265999999999998</v>
      </c>
      <c r="U80">
        <v>38.948</v>
      </c>
      <c r="W80">
        <v>9.0999999999999998E-2</v>
      </c>
      <c r="X80">
        <v>-0.159</v>
      </c>
      <c r="Z80">
        <v>0.16400000000000001</v>
      </c>
      <c r="AA80">
        <v>-8.7999999999999995E-2</v>
      </c>
      <c r="AB80">
        <v>7.1999999999999995E-2</v>
      </c>
      <c r="AC80">
        <v>9.0999999999999998E-2</v>
      </c>
      <c r="AD80">
        <v>-0.13400000000000001</v>
      </c>
      <c r="AE80">
        <v>-0.159</v>
      </c>
      <c r="AF80">
        <v>0.16400000000000001</v>
      </c>
      <c r="AG80">
        <v>0.10199999999999999</v>
      </c>
      <c r="AH80">
        <v>-8.7999999999999995E-2</v>
      </c>
      <c r="AI80">
        <v>-8.5999999999999993E-2</v>
      </c>
    </row>
    <row r="81" spans="1:35" x14ac:dyDescent="0.25">
      <c r="A81" t="s">
        <v>1624</v>
      </c>
      <c r="B81" t="s">
        <v>32</v>
      </c>
      <c r="C81" s="25">
        <v>43703.895208333335</v>
      </c>
      <c r="D81" s="741" t="s">
        <v>969</v>
      </c>
      <c r="E81" s="741">
        <f t="array" ref="E81">SUMPRODUCT(IF(AMP4_4[[#This Row],[Dim 1_1]:[T 8]]-$F$4:$AI$4&lt;0,1,0)+IF($F$5:$AI$5-AMP4_4[[#This Row],[Dim 1_1]:[T 8]]&lt;0,1,0),IF(ISNUMBER(AMP4_4[[#This Row],[Dim 1_1]:[T 8]])=TRUE,1,0))</f>
        <v>0</v>
      </c>
      <c r="F81">
        <v>41.396000000000001</v>
      </c>
      <c r="G81">
        <v>41.155999999999999</v>
      </c>
      <c r="H81">
        <v>155.77099999999999</v>
      </c>
      <c r="I81">
        <v>155.619</v>
      </c>
      <c r="L81">
        <v>155.86699999999999</v>
      </c>
      <c r="M81">
        <v>155.54900000000001</v>
      </c>
      <c r="N81">
        <v>27.303999999999998</v>
      </c>
      <c r="O81">
        <v>27.538</v>
      </c>
      <c r="R81">
        <v>17.259</v>
      </c>
      <c r="S81">
        <v>17.321999999999999</v>
      </c>
      <c r="T81">
        <v>34.024999999999999</v>
      </c>
      <c r="U81">
        <v>34.101999999999997</v>
      </c>
      <c r="W81">
        <v>0.154</v>
      </c>
      <c r="X81">
        <v>-9.0999999999999998E-2</v>
      </c>
      <c r="Z81">
        <v>6.8000000000000005E-2</v>
      </c>
      <c r="AA81">
        <v>-2.8000000000000001E-2</v>
      </c>
      <c r="AB81">
        <v>0.105</v>
      </c>
      <c r="AC81">
        <v>7.5999999999999998E-2</v>
      </c>
      <c r="AD81">
        <v>0.154</v>
      </c>
      <c r="AE81">
        <v>-9.0999999999999998E-2</v>
      </c>
      <c r="AF81">
        <v>6.8000000000000005E-2</v>
      </c>
      <c r="AG81">
        <v>2.4E-2</v>
      </c>
      <c r="AH81">
        <v>-2.8000000000000001E-2</v>
      </c>
      <c r="AI81">
        <v>4.1000000000000002E-2</v>
      </c>
    </row>
    <row r="82" spans="1:35" x14ac:dyDescent="0.25">
      <c r="A82" t="s">
        <v>1625</v>
      </c>
      <c r="B82" t="s">
        <v>31</v>
      </c>
      <c r="C82" s="25">
        <v>43703.896932870368</v>
      </c>
      <c r="D82" s="741" t="s">
        <v>969</v>
      </c>
      <c r="E82" s="741">
        <f t="array" ref="E82">SUMPRODUCT(IF(AMP4_4[[#This Row],[Dim 1_1]:[T 8]]-$F$4:$AI$4&lt;0,1,0)+IF($F$5:$AI$5-AMP4_4[[#This Row],[Dim 1_1]:[T 8]]&lt;0,1,0),IF(ISNUMBER(AMP4_4[[#This Row],[Dim 1_1]:[T 8]])=TRUE,1,0))</f>
        <v>0</v>
      </c>
      <c r="H82">
        <v>155.55600000000001</v>
      </c>
      <c r="I82">
        <v>155.81800000000001</v>
      </c>
      <c r="J82">
        <v>168.48099999999999</v>
      </c>
      <c r="K82">
        <v>168.26499999999999</v>
      </c>
      <c r="L82">
        <v>155.75800000000001</v>
      </c>
      <c r="M82">
        <v>155.815</v>
      </c>
      <c r="N82">
        <v>27.440999999999999</v>
      </c>
      <c r="O82">
        <v>27.437999999999999</v>
      </c>
      <c r="R82">
        <v>17.228000000000002</v>
      </c>
      <c r="S82">
        <v>17.175000000000001</v>
      </c>
      <c r="T82">
        <v>34.677</v>
      </c>
      <c r="U82">
        <v>36.372</v>
      </c>
      <c r="W82">
        <v>2.3E-2</v>
      </c>
      <c r="X82">
        <v>-0.191</v>
      </c>
      <c r="Z82">
        <v>0.105</v>
      </c>
      <c r="AA82">
        <v>-0.12</v>
      </c>
      <c r="AB82">
        <v>-6.0000000000000001E-3</v>
      </c>
      <c r="AC82">
        <v>2.3E-2</v>
      </c>
      <c r="AD82">
        <v>-0.14599999999999999</v>
      </c>
      <c r="AE82">
        <v>-0.191</v>
      </c>
      <c r="AF82">
        <v>0.105</v>
      </c>
      <c r="AG82">
        <v>5.0999999999999997E-2</v>
      </c>
      <c r="AH82">
        <v>-0.109</v>
      </c>
      <c r="AI82">
        <v>-0.12</v>
      </c>
    </row>
    <row r="83" spans="1:35" x14ac:dyDescent="0.25">
      <c r="A83" t="s">
        <v>1626</v>
      </c>
      <c r="B83" t="s">
        <v>32</v>
      </c>
      <c r="C83" s="25">
        <v>43703.991064814814</v>
      </c>
      <c r="D83" s="741" t="s">
        <v>969</v>
      </c>
      <c r="E83" s="741">
        <f t="array" ref="E83">SUMPRODUCT(IF(AMP4_4[[#This Row],[Dim 1_1]:[T 8]]-$F$4:$AI$4&lt;0,1,0)+IF($F$5:$AI$5-AMP4_4[[#This Row],[Dim 1_1]:[T 8]]&lt;0,1,0),IF(ISNUMBER(AMP4_4[[#This Row],[Dim 1_1]:[T 8]])=TRUE,1,0))</f>
        <v>0</v>
      </c>
      <c r="F83">
        <v>41.264000000000003</v>
      </c>
      <c r="G83">
        <v>41.170999999999999</v>
      </c>
      <c r="H83">
        <v>155.77699999999999</v>
      </c>
      <c r="I83">
        <v>155.61199999999999</v>
      </c>
      <c r="L83">
        <v>155.88399999999999</v>
      </c>
      <c r="M83">
        <v>155.55500000000001</v>
      </c>
      <c r="N83">
        <v>27.283000000000001</v>
      </c>
      <c r="O83">
        <v>27.515999999999998</v>
      </c>
      <c r="R83">
        <v>17.234999999999999</v>
      </c>
      <c r="S83">
        <v>17.231999999999999</v>
      </c>
      <c r="T83">
        <v>33.619</v>
      </c>
      <c r="U83">
        <v>34.575000000000003</v>
      </c>
      <c r="W83">
        <v>0.153</v>
      </c>
      <c r="X83">
        <v>-6.0000000000000001E-3</v>
      </c>
      <c r="Z83">
        <v>9.9000000000000005E-2</v>
      </c>
      <c r="AA83">
        <v>-2.9000000000000001E-2</v>
      </c>
      <c r="AB83">
        <v>2.3E-2</v>
      </c>
      <c r="AC83">
        <v>2.5999999999999999E-2</v>
      </c>
      <c r="AD83">
        <v>0.153</v>
      </c>
      <c r="AE83">
        <v>-6.0000000000000001E-3</v>
      </c>
      <c r="AF83">
        <v>0.02</v>
      </c>
      <c r="AG83">
        <v>-2.9000000000000001E-2</v>
      </c>
      <c r="AH83">
        <v>0.08</v>
      </c>
      <c r="AI83">
        <v>9.9000000000000005E-2</v>
      </c>
    </row>
    <row r="84" spans="1:35" x14ac:dyDescent="0.25">
      <c r="A84" t="s">
        <v>1627</v>
      </c>
      <c r="B84" t="s">
        <v>31</v>
      </c>
      <c r="C84" s="25">
        <v>43703.992569444446</v>
      </c>
      <c r="D84" s="741" t="s">
        <v>969</v>
      </c>
      <c r="E84" s="741">
        <f t="array" ref="E84">SUMPRODUCT(IF(AMP4_4[[#This Row],[Dim 1_1]:[T 8]]-$F$4:$AI$4&lt;0,1,0)+IF($F$5:$AI$5-AMP4_4[[#This Row],[Dim 1_1]:[T 8]]&lt;0,1,0),IF(ISNUMBER(AMP4_4[[#This Row],[Dim 1_1]:[T 8]])=TRUE,1,0))</f>
        <v>0</v>
      </c>
      <c r="H84">
        <v>155.595</v>
      </c>
      <c r="I84">
        <v>155.74100000000001</v>
      </c>
      <c r="J84">
        <v>168.37299999999999</v>
      </c>
      <c r="K84">
        <v>168.136</v>
      </c>
      <c r="L84">
        <v>155.78100000000001</v>
      </c>
      <c r="M84">
        <v>155.73599999999999</v>
      </c>
      <c r="N84">
        <v>27.416</v>
      </c>
      <c r="O84">
        <v>27.507999999999999</v>
      </c>
      <c r="R84">
        <v>17.209</v>
      </c>
      <c r="S84">
        <v>17.186</v>
      </c>
      <c r="T84">
        <v>36.567</v>
      </c>
      <c r="U84">
        <v>35.134</v>
      </c>
      <c r="W84">
        <v>7.8E-2</v>
      </c>
      <c r="X84">
        <v>-4.0000000000000001E-3</v>
      </c>
      <c r="Z84">
        <v>0.10299999999999999</v>
      </c>
      <c r="AA84">
        <v>-3.4000000000000002E-2</v>
      </c>
      <c r="AB84">
        <v>4.8000000000000001E-2</v>
      </c>
      <c r="AC84">
        <v>7.8E-2</v>
      </c>
      <c r="AD84">
        <v>-4.0000000000000001E-3</v>
      </c>
      <c r="AE84">
        <v>1.0999999999999999E-2</v>
      </c>
      <c r="AF84">
        <v>0.10299999999999999</v>
      </c>
      <c r="AG84">
        <v>4.2999999999999997E-2</v>
      </c>
      <c r="AH84">
        <v>-1.6E-2</v>
      </c>
      <c r="AI84">
        <v>-3.4000000000000002E-2</v>
      </c>
    </row>
    <row r="85" spans="1:35" x14ac:dyDescent="0.25">
      <c r="A85" t="s">
        <v>1628</v>
      </c>
      <c r="B85" t="s">
        <v>32</v>
      </c>
      <c r="C85" s="25">
        <v>43704.063252314816</v>
      </c>
      <c r="D85" s="741" t="s">
        <v>969</v>
      </c>
      <c r="E85" s="741">
        <f t="array" ref="E85">SUMPRODUCT(IF(AMP4_4[[#This Row],[Dim 1_1]:[T 8]]-$F$4:$AI$4&lt;0,1,0)+IF($F$5:$AI$5-AMP4_4[[#This Row],[Dim 1_1]:[T 8]]&lt;0,1,0),IF(ISNUMBER(AMP4_4[[#This Row],[Dim 1_1]:[T 8]])=TRUE,1,0))</f>
        <v>0</v>
      </c>
      <c r="F85">
        <v>41.435000000000002</v>
      </c>
      <c r="G85">
        <v>41.387999999999998</v>
      </c>
      <c r="H85">
        <v>155.72499999999999</v>
      </c>
      <c r="I85">
        <v>155.59899999999999</v>
      </c>
      <c r="L85">
        <v>155.86199999999999</v>
      </c>
      <c r="M85">
        <v>155.56100000000001</v>
      </c>
      <c r="N85">
        <v>27.292999999999999</v>
      </c>
      <c r="O85">
        <v>27.524000000000001</v>
      </c>
      <c r="R85">
        <v>17.23</v>
      </c>
      <c r="S85">
        <v>17.228000000000002</v>
      </c>
      <c r="T85">
        <v>33.655999999999999</v>
      </c>
      <c r="U85">
        <v>34.521000000000001</v>
      </c>
      <c r="W85">
        <v>0.16</v>
      </c>
      <c r="X85">
        <v>-3.2000000000000001E-2</v>
      </c>
      <c r="Z85">
        <v>0.153</v>
      </c>
      <c r="AA85">
        <v>0.05</v>
      </c>
      <c r="AB85">
        <v>3.9E-2</v>
      </c>
      <c r="AC85">
        <v>0.04</v>
      </c>
      <c r="AD85">
        <v>0.16</v>
      </c>
      <c r="AE85">
        <v>-3.2000000000000001E-2</v>
      </c>
      <c r="AF85">
        <v>9.4E-2</v>
      </c>
      <c r="AG85">
        <v>0.05</v>
      </c>
      <c r="AH85">
        <v>0.10299999999999999</v>
      </c>
      <c r="AI85">
        <v>0.153</v>
      </c>
    </row>
    <row r="86" spans="1:35" x14ac:dyDescent="0.25">
      <c r="A86" t="s">
        <v>1629</v>
      </c>
      <c r="B86" t="s">
        <v>31</v>
      </c>
      <c r="C86" s="25">
        <v>43704.064733796295</v>
      </c>
      <c r="D86" s="741" t="s">
        <v>969</v>
      </c>
      <c r="E86" s="741">
        <f t="array" ref="E86">SUMPRODUCT(IF(AMP4_4[[#This Row],[Dim 1_1]:[T 8]]-$F$4:$AI$4&lt;0,1,0)+IF($F$5:$AI$5-AMP4_4[[#This Row],[Dim 1_1]:[T 8]]&lt;0,1,0),IF(ISNUMBER(AMP4_4[[#This Row],[Dim 1_1]:[T 8]])=TRUE,1,0))</f>
        <v>0</v>
      </c>
      <c r="H86">
        <v>155.55699999999999</v>
      </c>
      <c r="I86">
        <v>155.72300000000001</v>
      </c>
      <c r="J86">
        <v>168.52799999999999</v>
      </c>
      <c r="K86">
        <v>168.334</v>
      </c>
      <c r="L86">
        <v>155.751</v>
      </c>
      <c r="M86">
        <v>155.68899999999999</v>
      </c>
      <c r="N86">
        <v>27.456</v>
      </c>
      <c r="O86">
        <v>27.556000000000001</v>
      </c>
      <c r="R86">
        <v>17.256</v>
      </c>
      <c r="S86">
        <v>17.260000000000002</v>
      </c>
      <c r="T86">
        <v>37.630000000000003</v>
      </c>
      <c r="U86">
        <v>37.68</v>
      </c>
      <c r="W86">
        <v>0.17100000000000001</v>
      </c>
      <c r="X86">
        <v>-1.2E-2</v>
      </c>
      <c r="Z86">
        <v>0.189</v>
      </c>
      <c r="AA86">
        <v>-6.2E-2</v>
      </c>
      <c r="AB86">
        <v>0.159</v>
      </c>
      <c r="AC86">
        <v>0.17100000000000001</v>
      </c>
      <c r="AD86">
        <v>-2E-3</v>
      </c>
      <c r="AE86">
        <v>-1.2E-2</v>
      </c>
      <c r="AF86">
        <v>0.189</v>
      </c>
      <c r="AG86">
        <v>0.112</v>
      </c>
      <c r="AH86">
        <v>-5.6000000000000001E-2</v>
      </c>
      <c r="AI86">
        <v>-6.2E-2</v>
      </c>
    </row>
    <row r="87" spans="1:35" x14ac:dyDescent="0.25">
      <c r="A87" t="s">
        <v>1630</v>
      </c>
      <c r="B87" t="s">
        <v>32</v>
      </c>
      <c r="C87" s="25">
        <v>43704.322430555556</v>
      </c>
      <c r="D87" s="741" t="s">
        <v>969</v>
      </c>
      <c r="E87" s="741">
        <f t="array" ref="E87">SUMPRODUCT(IF(AMP4_4[[#This Row],[Dim 1_1]:[T 8]]-$F$4:$AI$4&lt;0,1,0)+IF($F$5:$AI$5-AMP4_4[[#This Row],[Dim 1_1]:[T 8]]&lt;0,1,0),IF(ISNUMBER(AMP4_4[[#This Row],[Dim 1_1]:[T 8]])=TRUE,1,0))</f>
        <v>0</v>
      </c>
      <c r="F87">
        <v>41.27</v>
      </c>
      <c r="G87">
        <v>41.206000000000003</v>
      </c>
      <c r="H87">
        <v>155.786</v>
      </c>
      <c r="I87">
        <v>155.63800000000001</v>
      </c>
      <c r="L87">
        <v>155.887</v>
      </c>
      <c r="M87">
        <v>155.55600000000001</v>
      </c>
      <c r="N87">
        <v>27.271999999999998</v>
      </c>
      <c r="O87">
        <v>27.504999999999999</v>
      </c>
      <c r="R87">
        <v>17.231999999999999</v>
      </c>
      <c r="S87">
        <v>17.213000000000001</v>
      </c>
      <c r="T87">
        <v>33.92</v>
      </c>
      <c r="U87">
        <v>34.673999999999999</v>
      </c>
      <c r="W87">
        <v>0.14599999999999999</v>
      </c>
      <c r="X87">
        <v>-8.0000000000000002E-3</v>
      </c>
      <c r="Z87">
        <v>0.14000000000000001</v>
      </c>
      <c r="AA87">
        <v>2.5999999999999999E-2</v>
      </c>
      <c r="AB87">
        <v>1.2E-2</v>
      </c>
      <c r="AC87">
        <v>2.5999999999999999E-2</v>
      </c>
      <c r="AD87">
        <v>0.14599999999999999</v>
      </c>
      <c r="AE87">
        <v>-8.0000000000000002E-3</v>
      </c>
      <c r="AF87">
        <v>7.0000000000000007E-2</v>
      </c>
      <c r="AG87">
        <v>2.5999999999999999E-2</v>
      </c>
      <c r="AH87">
        <v>6.8000000000000005E-2</v>
      </c>
      <c r="AI87">
        <v>0.14000000000000001</v>
      </c>
    </row>
    <row r="88" spans="1:35" x14ac:dyDescent="0.25">
      <c r="A88" t="s">
        <v>1631</v>
      </c>
      <c r="B88" t="s">
        <v>31</v>
      </c>
      <c r="C88" s="25">
        <v>43704.324861111112</v>
      </c>
      <c r="D88" s="741" t="s">
        <v>969</v>
      </c>
      <c r="E88" s="741">
        <f t="array" ref="E88">SUMPRODUCT(IF(AMP4_4[[#This Row],[Dim 1_1]:[T 8]]-$F$4:$AI$4&lt;0,1,0)+IF($F$5:$AI$5-AMP4_4[[#This Row],[Dim 1_1]:[T 8]]&lt;0,1,0),IF(ISNUMBER(AMP4_4[[#This Row],[Dim 1_1]:[T 8]])=TRUE,1,0))</f>
        <v>0</v>
      </c>
      <c r="H88">
        <v>155.601</v>
      </c>
      <c r="I88">
        <v>155.798</v>
      </c>
      <c r="J88">
        <v>168.40600000000001</v>
      </c>
      <c r="K88">
        <v>168.18299999999999</v>
      </c>
      <c r="L88">
        <v>155.773</v>
      </c>
      <c r="M88">
        <v>155.77500000000001</v>
      </c>
      <c r="N88">
        <v>27.413</v>
      </c>
      <c r="O88">
        <v>27.472999999999999</v>
      </c>
      <c r="R88">
        <v>17.271000000000001</v>
      </c>
      <c r="S88">
        <v>17.149000000000001</v>
      </c>
      <c r="T88">
        <v>38.014000000000003</v>
      </c>
      <c r="U88">
        <v>38.229999999999997</v>
      </c>
      <c r="W88">
        <v>0.13200000000000001</v>
      </c>
      <c r="X88">
        <v>-4.5999999999999999E-2</v>
      </c>
      <c r="Z88">
        <v>0.123</v>
      </c>
      <c r="AA88">
        <v>-7.8E-2</v>
      </c>
      <c r="AB88">
        <v>0.104</v>
      </c>
      <c r="AC88">
        <v>0.13200000000000001</v>
      </c>
      <c r="AD88">
        <v>-7.0000000000000001E-3</v>
      </c>
      <c r="AE88">
        <v>-4.5999999999999999E-2</v>
      </c>
      <c r="AF88">
        <v>0.123</v>
      </c>
      <c r="AG88">
        <v>6.5000000000000002E-2</v>
      </c>
      <c r="AH88">
        <v>-0.05</v>
      </c>
      <c r="AI88">
        <v>-7.8E-2</v>
      </c>
    </row>
    <row r="89" spans="1:35" x14ac:dyDescent="0.25">
      <c r="A89" t="s">
        <v>1632</v>
      </c>
      <c r="B89" t="s">
        <v>32</v>
      </c>
      <c r="C89" s="25">
        <v>43704.402222222219</v>
      </c>
      <c r="D89" s="741" t="s">
        <v>969</v>
      </c>
      <c r="E89" s="741">
        <f t="array" ref="E89">SUMPRODUCT(IF(AMP4_4[[#This Row],[Dim 1_1]:[T 8]]-$F$4:$AI$4&lt;0,1,0)+IF($F$5:$AI$5-AMP4_4[[#This Row],[Dim 1_1]:[T 8]]&lt;0,1,0),IF(ISNUMBER(AMP4_4[[#This Row],[Dim 1_1]:[T 8]])=TRUE,1,0))</f>
        <v>0</v>
      </c>
      <c r="F89">
        <v>41.262</v>
      </c>
      <c r="G89">
        <v>41.174999999999997</v>
      </c>
      <c r="H89">
        <v>155.83500000000001</v>
      </c>
      <c r="I89">
        <v>155.68199999999999</v>
      </c>
      <c r="L89">
        <v>155.911</v>
      </c>
      <c r="M89">
        <v>155.61600000000001</v>
      </c>
      <c r="N89">
        <v>27.245999999999999</v>
      </c>
      <c r="O89">
        <v>27.451000000000001</v>
      </c>
      <c r="R89">
        <v>17.260000000000002</v>
      </c>
      <c r="S89">
        <v>17.236000000000001</v>
      </c>
      <c r="T89">
        <v>33.787999999999997</v>
      </c>
      <c r="U89">
        <v>34.526000000000003</v>
      </c>
      <c r="W89">
        <v>5.1999999999999998E-2</v>
      </c>
      <c r="X89">
        <v>-6.6000000000000003E-2</v>
      </c>
      <c r="Z89">
        <v>3.3000000000000002E-2</v>
      </c>
      <c r="AA89">
        <v>-4.3999999999999997E-2</v>
      </c>
      <c r="AB89">
        <v>-2.5999999999999999E-2</v>
      </c>
      <c r="AC89">
        <v>-3.3000000000000002E-2</v>
      </c>
      <c r="AD89">
        <v>5.1999999999999998E-2</v>
      </c>
      <c r="AE89">
        <v>-6.6000000000000003E-2</v>
      </c>
      <c r="AF89">
        <v>-3.9E-2</v>
      </c>
      <c r="AG89">
        <v>-4.3999999999999997E-2</v>
      </c>
      <c r="AH89">
        <v>-0.04</v>
      </c>
      <c r="AI89">
        <v>3.3000000000000002E-2</v>
      </c>
    </row>
    <row r="90" spans="1:35" x14ac:dyDescent="0.25">
      <c r="A90" t="s">
        <v>1633</v>
      </c>
      <c r="B90" t="s">
        <v>31</v>
      </c>
      <c r="C90" s="25">
        <v>43704.404236111113</v>
      </c>
      <c r="D90" s="741" t="s">
        <v>969</v>
      </c>
      <c r="E90" s="741">
        <f t="array" ref="E90">SUMPRODUCT(IF(AMP4_4[[#This Row],[Dim 1_1]:[T 8]]-$F$4:$AI$4&lt;0,1,0)+IF($F$5:$AI$5-AMP4_4[[#This Row],[Dim 1_1]:[T 8]]&lt;0,1,0),IF(ISNUMBER(AMP4_4[[#This Row],[Dim 1_1]:[T 8]])=TRUE,1,0))</f>
        <v>0</v>
      </c>
      <c r="H90">
        <v>155.59399999999999</v>
      </c>
      <c r="I90">
        <v>155.761</v>
      </c>
      <c r="J90">
        <v>168.55500000000001</v>
      </c>
      <c r="K90">
        <v>168.33099999999999</v>
      </c>
      <c r="L90">
        <v>155.804</v>
      </c>
      <c r="M90">
        <v>155.75299999999999</v>
      </c>
      <c r="N90">
        <v>27.405999999999999</v>
      </c>
      <c r="O90">
        <v>27.501999999999999</v>
      </c>
      <c r="R90">
        <v>17.234000000000002</v>
      </c>
      <c r="S90">
        <v>17.216000000000001</v>
      </c>
      <c r="T90">
        <v>36.371000000000002</v>
      </c>
      <c r="U90">
        <v>36.886000000000003</v>
      </c>
      <c r="W90">
        <v>0.115</v>
      </c>
      <c r="X90">
        <v>-3.2000000000000001E-2</v>
      </c>
      <c r="Z90">
        <v>6.4000000000000001E-2</v>
      </c>
      <c r="AA90">
        <v>-0.13600000000000001</v>
      </c>
      <c r="AB90">
        <v>8.5999999999999993E-2</v>
      </c>
      <c r="AC90">
        <v>0.115</v>
      </c>
      <c r="AD90">
        <v>-0.02</v>
      </c>
      <c r="AE90">
        <v>-3.2000000000000001E-2</v>
      </c>
      <c r="AF90">
        <v>6.4000000000000001E-2</v>
      </c>
      <c r="AG90">
        <v>-2E-3</v>
      </c>
      <c r="AH90">
        <v>-0.13600000000000001</v>
      </c>
      <c r="AI90">
        <v>-0.13500000000000001</v>
      </c>
    </row>
    <row r="91" spans="1:35" x14ac:dyDescent="0.25">
      <c r="A91" t="s">
        <v>1634</v>
      </c>
      <c r="B91" t="s">
        <v>32</v>
      </c>
      <c r="C91" s="25">
        <v>43704.505636574075</v>
      </c>
      <c r="D91" s="741" t="s">
        <v>969</v>
      </c>
      <c r="E91" s="741">
        <f t="array" ref="E91">SUMPRODUCT(IF(AMP4_4[[#This Row],[Dim 1_1]:[T 8]]-$F$4:$AI$4&lt;0,1,0)+IF($F$5:$AI$5-AMP4_4[[#This Row],[Dim 1_1]:[T 8]]&lt;0,1,0),IF(ISNUMBER(AMP4_4[[#This Row],[Dim 1_1]:[T 8]])=TRUE,1,0))</f>
        <v>0</v>
      </c>
      <c r="F91">
        <v>41.463000000000001</v>
      </c>
      <c r="G91">
        <v>41.405999999999999</v>
      </c>
      <c r="H91">
        <v>155.80500000000001</v>
      </c>
      <c r="I91">
        <v>155.678</v>
      </c>
      <c r="L91">
        <v>155.92599999999999</v>
      </c>
      <c r="M91">
        <v>155.60499999999999</v>
      </c>
      <c r="N91">
        <v>27.248999999999999</v>
      </c>
      <c r="O91">
        <v>27.463000000000001</v>
      </c>
      <c r="R91">
        <v>17.236000000000001</v>
      </c>
      <c r="S91">
        <v>17.282</v>
      </c>
      <c r="T91">
        <v>33.625999999999998</v>
      </c>
      <c r="U91">
        <v>34.572000000000003</v>
      </c>
      <c r="W91">
        <v>-4.0000000000000001E-3</v>
      </c>
      <c r="X91">
        <v>-0.123</v>
      </c>
      <c r="Z91">
        <v>0.04</v>
      </c>
      <c r="AA91">
        <v>-5.1999999999999998E-2</v>
      </c>
      <c r="AB91">
        <v>-2.5999999999999999E-2</v>
      </c>
      <c r="AC91">
        <v>-1.7000000000000001E-2</v>
      </c>
      <c r="AD91">
        <v>-4.0000000000000001E-3</v>
      </c>
      <c r="AE91">
        <v>-0.123</v>
      </c>
      <c r="AF91">
        <v>0.04</v>
      </c>
      <c r="AG91">
        <v>-2.7E-2</v>
      </c>
      <c r="AH91">
        <v>-5.1999999999999998E-2</v>
      </c>
      <c r="AI91">
        <v>-2E-3</v>
      </c>
    </row>
    <row r="92" spans="1:35" x14ac:dyDescent="0.25">
      <c r="A92" t="s">
        <v>1635</v>
      </c>
      <c r="B92" t="s">
        <v>31</v>
      </c>
      <c r="C92" s="25">
        <v>43704.508356481485</v>
      </c>
      <c r="D92" s="741" t="s">
        <v>969</v>
      </c>
      <c r="E92" s="741">
        <f t="array" ref="E92">SUMPRODUCT(IF(AMP4_4[[#This Row],[Dim 1_1]:[T 8]]-$F$4:$AI$4&lt;0,1,0)+IF($F$5:$AI$5-AMP4_4[[#This Row],[Dim 1_1]:[T 8]]&lt;0,1,0),IF(ISNUMBER(AMP4_4[[#This Row],[Dim 1_1]:[T 8]])=TRUE,1,0))</f>
        <v>0</v>
      </c>
      <c r="H92">
        <v>155.53299999999999</v>
      </c>
      <c r="I92">
        <v>155.755</v>
      </c>
      <c r="J92">
        <v>168.572</v>
      </c>
      <c r="K92">
        <v>168.40299999999999</v>
      </c>
      <c r="L92">
        <v>155.75899999999999</v>
      </c>
      <c r="M92">
        <v>155.74199999999999</v>
      </c>
      <c r="N92">
        <v>27.44</v>
      </c>
      <c r="O92">
        <v>27.515999999999998</v>
      </c>
      <c r="R92">
        <v>17.236000000000001</v>
      </c>
      <c r="S92">
        <v>17.241</v>
      </c>
      <c r="T92">
        <v>37.424999999999997</v>
      </c>
      <c r="U92">
        <v>37.865000000000002</v>
      </c>
      <c r="W92">
        <v>0.13600000000000001</v>
      </c>
      <c r="X92">
        <v>-2.8000000000000001E-2</v>
      </c>
      <c r="Z92">
        <v>0.182</v>
      </c>
      <c r="AA92">
        <v>-7.8E-2</v>
      </c>
      <c r="AB92">
        <v>0.113</v>
      </c>
      <c r="AC92">
        <v>0.13600000000000001</v>
      </c>
      <c r="AD92">
        <v>-2.8000000000000001E-2</v>
      </c>
      <c r="AE92">
        <v>2.1000000000000001E-2</v>
      </c>
      <c r="AF92">
        <v>0.182</v>
      </c>
      <c r="AG92">
        <v>0.10100000000000001</v>
      </c>
      <c r="AH92">
        <v>-0.04</v>
      </c>
      <c r="AI92">
        <v>-7.8E-2</v>
      </c>
    </row>
    <row r="93" spans="1:35" x14ac:dyDescent="0.25">
      <c r="A93" t="s">
        <v>1636</v>
      </c>
      <c r="B93" t="s">
        <v>32</v>
      </c>
      <c r="C93" s="25">
        <v>43704.592835648145</v>
      </c>
      <c r="D93" s="741" t="s">
        <v>969</v>
      </c>
      <c r="E93" s="741">
        <f t="array" ref="E93">SUMPRODUCT(IF(AMP4_4[[#This Row],[Dim 1_1]:[T 8]]-$F$4:$AI$4&lt;0,1,0)+IF($F$5:$AI$5-AMP4_4[[#This Row],[Dim 1_1]:[T 8]]&lt;0,1,0),IF(ISNUMBER(AMP4_4[[#This Row],[Dim 1_1]:[T 8]])=TRUE,1,0))</f>
        <v>0</v>
      </c>
      <c r="F93">
        <v>41.28</v>
      </c>
      <c r="G93">
        <v>41.097999999999999</v>
      </c>
      <c r="H93">
        <v>155.84800000000001</v>
      </c>
      <c r="I93">
        <v>155.75</v>
      </c>
      <c r="L93">
        <v>155.97200000000001</v>
      </c>
      <c r="M93">
        <v>155.679</v>
      </c>
      <c r="N93">
        <v>27.23</v>
      </c>
      <c r="O93">
        <v>27.398</v>
      </c>
      <c r="R93">
        <v>17.234999999999999</v>
      </c>
      <c r="S93">
        <v>17.224</v>
      </c>
      <c r="T93">
        <v>33.518999999999998</v>
      </c>
      <c r="U93">
        <v>34.496000000000002</v>
      </c>
      <c r="W93">
        <v>7.4999999999999997E-2</v>
      </c>
      <c r="X93">
        <v>-7.0999999999999994E-2</v>
      </c>
      <c r="Z93">
        <v>-1E-3</v>
      </c>
      <c r="AA93">
        <v>-6.0999999999999999E-2</v>
      </c>
      <c r="AB93">
        <v>7.0000000000000001E-3</v>
      </c>
      <c r="AC93">
        <v>2.1999999999999999E-2</v>
      </c>
      <c r="AD93">
        <v>7.4999999999999997E-2</v>
      </c>
      <c r="AE93">
        <v>-7.0999999999999994E-2</v>
      </c>
      <c r="AF93">
        <v>-2.1999999999999999E-2</v>
      </c>
      <c r="AG93">
        <v>-6.0999999999999999E-2</v>
      </c>
      <c r="AH93">
        <v>-4.1000000000000002E-2</v>
      </c>
      <c r="AI93">
        <v>-1E-3</v>
      </c>
    </row>
    <row r="94" spans="1:35" x14ac:dyDescent="0.25">
      <c r="A94" t="s">
        <v>1637</v>
      </c>
      <c r="B94" t="s">
        <v>31</v>
      </c>
      <c r="C94" s="25">
        <v>43704.595104166663</v>
      </c>
      <c r="D94" s="741" t="s">
        <v>969</v>
      </c>
      <c r="E94" s="741">
        <f t="array" ref="E94">SUMPRODUCT(IF(AMP4_4[[#This Row],[Dim 1_1]:[T 8]]-$F$4:$AI$4&lt;0,1,0)+IF($F$5:$AI$5-AMP4_4[[#This Row],[Dim 1_1]:[T 8]]&lt;0,1,0),IF(ISNUMBER(AMP4_4[[#This Row],[Dim 1_1]:[T 8]])=TRUE,1,0))</f>
        <v>0</v>
      </c>
      <c r="H94">
        <v>155.596</v>
      </c>
      <c r="I94">
        <v>155.78399999999999</v>
      </c>
      <c r="J94">
        <v>168.47200000000001</v>
      </c>
      <c r="K94">
        <v>168.22399999999999</v>
      </c>
      <c r="L94">
        <v>155.786</v>
      </c>
      <c r="M94">
        <v>155.74299999999999</v>
      </c>
      <c r="N94">
        <v>27.38</v>
      </c>
      <c r="O94">
        <v>27.488</v>
      </c>
      <c r="R94">
        <v>17.253</v>
      </c>
      <c r="S94">
        <v>17.266999999999999</v>
      </c>
      <c r="T94">
        <v>39.493000000000002</v>
      </c>
      <c r="U94">
        <v>39.176000000000002</v>
      </c>
      <c r="W94">
        <v>0.06</v>
      </c>
      <c r="X94">
        <v>-0.14499999999999999</v>
      </c>
      <c r="Z94">
        <v>0.14799999999999999</v>
      </c>
      <c r="AA94">
        <v>-0.14000000000000001</v>
      </c>
      <c r="AB94">
        <v>3.2000000000000001E-2</v>
      </c>
      <c r="AC94">
        <v>0.06</v>
      </c>
      <c r="AD94">
        <v>-0.14399999999999999</v>
      </c>
      <c r="AE94">
        <v>-0.14499999999999999</v>
      </c>
      <c r="AF94">
        <v>0.14799999999999999</v>
      </c>
      <c r="AG94">
        <v>0.08</v>
      </c>
      <c r="AH94">
        <v>-0.13500000000000001</v>
      </c>
      <c r="AI94">
        <v>-0.14000000000000001</v>
      </c>
    </row>
    <row r="95" spans="1:35" x14ac:dyDescent="0.25">
      <c r="A95" t="s">
        <v>1638</v>
      </c>
      <c r="B95" t="s">
        <v>32</v>
      </c>
      <c r="C95" s="25">
        <v>43704.698611111111</v>
      </c>
      <c r="D95" s="741" t="s">
        <v>969</v>
      </c>
      <c r="E95" s="741">
        <f t="array" ref="E95">SUMPRODUCT(IF(AMP4_4[[#This Row],[Dim 1_1]:[T 8]]-$F$4:$AI$4&lt;0,1,0)+IF($F$5:$AI$5-AMP4_4[[#This Row],[Dim 1_1]:[T 8]]&lt;0,1,0),IF(ISNUMBER(AMP4_4[[#This Row],[Dim 1_1]:[T 8]])=TRUE,1,0))</f>
        <v>0</v>
      </c>
      <c r="F95">
        <v>41.37</v>
      </c>
      <c r="G95">
        <v>41.281999999999996</v>
      </c>
      <c r="H95">
        <v>155.83199999999999</v>
      </c>
      <c r="I95">
        <v>155.732</v>
      </c>
      <c r="L95">
        <v>155.94999999999999</v>
      </c>
      <c r="M95">
        <v>155.667</v>
      </c>
      <c r="N95">
        <v>27.231000000000002</v>
      </c>
      <c r="O95">
        <v>27.396999999999998</v>
      </c>
      <c r="R95">
        <v>17.231000000000002</v>
      </c>
      <c r="S95">
        <v>17.184000000000001</v>
      </c>
      <c r="T95">
        <v>33.561</v>
      </c>
      <c r="U95">
        <v>34.42</v>
      </c>
      <c r="W95">
        <v>1.6E-2</v>
      </c>
      <c r="X95">
        <v>-0.128</v>
      </c>
      <c r="Z95">
        <v>1.4E-2</v>
      </c>
      <c r="AA95">
        <v>-0.106</v>
      </c>
      <c r="AB95">
        <v>-0.114</v>
      </c>
      <c r="AC95">
        <v>-0.113</v>
      </c>
      <c r="AD95">
        <v>1.6E-2</v>
      </c>
      <c r="AE95">
        <v>-0.128</v>
      </c>
      <c r="AF95">
        <v>-6.2E-2</v>
      </c>
      <c r="AG95">
        <v>-0.106</v>
      </c>
      <c r="AH95">
        <v>-1.7999999999999999E-2</v>
      </c>
      <c r="AI95">
        <v>1.4E-2</v>
      </c>
    </row>
    <row r="96" spans="1:35" x14ac:dyDescent="0.25">
      <c r="A96" t="s">
        <v>1639</v>
      </c>
      <c r="B96" t="s">
        <v>31</v>
      </c>
      <c r="C96" s="25">
        <v>43704.700173611112</v>
      </c>
      <c r="D96" s="741" t="s">
        <v>969</v>
      </c>
      <c r="E96" s="741">
        <f t="array" ref="E96">SUMPRODUCT(IF(AMP4_4[[#This Row],[Dim 1_1]:[T 8]]-$F$4:$AI$4&lt;0,1,0)+IF($F$5:$AI$5-AMP4_4[[#This Row],[Dim 1_1]:[T 8]]&lt;0,1,0),IF(ISNUMBER(AMP4_4[[#This Row],[Dim 1_1]:[T 8]])=TRUE,1,0))</f>
        <v>0</v>
      </c>
      <c r="H96">
        <v>155.63399999999999</v>
      </c>
      <c r="I96">
        <v>155.84</v>
      </c>
      <c r="J96">
        <v>168.56100000000001</v>
      </c>
      <c r="K96">
        <v>168.27500000000001</v>
      </c>
      <c r="L96">
        <v>155.86600000000001</v>
      </c>
      <c r="M96">
        <v>155.846</v>
      </c>
      <c r="N96">
        <v>27.309000000000001</v>
      </c>
      <c r="O96">
        <v>27.405999999999999</v>
      </c>
      <c r="R96">
        <v>17.234000000000002</v>
      </c>
      <c r="S96">
        <v>17.170999999999999</v>
      </c>
      <c r="T96">
        <v>38.067</v>
      </c>
      <c r="U96">
        <v>38.411999999999999</v>
      </c>
      <c r="W96">
        <v>1.2E-2</v>
      </c>
      <c r="X96">
        <v>-9.8000000000000004E-2</v>
      </c>
      <c r="Z96">
        <v>7.2999999999999995E-2</v>
      </c>
      <c r="AA96">
        <v>-0.11899999999999999</v>
      </c>
      <c r="AB96">
        <v>-1.4999999999999999E-2</v>
      </c>
      <c r="AC96">
        <v>1.2E-2</v>
      </c>
      <c r="AD96">
        <v>-8.1000000000000003E-2</v>
      </c>
      <c r="AE96">
        <v>-9.8000000000000004E-2</v>
      </c>
      <c r="AF96">
        <v>7.2999999999999995E-2</v>
      </c>
      <c r="AG96">
        <v>-8.9999999999999993E-3</v>
      </c>
      <c r="AH96">
        <v>-9.4E-2</v>
      </c>
      <c r="AI96">
        <v>-0.11899999999999999</v>
      </c>
    </row>
    <row r="97" spans="1:35" x14ac:dyDescent="0.25">
      <c r="A97" t="s">
        <v>1640</v>
      </c>
      <c r="B97" t="s">
        <v>32</v>
      </c>
      <c r="C97" s="25">
        <v>43704.781064814815</v>
      </c>
      <c r="D97" s="741" t="s">
        <v>969</v>
      </c>
      <c r="E97" s="741">
        <f t="array" ref="E97">SUMPRODUCT(IF(AMP4_4[[#This Row],[Dim 1_1]:[T 8]]-$F$4:$AI$4&lt;0,1,0)+IF($F$5:$AI$5-AMP4_4[[#This Row],[Dim 1_1]:[T 8]]&lt;0,1,0),IF(ISNUMBER(AMP4_4[[#This Row],[Dim 1_1]:[T 8]])=TRUE,1,0))</f>
        <v>0</v>
      </c>
      <c r="F97">
        <v>41.311</v>
      </c>
      <c r="G97">
        <v>41.264000000000003</v>
      </c>
      <c r="H97">
        <v>155.86500000000001</v>
      </c>
      <c r="I97">
        <v>155.71799999999999</v>
      </c>
      <c r="L97">
        <v>155.96600000000001</v>
      </c>
      <c r="M97">
        <v>155.64599999999999</v>
      </c>
      <c r="N97">
        <v>27.172999999999998</v>
      </c>
      <c r="O97">
        <v>27.396000000000001</v>
      </c>
      <c r="R97">
        <v>17.253</v>
      </c>
      <c r="S97">
        <v>17.215</v>
      </c>
      <c r="T97">
        <v>33.627000000000002</v>
      </c>
      <c r="U97">
        <v>34.356000000000002</v>
      </c>
      <c r="W97">
        <v>8.8999999999999996E-2</v>
      </c>
      <c r="X97">
        <v>-8.4000000000000005E-2</v>
      </c>
      <c r="Z97">
        <v>3.2000000000000001E-2</v>
      </c>
      <c r="AA97">
        <v>-9.8000000000000004E-2</v>
      </c>
      <c r="AB97">
        <v>-8.1000000000000003E-2</v>
      </c>
      <c r="AC97">
        <v>-6.5000000000000002E-2</v>
      </c>
      <c r="AD97">
        <v>8.8999999999999996E-2</v>
      </c>
      <c r="AE97">
        <v>-8.4000000000000005E-2</v>
      </c>
      <c r="AF97">
        <v>-4.5999999999999999E-2</v>
      </c>
      <c r="AG97">
        <v>-9.8000000000000004E-2</v>
      </c>
      <c r="AH97">
        <v>-2.5000000000000001E-2</v>
      </c>
      <c r="AI97">
        <v>3.2000000000000001E-2</v>
      </c>
    </row>
    <row r="98" spans="1:35" x14ac:dyDescent="0.25">
      <c r="A98" t="s">
        <v>1641</v>
      </c>
      <c r="B98" t="s">
        <v>31</v>
      </c>
      <c r="C98" s="25">
        <v>43704.782777777778</v>
      </c>
      <c r="D98" s="741" t="s">
        <v>969</v>
      </c>
      <c r="E98" s="741">
        <f t="array" ref="E98">SUMPRODUCT(IF(AMP4_4[[#This Row],[Dim 1_1]:[T 8]]-$F$4:$AI$4&lt;0,1,0)+IF($F$5:$AI$5-AMP4_4[[#This Row],[Dim 1_1]:[T 8]]&lt;0,1,0),IF(ISNUMBER(AMP4_4[[#This Row],[Dim 1_1]:[T 8]])=TRUE,1,0))</f>
        <v>0</v>
      </c>
      <c r="H98">
        <v>155.624</v>
      </c>
      <c r="I98">
        <v>155.84299999999999</v>
      </c>
      <c r="J98">
        <v>168.53200000000001</v>
      </c>
      <c r="K98">
        <v>168.35400000000001</v>
      </c>
      <c r="L98">
        <v>155.83600000000001</v>
      </c>
      <c r="M98">
        <v>155.83699999999999</v>
      </c>
      <c r="N98">
        <v>27.346</v>
      </c>
      <c r="O98">
        <v>27.428000000000001</v>
      </c>
      <c r="R98">
        <v>17.241</v>
      </c>
      <c r="S98">
        <v>17.263000000000002</v>
      </c>
      <c r="T98">
        <v>38.423000000000002</v>
      </c>
      <c r="U98">
        <v>39.170999999999999</v>
      </c>
      <c r="W98">
        <v>9.5000000000000001E-2</v>
      </c>
      <c r="X98">
        <v>-0.13800000000000001</v>
      </c>
      <c r="Z98">
        <v>0.13500000000000001</v>
      </c>
      <c r="AA98">
        <v>-0.161</v>
      </c>
      <c r="AB98">
        <v>5.8999999999999997E-2</v>
      </c>
      <c r="AC98">
        <v>9.5000000000000001E-2</v>
      </c>
      <c r="AD98">
        <v>-0.125</v>
      </c>
      <c r="AE98">
        <v>-0.13800000000000001</v>
      </c>
      <c r="AF98">
        <v>0.13500000000000001</v>
      </c>
      <c r="AG98">
        <v>7.0999999999999994E-2</v>
      </c>
      <c r="AH98">
        <v>-0.115</v>
      </c>
      <c r="AI98">
        <v>-0.161</v>
      </c>
    </row>
    <row r="99" spans="1:35" x14ac:dyDescent="0.25">
      <c r="A99" t="s">
        <v>1642</v>
      </c>
      <c r="B99" t="s">
        <v>32</v>
      </c>
      <c r="C99" s="25">
        <v>43704.847592592596</v>
      </c>
      <c r="D99" s="741" t="s">
        <v>969</v>
      </c>
      <c r="E99" s="741">
        <f t="array" ref="E99">SUMPRODUCT(IF(AMP4_4[[#This Row],[Dim 1_1]:[T 8]]-$F$4:$AI$4&lt;0,1,0)+IF($F$5:$AI$5-AMP4_4[[#This Row],[Dim 1_1]:[T 8]]&lt;0,1,0),IF(ISNUMBER(AMP4_4[[#This Row],[Dim 1_1]:[T 8]])=TRUE,1,0))</f>
        <v>0</v>
      </c>
      <c r="F99">
        <v>41.286000000000001</v>
      </c>
      <c r="G99">
        <v>41.274000000000001</v>
      </c>
      <c r="H99">
        <v>155.84299999999999</v>
      </c>
      <c r="I99">
        <v>155.74</v>
      </c>
      <c r="L99">
        <v>155.97300000000001</v>
      </c>
      <c r="M99">
        <v>155.69399999999999</v>
      </c>
      <c r="N99">
        <v>27.184999999999999</v>
      </c>
      <c r="O99">
        <v>27.361999999999998</v>
      </c>
      <c r="R99">
        <v>17.257999999999999</v>
      </c>
      <c r="S99">
        <v>17.181999999999999</v>
      </c>
      <c r="T99">
        <v>33.56</v>
      </c>
      <c r="U99">
        <v>34.457999999999998</v>
      </c>
      <c r="W99">
        <v>8.6999999999999994E-2</v>
      </c>
      <c r="X99">
        <v>-7.9000000000000001E-2</v>
      </c>
      <c r="Z99">
        <v>3.3000000000000002E-2</v>
      </c>
      <c r="AA99">
        <v>-8.5000000000000006E-2</v>
      </c>
      <c r="AB99">
        <v>-5.1999999999999998E-2</v>
      </c>
      <c r="AC99">
        <v>-0.05</v>
      </c>
      <c r="AD99">
        <v>8.6999999999999994E-2</v>
      </c>
      <c r="AE99">
        <v>-7.9000000000000001E-2</v>
      </c>
      <c r="AF99">
        <v>-5.3999999999999999E-2</v>
      </c>
      <c r="AG99">
        <v>-8.5000000000000006E-2</v>
      </c>
      <c r="AH99">
        <v>-0.01</v>
      </c>
      <c r="AI99">
        <v>3.3000000000000002E-2</v>
      </c>
    </row>
    <row r="100" spans="1:35" x14ac:dyDescent="0.25">
      <c r="A100" t="s">
        <v>1643</v>
      </c>
      <c r="B100" t="s">
        <v>31</v>
      </c>
      <c r="C100" s="25">
        <v>43704.849189814813</v>
      </c>
      <c r="D100" s="741" t="s">
        <v>969</v>
      </c>
      <c r="E100" s="741">
        <f t="array" ref="E100">SUMPRODUCT(IF(AMP4_4[[#This Row],[Dim 1_1]:[T 8]]-$F$4:$AI$4&lt;0,1,0)+IF($F$5:$AI$5-AMP4_4[[#This Row],[Dim 1_1]:[T 8]]&lt;0,1,0),IF(ISNUMBER(AMP4_4[[#This Row],[Dim 1_1]:[T 8]])=TRUE,1,0))</f>
        <v>0</v>
      </c>
      <c r="H100">
        <v>155.62299999999999</v>
      </c>
      <c r="I100">
        <v>155.803</v>
      </c>
      <c r="J100">
        <v>168.46899999999999</v>
      </c>
      <c r="K100">
        <v>168.321</v>
      </c>
      <c r="L100">
        <v>155.816</v>
      </c>
      <c r="M100">
        <v>155.792</v>
      </c>
      <c r="N100">
        <v>27.396999999999998</v>
      </c>
      <c r="O100">
        <v>27.492000000000001</v>
      </c>
      <c r="R100">
        <v>17.224</v>
      </c>
      <c r="S100">
        <v>17.295999999999999</v>
      </c>
      <c r="T100">
        <v>37.805</v>
      </c>
      <c r="U100">
        <v>38.298999999999999</v>
      </c>
      <c r="W100">
        <v>2.5999999999999999E-2</v>
      </c>
      <c r="X100">
        <v>-0.14299999999999999</v>
      </c>
      <c r="Z100">
        <v>3.3000000000000002E-2</v>
      </c>
      <c r="AA100">
        <v>-0.246</v>
      </c>
      <c r="AB100">
        <v>7.0000000000000001E-3</v>
      </c>
      <c r="AC100">
        <v>2.5999999999999999E-2</v>
      </c>
      <c r="AD100">
        <v>-0.13200000000000001</v>
      </c>
      <c r="AE100">
        <v>-0.14299999999999999</v>
      </c>
      <c r="AF100">
        <v>3.3000000000000002E-2</v>
      </c>
      <c r="AG100">
        <v>-4.8000000000000001E-2</v>
      </c>
      <c r="AH100">
        <v>-0.18099999999999999</v>
      </c>
      <c r="AI100">
        <v>-0.246</v>
      </c>
    </row>
    <row r="101" spans="1:35" x14ac:dyDescent="0.25">
      <c r="A101" t="s">
        <v>1644</v>
      </c>
      <c r="B101" t="s">
        <v>32</v>
      </c>
      <c r="C101" s="25">
        <v>43704.928761574076</v>
      </c>
      <c r="D101" s="741" t="s">
        <v>969</v>
      </c>
      <c r="E101" s="741">
        <f t="array" ref="E101">SUMPRODUCT(IF(AMP4_4[[#This Row],[Dim 1_1]:[T 8]]-$F$4:$AI$4&lt;0,1,0)+IF($F$5:$AI$5-AMP4_4[[#This Row],[Dim 1_1]:[T 8]]&lt;0,1,0),IF(ISNUMBER(AMP4_4[[#This Row],[Dim 1_1]:[T 8]])=TRUE,1,0))</f>
        <v>0</v>
      </c>
      <c r="F101">
        <v>41.351999999999997</v>
      </c>
      <c r="G101">
        <v>41.27</v>
      </c>
      <c r="H101">
        <v>155.815</v>
      </c>
      <c r="I101">
        <v>155.72800000000001</v>
      </c>
      <c r="L101">
        <v>155.95500000000001</v>
      </c>
      <c r="M101">
        <v>155.69999999999999</v>
      </c>
      <c r="N101">
        <v>27.227</v>
      </c>
      <c r="O101">
        <v>27.388000000000002</v>
      </c>
      <c r="R101">
        <v>17.22</v>
      </c>
      <c r="S101">
        <v>17.201000000000001</v>
      </c>
      <c r="T101">
        <v>33.555999999999997</v>
      </c>
      <c r="U101">
        <v>34.389000000000003</v>
      </c>
      <c r="W101">
        <v>4.4999999999999998E-2</v>
      </c>
      <c r="X101">
        <v>-0.108</v>
      </c>
      <c r="Z101">
        <v>1.4E-2</v>
      </c>
      <c r="AA101">
        <v>-6.2E-2</v>
      </c>
      <c r="AB101">
        <v>-0.05</v>
      </c>
      <c r="AC101">
        <v>-4.3999999999999997E-2</v>
      </c>
      <c r="AD101">
        <v>4.4999999999999998E-2</v>
      </c>
      <c r="AE101">
        <v>-0.108</v>
      </c>
      <c r="AF101">
        <v>1.4E-2</v>
      </c>
      <c r="AG101">
        <v>-6.2E-2</v>
      </c>
      <c r="AH101">
        <v>-1.7000000000000001E-2</v>
      </c>
      <c r="AI101">
        <v>1.4E-2</v>
      </c>
    </row>
    <row r="102" spans="1:35" x14ac:dyDescent="0.25">
      <c r="A102" t="s">
        <v>1645</v>
      </c>
      <c r="B102" t="s">
        <v>31</v>
      </c>
      <c r="C102" s="25">
        <v>43704.930300925924</v>
      </c>
      <c r="D102" s="741" t="s">
        <v>969</v>
      </c>
      <c r="E102" s="741">
        <f t="array" ref="E102">SUMPRODUCT(IF(AMP4_4[[#This Row],[Dim 1_1]:[T 8]]-$F$4:$AI$4&lt;0,1,0)+IF($F$5:$AI$5-AMP4_4[[#This Row],[Dim 1_1]:[T 8]]&lt;0,1,0),IF(ISNUMBER(AMP4_4[[#This Row],[Dim 1_1]:[T 8]])=TRUE,1,0))</f>
        <v>0</v>
      </c>
      <c r="H102">
        <v>155.61600000000001</v>
      </c>
      <c r="I102">
        <v>155.74799999999999</v>
      </c>
      <c r="J102">
        <v>168.46199999999999</v>
      </c>
      <c r="K102">
        <v>168.13499999999999</v>
      </c>
      <c r="L102">
        <v>155.78700000000001</v>
      </c>
      <c r="M102">
        <v>155.72</v>
      </c>
      <c r="N102">
        <v>27.4</v>
      </c>
      <c r="O102">
        <v>27.53</v>
      </c>
      <c r="R102">
        <v>17.266999999999999</v>
      </c>
      <c r="S102">
        <v>17.257999999999999</v>
      </c>
      <c r="T102">
        <v>38.066000000000003</v>
      </c>
      <c r="U102">
        <v>37.048999999999999</v>
      </c>
      <c r="W102">
        <v>9.4E-2</v>
      </c>
      <c r="X102">
        <v>-6.3E-2</v>
      </c>
      <c r="Z102">
        <v>8.8999999999999996E-2</v>
      </c>
      <c r="AA102">
        <v>-0.184</v>
      </c>
      <c r="AB102">
        <v>5.3999999999999999E-2</v>
      </c>
      <c r="AC102">
        <v>9.4E-2</v>
      </c>
      <c r="AD102">
        <v>-4.1000000000000002E-2</v>
      </c>
      <c r="AE102">
        <v>-6.3E-2</v>
      </c>
      <c r="AF102">
        <v>8.8999999999999996E-2</v>
      </c>
      <c r="AG102">
        <v>-4.0000000000000001E-3</v>
      </c>
      <c r="AH102">
        <v>-0.11700000000000001</v>
      </c>
      <c r="AI102">
        <v>-0.184</v>
      </c>
    </row>
    <row r="103" spans="1:35" x14ac:dyDescent="0.25">
      <c r="A103" t="s">
        <v>1646</v>
      </c>
      <c r="B103" t="s">
        <v>32</v>
      </c>
      <c r="C103" s="25">
        <v>43705.041863425926</v>
      </c>
      <c r="D103" s="741" t="s">
        <v>969</v>
      </c>
      <c r="E103" s="741">
        <f t="array" ref="E103">SUMPRODUCT(IF(AMP4_4[[#This Row],[Dim 1_1]:[T 8]]-$F$4:$AI$4&lt;0,1,0)+IF($F$5:$AI$5-AMP4_4[[#This Row],[Dim 1_1]:[T 8]]&lt;0,1,0),IF(ISNUMBER(AMP4_4[[#This Row],[Dim 1_1]:[T 8]])=TRUE,1,0))</f>
        <v>0</v>
      </c>
      <c r="F103">
        <v>41.280999999999999</v>
      </c>
      <c r="G103">
        <v>41.292999999999999</v>
      </c>
      <c r="H103">
        <v>155.84899999999999</v>
      </c>
      <c r="I103">
        <v>155.76499999999999</v>
      </c>
      <c r="L103">
        <v>155.97399999999999</v>
      </c>
      <c r="M103">
        <v>155.68799999999999</v>
      </c>
      <c r="N103">
        <v>27.204999999999998</v>
      </c>
      <c r="O103">
        <v>27.355</v>
      </c>
      <c r="R103">
        <v>17.23</v>
      </c>
      <c r="S103">
        <v>17.245999999999999</v>
      </c>
      <c r="T103">
        <v>33.457999999999998</v>
      </c>
      <c r="U103">
        <v>34.392000000000003</v>
      </c>
      <c r="W103">
        <v>2.7E-2</v>
      </c>
      <c r="X103">
        <v>-0.13100000000000001</v>
      </c>
      <c r="Z103">
        <v>-2.1000000000000001E-2</v>
      </c>
      <c r="AA103">
        <v>-9.6000000000000002E-2</v>
      </c>
      <c r="AB103">
        <v>-3.3000000000000002E-2</v>
      </c>
      <c r="AC103">
        <v>-2.5999999999999999E-2</v>
      </c>
      <c r="AD103">
        <v>2.7E-2</v>
      </c>
      <c r="AE103">
        <v>-0.13100000000000001</v>
      </c>
      <c r="AF103">
        <v>-2.1000000000000001E-2</v>
      </c>
      <c r="AG103">
        <v>-9.6000000000000002E-2</v>
      </c>
      <c r="AH103">
        <v>-0.09</v>
      </c>
      <c r="AI103">
        <v>-6.0999999999999999E-2</v>
      </c>
    </row>
    <row r="104" spans="1:35" x14ac:dyDescent="0.25">
      <c r="A104" t="s">
        <v>1647</v>
      </c>
      <c r="B104" t="s">
        <v>31</v>
      </c>
      <c r="C104" s="25">
        <v>43705.04346064815</v>
      </c>
      <c r="D104" s="741" t="s">
        <v>969</v>
      </c>
      <c r="E104" s="741">
        <f t="array" ref="E104">SUMPRODUCT(IF(AMP4_4[[#This Row],[Dim 1_1]:[T 8]]-$F$4:$AI$4&lt;0,1,0)+IF($F$5:$AI$5-AMP4_4[[#This Row],[Dim 1_1]:[T 8]]&lt;0,1,0),IF(ISNUMBER(AMP4_4[[#This Row],[Dim 1_1]:[T 8]])=TRUE,1,0))</f>
        <v>0</v>
      </c>
      <c r="H104">
        <v>155.607</v>
      </c>
      <c r="I104">
        <v>155.798</v>
      </c>
      <c r="J104">
        <v>168.46100000000001</v>
      </c>
      <c r="K104">
        <v>168.226</v>
      </c>
      <c r="L104">
        <v>155.821</v>
      </c>
      <c r="M104">
        <v>155.797</v>
      </c>
      <c r="N104">
        <v>27.36</v>
      </c>
      <c r="O104">
        <v>27.465</v>
      </c>
      <c r="R104">
        <v>17.244</v>
      </c>
      <c r="S104">
        <v>17.155999999999999</v>
      </c>
      <c r="T104">
        <v>37.085000000000001</v>
      </c>
      <c r="U104">
        <v>37.25</v>
      </c>
      <c r="W104">
        <v>2.1000000000000001E-2</v>
      </c>
      <c r="X104">
        <v>-2.4E-2</v>
      </c>
      <c r="Z104">
        <v>3.2000000000000001E-2</v>
      </c>
      <c r="AA104">
        <v>-9.9000000000000005E-2</v>
      </c>
      <c r="AB104">
        <v>-1.2999999999999999E-2</v>
      </c>
      <c r="AC104">
        <v>1.7999999999999999E-2</v>
      </c>
      <c r="AD104">
        <v>-2.4E-2</v>
      </c>
      <c r="AE104">
        <v>2.1000000000000001E-2</v>
      </c>
      <c r="AF104">
        <v>3.2000000000000001E-2</v>
      </c>
      <c r="AG104">
        <v>-0.04</v>
      </c>
      <c r="AH104">
        <v>-6.2E-2</v>
      </c>
      <c r="AI104">
        <v>-9.9000000000000005E-2</v>
      </c>
    </row>
    <row r="105" spans="1:35" x14ac:dyDescent="0.25">
      <c r="A105" t="s">
        <v>1648</v>
      </c>
      <c r="B105" t="s">
        <v>32</v>
      </c>
      <c r="C105" s="25">
        <v>43705.333344907405</v>
      </c>
      <c r="D105" s="741" t="s">
        <v>969</v>
      </c>
      <c r="E105" s="741">
        <f t="array" ref="E105">SUMPRODUCT(IF(AMP4_4[[#This Row],[Dim 1_1]:[T 8]]-$F$4:$AI$4&lt;0,1,0)+IF($F$5:$AI$5-AMP4_4[[#This Row],[Dim 1_1]:[T 8]]&lt;0,1,0),IF(ISNUMBER(AMP4_4[[#This Row],[Dim 1_1]:[T 8]])=TRUE,1,0))</f>
        <v>0</v>
      </c>
      <c r="F105">
        <v>41.234000000000002</v>
      </c>
      <c r="G105">
        <v>41.206000000000003</v>
      </c>
      <c r="H105">
        <v>155.94</v>
      </c>
      <c r="I105">
        <v>155.80699999999999</v>
      </c>
      <c r="L105">
        <v>156.04599999999999</v>
      </c>
      <c r="M105">
        <v>155.74</v>
      </c>
      <c r="N105">
        <v>27.123999999999999</v>
      </c>
      <c r="O105">
        <v>27.35</v>
      </c>
      <c r="R105">
        <v>17.234999999999999</v>
      </c>
      <c r="S105">
        <v>17.149999999999999</v>
      </c>
      <c r="T105">
        <v>33.685000000000002</v>
      </c>
      <c r="U105">
        <v>34.564</v>
      </c>
      <c r="W105">
        <v>6.8000000000000005E-2</v>
      </c>
      <c r="X105">
        <v>-0.121</v>
      </c>
      <c r="Z105">
        <v>2.1000000000000001E-2</v>
      </c>
      <c r="AA105">
        <v>-0.156</v>
      </c>
      <c r="AB105">
        <v>-0.111</v>
      </c>
      <c r="AC105">
        <v>-0.121</v>
      </c>
      <c r="AD105">
        <v>6.8000000000000005E-2</v>
      </c>
      <c r="AE105">
        <v>-8.1000000000000003E-2</v>
      </c>
      <c r="AF105">
        <v>-9.9000000000000005E-2</v>
      </c>
      <c r="AG105">
        <v>-0.156</v>
      </c>
      <c r="AH105">
        <v>1.0999999999999999E-2</v>
      </c>
      <c r="AI105">
        <v>2.1000000000000001E-2</v>
      </c>
    </row>
    <row r="106" spans="1:35" x14ac:dyDescent="0.25">
      <c r="A106" t="s">
        <v>1649</v>
      </c>
      <c r="B106" t="s">
        <v>31</v>
      </c>
      <c r="C106" s="25">
        <v>43705.335763888892</v>
      </c>
      <c r="D106" s="741" t="s">
        <v>969</v>
      </c>
      <c r="E106" s="741">
        <f t="array" ref="E106">SUMPRODUCT(IF(AMP4_4[[#This Row],[Dim 1_1]:[T 8]]-$F$4:$AI$4&lt;0,1,0)+IF($F$5:$AI$5-AMP4_4[[#This Row],[Dim 1_1]:[T 8]]&lt;0,1,0),IF(ISNUMBER(AMP4_4[[#This Row],[Dim 1_1]:[T 8]])=TRUE,1,0))</f>
        <v>0</v>
      </c>
      <c r="H106">
        <v>155.739</v>
      </c>
      <c r="I106">
        <v>155.922</v>
      </c>
      <c r="J106">
        <v>168.52</v>
      </c>
      <c r="K106">
        <v>168.37799999999999</v>
      </c>
      <c r="L106">
        <v>155.929</v>
      </c>
      <c r="M106">
        <v>155.886</v>
      </c>
      <c r="N106">
        <v>27.268000000000001</v>
      </c>
      <c r="O106">
        <v>27.385999999999999</v>
      </c>
      <c r="R106">
        <v>17.268999999999998</v>
      </c>
      <c r="S106">
        <v>17.288</v>
      </c>
      <c r="T106">
        <v>37.22</v>
      </c>
      <c r="U106">
        <v>37.503999999999998</v>
      </c>
      <c r="W106">
        <v>-2.9000000000000001E-2</v>
      </c>
      <c r="X106">
        <v>-9.4E-2</v>
      </c>
      <c r="Z106">
        <v>0.01</v>
      </c>
      <c r="AA106">
        <v>-0.19900000000000001</v>
      </c>
      <c r="AB106">
        <v>-6.9000000000000006E-2</v>
      </c>
      <c r="AC106">
        <v>-2.9000000000000001E-2</v>
      </c>
      <c r="AD106">
        <v>-8.8999999999999996E-2</v>
      </c>
      <c r="AE106">
        <v>-9.4E-2</v>
      </c>
      <c r="AF106">
        <v>0.01</v>
      </c>
      <c r="AG106">
        <v>-7.0000000000000007E-2</v>
      </c>
      <c r="AH106">
        <v>-0.127</v>
      </c>
      <c r="AI106">
        <v>-0.19900000000000001</v>
      </c>
    </row>
    <row r="107" spans="1:35" x14ac:dyDescent="0.25">
      <c r="A107" t="s">
        <v>1650</v>
      </c>
      <c r="B107" t="s">
        <v>32</v>
      </c>
      <c r="C107" s="25">
        <v>43705.416817129626</v>
      </c>
      <c r="D107" s="741" t="s">
        <v>969</v>
      </c>
      <c r="E107" s="741">
        <f t="array" ref="E107">SUMPRODUCT(IF(AMP4_4[[#This Row],[Dim 1_1]:[T 8]]-$F$4:$AI$4&lt;0,1,0)+IF($F$5:$AI$5-AMP4_4[[#This Row],[Dim 1_1]:[T 8]]&lt;0,1,0),IF(ISNUMBER(AMP4_4[[#This Row],[Dim 1_1]:[T 8]])=TRUE,1,0))</f>
        <v>0</v>
      </c>
      <c r="F107">
        <v>41.344999999999999</v>
      </c>
      <c r="G107">
        <v>41.345999999999997</v>
      </c>
      <c r="H107">
        <v>155.88499999999999</v>
      </c>
      <c r="I107">
        <v>155.797</v>
      </c>
      <c r="L107">
        <v>156.01</v>
      </c>
      <c r="M107">
        <v>155.74</v>
      </c>
      <c r="N107">
        <v>27.17</v>
      </c>
      <c r="O107">
        <v>27.32</v>
      </c>
      <c r="R107">
        <v>17.239999999999998</v>
      </c>
      <c r="S107">
        <v>17.215</v>
      </c>
      <c r="T107">
        <v>33.625</v>
      </c>
      <c r="U107">
        <v>34.527000000000001</v>
      </c>
      <c r="W107">
        <v>8.2000000000000003E-2</v>
      </c>
      <c r="X107">
        <v>-0.111</v>
      </c>
      <c r="Z107">
        <v>0.02</v>
      </c>
      <c r="AA107">
        <v>-7.5999999999999998E-2</v>
      </c>
      <c r="AB107">
        <v>-6.5000000000000002E-2</v>
      </c>
      <c r="AC107">
        <v>-5.6000000000000001E-2</v>
      </c>
      <c r="AD107">
        <v>8.2000000000000003E-2</v>
      </c>
      <c r="AE107">
        <v>-0.111</v>
      </c>
      <c r="AF107">
        <v>-2.4E-2</v>
      </c>
      <c r="AG107">
        <v>-7.5999999999999998E-2</v>
      </c>
      <c r="AH107">
        <v>8.0000000000000002E-3</v>
      </c>
      <c r="AI107">
        <v>0.02</v>
      </c>
    </row>
    <row r="108" spans="1:35" x14ac:dyDescent="0.25">
      <c r="A108" t="s">
        <v>1651</v>
      </c>
      <c r="B108" t="s">
        <v>31</v>
      </c>
      <c r="C108" s="25">
        <v>43705.419050925928</v>
      </c>
      <c r="D108" s="741" t="s">
        <v>969</v>
      </c>
      <c r="E108" s="741">
        <f t="array" ref="E108">SUMPRODUCT(IF(AMP4_4[[#This Row],[Dim 1_1]:[T 8]]-$F$4:$AI$4&lt;0,1,0)+IF($F$5:$AI$5-AMP4_4[[#This Row],[Dim 1_1]:[T 8]]&lt;0,1,0),IF(ISNUMBER(AMP4_4[[#This Row],[Dim 1_1]:[T 8]])=TRUE,1,0))</f>
        <v>0</v>
      </c>
      <c r="H108">
        <v>155.654</v>
      </c>
      <c r="I108">
        <v>155.79900000000001</v>
      </c>
      <c r="J108">
        <v>168.58799999999999</v>
      </c>
      <c r="K108">
        <v>168.44399999999999</v>
      </c>
      <c r="L108">
        <v>155.857</v>
      </c>
      <c r="M108">
        <v>155.80500000000001</v>
      </c>
      <c r="N108">
        <v>27.337</v>
      </c>
      <c r="O108">
        <v>27.491</v>
      </c>
      <c r="R108">
        <v>17.268999999999998</v>
      </c>
      <c r="S108">
        <v>17.263999999999999</v>
      </c>
      <c r="T108">
        <v>37.305</v>
      </c>
      <c r="U108">
        <v>38.317999999999998</v>
      </c>
      <c r="W108">
        <v>0.107</v>
      </c>
      <c r="X108">
        <v>8.9999999999999993E-3</v>
      </c>
      <c r="Z108">
        <v>5.3999999999999999E-2</v>
      </c>
      <c r="AA108">
        <v>-6.3E-2</v>
      </c>
      <c r="AB108">
        <v>8.9999999999999993E-3</v>
      </c>
      <c r="AC108">
        <v>4.2999999999999997E-2</v>
      </c>
      <c r="AD108">
        <v>7.4999999999999997E-2</v>
      </c>
      <c r="AE108">
        <v>0.107</v>
      </c>
      <c r="AF108">
        <v>5.3999999999999999E-2</v>
      </c>
      <c r="AG108">
        <v>-3.5000000000000003E-2</v>
      </c>
      <c r="AH108">
        <v>0.01</v>
      </c>
      <c r="AI108">
        <v>-6.3E-2</v>
      </c>
    </row>
    <row r="109" spans="1:35" x14ac:dyDescent="0.25">
      <c r="A109" t="s">
        <v>1907</v>
      </c>
      <c r="B109" t="s">
        <v>32</v>
      </c>
      <c r="C109" s="25">
        <v>43705.517546296294</v>
      </c>
      <c r="D109" s="741" t="s">
        <v>969</v>
      </c>
      <c r="E109" s="741">
        <f t="array" ref="E109">SUMPRODUCT(IF(AMP4_4[[#This Row],[Dim 1_1]:[T 8]]-$F$4:$AI$4&lt;0,1,0)+IF($F$5:$AI$5-AMP4_4[[#This Row],[Dim 1_1]:[T 8]]&lt;0,1,0),IF(ISNUMBER(AMP4_4[[#This Row],[Dim 1_1]:[T 8]])=TRUE,1,0))</f>
        <v>0</v>
      </c>
      <c r="F109">
        <v>41.313000000000002</v>
      </c>
      <c r="G109">
        <v>41.314999999999998</v>
      </c>
      <c r="H109">
        <v>155.874</v>
      </c>
      <c r="I109">
        <v>155.786</v>
      </c>
      <c r="L109">
        <v>155.988</v>
      </c>
      <c r="M109">
        <v>155.727</v>
      </c>
      <c r="N109">
        <v>27.193000000000001</v>
      </c>
      <c r="O109">
        <v>27.332000000000001</v>
      </c>
      <c r="R109">
        <v>17.248000000000001</v>
      </c>
      <c r="S109">
        <v>17.195</v>
      </c>
      <c r="T109">
        <v>33.552999999999997</v>
      </c>
      <c r="U109">
        <v>34.670999999999999</v>
      </c>
      <c r="W109">
        <v>8.8999999999999996E-2</v>
      </c>
      <c r="X109">
        <v>-6.3E-2</v>
      </c>
      <c r="Z109">
        <v>2.4E-2</v>
      </c>
      <c r="AA109">
        <v>-9.8000000000000004E-2</v>
      </c>
      <c r="AB109">
        <v>-6.3E-2</v>
      </c>
      <c r="AC109">
        <v>-6.0999999999999999E-2</v>
      </c>
      <c r="AD109">
        <v>8.8999999999999996E-2</v>
      </c>
      <c r="AE109">
        <v>-3.7999999999999999E-2</v>
      </c>
      <c r="AF109">
        <v>-4.2000000000000003E-2</v>
      </c>
      <c r="AG109">
        <v>-9.8000000000000004E-2</v>
      </c>
      <c r="AH109">
        <v>-2.3E-2</v>
      </c>
      <c r="AI109">
        <v>2.4E-2</v>
      </c>
    </row>
    <row r="110" spans="1:35" x14ac:dyDescent="0.25">
      <c r="A110" t="s">
        <v>1908</v>
      </c>
      <c r="B110" t="s">
        <v>31</v>
      </c>
      <c r="C110" s="25">
        <v>43705.51972222222</v>
      </c>
      <c r="D110" s="741" t="s">
        <v>969</v>
      </c>
      <c r="E110" s="741">
        <f t="array" ref="E110">SUMPRODUCT(IF(AMP4_4[[#This Row],[Dim 1_1]:[T 8]]-$F$4:$AI$4&lt;0,1,0)+IF($F$5:$AI$5-AMP4_4[[#This Row],[Dim 1_1]:[T 8]]&lt;0,1,0),IF(ISNUMBER(AMP4_4[[#This Row],[Dim 1_1]:[T 8]])=TRUE,1,0))</f>
        <v>0</v>
      </c>
      <c r="H110">
        <v>155.654</v>
      </c>
      <c r="I110">
        <v>155.79300000000001</v>
      </c>
      <c r="J110">
        <v>168.55099999999999</v>
      </c>
      <c r="K110">
        <v>168.44</v>
      </c>
      <c r="L110">
        <v>155.89099999999999</v>
      </c>
      <c r="M110">
        <v>155.81700000000001</v>
      </c>
      <c r="N110">
        <v>27.318999999999999</v>
      </c>
      <c r="O110">
        <v>27.503</v>
      </c>
      <c r="R110">
        <v>17.257000000000001</v>
      </c>
      <c r="S110">
        <v>17.248999999999999</v>
      </c>
      <c r="T110">
        <v>37.9</v>
      </c>
      <c r="U110">
        <v>38.411000000000001</v>
      </c>
      <c r="W110">
        <v>7.1999999999999995E-2</v>
      </c>
      <c r="X110">
        <v>2.1999999999999999E-2</v>
      </c>
      <c r="Z110">
        <v>5.6000000000000001E-2</v>
      </c>
      <c r="AA110">
        <v>-0.12</v>
      </c>
      <c r="AB110">
        <v>2.1999999999999999E-2</v>
      </c>
      <c r="AC110">
        <v>7.1999999999999995E-2</v>
      </c>
      <c r="AD110">
        <v>3.5999999999999997E-2</v>
      </c>
      <c r="AE110">
        <v>4.2999999999999997E-2</v>
      </c>
      <c r="AF110">
        <v>5.6000000000000001E-2</v>
      </c>
      <c r="AG110">
        <v>-2.9000000000000001E-2</v>
      </c>
      <c r="AH110">
        <v>-5.8000000000000003E-2</v>
      </c>
      <c r="AI110">
        <v>-0.12</v>
      </c>
    </row>
    <row r="111" spans="1:35" x14ac:dyDescent="0.25">
      <c r="A111" t="s">
        <v>1909</v>
      </c>
      <c r="B111" t="s">
        <v>32</v>
      </c>
      <c r="C111" s="25">
        <v>43705.676435185182</v>
      </c>
      <c r="D111" s="741" t="s">
        <v>969</v>
      </c>
      <c r="E111" s="741">
        <f t="array" ref="E111">SUMPRODUCT(IF(AMP4_4[[#This Row],[Dim 1_1]:[T 8]]-$F$4:$AI$4&lt;0,1,0)+IF($F$5:$AI$5-AMP4_4[[#This Row],[Dim 1_1]:[T 8]]&lt;0,1,0),IF(ISNUMBER(AMP4_4[[#This Row],[Dim 1_1]:[T 8]])=TRUE,1,0))</f>
        <v>0</v>
      </c>
      <c r="F111">
        <v>41.265999999999998</v>
      </c>
      <c r="G111">
        <v>41.3</v>
      </c>
      <c r="H111">
        <v>155.87799999999999</v>
      </c>
      <c r="I111">
        <v>155.92500000000001</v>
      </c>
      <c r="L111">
        <v>156.024</v>
      </c>
      <c r="M111">
        <v>155.786</v>
      </c>
      <c r="N111">
        <v>27.122</v>
      </c>
      <c r="O111">
        <v>27.305</v>
      </c>
      <c r="R111">
        <v>17.224</v>
      </c>
      <c r="S111">
        <v>17.204000000000001</v>
      </c>
      <c r="T111">
        <v>33.671999999999997</v>
      </c>
      <c r="U111">
        <v>34.465000000000003</v>
      </c>
      <c r="W111">
        <v>-3.0000000000000001E-3</v>
      </c>
      <c r="X111">
        <v>-0.14000000000000001</v>
      </c>
      <c r="Z111">
        <v>2.5000000000000001E-2</v>
      </c>
      <c r="AA111">
        <v>-6.9000000000000006E-2</v>
      </c>
      <c r="AB111">
        <v>-0.14000000000000001</v>
      </c>
      <c r="AC111">
        <v>-0.112</v>
      </c>
      <c r="AD111">
        <v>-3.0000000000000001E-3</v>
      </c>
      <c r="AE111">
        <v>-0.11600000000000001</v>
      </c>
      <c r="AF111">
        <v>-2.1999999999999999E-2</v>
      </c>
      <c r="AG111">
        <v>-6.9000000000000006E-2</v>
      </c>
      <c r="AH111">
        <v>-2.4E-2</v>
      </c>
      <c r="AI111">
        <v>2.5000000000000001E-2</v>
      </c>
    </row>
    <row r="112" spans="1:35" x14ac:dyDescent="0.25">
      <c r="A112" t="s">
        <v>1910</v>
      </c>
      <c r="B112" t="s">
        <v>31</v>
      </c>
      <c r="C112" s="25">
        <v>43705.677928240744</v>
      </c>
      <c r="D112" s="741" t="s">
        <v>969</v>
      </c>
      <c r="E112" s="741">
        <f t="array" ref="E112">SUMPRODUCT(IF(AMP4_4[[#This Row],[Dim 1_1]:[T 8]]-$F$4:$AI$4&lt;0,1,0)+IF($F$5:$AI$5-AMP4_4[[#This Row],[Dim 1_1]:[T 8]]&lt;0,1,0),IF(ISNUMBER(AMP4_4[[#This Row],[Dim 1_1]:[T 8]])=TRUE,1,0))</f>
        <v>0</v>
      </c>
      <c r="H112">
        <v>155.68100000000001</v>
      </c>
      <c r="I112">
        <v>155.73400000000001</v>
      </c>
      <c r="J112">
        <v>168.49299999999999</v>
      </c>
      <c r="K112">
        <v>168.34899999999999</v>
      </c>
      <c r="L112">
        <v>155.90899999999999</v>
      </c>
      <c r="M112">
        <v>155.785</v>
      </c>
      <c r="N112">
        <v>27.34</v>
      </c>
      <c r="O112">
        <v>27.55</v>
      </c>
      <c r="R112">
        <v>17.23</v>
      </c>
      <c r="S112">
        <v>17.465</v>
      </c>
      <c r="T112">
        <v>38.319000000000003</v>
      </c>
      <c r="U112">
        <v>38.225999999999999</v>
      </c>
      <c r="W112">
        <v>0.1</v>
      </c>
      <c r="X112">
        <v>4.9000000000000002E-2</v>
      </c>
      <c r="Z112">
        <v>0.24299999999999999</v>
      </c>
      <c r="AA112">
        <v>-7.0000000000000007E-2</v>
      </c>
      <c r="AB112">
        <v>4.9000000000000002E-2</v>
      </c>
      <c r="AC112">
        <v>9.1999999999999998E-2</v>
      </c>
      <c r="AD112">
        <v>0.08</v>
      </c>
      <c r="AE112">
        <v>0.1</v>
      </c>
      <c r="AF112">
        <v>0.10199999999999999</v>
      </c>
      <c r="AG112">
        <v>5.0000000000000001E-3</v>
      </c>
      <c r="AH112">
        <v>0.24299999999999999</v>
      </c>
      <c r="AI112">
        <v>-7.0000000000000007E-2</v>
      </c>
    </row>
    <row r="113" spans="1:35" x14ac:dyDescent="0.25">
      <c r="A113" t="s">
        <v>1911</v>
      </c>
      <c r="B113" t="s">
        <v>32</v>
      </c>
      <c r="C113" s="25">
        <v>43705.736168981479</v>
      </c>
      <c r="D113" s="741" t="s">
        <v>969</v>
      </c>
      <c r="E113" s="741">
        <f t="array" ref="E113">SUMPRODUCT(IF(AMP4_4[[#This Row],[Dim 1_1]:[T 8]]-$F$4:$AI$4&lt;0,1,0)+IF($F$5:$AI$5-AMP4_4[[#This Row],[Dim 1_1]:[T 8]]&lt;0,1,0),IF(ISNUMBER(AMP4_4[[#This Row],[Dim 1_1]:[T 8]])=TRUE,1,0))</f>
        <v>0</v>
      </c>
      <c r="F113">
        <v>41.137999999999998</v>
      </c>
      <c r="G113">
        <v>41.228999999999999</v>
      </c>
      <c r="H113">
        <v>155.97300000000001</v>
      </c>
      <c r="I113">
        <v>155.89599999999999</v>
      </c>
      <c r="L113">
        <v>156.07599999999999</v>
      </c>
      <c r="M113">
        <v>155.84299999999999</v>
      </c>
      <c r="N113">
        <v>27.091999999999999</v>
      </c>
      <c r="O113">
        <v>27.233000000000001</v>
      </c>
      <c r="R113">
        <v>17.263999999999999</v>
      </c>
      <c r="S113">
        <v>17.123999999999999</v>
      </c>
      <c r="T113">
        <v>33.636000000000003</v>
      </c>
      <c r="U113">
        <v>34.322000000000003</v>
      </c>
      <c r="W113">
        <v>1.9E-2</v>
      </c>
      <c r="X113">
        <v>-0.224</v>
      </c>
      <c r="Z113">
        <v>-1.4999999999999999E-2</v>
      </c>
      <c r="AA113">
        <v>-0.247</v>
      </c>
      <c r="AB113">
        <v>-0.224</v>
      </c>
      <c r="AC113">
        <v>-0.214</v>
      </c>
      <c r="AD113">
        <v>1.9E-2</v>
      </c>
      <c r="AE113">
        <v>-0.13900000000000001</v>
      </c>
      <c r="AF113">
        <v>-0.21</v>
      </c>
      <c r="AG113">
        <v>-0.247</v>
      </c>
      <c r="AH113">
        <v>-1.4999999999999999E-2</v>
      </c>
      <c r="AI113">
        <v>-2.8000000000000001E-2</v>
      </c>
    </row>
    <row r="114" spans="1:35" x14ac:dyDescent="0.25">
      <c r="A114" t="s">
        <v>1912</v>
      </c>
      <c r="B114" t="s">
        <v>31</v>
      </c>
      <c r="C114" s="25">
        <v>43705.737696759257</v>
      </c>
      <c r="D114" s="741" t="s">
        <v>969</v>
      </c>
      <c r="E114" s="741">
        <f t="array" ref="E114">SUMPRODUCT(IF(AMP4_4[[#This Row],[Dim 1_1]:[T 8]]-$F$4:$AI$4&lt;0,1,0)+IF($F$5:$AI$5-AMP4_4[[#This Row],[Dim 1_1]:[T 8]]&lt;0,1,0),IF(ISNUMBER(AMP4_4[[#This Row],[Dim 1_1]:[T 8]])=TRUE,1,0))</f>
        <v>0</v>
      </c>
      <c r="H114">
        <v>155.75700000000001</v>
      </c>
      <c r="I114">
        <v>155.87200000000001</v>
      </c>
      <c r="J114">
        <v>168.44800000000001</v>
      </c>
      <c r="K114">
        <v>168.43899999999999</v>
      </c>
      <c r="L114">
        <v>155.99199999999999</v>
      </c>
      <c r="M114">
        <v>155.92099999999999</v>
      </c>
      <c r="N114">
        <v>27.225000000000001</v>
      </c>
      <c r="O114">
        <v>27.405000000000001</v>
      </c>
      <c r="R114">
        <v>17.271999999999998</v>
      </c>
      <c r="S114">
        <v>17.210999999999999</v>
      </c>
      <c r="T114">
        <v>36.863999999999997</v>
      </c>
      <c r="U114">
        <v>37.155000000000001</v>
      </c>
      <c r="W114">
        <v>0.123</v>
      </c>
      <c r="X114">
        <v>-8.5000000000000006E-2</v>
      </c>
      <c r="Z114">
        <v>4.4999999999999998E-2</v>
      </c>
      <c r="AA114">
        <v>-0.126</v>
      </c>
      <c r="AB114">
        <v>-8.5000000000000006E-2</v>
      </c>
      <c r="AC114">
        <v>-3.4000000000000002E-2</v>
      </c>
      <c r="AD114">
        <v>0.10100000000000001</v>
      </c>
      <c r="AE114">
        <v>0.123</v>
      </c>
      <c r="AF114">
        <v>-4.8000000000000001E-2</v>
      </c>
      <c r="AG114">
        <v>-0.126</v>
      </c>
      <c r="AH114">
        <v>4.4999999999999998E-2</v>
      </c>
      <c r="AI114">
        <v>-7.3999999999999996E-2</v>
      </c>
    </row>
    <row r="115" spans="1:35" x14ac:dyDescent="0.25">
      <c r="A115" t="s">
        <v>1913</v>
      </c>
      <c r="B115" t="s">
        <v>32</v>
      </c>
      <c r="C115" s="25">
        <v>43705.799675925926</v>
      </c>
      <c r="D115" s="741" t="s">
        <v>969</v>
      </c>
      <c r="E115" s="741">
        <f t="array" ref="E115">SUMPRODUCT(IF(AMP4_4[[#This Row],[Dim 1_1]:[T 8]]-$F$4:$AI$4&lt;0,1,0)+IF($F$5:$AI$5-AMP4_4[[#This Row],[Dim 1_1]:[T 8]]&lt;0,1,0),IF(ISNUMBER(AMP4_4[[#This Row],[Dim 1_1]:[T 8]])=TRUE,1,0))</f>
        <v>0</v>
      </c>
      <c r="F115">
        <v>41.143999999999998</v>
      </c>
      <c r="G115">
        <v>41.293999999999997</v>
      </c>
      <c r="H115">
        <v>155.94900000000001</v>
      </c>
      <c r="I115">
        <v>155.90100000000001</v>
      </c>
      <c r="L115">
        <v>156.083</v>
      </c>
      <c r="M115">
        <v>155.863</v>
      </c>
      <c r="N115">
        <v>27.041</v>
      </c>
      <c r="O115">
        <v>27.201000000000001</v>
      </c>
      <c r="R115">
        <v>17.224</v>
      </c>
      <c r="S115">
        <v>17.186</v>
      </c>
      <c r="T115">
        <v>33.484999999999999</v>
      </c>
      <c r="U115">
        <v>34.42</v>
      </c>
      <c r="W115">
        <v>6.2E-2</v>
      </c>
      <c r="X115">
        <v>-0.11</v>
      </c>
      <c r="Z115">
        <v>5.8000000000000003E-2</v>
      </c>
      <c r="AA115">
        <v>-5.8000000000000003E-2</v>
      </c>
      <c r="AB115">
        <v>-0.11</v>
      </c>
      <c r="AC115">
        <v>-0.10100000000000001</v>
      </c>
      <c r="AD115">
        <v>6.2E-2</v>
      </c>
      <c r="AE115">
        <v>-7.2999999999999995E-2</v>
      </c>
      <c r="AF115">
        <v>1.9E-2</v>
      </c>
      <c r="AG115">
        <v>-5.8000000000000003E-2</v>
      </c>
      <c r="AH115">
        <v>3.2000000000000001E-2</v>
      </c>
      <c r="AI115">
        <v>5.8000000000000003E-2</v>
      </c>
    </row>
    <row r="116" spans="1:35" x14ac:dyDescent="0.25">
      <c r="A116" t="s">
        <v>1914</v>
      </c>
      <c r="B116" t="s">
        <v>31</v>
      </c>
      <c r="C116" s="25">
        <v>43705.803599537037</v>
      </c>
      <c r="D116" s="741" t="s">
        <v>969</v>
      </c>
      <c r="E116" s="741">
        <f t="array" ref="E116">SUMPRODUCT(IF(AMP4_4[[#This Row],[Dim 1_1]:[T 8]]-$F$4:$AI$4&lt;0,1,0)+IF($F$5:$AI$5-AMP4_4[[#This Row],[Dim 1_1]:[T 8]]&lt;0,1,0),IF(ISNUMBER(AMP4_4[[#This Row],[Dim 1_1]:[T 8]])=TRUE,1,0))</f>
        <v>0</v>
      </c>
      <c r="H116">
        <v>155.67500000000001</v>
      </c>
      <c r="I116">
        <v>155.77600000000001</v>
      </c>
      <c r="J116">
        <v>168.49700000000001</v>
      </c>
      <c r="K116">
        <v>168.435</v>
      </c>
      <c r="L116">
        <v>155.93</v>
      </c>
      <c r="M116">
        <v>155.81299999999999</v>
      </c>
      <c r="N116">
        <v>27.324999999999999</v>
      </c>
      <c r="O116">
        <v>27.56</v>
      </c>
      <c r="R116">
        <v>17.222000000000001</v>
      </c>
      <c r="S116">
        <v>17.21</v>
      </c>
      <c r="T116">
        <v>36.482999999999997</v>
      </c>
      <c r="U116">
        <v>37.268999999999998</v>
      </c>
      <c r="W116">
        <v>0.16</v>
      </c>
      <c r="X116">
        <v>2.5999999999999999E-2</v>
      </c>
      <c r="Z116">
        <v>1.7999999999999999E-2</v>
      </c>
      <c r="AA116">
        <v>-0.09</v>
      </c>
      <c r="AB116">
        <v>2.5999999999999999E-2</v>
      </c>
      <c r="AC116">
        <v>6.3E-2</v>
      </c>
      <c r="AD116">
        <v>0.159</v>
      </c>
      <c r="AE116">
        <v>0.16</v>
      </c>
      <c r="AF116">
        <v>-5.0000000000000001E-3</v>
      </c>
      <c r="AG116">
        <v>-0.09</v>
      </c>
      <c r="AH116">
        <v>1.7999999999999999E-2</v>
      </c>
      <c r="AI116">
        <v>-0.09</v>
      </c>
    </row>
    <row r="117" spans="1:35" x14ac:dyDescent="0.25">
      <c r="A117" t="s">
        <v>1915</v>
      </c>
      <c r="B117" t="s">
        <v>32</v>
      </c>
      <c r="C117" s="25">
        <v>43705.9296412037</v>
      </c>
      <c r="D117" s="741" t="s">
        <v>969</v>
      </c>
      <c r="E117" s="741">
        <f t="array" ref="E117">SUMPRODUCT(IF(AMP4_4[[#This Row],[Dim 1_1]:[T 8]]-$F$4:$AI$4&lt;0,1,0)+IF($F$5:$AI$5-AMP4_4[[#This Row],[Dim 1_1]:[T 8]]&lt;0,1,0),IF(ISNUMBER(AMP4_4[[#This Row],[Dim 1_1]:[T 8]])=TRUE,1,0))</f>
        <v>0</v>
      </c>
      <c r="F117">
        <v>41.26</v>
      </c>
      <c r="G117">
        <v>41.356999999999999</v>
      </c>
      <c r="H117">
        <v>155.97999999999999</v>
      </c>
      <c r="I117">
        <v>155.80199999999999</v>
      </c>
      <c r="L117">
        <v>156.05000000000001</v>
      </c>
      <c r="M117">
        <v>155.74199999999999</v>
      </c>
      <c r="N117">
        <v>27.103000000000002</v>
      </c>
      <c r="O117">
        <v>27.338000000000001</v>
      </c>
      <c r="R117">
        <v>17.196999999999999</v>
      </c>
      <c r="S117">
        <v>17.184999999999999</v>
      </c>
      <c r="T117">
        <v>33.856000000000002</v>
      </c>
      <c r="U117">
        <v>33.978000000000002</v>
      </c>
      <c r="W117">
        <v>6.6000000000000003E-2</v>
      </c>
      <c r="X117">
        <v>-8.3000000000000004E-2</v>
      </c>
      <c r="Z117">
        <v>-3.2000000000000001E-2</v>
      </c>
      <c r="AA117">
        <v>-0.123</v>
      </c>
      <c r="AB117">
        <v>-7.3999999999999996E-2</v>
      </c>
      <c r="AC117">
        <v>-6.4000000000000001E-2</v>
      </c>
      <c r="AD117">
        <v>6.6000000000000003E-2</v>
      </c>
      <c r="AE117">
        <v>-8.3000000000000004E-2</v>
      </c>
      <c r="AF117">
        <v>-6.2E-2</v>
      </c>
      <c r="AG117">
        <v>-0.123</v>
      </c>
      <c r="AH117">
        <v>-5.8000000000000003E-2</v>
      </c>
      <c r="AI117">
        <v>-3.2000000000000001E-2</v>
      </c>
    </row>
    <row r="118" spans="1:35" x14ac:dyDescent="0.25">
      <c r="A118" t="s">
        <v>1916</v>
      </c>
      <c r="B118" t="s">
        <v>31</v>
      </c>
      <c r="C118" s="25">
        <v>43705.931157407409</v>
      </c>
      <c r="D118" s="741" t="s">
        <v>969</v>
      </c>
      <c r="E118" s="741">
        <f t="array" ref="E118">SUMPRODUCT(IF(AMP4_4[[#This Row],[Dim 1_1]:[T 8]]-$F$4:$AI$4&lt;0,1,0)+IF($F$5:$AI$5-AMP4_4[[#This Row],[Dim 1_1]:[T 8]]&lt;0,1,0),IF(ISNUMBER(AMP4_4[[#This Row],[Dim 1_1]:[T 8]])=TRUE,1,0))</f>
        <v>0</v>
      </c>
      <c r="H118">
        <v>155.68700000000001</v>
      </c>
      <c r="I118">
        <v>155.869</v>
      </c>
      <c r="J118">
        <v>168.51499999999999</v>
      </c>
      <c r="K118">
        <v>168.54599999999999</v>
      </c>
      <c r="L118">
        <v>155.916</v>
      </c>
      <c r="M118">
        <v>155.92400000000001</v>
      </c>
      <c r="N118">
        <v>27.324000000000002</v>
      </c>
      <c r="O118">
        <v>27.452999999999999</v>
      </c>
      <c r="R118">
        <v>17.222999999999999</v>
      </c>
      <c r="S118">
        <v>17.280999999999999</v>
      </c>
      <c r="T118">
        <v>35.284999999999997</v>
      </c>
      <c r="U118">
        <v>36.151000000000003</v>
      </c>
      <c r="W118">
        <v>8.5000000000000006E-2</v>
      </c>
      <c r="X118">
        <v>-8.7999999999999995E-2</v>
      </c>
      <c r="Z118">
        <v>-7.4999999999999997E-2</v>
      </c>
      <c r="AA118">
        <v>-0.219</v>
      </c>
      <c r="AB118">
        <v>-8.7999999999999995E-2</v>
      </c>
      <c r="AC118">
        <v>-0.04</v>
      </c>
      <c r="AD118">
        <v>-1.4E-2</v>
      </c>
      <c r="AE118">
        <v>8.5000000000000006E-2</v>
      </c>
      <c r="AF118">
        <v>-7.4999999999999997E-2</v>
      </c>
      <c r="AG118">
        <v>-0.16800000000000001</v>
      </c>
      <c r="AH118">
        <v>-0.126</v>
      </c>
      <c r="AI118">
        <v>-0.219</v>
      </c>
    </row>
    <row r="119" spans="1:35" x14ac:dyDescent="0.25">
      <c r="A119" t="s">
        <v>1917</v>
      </c>
      <c r="B119" t="s">
        <v>32</v>
      </c>
      <c r="C119" s="25">
        <v>43706.0158912037</v>
      </c>
      <c r="D119" s="741" t="s">
        <v>969</v>
      </c>
      <c r="E119" s="741">
        <f t="array" ref="E119">SUMPRODUCT(IF(AMP4_4[[#This Row],[Dim 1_1]:[T 8]]-$F$4:$AI$4&lt;0,1,0)+IF($F$5:$AI$5-AMP4_4[[#This Row],[Dim 1_1]:[T 8]]&lt;0,1,0),IF(ISNUMBER(AMP4_4[[#This Row],[Dim 1_1]:[T 8]])=TRUE,1,0))</f>
        <v>0</v>
      </c>
      <c r="F119">
        <v>41.421999999999997</v>
      </c>
      <c r="G119">
        <v>41.52</v>
      </c>
      <c r="H119">
        <v>155.69900000000001</v>
      </c>
      <c r="I119">
        <v>155.53299999999999</v>
      </c>
      <c r="L119">
        <v>155.828</v>
      </c>
      <c r="M119">
        <v>155.52600000000001</v>
      </c>
      <c r="N119">
        <v>27.356999999999999</v>
      </c>
      <c r="O119">
        <v>27.646000000000001</v>
      </c>
      <c r="R119">
        <v>17.225999999999999</v>
      </c>
      <c r="S119">
        <v>17.292000000000002</v>
      </c>
      <c r="T119">
        <v>33.619</v>
      </c>
      <c r="U119">
        <v>34.523000000000003</v>
      </c>
      <c r="W119">
        <v>0.191</v>
      </c>
      <c r="X119">
        <v>-1E-3</v>
      </c>
      <c r="Z119">
        <v>0.18</v>
      </c>
      <c r="AA119">
        <v>0.13</v>
      </c>
      <c r="AB119">
        <v>0.108</v>
      </c>
      <c r="AC119">
        <v>0.122</v>
      </c>
      <c r="AD119">
        <v>0.191</v>
      </c>
      <c r="AE119">
        <v>-1E-3</v>
      </c>
      <c r="AF119">
        <v>0.17299999999999999</v>
      </c>
      <c r="AG119">
        <v>0.13200000000000001</v>
      </c>
      <c r="AH119">
        <v>0.13</v>
      </c>
      <c r="AI119">
        <v>0.18</v>
      </c>
    </row>
    <row r="120" spans="1:35" x14ac:dyDescent="0.25">
      <c r="A120" t="s">
        <v>1918</v>
      </c>
      <c r="B120" t="s">
        <v>31</v>
      </c>
      <c r="C120" s="25">
        <v>43706.017395833333</v>
      </c>
      <c r="D120" s="741" t="s">
        <v>969</v>
      </c>
      <c r="E120" s="741">
        <f t="array" ref="E120">SUMPRODUCT(IF(AMP4_4[[#This Row],[Dim 1_1]:[T 8]]-$F$4:$AI$4&lt;0,1,0)+IF($F$5:$AI$5-AMP4_4[[#This Row],[Dim 1_1]:[T 8]]&lt;0,1,0),IF(ISNUMBER(AMP4_4[[#This Row],[Dim 1_1]:[T 8]])=TRUE,1,0))</f>
        <v>0</v>
      </c>
      <c r="H120">
        <v>155.43199999999999</v>
      </c>
      <c r="I120">
        <v>155.57400000000001</v>
      </c>
      <c r="J120">
        <v>168.345</v>
      </c>
      <c r="K120">
        <v>168.33500000000001</v>
      </c>
      <c r="L120">
        <v>155.636</v>
      </c>
      <c r="M120">
        <v>155.536</v>
      </c>
      <c r="N120">
        <v>27.577000000000002</v>
      </c>
      <c r="O120">
        <v>27.716000000000001</v>
      </c>
      <c r="R120">
        <v>17.225000000000001</v>
      </c>
      <c r="S120">
        <v>17.234000000000002</v>
      </c>
      <c r="T120">
        <v>36.494999999999997</v>
      </c>
      <c r="U120">
        <v>37.612000000000002</v>
      </c>
      <c r="W120">
        <v>0.153</v>
      </c>
      <c r="X120">
        <v>8.9999999999999993E-3</v>
      </c>
      <c r="Z120">
        <v>0.20399999999999999</v>
      </c>
      <c r="AA120">
        <v>0</v>
      </c>
      <c r="AB120">
        <v>0.153</v>
      </c>
      <c r="AC120">
        <v>0.153</v>
      </c>
      <c r="AD120">
        <v>8.9999999999999993E-3</v>
      </c>
      <c r="AE120">
        <v>2.5999999999999999E-2</v>
      </c>
      <c r="AF120">
        <v>0.20399999999999999</v>
      </c>
      <c r="AG120">
        <v>0.13400000000000001</v>
      </c>
      <c r="AH120">
        <v>0</v>
      </c>
      <c r="AI120">
        <v>2.9000000000000001E-2</v>
      </c>
    </row>
    <row r="121" spans="1:35" x14ac:dyDescent="0.25">
      <c r="A121" t="s">
        <v>1919</v>
      </c>
      <c r="B121" t="s">
        <v>32</v>
      </c>
      <c r="C121" s="25">
        <v>43706.045104166667</v>
      </c>
      <c r="D121" s="741" t="s">
        <v>969</v>
      </c>
      <c r="E121" s="741">
        <f t="array" ref="E121">SUMPRODUCT(IF(AMP4_4[[#This Row],[Dim 1_1]:[T 8]]-$F$4:$AI$4&lt;0,1,0)+IF($F$5:$AI$5-AMP4_4[[#This Row],[Dim 1_1]:[T 8]]&lt;0,1,0),IF(ISNUMBER(AMP4_4[[#This Row],[Dim 1_1]:[T 8]])=TRUE,1,0))</f>
        <v>0</v>
      </c>
      <c r="F121">
        <v>41.523000000000003</v>
      </c>
      <c r="G121">
        <v>41.472999999999999</v>
      </c>
      <c r="H121">
        <v>155.71</v>
      </c>
      <c r="I121">
        <v>155.572</v>
      </c>
      <c r="L121">
        <v>155.85900000000001</v>
      </c>
      <c r="M121">
        <v>155.52500000000001</v>
      </c>
      <c r="N121">
        <v>27.268000000000001</v>
      </c>
      <c r="O121">
        <v>27.518000000000001</v>
      </c>
      <c r="R121">
        <v>17.225000000000001</v>
      </c>
      <c r="S121">
        <v>17.318000000000001</v>
      </c>
      <c r="T121">
        <v>33.709000000000003</v>
      </c>
      <c r="U121">
        <v>34.445999999999998</v>
      </c>
      <c r="W121">
        <v>6.9000000000000006E-2</v>
      </c>
      <c r="X121">
        <v>-7.0000000000000007E-2</v>
      </c>
      <c r="Z121">
        <v>0.13</v>
      </c>
      <c r="AA121">
        <v>5.3999999999999999E-2</v>
      </c>
      <c r="AB121">
        <v>4.7E-2</v>
      </c>
      <c r="AC121">
        <v>4.4999999999999998E-2</v>
      </c>
      <c r="AD121">
        <v>6.9000000000000006E-2</v>
      </c>
      <c r="AE121">
        <v>-7.0000000000000007E-2</v>
      </c>
      <c r="AF121">
        <v>0.13</v>
      </c>
      <c r="AG121">
        <v>9.2999999999999999E-2</v>
      </c>
      <c r="AH121">
        <v>5.3999999999999999E-2</v>
      </c>
      <c r="AI121">
        <v>0.121</v>
      </c>
    </row>
    <row r="122" spans="1:35" x14ac:dyDescent="0.25">
      <c r="A122" t="s">
        <v>1920</v>
      </c>
      <c r="B122" t="s">
        <v>31</v>
      </c>
      <c r="C122" s="25">
        <v>43706.046574074076</v>
      </c>
      <c r="D122" s="741" t="s">
        <v>969</v>
      </c>
      <c r="E122" s="741">
        <f t="array" ref="E122">SUMPRODUCT(IF(AMP4_4[[#This Row],[Dim 1_1]:[T 8]]-$F$4:$AI$4&lt;0,1,0)+IF($F$5:$AI$5-AMP4_4[[#This Row],[Dim 1_1]:[T 8]]&lt;0,1,0),IF(ISNUMBER(AMP4_4[[#This Row],[Dim 1_1]:[T 8]])=TRUE,1,0))</f>
        <v>0</v>
      </c>
      <c r="H122">
        <v>155.46799999999999</v>
      </c>
      <c r="I122">
        <v>155.63</v>
      </c>
      <c r="J122">
        <v>168.56700000000001</v>
      </c>
      <c r="K122">
        <v>168.34899999999999</v>
      </c>
      <c r="L122">
        <v>155.661</v>
      </c>
      <c r="M122">
        <v>155.58500000000001</v>
      </c>
      <c r="N122">
        <v>27.584</v>
      </c>
      <c r="O122">
        <v>27.667000000000002</v>
      </c>
      <c r="R122">
        <v>17.218</v>
      </c>
      <c r="S122">
        <v>17.099</v>
      </c>
      <c r="T122">
        <v>38.258000000000003</v>
      </c>
      <c r="U122">
        <v>38.667000000000002</v>
      </c>
      <c r="W122">
        <v>0.11700000000000001</v>
      </c>
      <c r="X122">
        <v>-0.1</v>
      </c>
      <c r="Z122">
        <v>0.186</v>
      </c>
      <c r="AA122">
        <v>-4.0000000000000001E-3</v>
      </c>
      <c r="AB122">
        <v>0.11700000000000001</v>
      </c>
      <c r="AC122">
        <v>0.107</v>
      </c>
      <c r="AD122">
        <v>-1.4999999999999999E-2</v>
      </c>
      <c r="AE122">
        <v>-0.1</v>
      </c>
      <c r="AF122">
        <v>0.186</v>
      </c>
      <c r="AG122">
        <v>0.114</v>
      </c>
      <c r="AH122">
        <v>-4.0000000000000001E-3</v>
      </c>
      <c r="AI122">
        <v>1.7000000000000001E-2</v>
      </c>
    </row>
    <row r="123" spans="1:35" x14ac:dyDescent="0.25">
      <c r="A123" t="s">
        <v>2214</v>
      </c>
      <c r="B123" t="s">
        <v>32</v>
      </c>
      <c r="C123" s="25">
        <v>43706.353067129632</v>
      </c>
      <c r="D123" s="741" t="s">
        <v>969</v>
      </c>
      <c r="E123" s="741">
        <f t="array" ref="E123">SUMPRODUCT(IF(AMP4_4[[#This Row],[Dim 1_1]:[T 8]]-$F$4:$AI$4&lt;0,1,0)+IF($F$5:$AI$5-AMP4_4[[#This Row],[Dim 1_1]:[T 8]]&lt;0,1,0),IF(ISNUMBER(AMP4_4[[#This Row],[Dim 1_1]:[T 8]])=TRUE,1,0))</f>
        <v>0</v>
      </c>
      <c r="F123">
        <v>41.39</v>
      </c>
      <c r="G123">
        <v>41.343000000000004</v>
      </c>
      <c r="H123">
        <v>155.71199999999999</v>
      </c>
      <c r="I123">
        <v>155.602</v>
      </c>
      <c r="L123">
        <v>155.80600000000001</v>
      </c>
      <c r="M123">
        <v>155.52699999999999</v>
      </c>
      <c r="N123">
        <v>27.318999999999999</v>
      </c>
      <c r="O123">
        <v>27.532</v>
      </c>
      <c r="R123">
        <v>17.283999999999999</v>
      </c>
      <c r="S123">
        <v>17.382000000000001</v>
      </c>
      <c r="T123">
        <v>34</v>
      </c>
      <c r="U123">
        <v>34.67</v>
      </c>
      <c r="W123">
        <v>0.13900000000000001</v>
      </c>
      <c r="X123">
        <v>-1.2E-2</v>
      </c>
      <c r="Z123">
        <v>8.5000000000000006E-2</v>
      </c>
      <c r="AA123">
        <v>2.5999999999999999E-2</v>
      </c>
      <c r="AB123">
        <v>0.11799999999999999</v>
      </c>
      <c r="AC123">
        <v>0.13</v>
      </c>
      <c r="AD123">
        <v>0.13900000000000001</v>
      </c>
      <c r="AE123">
        <v>-1.2E-2</v>
      </c>
      <c r="AF123">
        <v>8.5000000000000006E-2</v>
      </c>
      <c r="AG123">
        <v>0.05</v>
      </c>
      <c r="AH123">
        <v>2.5999999999999999E-2</v>
      </c>
      <c r="AI123">
        <v>5.8000000000000003E-2</v>
      </c>
    </row>
    <row r="124" spans="1:35" x14ac:dyDescent="0.25">
      <c r="A124" t="s">
        <v>2215</v>
      </c>
      <c r="B124" t="s">
        <v>31</v>
      </c>
      <c r="C124" s="25">
        <v>43706.355937499997</v>
      </c>
      <c r="D124" s="741" t="s">
        <v>969</v>
      </c>
      <c r="E124" s="741">
        <f t="array" ref="E124">SUMPRODUCT(IF(AMP4_4[[#This Row],[Dim 1_1]:[T 8]]-$F$4:$AI$4&lt;0,1,0)+IF($F$5:$AI$5-AMP4_4[[#This Row],[Dim 1_1]:[T 8]]&lt;0,1,0),IF(ISNUMBER(AMP4_4[[#This Row],[Dim 1_1]:[T 8]])=TRUE,1,0))</f>
        <v>0</v>
      </c>
      <c r="H124">
        <v>155.524</v>
      </c>
      <c r="I124">
        <v>155.673</v>
      </c>
      <c r="J124">
        <v>168.37100000000001</v>
      </c>
      <c r="K124">
        <v>168.12299999999999</v>
      </c>
      <c r="L124">
        <v>155.66</v>
      </c>
      <c r="M124">
        <v>155.59700000000001</v>
      </c>
      <c r="N124">
        <v>27.573</v>
      </c>
      <c r="O124">
        <v>27.651</v>
      </c>
      <c r="R124">
        <v>17.248000000000001</v>
      </c>
      <c r="S124">
        <v>17.074000000000002</v>
      </c>
      <c r="T124">
        <v>33.875999999999998</v>
      </c>
      <c r="U124">
        <v>37.877000000000002</v>
      </c>
      <c r="W124">
        <v>0.21299999999999999</v>
      </c>
      <c r="X124">
        <v>0.121</v>
      </c>
      <c r="Z124">
        <v>0.115</v>
      </c>
      <c r="AA124">
        <v>-3.1E-2</v>
      </c>
      <c r="AB124">
        <v>0.13100000000000001</v>
      </c>
      <c r="AC124">
        <v>0.121</v>
      </c>
      <c r="AD124">
        <v>0.21299999999999999</v>
      </c>
      <c r="AE124">
        <v>0.154</v>
      </c>
      <c r="AF124">
        <v>5.0999999999999997E-2</v>
      </c>
      <c r="AG124">
        <v>-3.1E-2</v>
      </c>
      <c r="AH124">
        <v>0.115</v>
      </c>
      <c r="AI124">
        <v>0.10100000000000001</v>
      </c>
    </row>
    <row r="125" spans="1:35" x14ac:dyDescent="0.25">
      <c r="A125" t="s">
        <v>2216</v>
      </c>
      <c r="B125" t="s">
        <v>32</v>
      </c>
      <c r="C125" s="25">
        <v>43706.457870370374</v>
      </c>
      <c r="D125" s="741" t="s">
        <v>969</v>
      </c>
      <c r="E125" s="741">
        <f t="array" ref="E125">SUMPRODUCT(IF(AMP4_4[[#This Row],[Dim 1_1]:[T 8]]-$F$4:$AI$4&lt;0,1,0)+IF($F$5:$AI$5-AMP4_4[[#This Row],[Dim 1_1]:[T 8]]&lt;0,1,0),IF(ISNUMBER(AMP4_4[[#This Row],[Dim 1_1]:[T 8]])=TRUE,1,0))</f>
        <v>0</v>
      </c>
      <c r="F125">
        <v>41.348999999999997</v>
      </c>
      <c r="G125">
        <v>41.311999999999998</v>
      </c>
      <c r="H125">
        <v>155.744</v>
      </c>
      <c r="I125">
        <v>155.625</v>
      </c>
      <c r="L125">
        <v>155.86699999999999</v>
      </c>
      <c r="M125">
        <v>155.56200000000001</v>
      </c>
      <c r="N125">
        <v>27.303999999999998</v>
      </c>
      <c r="O125">
        <v>27.52</v>
      </c>
      <c r="R125">
        <v>17.242000000000001</v>
      </c>
      <c r="S125">
        <v>17.312000000000001</v>
      </c>
      <c r="T125">
        <v>33.847000000000001</v>
      </c>
      <c r="U125">
        <v>34.552</v>
      </c>
      <c r="W125">
        <v>4.1000000000000002E-2</v>
      </c>
      <c r="X125">
        <v>-0.107</v>
      </c>
      <c r="Z125">
        <v>7.8E-2</v>
      </c>
      <c r="AA125">
        <v>0</v>
      </c>
      <c r="AB125">
        <v>1.7000000000000001E-2</v>
      </c>
      <c r="AC125">
        <v>1.2999999999999999E-2</v>
      </c>
      <c r="AD125">
        <v>4.1000000000000002E-2</v>
      </c>
      <c r="AE125">
        <v>-0.107</v>
      </c>
      <c r="AF125">
        <v>5.2999999999999999E-2</v>
      </c>
      <c r="AG125">
        <v>2.1999999999999999E-2</v>
      </c>
      <c r="AH125">
        <v>0</v>
      </c>
      <c r="AI125">
        <v>7.8E-2</v>
      </c>
    </row>
    <row r="126" spans="1:35" x14ac:dyDescent="0.25">
      <c r="A126" t="s">
        <v>2217</v>
      </c>
      <c r="B126" t="s">
        <v>31</v>
      </c>
      <c r="C126" s="25">
        <v>43706.459918981483</v>
      </c>
      <c r="D126" s="741" t="s">
        <v>969</v>
      </c>
      <c r="E126" s="741">
        <f t="array" ref="E126">SUMPRODUCT(IF(AMP4_4[[#This Row],[Dim 1_1]:[T 8]]-$F$4:$AI$4&lt;0,1,0)+IF($F$5:$AI$5-AMP4_4[[#This Row],[Dim 1_1]:[T 8]]&lt;0,1,0),IF(ISNUMBER(AMP4_4[[#This Row],[Dim 1_1]:[T 8]])=TRUE,1,0))</f>
        <v>0</v>
      </c>
      <c r="H126">
        <v>155.614</v>
      </c>
      <c r="I126">
        <v>155.74100000000001</v>
      </c>
      <c r="J126">
        <v>168.453</v>
      </c>
      <c r="K126">
        <v>168.27099999999999</v>
      </c>
      <c r="L126">
        <v>155.732</v>
      </c>
      <c r="M126">
        <v>155.678</v>
      </c>
      <c r="N126">
        <v>27.474</v>
      </c>
      <c r="O126">
        <v>27.562999999999999</v>
      </c>
      <c r="R126">
        <v>17.242000000000001</v>
      </c>
      <c r="S126">
        <v>17.276</v>
      </c>
      <c r="T126">
        <v>35.04</v>
      </c>
      <c r="U126">
        <v>38.427999999999997</v>
      </c>
      <c r="W126">
        <v>8.1000000000000003E-2</v>
      </c>
      <c r="X126">
        <v>-7.4999999999999997E-2</v>
      </c>
      <c r="Z126">
        <v>9.4E-2</v>
      </c>
      <c r="AA126">
        <v>-5.5E-2</v>
      </c>
      <c r="AB126">
        <v>8.1000000000000003E-2</v>
      </c>
      <c r="AC126">
        <v>7.0000000000000007E-2</v>
      </c>
      <c r="AD126">
        <v>2.1999999999999999E-2</v>
      </c>
      <c r="AE126">
        <v>-7.4999999999999997E-2</v>
      </c>
      <c r="AF126">
        <v>9.4E-2</v>
      </c>
      <c r="AG126">
        <v>3.1E-2</v>
      </c>
      <c r="AH126">
        <v>-5.5E-2</v>
      </c>
      <c r="AI126">
        <v>-4.3999999999999997E-2</v>
      </c>
    </row>
    <row r="127" spans="1:35" x14ac:dyDescent="0.25">
      <c r="A127" t="s">
        <v>2344</v>
      </c>
      <c r="B127" t="s">
        <v>32</v>
      </c>
      <c r="C127" s="25">
        <v>43706.574317129627</v>
      </c>
      <c r="D127" s="741" t="s">
        <v>2238</v>
      </c>
      <c r="E127" s="741">
        <f t="array" ref="E127">SUMPRODUCT(IF(AMP4_4[[#This Row],[Dim 1_1]:[T 8]]-$F$4:$AI$4&lt;0,1,0)+IF($F$5:$AI$5-AMP4_4[[#This Row],[Dim 1_1]:[T 8]]&lt;0,1,0),IF(ISNUMBER(AMP4_4[[#This Row],[Dim 1_1]:[T 8]])=TRUE,1,0))</f>
        <v>0</v>
      </c>
      <c r="F127">
        <v>41.485999999999997</v>
      </c>
      <c r="G127">
        <v>41.427</v>
      </c>
      <c r="H127">
        <v>155.79900000000001</v>
      </c>
      <c r="I127">
        <v>155.63300000000001</v>
      </c>
      <c r="L127">
        <v>155.91</v>
      </c>
      <c r="M127">
        <v>155.57599999999999</v>
      </c>
      <c r="N127">
        <v>27.274000000000001</v>
      </c>
      <c r="O127">
        <v>27.51</v>
      </c>
      <c r="R127">
        <v>17.238</v>
      </c>
      <c r="S127">
        <v>17.260000000000002</v>
      </c>
      <c r="T127">
        <v>33.844000000000001</v>
      </c>
      <c r="U127">
        <v>34.659999999999997</v>
      </c>
      <c r="W127">
        <v>0.13900000000000001</v>
      </c>
      <c r="X127">
        <v>-3.0000000000000001E-3</v>
      </c>
      <c r="Z127">
        <v>9.7000000000000003E-2</v>
      </c>
      <c r="AA127">
        <v>-8.0000000000000002E-3</v>
      </c>
      <c r="AB127">
        <v>2.9000000000000001E-2</v>
      </c>
      <c r="AC127">
        <v>2.5000000000000001E-2</v>
      </c>
      <c r="AD127">
        <v>0.13900000000000001</v>
      </c>
      <c r="AE127">
        <v>-3.0000000000000001E-3</v>
      </c>
      <c r="AF127">
        <v>5.5E-2</v>
      </c>
      <c r="AG127">
        <v>-8.0000000000000002E-3</v>
      </c>
      <c r="AH127">
        <v>0.06</v>
      </c>
      <c r="AI127">
        <v>9.7000000000000003E-2</v>
      </c>
    </row>
    <row r="128" spans="1:35" x14ac:dyDescent="0.25">
      <c r="A128" t="s">
        <v>2345</v>
      </c>
      <c r="B128" t="s">
        <v>31</v>
      </c>
      <c r="C128" s="25">
        <v>43706.578298611108</v>
      </c>
      <c r="D128" s="741" t="s">
        <v>2238</v>
      </c>
      <c r="E128" s="741">
        <f t="array" ref="E128">SUMPRODUCT(IF(AMP4_4[[#This Row],[Dim 1_1]:[T 8]]-$F$4:$AI$4&lt;0,1,0)+IF($F$5:$AI$5-AMP4_4[[#This Row],[Dim 1_1]:[T 8]]&lt;0,1,0),IF(ISNUMBER(AMP4_4[[#This Row],[Dim 1_1]:[T 8]])=TRUE,1,0))</f>
        <v>0</v>
      </c>
      <c r="H128">
        <v>155.495</v>
      </c>
      <c r="I128">
        <v>155.67400000000001</v>
      </c>
      <c r="J128">
        <v>168.52</v>
      </c>
      <c r="K128">
        <v>168.29</v>
      </c>
      <c r="L128">
        <v>155.673</v>
      </c>
      <c r="M128">
        <v>155.61500000000001</v>
      </c>
      <c r="N128">
        <v>27.504999999999999</v>
      </c>
      <c r="O128">
        <v>27.614000000000001</v>
      </c>
      <c r="R128">
        <v>17.251000000000001</v>
      </c>
      <c r="S128">
        <v>17.247</v>
      </c>
      <c r="T128">
        <v>37.743000000000002</v>
      </c>
      <c r="U128">
        <v>37.606000000000002</v>
      </c>
      <c r="W128">
        <v>7.6999999999999999E-2</v>
      </c>
      <c r="X128">
        <v>-0.114</v>
      </c>
      <c r="Z128">
        <v>0.16</v>
      </c>
      <c r="AA128">
        <v>-1.4999999999999999E-2</v>
      </c>
      <c r="AB128">
        <v>7.1999999999999995E-2</v>
      </c>
      <c r="AC128">
        <v>7.6999999999999999E-2</v>
      </c>
      <c r="AD128">
        <v>-5.6000000000000001E-2</v>
      </c>
      <c r="AE128">
        <v>-0.114</v>
      </c>
      <c r="AF128">
        <v>0.16</v>
      </c>
      <c r="AG128">
        <v>0.10299999999999999</v>
      </c>
      <c r="AH128">
        <v>-1.4999999999999999E-2</v>
      </c>
      <c r="AI128">
        <v>-5.0000000000000001E-3</v>
      </c>
    </row>
    <row r="129" spans="1:35" x14ac:dyDescent="0.25">
      <c r="A129" t="s">
        <v>2346</v>
      </c>
      <c r="B129" t="s">
        <v>32</v>
      </c>
      <c r="C129" s="25">
        <v>43706.718240740738</v>
      </c>
      <c r="D129" s="741" t="s">
        <v>2238</v>
      </c>
      <c r="E129" s="741">
        <f t="array" ref="E129">SUMPRODUCT(IF(AMP4_4[[#This Row],[Dim 1_1]:[T 8]]-$F$4:$AI$4&lt;0,1,0)+IF($F$5:$AI$5-AMP4_4[[#This Row],[Dim 1_1]:[T 8]]&lt;0,1,0),IF(ISNUMBER(AMP4_4[[#This Row],[Dim 1_1]:[T 8]])=TRUE,1,0))</f>
        <v>0</v>
      </c>
      <c r="F129">
        <v>41.432000000000002</v>
      </c>
      <c r="G129">
        <v>41.32</v>
      </c>
      <c r="H129">
        <v>155.78399999999999</v>
      </c>
      <c r="I129">
        <v>155.661</v>
      </c>
      <c r="L129">
        <v>155.91800000000001</v>
      </c>
      <c r="M129">
        <v>155.596</v>
      </c>
      <c r="N129">
        <v>27.259</v>
      </c>
      <c r="O129">
        <v>27.491</v>
      </c>
      <c r="R129">
        <v>17.245999999999999</v>
      </c>
      <c r="S129">
        <v>17.242999999999999</v>
      </c>
      <c r="T129">
        <v>33.725999999999999</v>
      </c>
      <c r="U129">
        <v>34.713000000000001</v>
      </c>
      <c r="W129">
        <v>0.155</v>
      </c>
      <c r="X129">
        <v>2E-3</v>
      </c>
      <c r="Z129">
        <v>0.114</v>
      </c>
      <c r="AA129">
        <v>-1.2E-2</v>
      </c>
      <c r="AB129">
        <v>2.1999999999999999E-2</v>
      </c>
      <c r="AC129">
        <v>0.02</v>
      </c>
      <c r="AD129">
        <v>0.155</v>
      </c>
      <c r="AE129">
        <v>2E-3</v>
      </c>
      <c r="AF129">
        <v>3.5999999999999997E-2</v>
      </c>
      <c r="AG129">
        <v>-1.2E-2</v>
      </c>
      <c r="AH129">
        <v>6.6000000000000003E-2</v>
      </c>
      <c r="AI129">
        <v>0.114</v>
      </c>
    </row>
    <row r="130" spans="1:35" x14ac:dyDescent="0.25">
      <c r="A130" t="s">
        <v>2347</v>
      </c>
      <c r="B130" t="s">
        <v>31</v>
      </c>
      <c r="C130" s="25">
        <v>43706.720266203702</v>
      </c>
      <c r="D130" s="741" t="s">
        <v>2238</v>
      </c>
      <c r="E130" s="741">
        <f t="array" ref="E130">SUMPRODUCT(IF(AMP4_4[[#This Row],[Dim 1_1]:[T 8]]-$F$4:$AI$4&lt;0,1,0)+IF($F$5:$AI$5-AMP4_4[[#This Row],[Dim 1_1]:[T 8]]&lt;0,1,0),IF(ISNUMBER(AMP4_4[[#This Row],[Dim 1_1]:[T 8]])=TRUE,1,0))</f>
        <v>0</v>
      </c>
      <c r="H130">
        <v>155.54400000000001</v>
      </c>
      <c r="I130">
        <v>155.71799999999999</v>
      </c>
      <c r="J130">
        <v>168.55600000000001</v>
      </c>
      <c r="K130">
        <v>168.27500000000001</v>
      </c>
      <c r="L130">
        <v>155.75</v>
      </c>
      <c r="M130">
        <v>155.672</v>
      </c>
      <c r="N130">
        <v>27.465</v>
      </c>
      <c r="O130">
        <v>27.582000000000001</v>
      </c>
      <c r="R130">
        <v>17.238</v>
      </c>
      <c r="S130">
        <v>17.256</v>
      </c>
      <c r="T130">
        <v>40.347000000000001</v>
      </c>
      <c r="U130">
        <v>38.83</v>
      </c>
      <c r="W130">
        <v>5.3999999999999999E-2</v>
      </c>
      <c r="X130">
        <v>-9.7000000000000003E-2</v>
      </c>
      <c r="Z130">
        <v>7.1999999999999995E-2</v>
      </c>
      <c r="AA130">
        <v>-9.1999999999999998E-2</v>
      </c>
      <c r="AB130">
        <v>5.3999999999999999E-2</v>
      </c>
      <c r="AC130">
        <v>5.2999999999999999E-2</v>
      </c>
      <c r="AD130">
        <v>-6.0999999999999999E-2</v>
      </c>
      <c r="AE130">
        <v>-9.7000000000000003E-2</v>
      </c>
      <c r="AF130">
        <v>7.1999999999999995E-2</v>
      </c>
      <c r="AG130">
        <v>2E-3</v>
      </c>
      <c r="AH130">
        <v>-4.5999999999999999E-2</v>
      </c>
      <c r="AI130">
        <v>-9.1999999999999998E-2</v>
      </c>
    </row>
    <row r="131" spans="1:35" x14ac:dyDescent="0.25">
      <c r="A131" t="s">
        <v>2348</v>
      </c>
      <c r="B131" t="s">
        <v>32</v>
      </c>
      <c r="C131" s="25">
        <v>43706.76421296296</v>
      </c>
      <c r="D131" s="741" t="s">
        <v>2238</v>
      </c>
      <c r="E131" s="741">
        <f t="array" ref="E131">SUMPRODUCT(IF(AMP4_4[[#This Row],[Dim 1_1]:[T 8]]-$F$4:$AI$4&lt;0,1,0)+IF($F$5:$AI$5-AMP4_4[[#This Row],[Dim 1_1]:[T 8]]&lt;0,1,0),IF(ISNUMBER(AMP4_4[[#This Row],[Dim 1_1]:[T 8]])=TRUE,1,0))</f>
        <v>0</v>
      </c>
      <c r="F131">
        <v>41.442999999999998</v>
      </c>
      <c r="G131">
        <v>41.381999999999998</v>
      </c>
      <c r="H131">
        <v>155.80600000000001</v>
      </c>
      <c r="I131">
        <v>155.696</v>
      </c>
      <c r="L131">
        <v>155.965</v>
      </c>
      <c r="M131">
        <v>155.654</v>
      </c>
      <c r="N131">
        <v>27.187999999999999</v>
      </c>
      <c r="O131">
        <v>27.396000000000001</v>
      </c>
      <c r="R131">
        <v>17.245000000000001</v>
      </c>
      <c r="S131">
        <v>17.106999999999999</v>
      </c>
      <c r="T131">
        <v>33.889000000000003</v>
      </c>
      <c r="U131">
        <v>34.459000000000003</v>
      </c>
      <c r="W131">
        <v>8.7999999999999995E-2</v>
      </c>
      <c r="X131">
        <v>-0.218</v>
      </c>
      <c r="Z131">
        <v>0.109</v>
      </c>
      <c r="AA131">
        <v>-0.16400000000000001</v>
      </c>
      <c r="AB131">
        <v>-0.218</v>
      </c>
      <c r="AC131">
        <v>-0.20100000000000001</v>
      </c>
      <c r="AD131">
        <v>8.7999999999999995E-2</v>
      </c>
      <c r="AE131">
        <v>-7.6999999999999999E-2</v>
      </c>
      <c r="AF131">
        <v>-0.14899999999999999</v>
      </c>
      <c r="AG131">
        <v>-0.16400000000000001</v>
      </c>
      <c r="AH131">
        <v>6.0999999999999999E-2</v>
      </c>
      <c r="AI131">
        <v>0.109</v>
      </c>
    </row>
    <row r="132" spans="1:35" x14ac:dyDescent="0.25">
      <c r="A132" t="s">
        <v>2349</v>
      </c>
      <c r="B132" t="s">
        <v>31</v>
      </c>
      <c r="C132" s="25">
        <v>43706.766516203701</v>
      </c>
      <c r="D132" s="741" t="s">
        <v>2238</v>
      </c>
      <c r="E132" s="741">
        <f t="array" ref="E132">SUMPRODUCT(IF(AMP4_4[[#This Row],[Dim 1_1]:[T 8]]-$F$4:$AI$4&lt;0,1,0)+IF($F$5:$AI$5-AMP4_4[[#This Row],[Dim 1_1]:[T 8]]&lt;0,1,0),IF(ISNUMBER(AMP4_4[[#This Row],[Dim 1_1]:[T 8]])=TRUE,1,0))</f>
        <v>0</v>
      </c>
      <c r="H132">
        <v>155.58799999999999</v>
      </c>
      <c r="I132">
        <v>155.761</v>
      </c>
      <c r="J132">
        <v>168.52099999999999</v>
      </c>
      <c r="K132">
        <v>168.417</v>
      </c>
      <c r="L132">
        <v>155.71</v>
      </c>
      <c r="M132">
        <v>155.66499999999999</v>
      </c>
      <c r="N132">
        <v>27.481000000000002</v>
      </c>
      <c r="O132">
        <v>27.56</v>
      </c>
      <c r="R132">
        <v>17.346</v>
      </c>
      <c r="S132">
        <v>17.152000000000001</v>
      </c>
      <c r="T132">
        <v>35.613999999999997</v>
      </c>
      <c r="U132">
        <v>36.401000000000003</v>
      </c>
      <c r="W132">
        <v>5.0999999999999997E-2</v>
      </c>
      <c r="X132">
        <v>-2.7E-2</v>
      </c>
      <c r="Z132">
        <v>-2.5000000000000001E-2</v>
      </c>
      <c r="AA132">
        <v>-0.13200000000000001</v>
      </c>
      <c r="AB132">
        <v>-2.5000000000000001E-2</v>
      </c>
      <c r="AC132">
        <v>-2.7E-2</v>
      </c>
      <c r="AD132">
        <v>5.0999999999999997E-2</v>
      </c>
      <c r="AE132">
        <v>-8.9999999999999993E-3</v>
      </c>
      <c r="AF132">
        <v>-0.13200000000000001</v>
      </c>
      <c r="AG132">
        <v>-9.7000000000000003E-2</v>
      </c>
      <c r="AH132">
        <v>-5.6000000000000001E-2</v>
      </c>
      <c r="AI132">
        <v>-2.5000000000000001E-2</v>
      </c>
    </row>
    <row r="133" spans="1:35" x14ac:dyDescent="0.25">
      <c r="A133" t="s">
        <v>2350</v>
      </c>
      <c r="B133" t="s">
        <v>32</v>
      </c>
      <c r="C133" s="25">
        <v>43706.843368055554</v>
      </c>
      <c r="D133" s="741" t="s">
        <v>2238</v>
      </c>
      <c r="E133" s="741">
        <f t="array" ref="E133">SUMPRODUCT(IF(AMP4_4[[#This Row],[Dim 1_1]:[T 8]]-$F$4:$AI$4&lt;0,1,0)+IF($F$5:$AI$5-AMP4_4[[#This Row],[Dim 1_1]:[T 8]]&lt;0,1,0),IF(ISNUMBER(AMP4_4[[#This Row],[Dim 1_1]:[T 8]])=TRUE,1,0))</f>
        <v>0</v>
      </c>
      <c r="F133">
        <v>41.396000000000001</v>
      </c>
      <c r="G133">
        <v>41.325000000000003</v>
      </c>
      <c r="H133">
        <v>155.78899999999999</v>
      </c>
      <c r="I133">
        <v>155.68199999999999</v>
      </c>
      <c r="L133">
        <v>155.92099999999999</v>
      </c>
      <c r="M133">
        <v>155.62700000000001</v>
      </c>
      <c r="N133">
        <v>27.242000000000001</v>
      </c>
      <c r="O133">
        <v>27.46</v>
      </c>
      <c r="R133">
        <v>17.242000000000001</v>
      </c>
      <c r="S133">
        <v>17.263000000000002</v>
      </c>
      <c r="T133">
        <v>33.744999999999997</v>
      </c>
      <c r="U133">
        <v>34.615000000000002</v>
      </c>
      <c r="W133">
        <v>9.4E-2</v>
      </c>
      <c r="X133">
        <v>-0.1</v>
      </c>
      <c r="Z133">
        <v>7.8E-2</v>
      </c>
      <c r="AA133">
        <v>3.3000000000000002E-2</v>
      </c>
      <c r="AB133">
        <v>-0.01</v>
      </c>
      <c r="AC133">
        <v>0</v>
      </c>
      <c r="AD133">
        <v>9.4E-2</v>
      </c>
      <c r="AE133">
        <v>-0.1</v>
      </c>
      <c r="AF133">
        <v>7.1999999999999995E-2</v>
      </c>
      <c r="AG133">
        <v>3.3000000000000002E-2</v>
      </c>
      <c r="AH133">
        <v>5.3999999999999999E-2</v>
      </c>
      <c r="AI133">
        <v>7.8E-2</v>
      </c>
    </row>
    <row r="134" spans="1:35" x14ac:dyDescent="0.25">
      <c r="A134" t="s">
        <v>2351</v>
      </c>
      <c r="B134" t="s">
        <v>31</v>
      </c>
      <c r="C134" s="25">
        <v>43706.847511574073</v>
      </c>
      <c r="D134" s="741" t="s">
        <v>2238</v>
      </c>
      <c r="E134" s="741">
        <f t="array" ref="E134">SUMPRODUCT(IF(AMP4_4[[#This Row],[Dim 1_1]:[T 8]]-$F$4:$AI$4&lt;0,1,0)+IF($F$5:$AI$5-AMP4_4[[#This Row],[Dim 1_1]:[T 8]]&lt;0,1,0),IF(ISNUMBER(AMP4_4[[#This Row],[Dim 1_1]:[T 8]])=TRUE,1,0))</f>
        <v>0</v>
      </c>
      <c r="H134">
        <v>155.52699999999999</v>
      </c>
      <c r="I134">
        <v>155.685</v>
      </c>
      <c r="J134">
        <v>168.47300000000001</v>
      </c>
      <c r="K134">
        <v>168.28700000000001</v>
      </c>
      <c r="L134">
        <v>155.71</v>
      </c>
      <c r="M134">
        <v>155.63800000000001</v>
      </c>
      <c r="N134">
        <v>27.492999999999999</v>
      </c>
      <c r="O134">
        <v>27.611000000000001</v>
      </c>
      <c r="R134">
        <v>17.274000000000001</v>
      </c>
      <c r="S134">
        <v>17.234999999999999</v>
      </c>
      <c r="T134">
        <v>38.844999999999999</v>
      </c>
      <c r="U134">
        <v>40.372</v>
      </c>
      <c r="W134">
        <v>0.1</v>
      </c>
      <c r="X134">
        <v>1.2E-2</v>
      </c>
      <c r="Z134">
        <v>0.14099999999999999</v>
      </c>
      <c r="AA134">
        <v>2.3E-2</v>
      </c>
      <c r="AB134">
        <v>0.1</v>
      </c>
      <c r="AC134">
        <v>0.1</v>
      </c>
      <c r="AD134">
        <v>4.7E-2</v>
      </c>
      <c r="AE134">
        <v>1.2E-2</v>
      </c>
      <c r="AF134">
        <v>0.14099999999999999</v>
      </c>
      <c r="AG134">
        <v>6.7000000000000004E-2</v>
      </c>
      <c r="AH134">
        <v>4.9000000000000002E-2</v>
      </c>
      <c r="AI134">
        <v>2.3E-2</v>
      </c>
    </row>
    <row r="135" spans="1:35" x14ac:dyDescent="0.25">
      <c r="A135" t="s">
        <v>2352</v>
      </c>
      <c r="B135" t="s">
        <v>32</v>
      </c>
      <c r="C135" s="25">
        <v>43706.957071759258</v>
      </c>
      <c r="D135" s="741" t="s">
        <v>2238</v>
      </c>
      <c r="E135" s="741">
        <f t="array" ref="E135">SUMPRODUCT(IF(AMP4_4[[#This Row],[Dim 1_1]:[T 8]]-$F$4:$AI$4&lt;0,1,0)+IF($F$5:$AI$5-AMP4_4[[#This Row],[Dim 1_1]:[T 8]]&lt;0,1,0),IF(ISNUMBER(AMP4_4[[#This Row],[Dim 1_1]:[T 8]])=TRUE,1,0))</f>
        <v>0</v>
      </c>
      <c r="F135">
        <v>41.594000000000001</v>
      </c>
      <c r="G135">
        <v>41.61</v>
      </c>
      <c r="H135">
        <v>155.77699999999999</v>
      </c>
      <c r="I135">
        <v>155.65700000000001</v>
      </c>
      <c r="L135">
        <v>155.971</v>
      </c>
      <c r="M135">
        <v>155.66800000000001</v>
      </c>
      <c r="N135">
        <v>27.222000000000001</v>
      </c>
      <c r="O135">
        <v>27.425999999999998</v>
      </c>
      <c r="R135">
        <v>17.202999999999999</v>
      </c>
      <c r="S135">
        <v>17.303000000000001</v>
      </c>
      <c r="T135">
        <v>33.866</v>
      </c>
      <c r="U135">
        <v>34.478000000000002</v>
      </c>
      <c r="W135">
        <v>0.307</v>
      </c>
      <c r="X135">
        <v>0.16400000000000001</v>
      </c>
      <c r="Z135">
        <v>7.1999999999999995E-2</v>
      </c>
      <c r="AA135">
        <v>8.0000000000000002E-3</v>
      </c>
      <c r="AB135">
        <v>0.25600000000000001</v>
      </c>
      <c r="AC135">
        <v>0.247</v>
      </c>
      <c r="AD135">
        <v>0.307</v>
      </c>
      <c r="AE135">
        <v>0.16400000000000001</v>
      </c>
      <c r="AF135">
        <v>7.1999999999999995E-2</v>
      </c>
      <c r="AG135">
        <v>2.4E-2</v>
      </c>
      <c r="AH135">
        <v>8.0000000000000002E-3</v>
      </c>
      <c r="AI135">
        <v>4.4999999999999998E-2</v>
      </c>
    </row>
    <row r="136" spans="1:35" x14ac:dyDescent="0.25">
      <c r="A136" t="s">
        <v>2353</v>
      </c>
      <c r="B136" t="s">
        <v>31</v>
      </c>
      <c r="C136" s="25">
        <v>43706.95957175926</v>
      </c>
      <c r="D136" s="741" t="s">
        <v>2238</v>
      </c>
      <c r="E136" s="741">
        <f t="array" ref="E136">SUMPRODUCT(IF(AMP4_4[[#This Row],[Dim 1_1]:[T 8]]-$F$4:$AI$4&lt;0,1,0)+IF($F$5:$AI$5-AMP4_4[[#This Row],[Dim 1_1]:[T 8]]&lt;0,1,0),IF(ISNUMBER(AMP4_4[[#This Row],[Dim 1_1]:[T 8]])=TRUE,1,0))</f>
        <v>0</v>
      </c>
      <c r="H136">
        <v>155.53100000000001</v>
      </c>
      <c r="I136">
        <v>155.72999999999999</v>
      </c>
      <c r="J136">
        <v>168.73</v>
      </c>
      <c r="K136">
        <v>168.56</v>
      </c>
      <c r="L136">
        <v>155.5</v>
      </c>
      <c r="M136">
        <v>155.50899999999999</v>
      </c>
      <c r="N136">
        <v>27.626999999999999</v>
      </c>
      <c r="O136">
        <v>27.745999999999999</v>
      </c>
      <c r="R136">
        <v>17.192</v>
      </c>
      <c r="S136">
        <v>17.157</v>
      </c>
      <c r="T136">
        <v>35.838000000000001</v>
      </c>
      <c r="U136">
        <v>36.405999999999999</v>
      </c>
      <c r="W136">
        <v>1.9E-2</v>
      </c>
      <c r="X136">
        <v>-0.16500000000000001</v>
      </c>
      <c r="Z136">
        <v>-8.8999999999999996E-2</v>
      </c>
      <c r="AA136">
        <v>-0.33900000000000002</v>
      </c>
      <c r="AB136">
        <v>1.9E-2</v>
      </c>
      <c r="AC136">
        <v>8.0000000000000002E-3</v>
      </c>
      <c r="AD136">
        <v>-0.151</v>
      </c>
      <c r="AE136">
        <v>-0.16500000000000001</v>
      </c>
      <c r="AF136">
        <v>-8.8999999999999996E-2</v>
      </c>
      <c r="AG136">
        <v>-0.18</v>
      </c>
      <c r="AH136">
        <v>-0.33600000000000002</v>
      </c>
      <c r="AI136">
        <v>-0.33900000000000002</v>
      </c>
    </row>
    <row r="137" spans="1:35" x14ac:dyDescent="0.25">
      <c r="A137" t="s">
        <v>2354</v>
      </c>
      <c r="B137" t="s">
        <v>32</v>
      </c>
      <c r="C137" s="25">
        <v>43707.012256944443</v>
      </c>
      <c r="D137" s="741" t="s">
        <v>2238</v>
      </c>
      <c r="E137" s="741">
        <f t="array" ref="E137">SUMPRODUCT(IF(AMP4_4[[#This Row],[Dim 1_1]:[T 8]]-$F$4:$AI$4&lt;0,1,0)+IF($F$5:$AI$5-AMP4_4[[#This Row],[Dim 1_1]:[T 8]]&lt;0,1,0),IF(ISNUMBER(AMP4_4[[#This Row],[Dim 1_1]:[T 8]])=TRUE,1,0))</f>
        <v>0</v>
      </c>
      <c r="F137">
        <v>41.387999999999998</v>
      </c>
      <c r="G137">
        <v>41.290999999999997</v>
      </c>
      <c r="H137">
        <v>155.821</v>
      </c>
      <c r="I137">
        <v>155.708</v>
      </c>
      <c r="L137">
        <v>155.96700000000001</v>
      </c>
      <c r="M137">
        <v>155.66399999999999</v>
      </c>
      <c r="N137">
        <v>27.193000000000001</v>
      </c>
      <c r="O137">
        <v>27.411000000000001</v>
      </c>
      <c r="R137">
        <v>17.227</v>
      </c>
      <c r="S137">
        <v>17.251999999999999</v>
      </c>
      <c r="T137">
        <v>33.421999999999997</v>
      </c>
      <c r="U137">
        <v>34.83</v>
      </c>
      <c r="W137">
        <v>6.9000000000000006E-2</v>
      </c>
      <c r="X137">
        <v>-6.8000000000000005E-2</v>
      </c>
      <c r="Z137">
        <v>5.8999999999999997E-2</v>
      </c>
      <c r="AA137">
        <v>-4.2000000000000003E-2</v>
      </c>
      <c r="AB137">
        <v>-6.8000000000000005E-2</v>
      </c>
      <c r="AC137">
        <v>-0.04</v>
      </c>
      <c r="AD137">
        <v>6.9000000000000006E-2</v>
      </c>
      <c r="AE137">
        <v>-5.2999999999999999E-2</v>
      </c>
      <c r="AF137">
        <v>2E-3</v>
      </c>
      <c r="AG137">
        <v>-4.2000000000000003E-2</v>
      </c>
      <c r="AH137">
        <v>-1.2E-2</v>
      </c>
      <c r="AI137">
        <v>5.8999999999999997E-2</v>
      </c>
    </row>
    <row r="138" spans="1:35" x14ac:dyDescent="0.25">
      <c r="A138" t="s">
        <v>2355</v>
      </c>
      <c r="B138" t="s">
        <v>31</v>
      </c>
      <c r="C138" s="25">
        <v>43707.01489583333</v>
      </c>
      <c r="D138" s="741" t="s">
        <v>2238</v>
      </c>
      <c r="E138" s="741">
        <f t="array" ref="E138">SUMPRODUCT(IF(AMP4_4[[#This Row],[Dim 1_1]:[T 8]]-$F$4:$AI$4&lt;0,1,0)+IF($F$5:$AI$5-AMP4_4[[#This Row],[Dim 1_1]:[T 8]]&lt;0,1,0),IF(ISNUMBER(AMP4_4[[#This Row],[Dim 1_1]:[T 8]])=TRUE,1,0))</f>
        <v>0</v>
      </c>
      <c r="H138">
        <v>155.619</v>
      </c>
      <c r="I138">
        <v>155.75800000000001</v>
      </c>
      <c r="J138">
        <v>168.51300000000001</v>
      </c>
      <c r="K138">
        <v>168.36099999999999</v>
      </c>
      <c r="L138">
        <v>155.77799999999999</v>
      </c>
      <c r="M138">
        <v>155.70699999999999</v>
      </c>
      <c r="N138">
        <v>27.431999999999999</v>
      </c>
      <c r="O138">
        <v>27.558</v>
      </c>
      <c r="R138">
        <v>17.253</v>
      </c>
      <c r="S138">
        <v>17.189</v>
      </c>
      <c r="T138">
        <v>39.030999999999999</v>
      </c>
      <c r="U138">
        <v>39.243000000000002</v>
      </c>
      <c r="W138">
        <v>-1.4E-2</v>
      </c>
      <c r="X138">
        <v>-3.7999999999999999E-2</v>
      </c>
      <c r="Z138">
        <v>-1.4999999999999999E-2</v>
      </c>
      <c r="AA138">
        <v>-6.9000000000000006E-2</v>
      </c>
      <c r="AB138">
        <v>-3.7999999999999999E-2</v>
      </c>
      <c r="AC138">
        <v>-2.5000000000000001E-2</v>
      </c>
      <c r="AD138">
        <v>-1.4E-2</v>
      </c>
      <c r="AE138">
        <v>-2.4E-2</v>
      </c>
      <c r="AF138">
        <v>-1.4999999999999999E-2</v>
      </c>
      <c r="AG138">
        <v>-6.9000000000000006E-2</v>
      </c>
      <c r="AH138">
        <v>-2.1999999999999999E-2</v>
      </c>
      <c r="AI138">
        <v>-5.5E-2</v>
      </c>
    </row>
    <row r="139" spans="1:35" x14ac:dyDescent="0.25">
      <c r="A139" t="s">
        <v>2356</v>
      </c>
      <c r="B139" t="s">
        <v>32</v>
      </c>
      <c r="C139" s="25">
        <v>43707.322789351849</v>
      </c>
      <c r="D139" s="741" t="s">
        <v>2238</v>
      </c>
      <c r="E139" s="741">
        <f t="array" ref="E139">SUMPRODUCT(IF(AMP4_4[[#This Row],[Dim 1_1]:[T 8]]-$F$4:$AI$4&lt;0,1,0)+IF($F$5:$AI$5-AMP4_4[[#This Row],[Dim 1_1]:[T 8]]&lt;0,1,0),IF(ISNUMBER(AMP4_4[[#This Row],[Dim 1_1]:[T 8]])=TRUE,1,0))</f>
        <v>0</v>
      </c>
      <c r="F139">
        <v>41.279000000000003</v>
      </c>
      <c r="G139">
        <v>41.216000000000001</v>
      </c>
      <c r="H139">
        <v>155.84700000000001</v>
      </c>
      <c r="I139">
        <v>155.696</v>
      </c>
      <c r="L139">
        <v>155.99600000000001</v>
      </c>
      <c r="M139">
        <v>155.708</v>
      </c>
      <c r="N139">
        <v>27.123000000000001</v>
      </c>
      <c r="O139">
        <v>27.315000000000001</v>
      </c>
      <c r="R139">
        <v>17.204000000000001</v>
      </c>
      <c r="S139">
        <v>17.227</v>
      </c>
      <c r="T139">
        <v>33.813000000000002</v>
      </c>
      <c r="U139">
        <v>34.957000000000001</v>
      </c>
      <c r="W139">
        <v>0.13600000000000001</v>
      </c>
      <c r="X139">
        <v>-8.0000000000000002E-3</v>
      </c>
      <c r="Z139">
        <v>0.24099999999999999</v>
      </c>
      <c r="AA139">
        <v>3.7999999999999999E-2</v>
      </c>
      <c r="AB139">
        <v>0.03</v>
      </c>
      <c r="AC139">
        <v>4.3999999999999997E-2</v>
      </c>
      <c r="AD139">
        <v>0.13600000000000001</v>
      </c>
      <c r="AE139">
        <v>-8.0000000000000002E-3</v>
      </c>
      <c r="AF139">
        <v>0.111</v>
      </c>
      <c r="AG139">
        <v>3.7999999999999999E-2</v>
      </c>
      <c r="AH139">
        <v>0.24099999999999999</v>
      </c>
      <c r="AI139">
        <v>0.14299999999999999</v>
      </c>
    </row>
    <row r="140" spans="1:35" x14ac:dyDescent="0.25">
      <c r="A140" t="s">
        <v>2357</v>
      </c>
      <c r="B140" t="s">
        <v>31</v>
      </c>
      <c r="C140" s="25">
        <v>43707.324953703705</v>
      </c>
      <c r="D140" s="741" t="s">
        <v>2238</v>
      </c>
      <c r="E140" s="741">
        <f t="array" ref="E140">SUMPRODUCT(IF(AMP4_4[[#This Row],[Dim 1_1]:[T 8]]-$F$4:$AI$4&lt;0,1,0)+IF($F$5:$AI$5-AMP4_4[[#This Row],[Dim 1_1]:[T 8]]&lt;0,1,0),IF(ISNUMBER(AMP4_4[[#This Row],[Dim 1_1]:[T 8]])=TRUE,1,0))</f>
        <v>0</v>
      </c>
      <c r="H140">
        <v>155.648</v>
      </c>
      <c r="I140">
        <v>155.78100000000001</v>
      </c>
      <c r="J140">
        <v>168.46700000000001</v>
      </c>
      <c r="K140">
        <v>168.327</v>
      </c>
      <c r="L140">
        <v>155.76400000000001</v>
      </c>
      <c r="M140">
        <v>155.66</v>
      </c>
      <c r="N140">
        <v>27.474</v>
      </c>
      <c r="O140">
        <v>27.597999999999999</v>
      </c>
      <c r="R140">
        <v>17.242999999999999</v>
      </c>
      <c r="S140">
        <v>17.378</v>
      </c>
      <c r="T140">
        <v>39.369999999999997</v>
      </c>
      <c r="U140">
        <v>39.521000000000001</v>
      </c>
      <c r="W140">
        <v>8.1000000000000003E-2</v>
      </c>
      <c r="X140">
        <v>-0.129</v>
      </c>
      <c r="Z140">
        <v>9.7000000000000003E-2</v>
      </c>
      <c r="AA140">
        <v>-0.154</v>
      </c>
      <c r="AB140">
        <v>4.2000000000000003E-2</v>
      </c>
      <c r="AC140">
        <v>8.1000000000000003E-2</v>
      </c>
      <c r="AD140">
        <v>-0.106</v>
      </c>
      <c r="AE140">
        <v>-0.129</v>
      </c>
      <c r="AF140">
        <v>9.7000000000000003E-2</v>
      </c>
      <c r="AG140">
        <v>2.3E-2</v>
      </c>
      <c r="AH140">
        <v>-0.13</v>
      </c>
      <c r="AI140">
        <v>-0.154</v>
      </c>
    </row>
    <row r="141" spans="1:35" x14ac:dyDescent="0.25">
      <c r="A141" t="s">
        <v>2358</v>
      </c>
      <c r="B141" t="s">
        <v>32</v>
      </c>
      <c r="C141" s="25">
        <v>43707.395960648151</v>
      </c>
      <c r="D141" s="741" t="s">
        <v>2238</v>
      </c>
      <c r="E141" s="741">
        <f t="array" ref="E141">SUMPRODUCT(IF(AMP4_4[[#This Row],[Dim 1_1]:[T 8]]-$F$4:$AI$4&lt;0,1,0)+IF($F$5:$AI$5-AMP4_4[[#This Row],[Dim 1_1]:[T 8]]&lt;0,1,0),IF(ISNUMBER(AMP4_4[[#This Row],[Dim 1_1]:[T 8]])=TRUE,1,0))</f>
        <v>0</v>
      </c>
      <c r="F141">
        <v>41.295999999999999</v>
      </c>
      <c r="G141">
        <v>41.234999999999999</v>
      </c>
      <c r="H141">
        <v>155.85</v>
      </c>
      <c r="I141">
        <v>155.75399999999999</v>
      </c>
      <c r="L141">
        <v>156.01499999999999</v>
      </c>
      <c r="M141">
        <v>155.714</v>
      </c>
      <c r="N141">
        <v>27.152000000000001</v>
      </c>
      <c r="O141">
        <v>27.367999999999999</v>
      </c>
      <c r="R141">
        <v>17.234000000000002</v>
      </c>
      <c r="S141">
        <v>17.242999999999999</v>
      </c>
      <c r="T141">
        <v>33.966999999999999</v>
      </c>
      <c r="U141">
        <v>34.573</v>
      </c>
      <c r="W141">
        <v>-4.7E-2</v>
      </c>
      <c r="X141">
        <v>-0.19500000000000001</v>
      </c>
      <c r="Z141">
        <v>6.0000000000000001E-3</v>
      </c>
      <c r="AA141">
        <v>-7.5999999999999998E-2</v>
      </c>
      <c r="AB141">
        <v>-0.14899999999999999</v>
      </c>
      <c r="AC141">
        <v>-0.129</v>
      </c>
      <c r="AD141">
        <v>-4.7E-2</v>
      </c>
      <c r="AE141">
        <v>-0.19500000000000001</v>
      </c>
      <c r="AF141">
        <v>-2.8000000000000001E-2</v>
      </c>
      <c r="AG141">
        <v>-7.5999999999999998E-2</v>
      </c>
      <c r="AH141">
        <v>-2.3E-2</v>
      </c>
      <c r="AI141">
        <v>6.0000000000000001E-3</v>
      </c>
    </row>
    <row r="142" spans="1:35" x14ac:dyDescent="0.25">
      <c r="A142" t="s">
        <v>2359</v>
      </c>
      <c r="B142" t="s">
        <v>31</v>
      </c>
      <c r="C142" s="25">
        <v>43707.398194444446</v>
      </c>
      <c r="D142" s="741" t="s">
        <v>2238</v>
      </c>
      <c r="E142" s="741">
        <f t="array" ref="E142">SUMPRODUCT(IF(AMP4_4[[#This Row],[Dim 1_1]:[T 8]]-$F$4:$AI$4&lt;0,1,0)+IF($F$5:$AI$5-AMP4_4[[#This Row],[Dim 1_1]:[T 8]]&lt;0,1,0),IF(ISNUMBER(AMP4_4[[#This Row],[Dim 1_1]:[T 8]])=TRUE,1,0))</f>
        <v>0</v>
      </c>
      <c r="H142">
        <v>155.65</v>
      </c>
      <c r="I142">
        <v>155.80500000000001</v>
      </c>
      <c r="J142">
        <v>168.45</v>
      </c>
      <c r="K142">
        <v>168.38900000000001</v>
      </c>
      <c r="L142">
        <v>155.85599999999999</v>
      </c>
      <c r="M142">
        <v>155.82300000000001</v>
      </c>
      <c r="N142">
        <v>27.375</v>
      </c>
      <c r="O142">
        <v>27.471</v>
      </c>
      <c r="R142">
        <v>17.263000000000002</v>
      </c>
      <c r="S142">
        <v>17.2</v>
      </c>
      <c r="T142">
        <v>35.119999999999997</v>
      </c>
      <c r="U142">
        <v>35.326999999999998</v>
      </c>
      <c r="W142">
        <v>0</v>
      </c>
      <c r="X142">
        <v>-6.8000000000000005E-2</v>
      </c>
      <c r="Z142">
        <v>0.03</v>
      </c>
      <c r="AA142">
        <v>-3.2000000000000001E-2</v>
      </c>
      <c r="AB142">
        <v>-6.8000000000000005E-2</v>
      </c>
      <c r="AC142">
        <v>-4.1000000000000002E-2</v>
      </c>
      <c r="AD142">
        <v>0</v>
      </c>
      <c r="AE142">
        <v>-2.3E-2</v>
      </c>
      <c r="AF142">
        <v>2.3E-2</v>
      </c>
      <c r="AG142">
        <v>-3.2000000000000001E-2</v>
      </c>
      <c r="AH142">
        <v>0.03</v>
      </c>
      <c r="AI142">
        <v>4.0000000000000001E-3</v>
      </c>
    </row>
    <row r="143" spans="1:35" x14ac:dyDescent="0.25">
      <c r="A143" t="s">
        <v>2506</v>
      </c>
      <c r="B143" t="s">
        <v>32</v>
      </c>
      <c r="C143" s="25">
        <v>43707.589363425926</v>
      </c>
      <c r="D143" s="741" t="s">
        <v>2238</v>
      </c>
      <c r="E143" s="741">
        <f t="array" ref="E143">SUMPRODUCT(IF(AMP4_4[[#This Row],[Dim 1_1]:[T 8]]-$F$4:$AI$4&lt;0,1,0)+IF($F$5:$AI$5-AMP4_4[[#This Row],[Dim 1_1]:[T 8]]&lt;0,1,0),IF(ISNUMBER(AMP4_4[[#This Row],[Dim 1_1]:[T 8]])=TRUE,1,0))</f>
        <v>0</v>
      </c>
      <c r="F143">
        <v>41.412999999999997</v>
      </c>
      <c r="G143">
        <v>41.314999999999998</v>
      </c>
      <c r="H143">
        <v>155.821</v>
      </c>
      <c r="I143">
        <v>155.82400000000001</v>
      </c>
      <c r="L143">
        <v>155.922</v>
      </c>
      <c r="M143">
        <v>155.59899999999999</v>
      </c>
      <c r="N143">
        <v>27.202999999999999</v>
      </c>
      <c r="O143">
        <v>27.414000000000001</v>
      </c>
      <c r="R143">
        <v>17.233000000000001</v>
      </c>
      <c r="S143">
        <v>17.178999999999998</v>
      </c>
      <c r="T143">
        <v>33.064999999999998</v>
      </c>
      <c r="U143">
        <v>34.435000000000002</v>
      </c>
      <c r="W143">
        <v>0.04</v>
      </c>
      <c r="X143">
        <v>-0.03</v>
      </c>
      <c r="Z143">
        <v>0.107</v>
      </c>
      <c r="AA143">
        <v>1.9E-2</v>
      </c>
      <c r="AB143">
        <v>-1.7000000000000001E-2</v>
      </c>
      <c r="AC143">
        <v>3.5000000000000003E-2</v>
      </c>
      <c r="AD143">
        <v>0.04</v>
      </c>
      <c r="AE143">
        <v>-0.03</v>
      </c>
      <c r="AF143">
        <v>8.7999999999999995E-2</v>
      </c>
      <c r="AG143">
        <v>1.9E-2</v>
      </c>
      <c r="AH143">
        <v>6.7000000000000004E-2</v>
      </c>
      <c r="AI143">
        <v>0.107</v>
      </c>
    </row>
    <row r="144" spans="1:35" x14ac:dyDescent="0.25">
      <c r="A144" t="s">
        <v>2507</v>
      </c>
      <c r="B144" t="s">
        <v>31</v>
      </c>
      <c r="C144" s="25">
        <v>43707.595092592594</v>
      </c>
      <c r="D144" s="741" t="s">
        <v>2238</v>
      </c>
      <c r="E144" s="741">
        <f t="array" ref="E144">SUMPRODUCT(IF(AMP4_4[[#This Row],[Dim 1_1]:[T 8]]-$F$4:$AI$4&lt;0,1,0)+IF($F$5:$AI$5-AMP4_4[[#This Row],[Dim 1_1]:[T 8]]&lt;0,1,0),IF(ISNUMBER(AMP4_4[[#This Row],[Dim 1_1]:[T 8]])=TRUE,1,0))</f>
        <v>0</v>
      </c>
      <c r="H144">
        <v>155.72</v>
      </c>
      <c r="I144">
        <v>155.59700000000001</v>
      </c>
      <c r="J144">
        <v>168.761</v>
      </c>
      <c r="K144">
        <v>168.66</v>
      </c>
      <c r="L144">
        <v>155.80000000000001</v>
      </c>
      <c r="M144">
        <v>155.62899999999999</v>
      </c>
      <c r="N144">
        <v>27.387</v>
      </c>
      <c r="O144">
        <v>27.614000000000001</v>
      </c>
      <c r="R144">
        <v>17.254999999999999</v>
      </c>
      <c r="S144">
        <v>17.3</v>
      </c>
      <c r="T144">
        <v>40.587000000000003</v>
      </c>
      <c r="U144">
        <v>40.350999999999999</v>
      </c>
      <c r="W144">
        <v>0.17100000000000001</v>
      </c>
      <c r="X144">
        <v>0.01</v>
      </c>
      <c r="Z144">
        <v>7.1999999999999995E-2</v>
      </c>
      <c r="AA144">
        <v>2.1000000000000001E-2</v>
      </c>
      <c r="AB144">
        <v>0.158</v>
      </c>
      <c r="AC144">
        <v>0.13800000000000001</v>
      </c>
      <c r="AD144">
        <v>0.17100000000000001</v>
      </c>
      <c r="AE144">
        <v>0.01</v>
      </c>
      <c r="AF144">
        <v>7.1999999999999995E-2</v>
      </c>
      <c r="AG144">
        <v>2.1000000000000001E-2</v>
      </c>
      <c r="AH144">
        <v>3.2000000000000001E-2</v>
      </c>
      <c r="AI144">
        <v>3.9E-2</v>
      </c>
    </row>
    <row r="145" spans="1:35" x14ac:dyDescent="0.25">
      <c r="A145" t="s">
        <v>2508</v>
      </c>
      <c r="B145" t="s">
        <v>32</v>
      </c>
      <c r="C145" s="25">
        <v>43707.650208333333</v>
      </c>
      <c r="D145" s="741" t="s">
        <v>2238</v>
      </c>
      <c r="E145" s="741">
        <f t="array" ref="E145">SUMPRODUCT(IF(AMP4_4[[#This Row],[Dim 1_1]:[T 8]]-$F$4:$AI$4&lt;0,1,0)+IF($F$5:$AI$5-AMP4_4[[#This Row],[Dim 1_1]:[T 8]]&lt;0,1,0),IF(ISNUMBER(AMP4_4[[#This Row],[Dim 1_1]:[T 8]])=TRUE,1,0))</f>
        <v>0</v>
      </c>
      <c r="F145">
        <v>41.374000000000002</v>
      </c>
      <c r="G145">
        <v>41.41</v>
      </c>
      <c r="H145">
        <v>155.79400000000001</v>
      </c>
      <c r="I145">
        <v>155.66800000000001</v>
      </c>
      <c r="L145">
        <v>155.94</v>
      </c>
      <c r="M145">
        <v>155.636</v>
      </c>
      <c r="N145">
        <v>27.241</v>
      </c>
      <c r="O145">
        <v>27.449000000000002</v>
      </c>
      <c r="R145">
        <v>17.236000000000001</v>
      </c>
      <c r="S145">
        <v>17.274999999999999</v>
      </c>
      <c r="T145">
        <v>33.640999999999998</v>
      </c>
      <c r="U145">
        <v>34.622999999999998</v>
      </c>
      <c r="W145">
        <v>1.4E-2</v>
      </c>
      <c r="X145">
        <v>-0.105</v>
      </c>
      <c r="Z145">
        <v>-4.7E-2</v>
      </c>
      <c r="AA145">
        <v>-0.115</v>
      </c>
      <c r="AB145">
        <v>-0.05</v>
      </c>
      <c r="AC145">
        <v>-0.04</v>
      </c>
      <c r="AD145">
        <v>1.4E-2</v>
      </c>
      <c r="AE145">
        <v>-0.105</v>
      </c>
      <c r="AF145">
        <v>-4.7E-2</v>
      </c>
      <c r="AG145">
        <v>-0.115</v>
      </c>
      <c r="AH145">
        <v>-8.7999999999999995E-2</v>
      </c>
      <c r="AI145">
        <v>-6.0999999999999999E-2</v>
      </c>
    </row>
    <row r="146" spans="1:35" x14ac:dyDescent="0.25">
      <c r="A146" t="s">
        <v>2509</v>
      </c>
      <c r="B146" t="s">
        <v>31</v>
      </c>
      <c r="C146" s="25">
        <v>43707.652685185189</v>
      </c>
      <c r="D146" s="741" t="s">
        <v>2238</v>
      </c>
      <c r="E146" s="741">
        <f t="array" ref="E146">SUMPRODUCT(IF(AMP4_4[[#This Row],[Dim 1_1]:[T 8]]-$F$4:$AI$4&lt;0,1,0)+IF($F$5:$AI$5-AMP4_4[[#This Row],[Dim 1_1]:[T 8]]&lt;0,1,0),IF(ISNUMBER(AMP4_4[[#This Row],[Dim 1_1]:[T 8]])=TRUE,1,0))</f>
        <v>0</v>
      </c>
      <c r="H146">
        <v>155.54900000000001</v>
      </c>
      <c r="I146">
        <v>155.69800000000001</v>
      </c>
      <c r="J146">
        <v>168.43299999999999</v>
      </c>
      <c r="K146">
        <v>168.33199999999999</v>
      </c>
      <c r="L146">
        <v>155.76499999999999</v>
      </c>
      <c r="M146">
        <v>155.71799999999999</v>
      </c>
      <c r="N146">
        <v>27.433</v>
      </c>
      <c r="O146">
        <v>27.559000000000001</v>
      </c>
      <c r="R146">
        <v>17.274999999999999</v>
      </c>
      <c r="S146">
        <v>17.187000000000001</v>
      </c>
      <c r="T146">
        <v>34.433999999999997</v>
      </c>
      <c r="U146">
        <v>36.011000000000003</v>
      </c>
      <c r="W146">
        <v>3.3000000000000002E-2</v>
      </c>
      <c r="X146">
        <v>-1.9E-2</v>
      </c>
      <c r="Z146">
        <v>3.5999999999999997E-2</v>
      </c>
      <c r="AA146">
        <v>-3.5000000000000003E-2</v>
      </c>
      <c r="AB146">
        <v>-1.9E-2</v>
      </c>
      <c r="AC146">
        <v>3.0000000000000001E-3</v>
      </c>
      <c r="AD146">
        <v>3.3000000000000002E-2</v>
      </c>
      <c r="AE146">
        <v>1.0999999999999999E-2</v>
      </c>
      <c r="AF146">
        <v>3.5999999999999997E-2</v>
      </c>
      <c r="AG146">
        <v>-3.5000000000000003E-2</v>
      </c>
      <c r="AH146">
        <v>-5.0000000000000001E-3</v>
      </c>
      <c r="AI146">
        <v>-3.5000000000000003E-2</v>
      </c>
    </row>
    <row r="147" spans="1:35" x14ac:dyDescent="0.25">
      <c r="A147" t="s">
        <v>2510</v>
      </c>
      <c r="B147" t="s">
        <v>32</v>
      </c>
      <c r="C147" s="25">
        <v>43707.671840277777</v>
      </c>
      <c r="D147" s="741" t="s">
        <v>2238</v>
      </c>
      <c r="E147" s="741">
        <f t="array" ref="E147">SUMPRODUCT(IF(AMP4_4[[#This Row],[Dim 1_1]:[T 8]]-$F$4:$AI$4&lt;0,1,0)+IF($F$5:$AI$5-AMP4_4[[#This Row],[Dim 1_1]:[T 8]]&lt;0,1,0),IF(ISNUMBER(AMP4_4[[#This Row],[Dim 1_1]:[T 8]])=TRUE,1,0))</f>
        <v>0</v>
      </c>
      <c r="F147">
        <v>41.444000000000003</v>
      </c>
      <c r="G147">
        <v>41.363999999999997</v>
      </c>
      <c r="H147">
        <v>155.80699999999999</v>
      </c>
      <c r="I147">
        <v>155.738</v>
      </c>
      <c r="L147">
        <v>155.94399999999999</v>
      </c>
      <c r="M147">
        <v>155.68600000000001</v>
      </c>
      <c r="N147">
        <v>27.268000000000001</v>
      </c>
      <c r="O147">
        <v>27.398</v>
      </c>
      <c r="R147">
        <v>17.236999999999998</v>
      </c>
      <c r="S147">
        <v>17.201000000000001</v>
      </c>
      <c r="T147">
        <v>33.731000000000002</v>
      </c>
      <c r="U147">
        <v>34.473999999999997</v>
      </c>
      <c r="W147">
        <v>0.154</v>
      </c>
      <c r="X147">
        <v>8.9999999999999993E-3</v>
      </c>
      <c r="Z147">
        <v>5.8000000000000003E-2</v>
      </c>
      <c r="AA147">
        <v>-6.7000000000000004E-2</v>
      </c>
      <c r="AB147">
        <v>0.01</v>
      </c>
      <c r="AC147">
        <v>2.1000000000000001E-2</v>
      </c>
      <c r="AD147">
        <v>0.154</v>
      </c>
      <c r="AE147">
        <v>8.9999999999999993E-3</v>
      </c>
      <c r="AF147">
        <v>-2.5999999999999999E-2</v>
      </c>
      <c r="AG147">
        <v>-6.7000000000000004E-2</v>
      </c>
      <c r="AH147">
        <v>-1.2E-2</v>
      </c>
      <c r="AI147">
        <v>5.8000000000000003E-2</v>
      </c>
    </row>
    <row r="148" spans="1:35" x14ac:dyDescent="0.25">
      <c r="A148" t="s">
        <v>2511</v>
      </c>
      <c r="B148" t="s">
        <v>31</v>
      </c>
      <c r="C148" s="25">
        <v>43707.674201388887</v>
      </c>
      <c r="D148" s="741" t="s">
        <v>2238</v>
      </c>
      <c r="E148" s="741">
        <f t="array" ref="E148">SUMPRODUCT(IF(AMP4_4[[#This Row],[Dim 1_1]:[T 8]]-$F$4:$AI$4&lt;0,1,0)+IF($F$5:$AI$5-AMP4_4[[#This Row],[Dim 1_1]:[T 8]]&lt;0,1,0),IF(ISNUMBER(AMP4_4[[#This Row],[Dim 1_1]:[T 8]])=TRUE,1,0))</f>
        <v>0</v>
      </c>
      <c r="H148">
        <v>155.52600000000001</v>
      </c>
      <c r="I148">
        <v>155.67400000000001</v>
      </c>
      <c r="J148">
        <v>168.56200000000001</v>
      </c>
      <c r="K148">
        <v>168.471</v>
      </c>
      <c r="L148">
        <v>155.744</v>
      </c>
      <c r="M148">
        <v>155.63900000000001</v>
      </c>
      <c r="N148">
        <v>27.439</v>
      </c>
      <c r="O148">
        <v>27.603000000000002</v>
      </c>
      <c r="R148">
        <v>17.245000000000001</v>
      </c>
      <c r="S148">
        <v>17.428000000000001</v>
      </c>
      <c r="T148">
        <v>39.284999999999997</v>
      </c>
      <c r="U148">
        <v>39.420999999999999</v>
      </c>
      <c r="W148">
        <v>1.7999999999999999E-2</v>
      </c>
      <c r="X148">
        <v>-0.16800000000000001</v>
      </c>
      <c r="Z148">
        <v>8.1000000000000003E-2</v>
      </c>
      <c r="AA148">
        <v>-0.23899999999999999</v>
      </c>
      <c r="AB148">
        <v>7.0000000000000001E-3</v>
      </c>
      <c r="AC148">
        <v>1.7999999999999999E-2</v>
      </c>
      <c r="AD148">
        <v>-0.16800000000000001</v>
      </c>
      <c r="AE148">
        <v>-0.16800000000000001</v>
      </c>
      <c r="AF148">
        <v>8.1000000000000003E-2</v>
      </c>
      <c r="AG148">
        <v>3.0000000000000001E-3</v>
      </c>
      <c r="AH148">
        <v>-0.23899999999999999</v>
      </c>
      <c r="AI148">
        <v>-0.22600000000000001</v>
      </c>
    </row>
    <row r="149" spans="1:35" x14ac:dyDescent="0.25">
      <c r="A149" t="s">
        <v>2512</v>
      </c>
      <c r="B149" t="s">
        <v>32</v>
      </c>
      <c r="C149" s="25">
        <v>43708.335451388892</v>
      </c>
      <c r="D149" s="741" t="s">
        <v>2238</v>
      </c>
      <c r="E149" s="741">
        <f t="array" ref="E149">SUMPRODUCT(IF(AMP4_4[[#This Row],[Dim 1_1]:[T 8]]-$F$4:$AI$4&lt;0,1,0)+IF($F$5:$AI$5-AMP4_4[[#This Row],[Dim 1_1]:[T 8]]&lt;0,1,0),IF(ISNUMBER(AMP4_4[[#This Row],[Dim 1_1]:[T 8]])=TRUE,1,0))</f>
        <v>0</v>
      </c>
      <c r="F149">
        <v>41.273000000000003</v>
      </c>
      <c r="G149">
        <v>41.317</v>
      </c>
      <c r="H149">
        <v>155.72399999999999</v>
      </c>
      <c r="I149">
        <v>155.66300000000001</v>
      </c>
      <c r="L149">
        <v>155.95500000000001</v>
      </c>
      <c r="M149">
        <v>155.667</v>
      </c>
      <c r="N149">
        <v>27.231999999999999</v>
      </c>
      <c r="O149">
        <v>27.408999999999999</v>
      </c>
      <c r="R149">
        <v>17.25</v>
      </c>
      <c r="S149">
        <v>17.238</v>
      </c>
      <c r="T149">
        <v>33.948999999999998</v>
      </c>
      <c r="U149">
        <v>34.866999999999997</v>
      </c>
      <c r="W149">
        <v>3.5999999999999997E-2</v>
      </c>
      <c r="X149">
        <v>-7.9000000000000001E-2</v>
      </c>
      <c r="Z149">
        <v>0.154</v>
      </c>
      <c r="AA149">
        <v>8.3000000000000004E-2</v>
      </c>
      <c r="AB149">
        <v>4.0000000000000001E-3</v>
      </c>
      <c r="AC149">
        <v>-8.9999999999999993E-3</v>
      </c>
      <c r="AD149">
        <v>3.5999999999999997E-2</v>
      </c>
      <c r="AE149">
        <v>-7.9000000000000001E-2</v>
      </c>
      <c r="AF149">
        <v>0.10199999999999999</v>
      </c>
      <c r="AG149">
        <v>8.3000000000000004E-2</v>
      </c>
      <c r="AH149">
        <v>8.6999999999999994E-2</v>
      </c>
      <c r="AI149">
        <v>0.154</v>
      </c>
    </row>
    <row r="150" spans="1:35" x14ac:dyDescent="0.25">
      <c r="A150" t="s">
        <v>2513</v>
      </c>
      <c r="B150" t="s">
        <v>31</v>
      </c>
      <c r="C150" s="25">
        <v>43708.337708333333</v>
      </c>
      <c r="D150" s="741" t="s">
        <v>2238</v>
      </c>
      <c r="E150" s="741">
        <f t="array" ref="E150">SUMPRODUCT(IF(AMP4_4[[#This Row],[Dim 1_1]:[T 8]]-$F$4:$AI$4&lt;0,1,0)+IF($F$5:$AI$5-AMP4_4[[#This Row],[Dim 1_1]:[T 8]]&lt;0,1,0),IF(ISNUMBER(AMP4_4[[#This Row],[Dim 1_1]:[T 8]])=TRUE,1,0))</f>
        <v>0</v>
      </c>
      <c r="H150">
        <v>155.67500000000001</v>
      </c>
      <c r="I150">
        <v>155.74799999999999</v>
      </c>
      <c r="J150">
        <v>168.31</v>
      </c>
      <c r="K150">
        <v>168.233</v>
      </c>
      <c r="L150">
        <v>155.87899999999999</v>
      </c>
      <c r="M150">
        <v>155.78700000000001</v>
      </c>
      <c r="N150">
        <v>27.347000000000001</v>
      </c>
      <c r="O150">
        <v>27.513000000000002</v>
      </c>
      <c r="R150">
        <v>17.248000000000001</v>
      </c>
      <c r="S150">
        <v>17.137</v>
      </c>
      <c r="T150">
        <v>35.548999999999999</v>
      </c>
      <c r="U150">
        <v>38.393000000000001</v>
      </c>
      <c r="W150">
        <v>0.26700000000000002</v>
      </c>
      <c r="X150">
        <v>0.104</v>
      </c>
      <c r="Z150">
        <v>0.315</v>
      </c>
      <c r="AA150">
        <v>0.19600000000000001</v>
      </c>
      <c r="AB150">
        <v>0.104</v>
      </c>
      <c r="AC150">
        <v>0.124</v>
      </c>
      <c r="AD150">
        <v>0.255</v>
      </c>
      <c r="AE150">
        <v>0.26700000000000002</v>
      </c>
      <c r="AF150">
        <v>0.29599999999999999</v>
      </c>
      <c r="AG150">
        <v>0.19600000000000001</v>
      </c>
      <c r="AH150">
        <v>0.315</v>
      </c>
      <c r="AI150">
        <v>0.30399999999999999</v>
      </c>
    </row>
    <row r="151" spans="1:35" x14ac:dyDescent="0.25">
      <c r="A151" t="s">
        <v>2514</v>
      </c>
      <c r="B151" t="s">
        <v>32</v>
      </c>
      <c r="C151" s="25">
        <v>43708.420960648145</v>
      </c>
      <c r="D151" s="741" t="s">
        <v>2238</v>
      </c>
      <c r="E151" s="741">
        <f t="array" ref="E151">SUMPRODUCT(IF(AMP4_4[[#This Row],[Dim 1_1]:[T 8]]-$F$4:$AI$4&lt;0,1,0)+IF($F$5:$AI$5-AMP4_4[[#This Row],[Dim 1_1]:[T 8]]&lt;0,1,0),IF(ISNUMBER(AMP4_4[[#This Row],[Dim 1_1]:[T 8]])=TRUE,1,0))</f>
        <v>0</v>
      </c>
      <c r="F151">
        <v>41.252000000000002</v>
      </c>
      <c r="G151">
        <v>41.331000000000003</v>
      </c>
      <c r="H151">
        <v>155.959</v>
      </c>
      <c r="I151">
        <v>155.84</v>
      </c>
      <c r="L151">
        <v>156.13300000000001</v>
      </c>
      <c r="M151">
        <v>155.858</v>
      </c>
      <c r="N151">
        <v>27.030999999999999</v>
      </c>
      <c r="O151">
        <v>27.207000000000001</v>
      </c>
      <c r="R151">
        <v>17.23</v>
      </c>
      <c r="S151">
        <v>17.199000000000002</v>
      </c>
      <c r="T151">
        <v>34.066000000000003</v>
      </c>
      <c r="U151">
        <v>34.526000000000003</v>
      </c>
      <c r="W151">
        <v>-3.4000000000000002E-2</v>
      </c>
      <c r="X151">
        <v>-0.22900000000000001</v>
      </c>
      <c r="Z151">
        <v>0.05</v>
      </c>
      <c r="AA151">
        <v>-0.151</v>
      </c>
      <c r="AB151">
        <v>-0.22900000000000001</v>
      </c>
      <c r="AC151">
        <v>-0.21199999999999999</v>
      </c>
      <c r="AD151">
        <v>-3.4000000000000002E-2</v>
      </c>
      <c r="AE151">
        <v>-0.127</v>
      </c>
      <c r="AF151">
        <v>-0.104</v>
      </c>
      <c r="AG151">
        <v>-0.151</v>
      </c>
      <c r="AH151">
        <v>0.05</v>
      </c>
      <c r="AI151">
        <v>-1.2E-2</v>
      </c>
    </row>
    <row r="152" spans="1:35" x14ac:dyDescent="0.25">
      <c r="A152" t="s">
        <v>2515</v>
      </c>
      <c r="B152" t="s">
        <v>31</v>
      </c>
      <c r="C152" s="25">
        <v>43708.423159722224</v>
      </c>
      <c r="D152" s="741" t="s">
        <v>2238</v>
      </c>
      <c r="E152" s="741">
        <f t="array" ref="E152">SUMPRODUCT(IF(AMP4_4[[#This Row],[Dim 1_1]:[T 8]]-$F$4:$AI$4&lt;0,1,0)+IF($F$5:$AI$5-AMP4_4[[#This Row],[Dim 1_1]:[T 8]]&lt;0,1,0),IF(ISNUMBER(AMP4_4[[#This Row],[Dim 1_1]:[T 8]])=TRUE,1,0))</f>
        <v>0</v>
      </c>
      <c r="H152">
        <v>155.72800000000001</v>
      </c>
      <c r="I152">
        <v>155.834</v>
      </c>
      <c r="J152">
        <v>168.53100000000001</v>
      </c>
      <c r="K152">
        <v>168.50200000000001</v>
      </c>
      <c r="L152">
        <v>155.923</v>
      </c>
      <c r="M152">
        <v>155.83099999999999</v>
      </c>
      <c r="N152">
        <v>27.297999999999998</v>
      </c>
      <c r="O152">
        <v>27.516999999999999</v>
      </c>
      <c r="R152">
        <v>17.263000000000002</v>
      </c>
      <c r="S152">
        <v>17.248000000000001</v>
      </c>
      <c r="T152">
        <v>35.011000000000003</v>
      </c>
      <c r="U152">
        <v>37.619</v>
      </c>
      <c r="W152">
        <v>6.3E-2</v>
      </c>
      <c r="X152">
        <v>-6.7000000000000004E-2</v>
      </c>
      <c r="Z152">
        <v>3.2000000000000001E-2</v>
      </c>
      <c r="AA152">
        <v>-7.5999999999999998E-2</v>
      </c>
      <c r="AB152">
        <v>-6.7000000000000004E-2</v>
      </c>
      <c r="AC152">
        <v>-0.05</v>
      </c>
      <c r="AD152">
        <v>6.3E-2</v>
      </c>
      <c r="AE152">
        <v>3.6999999999999998E-2</v>
      </c>
      <c r="AF152">
        <v>6.0000000000000001E-3</v>
      </c>
      <c r="AG152">
        <v>-7.5999999999999998E-2</v>
      </c>
      <c r="AH152">
        <v>3.2000000000000001E-2</v>
      </c>
      <c r="AI152">
        <v>-3.3000000000000002E-2</v>
      </c>
    </row>
    <row r="153" spans="1:35" x14ac:dyDescent="0.25">
      <c r="A153" t="s">
        <v>2516</v>
      </c>
      <c r="B153" t="s">
        <v>32</v>
      </c>
      <c r="C153" s="25">
        <v>43708.510740740741</v>
      </c>
      <c r="D153" s="741" t="s">
        <v>2238</v>
      </c>
      <c r="E153" s="741">
        <f t="array" ref="E153">SUMPRODUCT(IF(AMP4_4[[#This Row],[Dim 1_1]:[T 8]]-$F$4:$AI$4&lt;0,1,0)+IF($F$5:$AI$5-AMP4_4[[#This Row],[Dim 1_1]:[T 8]]&lt;0,1,0),IF(ISNUMBER(AMP4_4[[#This Row],[Dim 1_1]:[T 8]])=TRUE,1,0))</f>
        <v>0</v>
      </c>
      <c r="F153">
        <v>41.271000000000001</v>
      </c>
      <c r="G153">
        <v>41.436999999999998</v>
      </c>
      <c r="H153">
        <v>155.953</v>
      </c>
      <c r="I153">
        <v>155.828</v>
      </c>
      <c r="L153">
        <v>156.054</v>
      </c>
      <c r="M153">
        <v>155.77699999999999</v>
      </c>
      <c r="N153">
        <v>27.100999999999999</v>
      </c>
      <c r="O153">
        <v>27.286000000000001</v>
      </c>
      <c r="R153">
        <v>17.256</v>
      </c>
      <c r="S153">
        <v>17.187999999999999</v>
      </c>
      <c r="T153">
        <v>33.704000000000001</v>
      </c>
      <c r="U153">
        <v>34.704000000000001</v>
      </c>
      <c r="W153">
        <v>9.5000000000000001E-2</v>
      </c>
      <c r="X153">
        <v>-9.9000000000000005E-2</v>
      </c>
      <c r="Z153">
        <v>0.05</v>
      </c>
      <c r="AA153">
        <v>-0.158</v>
      </c>
      <c r="AB153">
        <v>-9.9000000000000005E-2</v>
      </c>
      <c r="AC153">
        <v>-8.4000000000000005E-2</v>
      </c>
      <c r="AD153">
        <v>9.5000000000000001E-2</v>
      </c>
      <c r="AE153">
        <v>-3.7999999999999999E-2</v>
      </c>
      <c r="AF153">
        <v>-8.5999999999999993E-2</v>
      </c>
      <c r="AG153">
        <v>-0.158</v>
      </c>
      <c r="AH153">
        <v>0.05</v>
      </c>
      <c r="AI153">
        <v>2.1000000000000001E-2</v>
      </c>
    </row>
    <row r="154" spans="1:35" x14ac:dyDescent="0.25">
      <c r="A154" t="s">
        <v>2517</v>
      </c>
      <c r="B154" t="s">
        <v>31</v>
      </c>
      <c r="C154" s="25">
        <v>43708.519814814812</v>
      </c>
      <c r="D154" s="741" t="s">
        <v>2238</v>
      </c>
      <c r="E154" s="741">
        <f t="array" ref="E154">SUMPRODUCT(IF(AMP4_4[[#This Row],[Dim 1_1]:[T 8]]-$F$4:$AI$4&lt;0,1,0)+IF($F$5:$AI$5-AMP4_4[[#This Row],[Dim 1_1]:[T 8]]&lt;0,1,0),IF(ISNUMBER(AMP4_4[[#This Row],[Dim 1_1]:[T 8]])=TRUE,1,0))</f>
        <v>0</v>
      </c>
      <c r="H154">
        <v>155.679</v>
      </c>
      <c r="I154">
        <v>155.79599999999999</v>
      </c>
      <c r="J154">
        <v>168.52199999999999</v>
      </c>
      <c r="K154">
        <v>168.57499999999999</v>
      </c>
      <c r="L154">
        <v>155.916</v>
      </c>
      <c r="M154">
        <v>155.83000000000001</v>
      </c>
      <c r="N154">
        <v>27.323</v>
      </c>
      <c r="O154">
        <v>27.523</v>
      </c>
      <c r="R154">
        <v>17.251000000000001</v>
      </c>
      <c r="S154">
        <v>17.135999999999999</v>
      </c>
      <c r="T154">
        <v>36.156999999999996</v>
      </c>
      <c r="U154">
        <v>38.51</v>
      </c>
      <c r="W154">
        <v>0.11899999999999999</v>
      </c>
      <c r="X154">
        <v>-0.114</v>
      </c>
      <c r="Z154">
        <v>7.0999999999999994E-2</v>
      </c>
      <c r="AA154">
        <v>-0.113</v>
      </c>
      <c r="AB154">
        <v>-0.114</v>
      </c>
      <c r="AC154">
        <v>-9.9000000000000005E-2</v>
      </c>
      <c r="AD154">
        <v>0.11899999999999999</v>
      </c>
      <c r="AE154">
        <v>8.3000000000000004E-2</v>
      </c>
      <c r="AF154">
        <v>-2.7E-2</v>
      </c>
      <c r="AG154">
        <v>-0.113</v>
      </c>
      <c r="AH154">
        <v>7.0999999999999994E-2</v>
      </c>
      <c r="AI154">
        <v>1.4999999999999999E-2</v>
      </c>
    </row>
    <row r="155" spans="1:35" x14ac:dyDescent="0.25">
      <c r="A155" t="s">
        <v>2518</v>
      </c>
      <c r="B155" t="s">
        <v>32</v>
      </c>
      <c r="C155" s="25">
        <v>43708.592812499999</v>
      </c>
      <c r="D155" s="741" t="s">
        <v>2238</v>
      </c>
      <c r="E155" s="741">
        <f t="array" ref="E155">SUMPRODUCT(IF(AMP4_4[[#This Row],[Dim 1_1]:[T 8]]-$F$4:$AI$4&lt;0,1,0)+IF($F$5:$AI$5-AMP4_4[[#This Row],[Dim 1_1]:[T 8]]&lt;0,1,0),IF(ISNUMBER(AMP4_4[[#This Row],[Dim 1_1]:[T 8]])=TRUE,1,0))</f>
        <v>0</v>
      </c>
      <c r="F155">
        <v>41.387999999999998</v>
      </c>
      <c r="G155">
        <v>41.511000000000003</v>
      </c>
      <c r="H155">
        <v>155.86600000000001</v>
      </c>
      <c r="I155">
        <v>155.785</v>
      </c>
      <c r="L155">
        <v>156.041</v>
      </c>
      <c r="M155">
        <v>155.768</v>
      </c>
      <c r="N155">
        <v>27.12</v>
      </c>
      <c r="O155">
        <v>27.294</v>
      </c>
      <c r="R155">
        <v>17.234000000000002</v>
      </c>
      <c r="S155">
        <v>17.251999999999999</v>
      </c>
      <c r="T155">
        <v>33.703000000000003</v>
      </c>
      <c r="U155">
        <v>34.567</v>
      </c>
      <c r="W155">
        <v>6.0000000000000001E-3</v>
      </c>
      <c r="X155">
        <v>-0.124</v>
      </c>
      <c r="Z155">
        <v>-7.0000000000000001E-3</v>
      </c>
      <c r="AA155">
        <v>-9.7000000000000003E-2</v>
      </c>
      <c r="AB155">
        <v>-0.10199999999999999</v>
      </c>
      <c r="AC155">
        <v>-8.2000000000000003E-2</v>
      </c>
      <c r="AD155">
        <v>6.0000000000000001E-3</v>
      </c>
      <c r="AE155">
        <v>-0.124</v>
      </c>
      <c r="AF155">
        <v>-3.5000000000000003E-2</v>
      </c>
      <c r="AG155">
        <v>-9.7000000000000003E-2</v>
      </c>
      <c r="AH155">
        <v>-2.3E-2</v>
      </c>
      <c r="AI155">
        <v>-7.0000000000000001E-3</v>
      </c>
    </row>
    <row r="156" spans="1:35" x14ac:dyDescent="0.25">
      <c r="A156" t="s">
        <v>2519</v>
      </c>
      <c r="B156" t="s">
        <v>31</v>
      </c>
      <c r="C156" s="25">
        <v>43708.595439814817</v>
      </c>
      <c r="D156" s="741" t="s">
        <v>2238</v>
      </c>
      <c r="E156" s="741">
        <f t="array" ref="E156">SUMPRODUCT(IF(AMP4_4[[#This Row],[Dim 1_1]:[T 8]]-$F$4:$AI$4&lt;0,1,0)+IF($F$5:$AI$5-AMP4_4[[#This Row],[Dim 1_1]:[T 8]]&lt;0,1,0),IF(ISNUMBER(AMP4_4[[#This Row],[Dim 1_1]:[T 8]])=TRUE,1,0))</f>
        <v>0</v>
      </c>
      <c r="H156">
        <v>155.643</v>
      </c>
      <c r="I156">
        <v>155.69300000000001</v>
      </c>
      <c r="J156">
        <v>168.541</v>
      </c>
      <c r="K156">
        <v>168.46199999999999</v>
      </c>
      <c r="L156">
        <v>155.83500000000001</v>
      </c>
      <c r="M156">
        <v>155.678</v>
      </c>
      <c r="N156">
        <v>27.382000000000001</v>
      </c>
      <c r="O156">
        <v>27.638000000000002</v>
      </c>
      <c r="R156">
        <v>17.251999999999999</v>
      </c>
      <c r="S156">
        <v>17.238</v>
      </c>
      <c r="T156">
        <v>37.872</v>
      </c>
      <c r="U156">
        <v>37.585999999999999</v>
      </c>
      <c r="W156">
        <v>0.20799999999999999</v>
      </c>
      <c r="X156">
        <v>2E-3</v>
      </c>
      <c r="Z156">
        <v>0.121</v>
      </c>
      <c r="AA156">
        <v>-7.0000000000000001E-3</v>
      </c>
      <c r="AB156">
        <v>2E-3</v>
      </c>
      <c r="AC156">
        <v>3.1E-2</v>
      </c>
      <c r="AD156">
        <v>0.19700000000000001</v>
      </c>
      <c r="AE156">
        <v>0.20799999999999999</v>
      </c>
      <c r="AF156">
        <v>7.5999999999999998E-2</v>
      </c>
      <c r="AG156">
        <v>-7.0000000000000001E-3</v>
      </c>
      <c r="AH156">
        <v>0.121</v>
      </c>
      <c r="AI156">
        <v>6.9000000000000006E-2</v>
      </c>
    </row>
    <row r="157" spans="1:35" x14ac:dyDescent="0.25">
      <c r="A157" t="s">
        <v>2520</v>
      </c>
      <c r="B157" t="s">
        <v>32</v>
      </c>
      <c r="C157" s="25">
        <v>43708.676828703705</v>
      </c>
      <c r="D157" s="741" t="s">
        <v>2238</v>
      </c>
      <c r="E157" s="741">
        <f t="array" ref="E157">SUMPRODUCT(IF(AMP4_4[[#This Row],[Dim 1_1]:[T 8]]-$F$4:$AI$4&lt;0,1,0)+IF($F$5:$AI$5-AMP4_4[[#This Row],[Dim 1_1]:[T 8]]&lt;0,1,0),IF(ISNUMBER(AMP4_4[[#This Row],[Dim 1_1]:[T 8]])=TRUE,1,0))</f>
        <v>0</v>
      </c>
      <c r="F157">
        <v>41.220999999999997</v>
      </c>
      <c r="G157">
        <v>41.3</v>
      </c>
      <c r="H157">
        <v>155.99700000000001</v>
      </c>
      <c r="I157">
        <v>155.90100000000001</v>
      </c>
      <c r="L157">
        <v>156.16300000000001</v>
      </c>
      <c r="M157">
        <v>155.90600000000001</v>
      </c>
      <c r="N157">
        <v>27.021999999999998</v>
      </c>
      <c r="O157">
        <v>27.184999999999999</v>
      </c>
      <c r="R157">
        <v>17.233000000000001</v>
      </c>
      <c r="S157">
        <v>17.091999999999999</v>
      </c>
      <c r="T157">
        <v>33.667999999999999</v>
      </c>
      <c r="U157">
        <v>34.603000000000002</v>
      </c>
      <c r="W157">
        <v>0.05</v>
      </c>
      <c r="X157">
        <v>-0.23899999999999999</v>
      </c>
      <c r="Z157">
        <v>5.5E-2</v>
      </c>
      <c r="AA157">
        <v>-0.192</v>
      </c>
      <c r="AB157">
        <v>-0.23899999999999999</v>
      </c>
      <c r="AC157">
        <v>-0.22500000000000001</v>
      </c>
      <c r="AD157">
        <v>0.05</v>
      </c>
      <c r="AE157">
        <v>-3.5000000000000003E-2</v>
      </c>
      <c r="AF157">
        <v>-0.13500000000000001</v>
      </c>
      <c r="AG157">
        <v>-0.192</v>
      </c>
      <c r="AH157">
        <v>4.2000000000000003E-2</v>
      </c>
      <c r="AI157">
        <v>5.5E-2</v>
      </c>
    </row>
    <row r="158" spans="1:35" x14ac:dyDescent="0.25">
      <c r="A158" t="s">
        <v>2521</v>
      </c>
      <c r="B158" t="s">
        <v>31</v>
      </c>
      <c r="C158" s="25">
        <v>43708.680486111109</v>
      </c>
      <c r="D158" s="741" t="s">
        <v>2238</v>
      </c>
      <c r="E158" s="741">
        <f t="array" ref="E158">SUMPRODUCT(IF(AMP4_4[[#This Row],[Dim 1_1]:[T 8]]-$F$4:$AI$4&lt;0,1,0)+IF($F$5:$AI$5-AMP4_4[[#This Row],[Dim 1_1]:[T 8]]&lt;0,1,0),IF(ISNUMBER(AMP4_4[[#This Row],[Dim 1_1]:[T 8]])=TRUE,1,0))</f>
        <v>0</v>
      </c>
      <c r="H158">
        <v>155.75</v>
      </c>
      <c r="I158">
        <v>155.773</v>
      </c>
      <c r="J158">
        <v>168.51</v>
      </c>
      <c r="K158">
        <v>168.48699999999999</v>
      </c>
      <c r="L158">
        <v>155.934</v>
      </c>
      <c r="M158">
        <v>155.80600000000001</v>
      </c>
      <c r="N158">
        <v>27.262</v>
      </c>
      <c r="O158">
        <v>27.495000000000001</v>
      </c>
      <c r="R158">
        <v>17.298999999999999</v>
      </c>
      <c r="S158">
        <v>17.335999999999999</v>
      </c>
      <c r="T158">
        <v>35.19</v>
      </c>
      <c r="U158">
        <v>36.195</v>
      </c>
      <c r="W158">
        <v>2.5000000000000001E-2</v>
      </c>
      <c r="X158">
        <v>-0.127</v>
      </c>
      <c r="Z158">
        <v>-0.129</v>
      </c>
      <c r="AA158">
        <v>-0.17</v>
      </c>
      <c r="AB158">
        <v>-0.127</v>
      </c>
      <c r="AC158">
        <v>-0.104</v>
      </c>
      <c r="AD158">
        <v>2.5000000000000001E-2</v>
      </c>
      <c r="AE158">
        <v>2.4E-2</v>
      </c>
      <c r="AF158">
        <v>-0.129</v>
      </c>
      <c r="AG158">
        <v>-0.17</v>
      </c>
      <c r="AH158">
        <v>-0.14899999999999999</v>
      </c>
      <c r="AI158">
        <v>-0.16300000000000001</v>
      </c>
    </row>
    <row r="159" spans="1:35" x14ac:dyDescent="0.25">
      <c r="A159" t="s">
        <v>2616</v>
      </c>
      <c r="B159" t="s">
        <v>32</v>
      </c>
      <c r="C159" s="25">
        <v>43711.355069444442</v>
      </c>
      <c r="D159" s="741" t="s">
        <v>2238</v>
      </c>
      <c r="E159" s="741">
        <f t="array" ref="E159">SUMPRODUCT(IF(AMP4_4[[#This Row],[Dim 1_1]:[T 8]]-$F$4:$AI$4&lt;0,1,0)+IF($F$5:$AI$5-AMP4_4[[#This Row],[Dim 1_1]:[T 8]]&lt;0,1,0),IF(ISNUMBER(AMP4_4[[#This Row],[Dim 1_1]:[T 8]])=TRUE,1,0))</f>
        <v>6</v>
      </c>
      <c r="F159">
        <v>41.314</v>
      </c>
      <c r="G159">
        <v>41.35</v>
      </c>
      <c r="H159">
        <v>155.845</v>
      </c>
      <c r="I159">
        <v>155.774</v>
      </c>
      <c r="L159">
        <v>156.17500000000001</v>
      </c>
      <c r="M159">
        <v>155.929</v>
      </c>
      <c r="N159">
        <v>26.998999999999999</v>
      </c>
      <c r="O159">
        <v>27.138999999999999</v>
      </c>
      <c r="R159">
        <v>17.263000000000002</v>
      </c>
      <c r="S159">
        <v>17.280999999999999</v>
      </c>
      <c r="T159">
        <v>33.871000000000002</v>
      </c>
      <c r="U159">
        <v>34.747999999999998</v>
      </c>
      <c r="W159">
        <v>-1.8540000000000001</v>
      </c>
      <c r="X159">
        <v>-1.96</v>
      </c>
      <c r="Z159">
        <v>-0.183</v>
      </c>
      <c r="AA159">
        <v>-0.35499999999999998</v>
      </c>
      <c r="AB159">
        <v>-1.96</v>
      </c>
      <c r="AC159">
        <v>-1.8640000000000001</v>
      </c>
      <c r="AD159">
        <v>-1.8540000000000001</v>
      </c>
      <c r="AE159">
        <v>-1.9139999999999999</v>
      </c>
      <c r="AF159">
        <v>-0.30199999999999999</v>
      </c>
      <c r="AG159">
        <v>-0.26400000000000001</v>
      </c>
      <c r="AH159">
        <v>-0.35499999999999998</v>
      </c>
      <c r="AI159">
        <v>-0.183</v>
      </c>
    </row>
    <row r="160" spans="1:35" x14ac:dyDescent="0.25">
      <c r="A160" t="s">
        <v>2617</v>
      </c>
      <c r="B160" t="s">
        <v>31</v>
      </c>
      <c r="C160" s="25">
        <v>43711.357719907406</v>
      </c>
      <c r="D160" s="741" t="s">
        <v>2238</v>
      </c>
      <c r="E160" s="741">
        <f t="array" ref="E160">SUMPRODUCT(IF(AMP4_4[[#This Row],[Dim 1_1]:[T 8]]-$F$4:$AI$4&lt;0,1,0)+IF($F$5:$AI$5-AMP4_4[[#This Row],[Dim 1_1]:[T 8]]&lt;0,1,0),IF(ISNUMBER(AMP4_4[[#This Row],[Dim 1_1]:[T 8]])=TRUE,1,0))</f>
        <v>9</v>
      </c>
      <c r="H160">
        <v>155.54300000000001</v>
      </c>
      <c r="I160">
        <v>155.614</v>
      </c>
      <c r="J160">
        <v>168.42500000000001</v>
      </c>
      <c r="K160">
        <v>168.36099999999999</v>
      </c>
      <c r="L160">
        <v>156.22200000000001</v>
      </c>
      <c r="M160">
        <v>156.11199999999999</v>
      </c>
      <c r="N160">
        <v>26.99</v>
      </c>
      <c r="O160">
        <v>27.21</v>
      </c>
      <c r="R160">
        <v>17.263999999999999</v>
      </c>
      <c r="S160">
        <v>17.161999999999999</v>
      </c>
      <c r="T160">
        <v>40.296999999999997</v>
      </c>
      <c r="U160">
        <v>42.52</v>
      </c>
      <c r="W160">
        <v>0.90300000000000002</v>
      </c>
      <c r="X160">
        <v>0.52</v>
      </c>
      <c r="Z160">
        <v>2.23</v>
      </c>
      <c r="AA160">
        <v>2.0510000000000002</v>
      </c>
      <c r="AB160">
        <v>0.52</v>
      </c>
      <c r="AC160">
        <v>0.61699999999999999</v>
      </c>
      <c r="AD160">
        <v>0.78900000000000003</v>
      </c>
      <c r="AE160">
        <v>0.90300000000000002</v>
      </c>
      <c r="AF160">
        <v>2.0510000000000002</v>
      </c>
      <c r="AG160">
        <v>2.0880000000000001</v>
      </c>
      <c r="AH160">
        <v>2.1890000000000001</v>
      </c>
      <c r="AI160">
        <v>2.23</v>
      </c>
    </row>
    <row r="161" spans="1:35" x14ac:dyDescent="0.25">
      <c r="A161" t="s">
        <v>2618</v>
      </c>
      <c r="B161" t="s">
        <v>32</v>
      </c>
      <c r="C161" s="25">
        <v>43711.461180555554</v>
      </c>
      <c r="D161" s="741" t="s">
        <v>2238</v>
      </c>
      <c r="E161" s="741">
        <f t="array" ref="E161">SUMPRODUCT(IF(AMP4_4[[#This Row],[Dim 1_1]:[T 8]]-$F$4:$AI$4&lt;0,1,0)+IF($F$5:$AI$5-AMP4_4[[#This Row],[Dim 1_1]:[T 8]]&lt;0,1,0),IF(ISNUMBER(AMP4_4[[#This Row],[Dim 1_1]:[T 8]])=TRUE,1,0))</f>
        <v>0</v>
      </c>
      <c r="F161">
        <v>41.387</v>
      </c>
      <c r="G161">
        <v>41.56</v>
      </c>
      <c r="H161">
        <v>155.726</v>
      </c>
      <c r="I161">
        <v>155.57</v>
      </c>
      <c r="L161">
        <v>155.83799999999999</v>
      </c>
      <c r="M161">
        <v>155.49299999999999</v>
      </c>
      <c r="N161">
        <v>27.347999999999999</v>
      </c>
      <c r="O161">
        <v>27.606000000000002</v>
      </c>
      <c r="R161">
        <v>17.239000000000001</v>
      </c>
      <c r="S161">
        <v>17.3</v>
      </c>
      <c r="T161">
        <v>33.921999999999997</v>
      </c>
      <c r="U161">
        <v>34.664999999999999</v>
      </c>
      <c r="W161">
        <v>0.16200000000000001</v>
      </c>
      <c r="X161">
        <v>4.4999999999999998E-2</v>
      </c>
      <c r="Z161">
        <v>0.154</v>
      </c>
      <c r="AA161">
        <v>6.0999999999999999E-2</v>
      </c>
      <c r="AB161">
        <v>7.2999999999999995E-2</v>
      </c>
      <c r="AC161">
        <v>7.3999999999999996E-2</v>
      </c>
      <c r="AD161">
        <v>0.16200000000000001</v>
      </c>
      <c r="AE161">
        <v>4.4999999999999998E-2</v>
      </c>
      <c r="AF161">
        <v>0.11</v>
      </c>
      <c r="AG161">
        <v>6.0999999999999999E-2</v>
      </c>
      <c r="AH161">
        <v>0.111</v>
      </c>
      <c r="AI161">
        <v>0.154</v>
      </c>
    </row>
    <row r="162" spans="1:35" x14ac:dyDescent="0.25">
      <c r="A162" t="s">
        <v>2619</v>
      </c>
      <c r="B162" t="s">
        <v>31</v>
      </c>
      <c r="C162" s="25">
        <v>43711.463252314818</v>
      </c>
      <c r="D162" s="741" t="s">
        <v>2238</v>
      </c>
      <c r="E162" s="741">
        <f t="array" ref="E162">SUMPRODUCT(IF(AMP4_4[[#This Row],[Dim 1_1]:[T 8]]-$F$4:$AI$4&lt;0,1,0)+IF($F$5:$AI$5-AMP4_4[[#This Row],[Dim 1_1]:[T 8]]&lt;0,1,0),IF(ISNUMBER(AMP4_4[[#This Row],[Dim 1_1]:[T 8]])=TRUE,1,0))</f>
        <v>0</v>
      </c>
      <c r="H162">
        <v>155.52799999999999</v>
      </c>
      <c r="I162">
        <v>155.72</v>
      </c>
      <c r="J162">
        <v>168.43199999999999</v>
      </c>
      <c r="K162">
        <v>168.44499999999999</v>
      </c>
      <c r="L162">
        <v>155.726</v>
      </c>
      <c r="M162">
        <v>155.673</v>
      </c>
      <c r="N162">
        <v>27.472000000000001</v>
      </c>
      <c r="O162">
        <v>27.574999999999999</v>
      </c>
      <c r="R162">
        <v>17.224</v>
      </c>
      <c r="S162">
        <v>17.184000000000001</v>
      </c>
      <c r="T162">
        <v>38.634999999999998</v>
      </c>
      <c r="U162">
        <v>39.204000000000001</v>
      </c>
      <c r="W162">
        <v>0.13300000000000001</v>
      </c>
      <c r="X162">
        <v>2.9000000000000001E-2</v>
      </c>
      <c r="Z162">
        <v>0.23200000000000001</v>
      </c>
      <c r="AA162">
        <v>9.6000000000000002E-2</v>
      </c>
      <c r="AB162">
        <v>0.126</v>
      </c>
      <c r="AC162">
        <v>0.13300000000000001</v>
      </c>
      <c r="AD162">
        <v>6.4000000000000001E-2</v>
      </c>
      <c r="AE162">
        <v>2.9000000000000001E-2</v>
      </c>
      <c r="AF162">
        <v>0.23200000000000001</v>
      </c>
      <c r="AG162">
        <v>0.17199999999999999</v>
      </c>
      <c r="AH162">
        <v>9.6000000000000002E-2</v>
      </c>
      <c r="AI162">
        <v>0.124</v>
      </c>
    </row>
    <row r="163" spans="1:35" x14ac:dyDescent="0.25">
      <c r="A163" t="s">
        <v>2710</v>
      </c>
      <c r="B163" t="s">
        <v>32</v>
      </c>
      <c r="C163" s="25">
        <v>43711.658032407409</v>
      </c>
      <c r="D163" s="741" t="s">
        <v>2238</v>
      </c>
      <c r="E163" s="741">
        <f t="array" ref="E163">SUMPRODUCT(IF(AMP4_4[[#This Row],[Dim 1_1]:[T 8]]-$F$4:$AI$4&lt;0,1,0)+IF($F$5:$AI$5-AMP4_4[[#This Row],[Dim 1_1]:[T 8]]&lt;0,1,0),IF(ISNUMBER(AMP4_4[[#This Row],[Dim 1_1]:[T 8]])=TRUE,1,0))</f>
        <v>0</v>
      </c>
      <c r="F163">
        <v>41.414999999999999</v>
      </c>
      <c r="G163">
        <v>41.305</v>
      </c>
      <c r="H163">
        <v>155.74100000000001</v>
      </c>
      <c r="I163">
        <v>155.62200000000001</v>
      </c>
      <c r="L163">
        <v>155.86699999999999</v>
      </c>
      <c r="M163">
        <v>155.54499999999999</v>
      </c>
      <c r="N163">
        <v>27.309000000000001</v>
      </c>
      <c r="O163">
        <v>27.529</v>
      </c>
      <c r="R163">
        <v>17.233000000000001</v>
      </c>
      <c r="S163">
        <v>17.327000000000002</v>
      </c>
      <c r="T163">
        <v>33.753999999999998</v>
      </c>
      <c r="U163">
        <v>34.712000000000003</v>
      </c>
      <c r="W163">
        <v>0.20899999999999999</v>
      </c>
      <c r="X163">
        <v>7.9000000000000001E-2</v>
      </c>
      <c r="Z163">
        <v>0.112</v>
      </c>
      <c r="AA163">
        <v>3.7999999999999999E-2</v>
      </c>
      <c r="AB163">
        <v>0.13500000000000001</v>
      </c>
      <c r="AC163">
        <v>0.14000000000000001</v>
      </c>
      <c r="AD163">
        <v>0.20899999999999999</v>
      </c>
      <c r="AE163">
        <v>7.9000000000000001E-2</v>
      </c>
      <c r="AF163">
        <v>8.5999999999999993E-2</v>
      </c>
      <c r="AG163">
        <v>3.7999999999999999E-2</v>
      </c>
      <c r="AH163">
        <v>7.0000000000000007E-2</v>
      </c>
      <c r="AI163">
        <v>0.112</v>
      </c>
    </row>
    <row r="164" spans="1:35" x14ac:dyDescent="0.25">
      <c r="A164" t="s">
        <v>2711</v>
      </c>
      <c r="B164" t="s">
        <v>31</v>
      </c>
      <c r="C164" s="25">
        <v>43711.660092592596</v>
      </c>
      <c r="D164" s="741" t="s">
        <v>2238</v>
      </c>
      <c r="E164" s="741">
        <f t="array" ref="E164">SUMPRODUCT(IF(AMP4_4[[#This Row],[Dim 1_1]:[T 8]]-$F$4:$AI$4&lt;0,1,0)+IF($F$5:$AI$5-AMP4_4[[#This Row],[Dim 1_1]:[T 8]]&lt;0,1,0),IF(ISNUMBER(AMP4_4[[#This Row],[Dim 1_1]:[T 8]])=TRUE,1,0))</f>
        <v>0</v>
      </c>
      <c r="H164">
        <v>155.64699999999999</v>
      </c>
      <c r="I164">
        <v>155.79900000000001</v>
      </c>
      <c r="J164">
        <v>168.517</v>
      </c>
      <c r="K164">
        <v>168.363</v>
      </c>
      <c r="L164">
        <v>155.78399999999999</v>
      </c>
      <c r="M164">
        <v>155.73400000000001</v>
      </c>
      <c r="N164">
        <v>27.404</v>
      </c>
      <c r="O164">
        <v>27.510999999999999</v>
      </c>
      <c r="R164">
        <v>17.241</v>
      </c>
      <c r="S164">
        <v>17.163</v>
      </c>
      <c r="T164">
        <v>34.534999999999997</v>
      </c>
      <c r="U164">
        <v>37.904000000000003</v>
      </c>
      <c r="W164">
        <v>3.6999999999999998E-2</v>
      </c>
      <c r="X164">
        <v>-3.5000000000000003E-2</v>
      </c>
      <c r="Z164">
        <v>0.06</v>
      </c>
      <c r="AA164">
        <v>-6.7000000000000004E-2</v>
      </c>
      <c r="AB164">
        <v>3.6999999999999998E-2</v>
      </c>
      <c r="AC164">
        <v>3.6999999999999998E-2</v>
      </c>
      <c r="AD164">
        <v>2.5999999999999999E-2</v>
      </c>
      <c r="AE164">
        <v>-3.5000000000000003E-2</v>
      </c>
      <c r="AF164">
        <v>0.06</v>
      </c>
      <c r="AG164">
        <v>-1.2999999999999999E-2</v>
      </c>
      <c r="AH164">
        <v>-0.04</v>
      </c>
      <c r="AI164">
        <v>-6.7000000000000004E-2</v>
      </c>
    </row>
    <row r="165" spans="1:35" x14ac:dyDescent="0.25">
      <c r="A165" t="s">
        <v>2712</v>
      </c>
      <c r="B165" t="s">
        <v>32</v>
      </c>
      <c r="C165" s="25">
        <v>43711.77202546296</v>
      </c>
      <c r="D165" s="741" t="s">
        <v>2238</v>
      </c>
      <c r="E165" s="741">
        <f t="array" ref="E165">SUMPRODUCT(IF(AMP4_4[[#This Row],[Dim 1_1]:[T 8]]-$F$4:$AI$4&lt;0,1,0)+IF($F$5:$AI$5-AMP4_4[[#This Row],[Dim 1_1]:[T 8]]&lt;0,1,0),IF(ISNUMBER(AMP4_4[[#This Row],[Dim 1_1]:[T 8]])=TRUE,1,0))</f>
        <v>0</v>
      </c>
      <c r="F165">
        <v>41.314999999999998</v>
      </c>
      <c r="G165">
        <v>41.201000000000001</v>
      </c>
      <c r="H165">
        <v>155.761</v>
      </c>
      <c r="I165">
        <v>155.667</v>
      </c>
      <c r="L165">
        <v>155.89599999999999</v>
      </c>
      <c r="M165">
        <v>155.673</v>
      </c>
      <c r="N165">
        <v>27.274999999999999</v>
      </c>
      <c r="O165">
        <v>27.445</v>
      </c>
      <c r="R165">
        <v>17.239999999999998</v>
      </c>
      <c r="S165">
        <v>17.227</v>
      </c>
      <c r="T165">
        <v>33.938000000000002</v>
      </c>
      <c r="U165">
        <v>34.32</v>
      </c>
      <c r="W165">
        <v>0.111</v>
      </c>
      <c r="X165">
        <v>-4.9000000000000002E-2</v>
      </c>
      <c r="Z165">
        <v>0.157</v>
      </c>
      <c r="AA165">
        <v>1.7999999999999999E-2</v>
      </c>
      <c r="AB165">
        <v>-4.9000000000000002E-2</v>
      </c>
      <c r="AC165">
        <v>-1.7999999999999999E-2</v>
      </c>
      <c r="AD165">
        <v>0.111</v>
      </c>
      <c r="AE165">
        <v>2.5999999999999999E-2</v>
      </c>
      <c r="AF165">
        <v>5.5E-2</v>
      </c>
      <c r="AG165">
        <v>1.7999999999999999E-2</v>
      </c>
      <c r="AH165">
        <v>0.109</v>
      </c>
      <c r="AI165">
        <v>0.157</v>
      </c>
    </row>
    <row r="166" spans="1:35" x14ac:dyDescent="0.25">
      <c r="A166" t="s">
        <v>2713</v>
      </c>
      <c r="B166" t="s">
        <v>31</v>
      </c>
      <c r="C166" s="25">
        <v>43711.774074074077</v>
      </c>
      <c r="D166" s="741" t="s">
        <v>2238</v>
      </c>
      <c r="E166" s="741">
        <f t="array" ref="E166">SUMPRODUCT(IF(AMP4_4[[#This Row],[Dim 1_1]:[T 8]]-$F$4:$AI$4&lt;0,1,0)+IF($F$5:$AI$5-AMP4_4[[#This Row],[Dim 1_1]:[T 8]]&lt;0,1,0),IF(ISNUMBER(AMP4_4[[#This Row],[Dim 1_1]:[T 8]])=TRUE,1,0))</f>
        <v>0</v>
      </c>
      <c r="H166">
        <v>155.54499999999999</v>
      </c>
      <c r="I166">
        <v>155.73599999999999</v>
      </c>
      <c r="J166">
        <v>168.459</v>
      </c>
      <c r="K166">
        <v>168.232</v>
      </c>
      <c r="L166">
        <v>155.755</v>
      </c>
      <c r="M166">
        <v>155.684</v>
      </c>
      <c r="N166">
        <v>27.47</v>
      </c>
      <c r="O166">
        <v>27.626000000000001</v>
      </c>
      <c r="R166">
        <v>17.241</v>
      </c>
      <c r="S166">
        <v>17.262</v>
      </c>
      <c r="T166">
        <v>37.281999999999996</v>
      </c>
      <c r="U166">
        <v>38.109000000000002</v>
      </c>
      <c r="W166">
        <v>8.5999999999999993E-2</v>
      </c>
      <c r="X166">
        <v>-0.05</v>
      </c>
      <c r="Z166">
        <v>4.2000000000000003E-2</v>
      </c>
      <c r="AA166">
        <v>-0.11</v>
      </c>
      <c r="AB166">
        <v>6.9000000000000006E-2</v>
      </c>
      <c r="AC166">
        <v>8.5999999999999993E-2</v>
      </c>
      <c r="AD166">
        <v>-3.5000000000000003E-2</v>
      </c>
      <c r="AE166">
        <v>-0.05</v>
      </c>
      <c r="AF166">
        <v>4.2000000000000003E-2</v>
      </c>
      <c r="AG166">
        <v>-0.02</v>
      </c>
      <c r="AH166">
        <v>-8.4000000000000005E-2</v>
      </c>
      <c r="AI166">
        <v>-0.11</v>
      </c>
    </row>
    <row r="167" spans="1:35" x14ac:dyDescent="0.25">
      <c r="A167" t="s">
        <v>2714</v>
      </c>
      <c r="B167" t="s">
        <v>32</v>
      </c>
      <c r="C167" s="25">
        <v>43711.812025462961</v>
      </c>
      <c r="D167" s="741" t="s">
        <v>2238</v>
      </c>
      <c r="E167" s="741">
        <f t="array" ref="E167">SUMPRODUCT(IF(AMP4_4[[#This Row],[Dim 1_1]:[T 8]]-$F$4:$AI$4&lt;0,1,0)+IF($F$5:$AI$5-AMP4_4[[#This Row],[Dim 1_1]:[T 8]]&lt;0,1,0),IF(ISNUMBER(AMP4_4[[#This Row],[Dim 1_1]:[T 8]])=TRUE,1,0))</f>
        <v>0</v>
      </c>
      <c r="F167">
        <v>41.276000000000003</v>
      </c>
      <c r="G167">
        <v>41.220999999999997</v>
      </c>
      <c r="H167">
        <v>155.83199999999999</v>
      </c>
      <c r="I167">
        <v>155.68299999999999</v>
      </c>
      <c r="L167">
        <v>155.93299999999999</v>
      </c>
      <c r="M167">
        <v>155.63200000000001</v>
      </c>
      <c r="N167">
        <v>27.212</v>
      </c>
      <c r="O167">
        <v>27.445</v>
      </c>
      <c r="R167">
        <v>17.256</v>
      </c>
      <c r="S167">
        <v>17.25</v>
      </c>
      <c r="T167">
        <v>33.555999999999997</v>
      </c>
      <c r="U167">
        <v>34.466999999999999</v>
      </c>
      <c r="W167">
        <v>7.6999999999999999E-2</v>
      </c>
      <c r="X167">
        <v>-7.0000000000000007E-2</v>
      </c>
      <c r="Z167">
        <v>0.14099999999999999</v>
      </c>
      <c r="AA167">
        <v>8.0000000000000002E-3</v>
      </c>
      <c r="AB167">
        <v>-7.0000000000000007E-2</v>
      </c>
      <c r="AC167">
        <v>-5.7000000000000002E-2</v>
      </c>
      <c r="AD167">
        <v>7.6999999999999999E-2</v>
      </c>
      <c r="AE167">
        <v>-1.7999999999999999E-2</v>
      </c>
      <c r="AF167">
        <v>5.3999999999999999E-2</v>
      </c>
      <c r="AG167">
        <v>8.0000000000000002E-3</v>
      </c>
      <c r="AH167">
        <v>0.108</v>
      </c>
      <c r="AI167">
        <v>0.14099999999999999</v>
      </c>
    </row>
    <row r="168" spans="1:35" x14ac:dyDescent="0.25">
      <c r="A168" t="s">
        <v>2715</v>
      </c>
      <c r="B168" t="s">
        <v>31</v>
      </c>
      <c r="C168" s="25">
        <v>43711.814212962963</v>
      </c>
      <c r="D168" s="741" t="s">
        <v>2238</v>
      </c>
      <c r="E168" s="741">
        <f t="array" ref="E168">SUMPRODUCT(IF(AMP4_4[[#This Row],[Dim 1_1]:[T 8]]-$F$4:$AI$4&lt;0,1,0)+IF($F$5:$AI$5-AMP4_4[[#This Row],[Dim 1_1]:[T 8]]&lt;0,1,0),IF(ISNUMBER(AMP4_4[[#This Row],[Dim 1_1]:[T 8]])=TRUE,1,0))</f>
        <v>0</v>
      </c>
      <c r="H168">
        <v>155.642</v>
      </c>
      <c r="I168">
        <v>155.77099999999999</v>
      </c>
      <c r="J168">
        <v>168.37</v>
      </c>
      <c r="K168">
        <v>168.21</v>
      </c>
      <c r="L168">
        <v>155.828</v>
      </c>
      <c r="M168">
        <v>155.74100000000001</v>
      </c>
      <c r="N168">
        <v>27.41</v>
      </c>
      <c r="O168">
        <v>27.544</v>
      </c>
      <c r="R168">
        <v>17.251000000000001</v>
      </c>
      <c r="S168">
        <v>17.213000000000001</v>
      </c>
      <c r="T168">
        <v>34.795000000000002</v>
      </c>
      <c r="U168">
        <v>34.366999999999997</v>
      </c>
      <c r="W168">
        <v>8.7999999999999995E-2</v>
      </c>
      <c r="X168">
        <v>-1.0999999999999999E-2</v>
      </c>
      <c r="Z168">
        <v>0.13400000000000001</v>
      </c>
      <c r="AA168">
        <v>3.9E-2</v>
      </c>
      <c r="AB168">
        <v>6.0999999999999999E-2</v>
      </c>
      <c r="AC168">
        <v>8.7999999999999995E-2</v>
      </c>
      <c r="AD168">
        <v>7.0000000000000001E-3</v>
      </c>
      <c r="AE168">
        <v>-1.0999999999999999E-2</v>
      </c>
      <c r="AF168">
        <v>0.13400000000000001</v>
      </c>
      <c r="AG168">
        <v>7.9000000000000001E-2</v>
      </c>
      <c r="AH168">
        <v>4.3999999999999997E-2</v>
      </c>
      <c r="AI168">
        <v>3.9E-2</v>
      </c>
    </row>
    <row r="169" spans="1:35" x14ac:dyDescent="0.25">
      <c r="A169" t="s">
        <v>2716</v>
      </c>
      <c r="B169" t="s">
        <v>32</v>
      </c>
      <c r="C169" s="25">
        <v>43711.89565972222</v>
      </c>
      <c r="D169" s="741" t="s">
        <v>2238</v>
      </c>
      <c r="E169" s="741">
        <f t="array" ref="E169">SUMPRODUCT(IF(AMP4_4[[#This Row],[Dim 1_1]:[T 8]]-$F$4:$AI$4&lt;0,1,0)+IF($F$5:$AI$5-AMP4_4[[#This Row],[Dim 1_1]:[T 8]]&lt;0,1,0),IF(ISNUMBER(AMP4_4[[#This Row],[Dim 1_1]:[T 8]])=TRUE,1,0))</f>
        <v>0</v>
      </c>
      <c r="F169">
        <v>41.267000000000003</v>
      </c>
      <c r="G169">
        <v>41.197000000000003</v>
      </c>
      <c r="H169">
        <v>155.81</v>
      </c>
      <c r="I169">
        <v>155.66900000000001</v>
      </c>
      <c r="L169">
        <v>155.929</v>
      </c>
      <c r="M169">
        <v>155.61600000000001</v>
      </c>
      <c r="N169">
        <v>27.254000000000001</v>
      </c>
      <c r="O169">
        <v>27.466999999999999</v>
      </c>
      <c r="R169">
        <v>17.239999999999998</v>
      </c>
      <c r="S169">
        <v>17.231000000000002</v>
      </c>
      <c r="T169">
        <v>33.625</v>
      </c>
      <c r="U169">
        <v>34.634</v>
      </c>
      <c r="W169">
        <v>0.17599999999999999</v>
      </c>
      <c r="X169">
        <v>1.7000000000000001E-2</v>
      </c>
      <c r="Z169">
        <v>0.16500000000000001</v>
      </c>
      <c r="AA169">
        <v>0.02</v>
      </c>
      <c r="AB169">
        <v>1.7999999999999999E-2</v>
      </c>
      <c r="AC169">
        <v>1.7000000000000001E-2</v>
      </c>
      <c r="AD169">
        <v>0.17599999999999999</v>
      </c>
      <c r="AE169">
        <v>3.1E-2</v>
      </c>
      <c r="AF169">
        <v>7.9000000000000001E-2</v>
      </c>
      <c r="AG169">
        <v>0.02</v>
      </c>
      <c r="AH169">
        <v>0.16500000000000001</v>
      </c>
      <c r="AI169">
        <v>0.155</v>
      </c>
    </row>
    <row r="170" spans="1:35" x14ac:dyDescent="0.25">
      <c r="A170" t="s">
        <v>2717</v>
      </c>
      <c r="B170" t="s">
        <v>31</v>
      </c>
      <c r="C170" s="25">
        <v>43711.89770833333</v>
      </c>
      <c r="D170" s="741" t="s">
        <v>2238</v>
      </c>
      <c r="E170" s="741">
        <f t="array" ref="E170">SUMPRODUCT(IF(AMP4_4[[#This Row],[Dim 1_1]:[T 8]]-$F$4:$AI$4&lt;0,1,0)+IF($F$5:$AI$5-AMP4_4[[#This Row],[Dim 1_1]:[T 8]]&lt;0,1,0),IF(ISNUMBER(AMP4_4[[#This Row],[Dim 1_1]:[T 8]])=TRUE,1,0))</f>
        <v>0</v>
      </c>
      <c r="H170">
        <v>155.60900000000001</v>
      </c>
      <c r="I170">
        <v>155.73699999999999</v>
      </c>
      <c r="J170">
        <v>168.37700000000001</v>
      </c>
      <c r="K170">
        <v>168.17099999999999</v>
      </c>
      <c r="L170">
        <v>155.792</v>
      </c>
      <c r="M170">
        <v>155.68899999999999</v>
      </c>
      <c r="N170">
        <v>27.402000000000001</v>
      </c>
      <c r="O170">
        <v>27.573</v>
      </c>
      <c r="R170">
        <v>17.236000000000001</v>
      </c>
      <c r="S170">
        <v>17.215</v>
      </c>
      <c r="T170">
        <v>37.515000000000001</v>
      </c>
      <c r="U170">
        <v>38.323</v>
      </c>
      <c r="W170">
        <v>7.6999999999999999E-2</v>
      </c>
      <c r="X170">
        <v>-3.5999999999999997E-2</v>
      </c>
      <c r="Z170">
        <v>0.14499999999999999</v>
      </c>
      <c r="AA170">
        <v>-1.7999999999999999E-2</v>
      </c>
      <c r="AB170">
        <v>5.8000000000000003E-2</v>
      </c>
      <c r="AC170">
        <v>7.6999999999999999E-2</v>
      </c>
      <c r="AD170">
        <v>-2.5999999999999999E-2</v>
      </c>
      <c r="AE170">
        <v>-3.5999999999999997E-2</v>
      </c>
      <c r="AF170">
        <v>0.14499999999999999</v>
      </c>
      <c r="AG170">
        <v>6.8000000000000005E-2</v>
      </c>
      <c r="AH170">
        <v>-1.7000000000000001E-2</v>
      </c>
      <c r="AI170">
        <v>-1.7999999999999999E-2</v>
      </c>
    </row>
    <row r="171" spans="1:35" x14ac:dyDescent="0.25">
      <c r="A171" t="s">
        <v>2718</v>
      </c>
      <c r="B171" t="s">
        <v>32</v>
      </c>
      <c r="C171" s="25">
        <v>43711.988692129627</v>
      </c>
      <c r="D171" s="741" t="s">
        <v>2238</v>
      </c>
      <c r="E171" s="741">
        <f t="array" ref="E171">SUMPRODUCT(IF(AMP4_4[[#This Row],[Dim 1_1]:[T 8]]-$F$4:$AI$4&lt;0,1,0)+IF($F$5:$AI$5-AMP4_4[[#This Row],[Dim 1_1]:[T 8]]&lt;0,1,0),IF(ISNUMBER(AMP4_4[[#This Row],[Dim 1_1]:[T 8]])=TRUE,1,0))</f>
        <v>0</v>
      </c>
      <c r="F171">
        <v>41.218000000000004</v>
      </c>
      <c r="G171">
        <v>41.145000000000003</v>
      </c>
      <c r="H171">
        <v>155.83500000000001</v>
      </c>
      <c r="I171">
        <v>155.69800000000001</v>
      </c>
      <c r="L171">
        <v>155.94499999999999</v>
      </c>
      <c r="M171">
        <v>155.63999999999999</v>
      </c>
      <c r="N171">
        <v>27.222999999999999</v>
      </c>
      <c r="O171">
        <v>27.439</v>
      </c>
      <c r="R171">
        <v>17.190000000000001</v>
      </c>
      <c r="S171">
        <v>17.198</v>
      </c>
      <c r="T171">
        <v>33.459000000000003</v>
      </c>
      <c r="U171">
        <v>34.601999999999997</v>
      </c>
      <c r="W171">
        <v>0.154</v>
      </c>
      <c r="X171">
        <v>-3.4000000000000002E-2</v>
      </c>
      <c r="Z171">
        <v>0.112</v>
      </c>
      <c r="AA171">
        <v>-6.0999999999999999E-2</v>
      </c>
      <c r="AB171">
        <v>-3.4000000000000002E-2</v>
      </c>
      <c r="AC171">
        <v>-2.5999999999999999E-2</v>
      </c>
      <c r="AD171">
        <v>0.154</v>
      </c>
      <c r="AE171">
        <v>8.9999999999999993E-3</v>
      </c>
      <c r="AF171">
        <v>-1.4999999999999999E-2</v>
      </c>
      <c r="AG171">
        <v>-6.0999999999999999E-2</v>
      </c>
      <c r="AH171">
        <v>5.6000000000000001E-2</v>
      </c>
      <c r="AI171">
        <v>0.112</v>
      </c>
    </row>
    <row r="172" spans="1:35" x14ac:dyDescent="0.25">
      <c r="A172" t="s">
        <v>2719</v>
      </c>
      <c r="B172" t="s">
        <v>31</v>
      </c>
      <c r="C172" s="25">
        <v>43711.99150462963</v>
      </c>
      <c r="D172" s="741" t="s">
        <v>2238</v>
      </c>
      <c r="E172" s="741">
        <f t="array" ref="E172">SUMPRODUCT(IF(AMP4_4[[#This Row],[Dim 1_1]:[T 8]]-$F$4:$AI$4&lt;0,1,0)+IF($F$5:$AI$5-AMP4_4[[#This Row],[Dim 1_1]:[T 8]]&lt;0,1,0),IF(ISNUMBER(AMP4_4[[#This Row],[Dim 1_1]:[T 8]])=TRUE,1,0))</f>
        <v>0</v>
      </c>
      <c r="H172">
        <v>155.66200000000001</v>
      </c>
      <c r="I172">
        <v>155.82400000000001</v>
      </c>
      <c r="J172">
        <v>168.42099999999999</v>
      </c>
      <c r="K172">
        <v>168.26900000000001</v>
      </c>
      <c r="L172">
        <v>155.845</v>
      </c>
      <c r="M172">
        <v>155.78399999999999</v>
      </c>
      <c r="N172">
        <v>27.361999999999998</v>
      </c>
      <c r="O172">
        <v>27.460999999999999</v>
      </c>
      <c r="R172">
        <v>17.234999999999999</v>
      </c>
      <c r="S172">
        <v>17.196000000000002</v>
      </c>
      <c r="T172">
        <v>36.786000000000001</v>
      </c>
      <c r="U172">
        <v>37.841999999999999</v>
      </c>
      <c r="W172">
        <v>8.0000000000000002E-3</v>
      </c>
      <c r="X172">
        <v>-7.1999999999999995E-2</v>
      </c>
      <c r="Z172">
        <v>0.09</v>
      </c>
      <c r="AA172">
        <v>-5.3999999999999999E-2</v>
      </c>
      <c r="AB172">
        <v>-2.3E-2</v>
      </c>
      <c r="AC172">
        <v>8.0000000000000002E-3</v>
      </c>
      <c r="AD172">
        <v>-7.1999999999999995E-2</v>
      </c>
      <c r="AE172">
        <v>-6.2E-2</v>
      </c>
      <c r="AF172">
        <v>0.09</v>
      </c>
      <c r="AG172">
        <v>2.4E-2</v>
      </c>
      <c r="AH172">
        <v>-1.4E-2</v>
      </c>
      <c r="AI172">
        <v>-5.3999999999999999E-2</v>
      </c>
    </row>
    <row r="173" spans="1:35" x14ac:dyDescent="0.25">
      <c r="A173" t="s">
        <v>2720</v>
      </c>
      <c r="B173" t="s">
        <v>32</v>
      </c>
      <c r="C173" s="25">
        <v>43712.058715277781</v>
      </c>
      <c r="D173" s="741" t="s">
        <v>2238</v>
      </c>
      <c r="E173" s="741">
        <f t="array" ref="E173">SUMPRODUCT(IF(AMP4_4[[#This Row],[Dim 1_1]:[T 8]]-$F$4:$AI$4&lt;0,1,0)+IF($F$5:$AI$5-AMP4_4[[#This Row],[Dim 1_1]:[T 8]]&lt;0,1,0),IF(ISNUMBER(AMP4_4[[#This Row],[Dim 1_1]:[T 8]])=TRUE,1,0))</f>
        <v>0</v>
      </c>
      <c r="F173">
        <v>41.316000000000003</v>
      </c>
      <c r="G173">
        <v>41.231999999999999</v>
      </c>
      <c r="H173">
        <v>155.786</v>
      </c>
      <c r="I173">
        <v>155.685</v>
      </c>
      <c r="L173">
        <v>155.935</v>
      </c>
      <c r="M173">
        <v>155.625</v>
      </c>
      <c r="N173">
        <v>27.238</v>
      </c>
      <c r="O173">
        <v>27.457000000000001</v>
      </c>
      <c r="R173">
        <v>17.23</v>
      </c>
      <c r="S173">
        <v>17.276</v>
      </c>
      <c r="T173">
        <v>33.969000000000001</v>
      </c>
      <c r="U173">
        <v>34.115000000000002</v>
      </c>
      <c r="W173">
        <v>4.5999999999999999E-2</v>
      </c>
      <c r="X173">
        <v>-6.4000000000000001E-2</v>
      </c>
      <c r="Z173">
        <v>-2.1999999999999999E-2</v>
      </c>
      <c r="AA173">
        <v>-8.5999999999999993E-2</v>
      </c>
      <c r="AB173">
        <v>-0.02</v>
      </c>
      <c r="AC173">
        <v>-7.0000000000000001E-3</v>
      </c>
      <c r="AD173">
        <v>4.5999999999999999E-2</v>
      </c>
      <c r="AE173">
        <v>-6.4000000000000001E-2</v>
      </c>
      <c r="AF173">
        <v>-2.1999999999999999E-2</v>
      </c>
      <c r="AG173">
        <v>-8.5999999999999993E-2</v>
      </c>
      <c r="AH173">
        <v>-0.04</v>
      </c>
      <c r="AI173">
        <v>-2.3E-2</v>
      </c>
    </row>
    <row r="174" spans="1:35" x14ac:dyDescent="0.25">
      <c r="A174" t="s">
        <v>2721</v>
      </c>
      <c r="B174" t="s">
        <v>31</v>
      </c>
      <c r="C174" s="25">
        <v>43712.060787037037</v>
      </c>
      <c r="D174" s="741" t="s">
        <v>2238</v>
      </c>
      <c r="E174" s="741">
        <f t="array" ref="E174">SUMPRODUCT(IF(AMP4_4[[#This Row],[Dim 1_1]:[T 8]]-$F$4:$AI$4&lt;0,1,0)+IF($F$5:$AI$5-AMP4_4[[#This Row],[Dim 1_1]:[T 8]]&lt;0,1,0),IF(ISNUMBER(AMP4_4[[#This Row],[Dim 1_1]:[T 8]])=TRUE,1,0))</f>
        <v>0</v>
      </c>
      <c r="H174">
        <v>155.65199999999999</v>
      </c>
      <c r="I174">
        <v>155.82300000000001</v>
      </c>
      <c r="J174">
        <v>168.42500000000001</v>
      </c>
      <c r="K174">
        <v>168.33500000000001</v>
      </c>
      <c r="L174">
        <v>155.81399999999999</v>
      </c>
      <c r="M174">
        <v>155.78700000000001</v>
      </c>
      <c r="N174">
        <v>27.373999999999999</v>
      </c>
      <c r="O174">
        <v>27.489000000000001</v>
      </c>
      <c r="R174">
        <v>17.215</v>
      </c>
      <c r="S174">
        <v>17.201000000000001</v>
      </c>
      <c r="T174">
        <v>35.768999999999998</v>
      </c>
      <c r="U174">
        <v>38.021999999999998</v>
      </c>
      <c r="W174">
        <v>-2.4E-2</v>
      </c>
      <c r="X174">
        <v>-0.104</v>
      </c>
      <c r="Z174">
        <v>5.8000000000000003E-2</v>
      </c>
      <c r="AA174">
        <v>-0.105</v>
      </c>
      <c r="AB174">
        <v>-4.1000000000000002E-2</v>
      </c>
      <c r="AC174">
        <v>-2.4E-2</v>
      </c>
      <c r="AD174">
        <v>-9.4E-2</v>
      </c>
      <c r="AE174">
        <v>-0.104</v>
      </c>
      <c r="AF174">
        <v>5.8000000000000003E-2</v>
      </c>
      <c r="AG174">
        <v>-1.0999999999999999E-2</v>
      </c>
      <c r="AH174">
        <v>-0.105</v>
      </c>
      <c r="AI174">
        <v>-7.9000000000000001E-2</v>
      </c>
    </row>
    <row r="175" spans="1:35" x14ac:dyDescent="0.25">
      <c r="A175" t="s">
        <v>2722</v>
      </c>
      <c r="B175" t="s">
        <v>32</v>
      </c>
      <c r="C175" s="25">
        <v>43712.338113425925</v>
      </c>
      <c r="D175" s="741" t="s">
        <v>2238</v>
      </c>
      <c r="E175" s="741">
        <f t="array" ref="E175">SUMPRODUCT(IF(AMP4_4[[#This Row],[Dim 1_1]:[T 8]]-$F$4:$AI$4&lt;0,1,0)+IF($F$5:$AI$5-AMP4_4[[#This Row],[Dim 1_1]:[T 8]]&lt;0,1,0),IF(ISNUMBER(AMP4_4[[#This Row],[Dim 1_1]:[T 8]])=TRUE,1,0))</f>
        <v>0</v>
      </c>
      <c r="F175">
        <v>41.283999999999999</v>
      </c>
      <c r="G175">
        <v>41.302999999999997</v>
      </c>
      <c r="H175">
        <v>155.83600000000001</v>
      </c>
      <c r="I175">
        <v>155.59200000000001</v>
      </c>
      <c r="L175">
        <v>155.92099999999999</v>
      </c>
      <c r="M175">
        <v>155.47900000000001</v>
      </c>
      <c r="N175">
        <v>27.23</v>
      </c>
      <c r="O175">
        <v>27.606000000000002</v>
      </c>
      <c r="R175">
        <v>17.239999999999998</v>
      </c>
      <c r="S175">
        <v>17.253</v>
      </c>
      <c r="T175">
        <v>34.534999999999997</v>
      </c>
      <c r="U175">
        <v>33.826999999999998</v>
      </c>
      <c r="W175">
        <v>0.18</v>
      </c>
      <c r="X175">
        <v>6.9000000000000006E-2</v>
      </c>
      <c r="Z175">
        <v>0.121</v>
      </c>
      <c r="AA175">
        <v>3.0000000000000001E-3</v>
      </c>
      <c r="AB175">
        <v>6.9000000000000006E-2</v>
      </c>
      <c r="AC175">
        <v>0.08</v>
      </c>
      <c r="AD175">
        <v>0.18</v>
      </c>
      <c r="AE175">
        <v>7.2999999999999995E-2</v>
      </c>
      <c r="AF175">
        <v>5.1999999999999998E-2</v>
      </c>
      <c r="AG175">
        <v>3.0000000000000001E-3</v>
      </c>
      <c r="AH175">
        <v>0.10100000000000001</v>
      </c>
      <c r="AI175">
        <v>0.121</v>
      </c>
    </row>
    <row r="176" spans="1:35" x14ac:dyDescent="0.25">
      <c r="A176" t="s">
        <v>2723</v>
      </c>
      <c r="B176" t="s">
        <v>31</v>
      </c>
      <c r="C176" s="25">
        <v>43712.340868055559</v>
      </c>
      <c r="D176" s="741" t="s">
        <v>2238</v>
      </c>
      <c r="E176" s="741">
        <f t="array" ref="E176">SUMPRODUCT(IF(AMP4_4[[#This Row],[Dim 1_1]:[T 8]]-$F$4:$AI$4&lt;0,1,0)+IF($F$5:$AI$5-AMP4_4[[#This Row],[Dim 1_1]:[T 8]]&lt;0,1,0),IF(ISNUMBER(AMP4_4[[#This Row],[Dim 1_1]:[T 8]])=TRUE,1,0))</f>
        <v>0</v>
      </c>
      <c r="H176">
        <v>155.62700000000001</v>
      </c>
      <c r="I176">
        <v>155.898</v>
      </c>
      <c r="J176">
        <v>168.44300000000001</v>
      </c>
      <c r="K176">
        <v>168.36600000000001</v>
      </c>
      <c r="L176">
        <v>155.83000000000001</v>
      </c>
      <c r="M176">
        <v>155.928</v>
      </c>
      <c r="N176">
        <v>27.395</v>
      </c>
      <c r="O176">
        <v>27.375</v>
      </c>
      <c r="R176">
        <v>17.234999999999999</v>
      </c>
      <c r="S176">
        <v>17.181999999999999</v>
      </c>
      <c r="T176">
        <v>35.359000000000002</v>
      </c>
      <c r="U176">
        <v>36.804000000000002</v>
      </c>
      <c r="W176">
        <v>7.0000000000000007E-2</v>
      </c>
      <c r="X176">
        <v>-4.0000000000000001E-3</v>
      </c>
      <c r="Z176">
        <v>0.161</v>
      </c>
      <c r="AA176">
        <v>5.7000000000000002E-2</v>
      </c>
      <c r="AB176">
        <v>4.1000000000000002E-2</v>
      </c>
      <c r="AC176">
        <v>7.0000000000000007E-2</v>
      </c>
      <c r="AD176">
        <v>5.0000000000000001E-3</v>
      </c>
      <c r="AE176">
        <v>-4.0000000000000001E-3</v>
      </c>
      <c r="AF176">
        <v>0.161</v>
      </c>
      <c r="AG176">
        <v>0.107</v>
      </c>
      <c r="AH176">
        <v>9.5000000000000001E-2</v>
      </c>
      <c r="AI176">
        <v>5.7000000000000002E-2</v>
      </c>
    </row>
    <row r="177" spans="4:5" x14ac:dyDescent="0.25">
      <c r="D177" s="25"/>
      <c r="E177" s="740"/>
    </row>
    <row r="178" spans="4:5" x14ac:dyDescent="0.25">
      <c r="D178" s="25"/>
    </row>
    <row r="179" spans="4:5" x14ac:dyDescent="0.25">
      <c r="D179" s="25"/>
    </row>
    <row r="180" spans="4:5" x14ac:dyDescent="0.25">
      <c r="D180" s="25"/>
    </row>
    <row r="181" spans="4:5" x14ac:dyDescent="0.25">
      <c r="D181" s="25"/>
    </row>
    <row r="182" spans="4:5" x14ac:dyDescent="0.25">
      <c r="D182" s="25"/>
    </row>
    <row r="183" spans="4:5" x14ac:dyDescent="0.25">
      <c r="D183" s="25"/>
    </row>
    <row r="184" spans="4:5" x14ac:dyDescent="0.25">
      <c r="D184" s="25"/>
    </row>
    <row r="185" spans="4:5" x14ac:dyDescent="0.25">
      <c r="D185" s="25"/>
    </row>
    <row r="186" spans="4:5" x14ac:dyDescent="0.25">
      <c r="D186" s="25"/>
    </row>
    <row r="187" spans="4:5" x14ac:dyDescent="0.25">
      <c r="D187" s="25"/>
    </row>
    <row r="188" spans="4:5" x14ac:dyDescent="0.25">
      <c r="D188" s="25"/>
    </row>
    <row r="189" spans="4:5" x14ac:dyDescent="0.25">
      <c r="D189" s="25"/>
    </row>
    <row r="190" spans="4:5" x14ac:dyDescent="0.25">
      <c r="D190" s="25"/>
    </row>
    <row r="191" spans="4:5" x14ac:dyDescent="0.25">
      <c r="D191" s="25"/>
    </row>
    <row r="192" spans="4:5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  <row r="205" spans="4:4" x14ac:dyDescent="0.25">
      <c r="D205" s="25"/>
    </row>
    <row r="206" spans="4:4" x14ac:dyDescent="0.25">
      <c r="D206" s="25"/>
    </row>
    <row r="207" spans="4:4" x14ac:dyDescent="0.25">
      <c r="D207" s="25"/>
    </row>
    <row r="208" spans="4:4" x14ac:dyDescent="0.25">
      <c r="D208" s="25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12" spans="4:4" x14ac:dyDescent="0.25">
      <c r="D212" s="25"/>
    </row>
    <row r="213" spans="4:4" x14ac:dyDescent="0.25">
      <c r="D213" s="25"/>
    </row>
    <row r="214" spans="4:4" x14ac:dyDescent="0.25">
      <c r="D214" s="25"/>
    </row>
    <row r="215" spans="4:4" x14ac:dyDescent="0.25">
      <c r="D215" s="25"/>
    </row>
    <row r="216" spans="4:4" x14ac:dyDescent="0.25">
      <c r="D216" s="25"/>
    </row>
    <row r="217" spans="4:4" x14ac:dyDescent="0.25">
      <c r="D217" s="25"/>
    </row>
    <row r="218" spans="4:4" x14ac:dyDescent="0.25">
      <c r="D218" s="25"/>
    </row>
    <row r="219" spans="4:4" x14ac:dyDescent="0.25">
      <c r="D219" s="25"/>
    </row>
    <row r="220" spans="4:4" x14ac:dyDescent="0.25">
      <c r="D220" s="25"/>
    </row>
    <row r="221" spans="4:4" x14ac:dyDescent="0.25">
      <c r="D221" s="25"/>
    </row>
    <row r="222" spans="4:4" x14ac:dyDescent="0.25">
      <c r="D222" s="25"/>
    </row>
    <row r="223" spans="4:4" x14ac:dyDescent="0.25">
      <c r="D223" s="25"/>
    </row>
    <row r="224" spans="4:4" x14ac:dyDescent="0.25">
      <c r="D224" s="25"/>
    </row>
    <row r="225" spans="4:4" x14ac:dyDescent="0.25">
      <c r="D225" s="25"/>
    </row>
    <row r="226" spans="4:4" x14ac:dyDescent="0.25">
      <c r="D226" s="25"/>
    </row>
    <row r="227" spans="4:4" x14ac:dyDescent="0.25">
      <c r="D227" s="25"/>
    </row>
    <row r="228" spans="4:4" x14ac:dyDescent="0.25">
      <c r="D228" s="25"/>
    </row>
    <row r="229" spans="4:4" x14ac:dyDescent="0.25">
      <c r="D229" s="25"/>
    </row>
    <row r="230" spans="4:4" x14ac:dyDescent="0.25">
      <c r="D230" s="25"/>
    </row>
    <row r="231" spans="4:4" x14ac:dyDescent="0.25">
      <c r="D231" s="25"/>
    </row>
    <row r="232" spans="4:4" x14ac:dyDescent="0.25">
      <c r="D232" s="25"/>
    </row>
    <row r="233" spans="4:4" x14ac:dyDescent="0.25">
      <c r="D233" s="25"/>
    </row>
    <row r="234" spans="4:4" x14ac:dyDescent="0.25">
      <c r="D234" s="25"/>
    </row>
    <row r="235" spans="4:4" x14ac:dyDescent="0.25">
      <c r="D235" s="25"/>
    </row>
    <row r="236" spans="4:4" x14ac:dyDescent="0.25">
      <c r="D236" s="25"/>
    </row>
    <row r="237" spans="4:4" x14ac:dyDescent="0.25">
      <c r="D237" s="25"/>
    </row>
    <row r="238" spans="4:4" x14ac:dyDescent="0.25">
      <c r="D238" s="25"/>
    </row>
    <row r="239" spans="4:4" x14ac:dyDescent="0.25">
      <c r="D239" s="25"/>
    </row>
    <row r="240" spans="4:4" x14ac:dyDescent="0.25">
      <c r="D240" s="25"/>
    </row>
    <row r="241" spans="4:4" x14ac:dyDescent="0.25">
      <c r="D241" s="25"/>
    </row>
    <row r="242" spans="4:4" x14ac:dyDescent="0.25">
      <c r="D242" s="25"/>
    </row>
    <row r="243" spans="4:4" x14ac:dyDescent="0.25">
      <c r="D243" s="25"/>
    </row>
  </sheetData>
  <mergeCells count="1">
    <mergeCell ref="E1:E2"/>
  </mergeCells>
  <conditionalFormatting sqref="AJ8:XFD8 B10:D176">
    <cfRule type="notContainsBlanks" priority="11" stopIfTrue="1">
      <formula>LEN(TRIM(B8))&gt;0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194" priority="10"/>
  </conditionalFormatting>
  <conditionalFormatting sqref="F6:S7 V6:AI7">
    <cfRule type="cellIs" dxfId="193" priority="5" stopIfTrue="1" operator="notBetween">
      <formula>0.35</formula>
      <formula>-0.35</formula>
    </cfRule>
    <cfRule type="cellIs" dxfId="192" priority="6" operator="notBetween">
      <formula>0.2</formula>
      <formula>-0.2</formula>
    </cfRule>
  </conditionalFormatting>
  <conditionalFormatting sqref="E1 E3:E1048576">
    <cfRule type="cellIs" dxfId="191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190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189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5"/>
  <dimension ref="A1:R48"/>
  <sheetViews>
    <sheetView tabSelected="1" topLeftCell="A13" zoomScaleNormal="100" workbookViewId="0"/>
  </sheetViews>
  <sheetFormatPr defaultRowHeight="15" x14ac:dyDescent="0.25"/>
  <cols>
    <col min="1" max="1" width="4.7109375" customWidth="1"/>
    <col min="2" max="2" width="6.140625" customWidth="1"/>
    <col min="3" max="3" width="28.28515625" customWidth="1"/>
    <col min="4" max="4" width="23" customWidth="1"/>
    <col min="5" max="5" width="16.28515625" style="629" customWidth="1"/>
    <col min="6" max="6" width="12.140625" style="629" customWidth="1"/>
    <col min="7" max="7" width="7" style="629" customWidth="1"/>
    <col min="8" max="8" width="8.5703125" bestFit="1" customWidth="1"/>
    <col min="9" max="9" width="13.140625" bestFit="1" customWidth="1"/>
    <col min="10" max="10" width="7.85546875" bestFit="1" customWidth="1"/>
    <col min="11" max="11" width="9.7109375" bestFit="1" customWidth="1"/>
    <col min="12" max="12" width="8.42578125" bestFit="1" customWidth="1"/>
    <col min="13" max="13" width="12.7109375" bestFit="1" customWidth="1"/>
    <col min="14" max="14" width="11.28515625" bestFit="1" customWidth="1"/>
    <col min="15" max="15" width="8.140625" bestFit="1" customWidth="1"/>
    <col min="16" max="16" width="9.140625" bestFit="1" customWidth="1"/>
    <col min="17" max="17" width="7" bestFit="1" customWidth="1"/>
    <col min="18" max="18" width="4.7109375" customWidth="1"/>
  </cols>
  <sheetData>
    <row r="1" spans="1:18" ht="15.75" customHeight="1" thickBot="1" x14ac:dyDescent="0.3">
      <c r="A1" s="410"/>
      <c r="B1" s="411"/>
      <c r="C1" s="411"/>
      <c r="D1" s="411"/>
      <c r="E1" s="653"/>
      <c r="F1" s="653"/>
      <c r="G1" s="653"/>
      <c r="H1" s="865" t="s">
        <v>184</v>
      </c>
      <c r="I1" s="865"/>
      <c r="J1" s="865"/>
      <c r="K1" s="865"/>
      <c r="L1" s="865"/>
      <c r="M1" s="865"/>
      <c r="N1" s="865"/>
      <c r="O1" s="865"/>
      <c r="P1" s="865"/>
      <c r="Q1" s="865"/>
      <c r="R1" s="420"/>
    </row>
    <row r="2" spans="1:18" ht="15" customHeight="1" x14ac:dyDescent="0.25">
      <c r="A2" s="335"/>
      <c r="B2" s="873" t="s">
        <v>311</v>
      </c>
      <c r="C2" s="874"/>
      <c r="D2" s="875"/>
      <c r="E2" s="668"/>
      <c r="F2" s="668"/>
      <c r="G2" s="668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337"/>
    </row>
    <row r="3" spans="1:18" ht="15" customHeight="1" x14ac:dyDescent="0.25">
      <c r="A3" s="654"/>
      <c r="B3" s="876"/>
      <c r="C3" s="877"/>
      <c r="D3" s="878"/>
      <c r="E3" s="668"/>
      <c r="F3" s="668"/>
      <c r="G3" s="668"/>
      <c r="H3" s="590"/>
      <c r="I3" s="590"/>
      <c r="J3" s="590"/>
      <c r="K3" s="882" t="s">
        <v>514</v>
      </c>
      <c r="L3" s="882"/>
      <c r="M3" s="502"/>
      <c r="N3" s="881" t="s">
        <v>474</v>
      </c>
      <c r="O3" s="881"/>
      <c r="P3" s="883" t="s">
        <v>517</v>
      </c>
      <c r="Q3" s="884"/>
      <c r="R3" s="337"/>
    </row>
    <row r="4" spans="1:18" ht="15" customHeight="1" x14ac:dyDescent="0.25">
      <c r="A4" s="654"/>
      <c r="B4" s="867" t="s">
        <v>470</v>
      </c>
      <c r="C4" s="868"/>
      <c r="D4" s="869"/>
      <c r="E4" s="668"/>
      <c r="F4" s="668"/>
      <c r="G4" s="668"/>
      <c r="H4" s="665" t="s">
        <v>105</v>
      </c>
      <c r="I4" s="665" t="s">
        <v>242</v>
      </c>
      <c r="J4" s="665" t="s">
        <v>156</v>
      </c>
      <c r="K4" s="669" t="s">
        <v>515</v>
      </c>
      <c r="L4" s="669" t="s">
        <v>516</v>
      </c>
      <c r="M4" s="670" t="s">
        <v>209</v>
      </c>
      <c r="N4" s="666" t="s">
        <v>513</v>
      </c>
      <c r="O4" s="666" t="s">
        <v>512</v>
      </c>
      <c r="P4" s="666" t="s">
        <v>518</v>
      </c>
      <c r="Q4" s="666" t="s">
        <v>519</v>
      </c>
      <c r="R4" s="337"/>
    </row>
    <row r="5" spans="1:18" ht="15" customHeight="1" x14ac:dyDescent="0.25">
      <c r="A5" s="654"/>
      <c r="B5" s="867"/>
      <c r="C5" s="868"/>
      <c r="D5" s="869"/>
      <c r="E5" s="668"/>
      <c r="F5" s="668"/>
      <c r="G5" s="668"/>
      <c r="H5" s="796" t="s">
        <v>278</v>
      </c>
      <c r="I5" s="887" t="s">
        <v>200</v>
      </c>
      <c r="J5" s="702" t="s">
        <v>273</v>
      </c>
      <c r="K5" s="664">
        <f>COUNTIFS('AMP1-2'!7:8,"&lt;.35",'AMP1-2'!7:8,"&gt;=.2")+COUNTIFS('AMP1-2'!7:8,"&gt;-.35",'AMP1-2'!7:8,"&lt;=-.2")</f>
        <v>1</v>
      </c>
      <c r="L5" s="664">
        <f>COUNTIFS('AMP1-2'!7:8,"&gt;=.35")+COUNTIFS('AMP1-2'!7:8,"&lt;=-.35")-COUNTIFS('AMP1-2'!AF7:AG8,"&gt;1")</f>
        <v>2</v>
      </c>
      <c r="M5" s="703">
        <f>IFERROR(INDEX(OffsetHistory[CreateDate],MATCH(J5,OffsetHistory[30_Fixtures.Nomenclature],0)),0)</f>
        <v>43557.232256944444</v>
      </c>
      <c r="N5" s="699">
        <f>COUNTIFS(AMP1_2[Date],"&gt;"&amp;M5)</f>
        <v>99</v>
      </c>
      <c r="O5" s="699">
        <f>COUNTA(AMP1_2[Date])</f>
        <v>99</v>
      </c>
      <c r="P5" s="796">
        <f>INDEX(Counters!$C$2:$C$9,MATCH(I5,Counters!$A$2:$A$9,0))</f>
        <v>24</v>
      </c>
      <c r="Q5" s="796">
        <f>INDEX(Counters!$D$2:$D$9,MATCH(I5,Counters!$A$2:$A$9,0))</f>
        <v>850</v>
      </c>
      <c r="R5" s="337"/>
    </row>
    <row r="6" spans="1:18" ht="15" customHeight="1" thickBot="1" x14ac:dyDescent="0.35">
      <c r="A6" s="335"/>
      <c r="B6" s="870"/>
      <c r="C6" s="871"/>
      <c r="D6" s="872"/>
      <c r="E6" s="655"/>
      <c r="F6" s="655"/>
      <c r="G6" s="655"/>
      <c r="H6" s="796"/>
      <c r="I6" s="888"/>
      <c r="J6" s="702" t="s">
        <v>272</v>
      </c>
      <c r="K6" s="664">
        <f>COUNTIFS('AMP1-6'!7:8,"&lt;.35",'AMP1-6'!7:8,"&gt;=.2")+COUNTIFS('AMP1-6'!7:8,"&gt;-.35",'AMP1-6'!7:8,"&lt;=-.2")</f>
        <v>6</v>
      </c>
      <c r="L6" s="664">
        <f>COUNTIFS('AMP1-6'!7:8,"&gt;=.35")+COUNTIFS('AMP1-6'!7:8,"&lt;=-.35")-COUNTIFS('AMP1-6'!AF7:AG8,"&gt;1")</f>
        <v>5</v>
      </c>
      <c r="M6" s="703">
        <f>IFERROR(INDEX(OffsetHistory[CreateDate],MATCH(J6,OffsetHistory[30_Fixtures.Nomenclature],0)),0)</f>
        <v>43628.430706018517</v>
      </c>
      <c r="N6" s="699">
        <f>COUNTIFS(AMP1_6[Date],"&gt;"&amp;M6)</f>
        <v>98</v>
      </c>
      <c r="O6" s="699">
        <f>COUNTA(AMP1_6[Date])</f>
        <v>98</v>
      </c>
      <c r="P6" s="796"/>
      <c r="Q6" s="796"/>
      <c r="R6" s="337"/>
    </row>
    <row r="7" spans="1:18" ht="16.5" customHeight="1" x14ac:dyDescent="0.25">
      <c r="A7" s="335"/>
      <c r="B7" s="819">
        <v>1</v>
      </c>
      <c r="C7" s="879" t="s">
        <v>480</v>
      </c>
      <c r="D7" s="617"/>
      <c r="E7" s="627"/>
      <c r="F7" s="627"/>
      <c r="G7" s="627"/>
      <c r="H7" s="796"/>
      <c r="I7" s="889"/>
      <c r="J7" s="702" t="s">
        <v>274</v>
      </c>
      <c r="K7" s="664">
        <f>COUNTIFS('AMP1-8'!7:8,"&lt;.35",'AMP1-8'!7:8,"&gt;=.2")+COUNTIFS('AMP1-8'!7:8,"&gt;-.35",'AMP1-8'!7:8,"&lt;=-.2")</f>
        <v>2</v>
      </c>
      <c r="L7" s="664">
        <f>COUNTIFS('AMP1-8'!7:8,"&gt;=.35")+COUNTIFS('AMP1-8'!7:8,"&lt;=-.35")-COUNTIFS('AMP1-8'!AF7:AG8,"&gt;1")</f>
        <v>4</v>
      </c>
      <c r="M7" s="703">
        <f>IFERROR(INDEX(OffsetHistory[CreateDate],MATCH(J7,OffsetHistory[30_Fixtures.Nomenclature],0)),0)</f>
        <v>43545.255659722221</v>
      </c>
      <c r="N7" s="699">
        <f>COUNTIFS(AMP1_8[Date],"&gt;"&amp;M7)</f>
        <v>82</v>
      </c>
      <c r="O7" s="699">
        <f>COUNTA(AMP1_8[Date])</f>
        <v>82</v>
      </c>
      <c r="P7" s="796"/>
      <c r="Q7" s="796"/>
      <c r="R7" s="337"/>
    </row>
    <row r="8" spans="1:18" ht="15.75" customHeight="1" thickBot="1" x14ac:dyDescent="0.3">
      <c r="A8" s="335"/>
      <c r="B8" s="821"/>
      <c r="C8" s="880"/>
      <c r="D8" s="618"/>
      <c r="E8" s="627"/>
      <c r="F8" s="627"/>
      <c r="G8" s="627"/>
      <c r="H8" s="590"/>
      <c r="I8" s="590"/>
      <c r="J8" s="590"/>
      <c r="K8" s="590"/>
      <c r="L8" s="590"/>
      <c r="M8" s="502"/>
      <c r="N8" s="502"/>
      <c r="O8" s="502"/>
      <c r="P8" s="502"/>
      <c r="Q8" s="502"/>
      <c r="R8" s="337"/>
    </row>
    <row r="9" spans="1:18" ht="15" customHeight="1" x14ac:dyDescent="0.25">
      <c r="A9" s="335"/>
      <c r="B9" s="798">
        <v>2</v>
      </c>
      <c r="C9" s="885" t="s">
        <v>306</v>
      </c>
      <c r="D9" s="514"/>
      <c r="E9" s="627"/>
      <c r="F9" s="627"/>
      <c r="G9" s="627"/>
      <c r="H9" s="796" t="s">
        <v>279</v>
      </c>
      <c r="I9" s="796" t="s">
        <v>196</v>
      </c>
      <c r="J9" s="728" t="s">
        <v>275</v>
      </c>
      <c r="K9" s="730">
        <f>COUNTIFS('AMP2-2'!7:8,"&lt;.35",'AMP2-2'!7:8,"&gt;=.2")+COUNTIFS('AMP2-2'!7:8,"&gt;-.35",'AMP2-2'!7:8,"&lt;=-.2")</f>
        <v>7</v>
      </c>
      <c r="L9" s="664">
        <f>COUNTIFS('AMP2-2'!7:8,"&gt;=.35")+COUNTIFS('AMP2-2'!7:8,"&lt;=-.35")-COUNTIFS('AMP2-2'!AF7:AG8,"&gt;1")</f>
        <v>3</v>
      </c>
      <c r="M9" s="703">
        <f>IFERROR(INDEX(OffsetHistory[CreateDate],MATCH(J9,OffsetHistory[30_Fixtures.Nomenclature],0)),0)</f>
        <v>43705.646435185183</v>
      </c>
      <c r="N9" s="728">
        <f>COUNTIFS(AMP2_2[Date],"&gt;"&amp;M10)</f>
        <v>44</v>
      </c>
      <c r="O9" s="728">
        <f>COUNTA(AMP2_2[Date])</f>
        <v>44</v>
      </c>
      <c r="P9" s="796">
        <f>INDEX(Counters!$C$2:$C$9,MATCH(I9,Counters!$A$2:$A$9,0))</f>
        <v>0</v>
      </c>
      <c r="Q9" s="796">
        <f>INDEX(Counters!$D$2:$D$9,MATCH(I9,Counters!$A$2:$A$9,0))</f>
        <v>0</v>
      </c>
      <c r="R9" s="337"/>
    </row>
    <row r="10" spans="1:18" ht="15.75" customHeight="1" thickBot="1" x14ac:dyDescent="0.3">
      <c r="A10" s="335"/>
      <c r="B10" s="799"/>
      <c r="C10" s="886"/>
      <c r="D10" s="504"/>
      <c r="E10" s="627"/>
      <c r="F10" s="627"/>
      <c r="G10" s="627"/>
      <c r="H10" s="796"/>
      <c r="I10" s="796"/>
      <c r="J10" s="728" t="s">
        <v>268</v>
      </c>
      <c r="K10" s="730">
        <f>COUNTIFS('AMP2-6'!7:8,"&lt;.35",'AMP2-6'!7:8,"&gt;=.2")+COUNTIFS('AMP2-6'!7:8,"&gt;-.35",'AMP2-6'!7:8,"&lt;=-.2")</f>
        <v>2</v>
      </c>
      <c r="L10" s="730">
        <f>COUNTIFS('AMP2-6'!7:8,"&gt;=.35")+COUNTIFS('AMP2-6'!7:8,"&lt;=-.35")-COUNTIFS('AMP2-6'!AF7:AG8,"&gt;1")</f>
        <v>4</v>
      </c>
      <c r="M10" s="703">
        <f>IFERROR(INDEX(OffsetHistory[CreateDate],MATCH(J10,OffsetHistory[30_Fixtures.Nomenclature],0)),0)</f>
        <v>43678.270532407405</v>
      </c>
      <c r="N10" s="728">
        <f>COUNTIFS(AMP2_6[Date],"&gt;"&amp;M10)</f>
        <v>28</v>
      </c>
      <c r="O10" s="728">
        <f>COUNTA(AMP2_6[Date])</f>
        <v>28</v>
      </c>
      <c r="P10" s="796"/>
      <c r="Q10" s="796"/>
      <c r="R10" s="337"/>
    </row>
    <row r="11" spans="1:18" ht="15" customHeight="1" x14ac:dyDescent="0.25">
      <c r="A11" s="335"/>
      <c r="B11" s="842">
        <v>3</v>
      </c>
      <c r="C11" s="845" t="s">
        <v>494</v>
      </c>
      <c r="D11" s="615"/>
      <c r="E11" s="627"/>
      <c r="F11" s="627"/>
      <c r="G11" s="627"/>
      <c r="H11" s="796"/>
      <c r="I11" s="796"/>
      <c r="J11" s="728" t="s">
        <v>269</v>
      </c>
      <c r="K11" s="730">
        <f>COUNTIFS('AMP2-8'!7:8,"&lt;.35",'AMP2-8'!7:8,"&gt;=.2")+COUNTIFS('AMP2-8'!7:8,"&gt;-.35",'AMP2-8'!7:8,"&lt;=-.2")</f>
        <v>0</v>
      </c>
      <c r="L11" s="730">
        <f>COUNTIFS('AMP2-8'!7:8,"&gt;=.35")+COUNTIFS('AMP2-8'!7:8,"&lt;=-.35")-COUNTIFS('AMP2-8'!AF7:AG8,"&gt;1")</f>
        <v>0</v>
      </c>
      <c r="M11" s="703">
        <f>IFERROR(INDEX(OffsetHistory[CreateDate],MATCH(J11,OffsetHistory[30_Fixtures.Nomenclature],0)),0)</f>
        <v>43471.437962962962</v>
      </c>
      <c r="N11" s="728">
        <f>COUNTIFS(AMP2_8[Date],"&gt;"&amp;M11)</f>
        <v>0</v>
      </c>
      <c r="O11" s="728">
        <f>COUNTA(AMP2_8[Date])</f>
        <v>0</v>
      </c>
      <c r="P11" s="796"/>
      <c r="Q11" s="796"/>
      <c r="R11" s="337"/>
    </row>
    <row r="12" spans="1:18" ht="15" customHeight="1" x14ac:dyDescent="0.25">
      <c r="A12" s="335"/>
      <c r="B12" s="843"/>
      <c r="C12" s="833"/>
      <c r="D12" s="616"/>
      <c r="E12" s="627"/>
      <c r="F12" s="627"/>
      <c r="G12" s="627"/>
      <c r="H12" s="706"/>
      <c r="I12" s="706"/>
      <c r="J12" s="706"/>
      <c r="K12" s="707"/>
      <c r="L12" s="701"/>
      <c r="M12" s="705"/>
      <c r="N12" s="700"/>
      <c r="O12" s="700"/>
      <c r="P12" s="700"/>
      <c r="Q12" s="700"/>
      <c r="R12" s="337"/>
    </row>
    <row r="13" spans="1:18" ht="15" customHeight="1" x14ac:dyDescent="0.25">
      <c r="A13" s="335"/>
      <c r="B13" s="843"/>
      <c r="C13" s="833" t="str">
        <f>IF(D13&lt;&gt;"","Offset file create date:","")</f>
        <v/>
      </c>
      <c r="D13" s="835"/>
      <c r="E13" s="627"/>
      <c r="F13" s="627"/>
      <c r="G13" s="627"/>
      <c r="H13" s="796" t="s">
        <v>280</v>
      </c>
      <c r="I13" s="813" t="s">
        <v>245</v>
      </c>
      <c r="J13" s="702" t="s">
        <v>282</v>
      </c>
      <c r="K13" s="664">
        <f>COUNTIFS('AMP3-2'!7:8,"&lt;.35",'AMP3-2'!7:8,"&gt;=.2")+COUNTIFS('AMP3-2'!7:8,"&gt;-.35",'AMP3-2'!7:8,"&lt;=-.2")</f>
        <v>1</v>
      </c>
      <c r="L13" s="664">
        <f>COUNTIFS('AMP3-2'!7:8,"&gt;=.35")+COUNTIFS('AMP3-2'!7:8,"&lt;=-.35")-COUNTIFS('AMP3-2'!AF7:AG8,"&gt;1")</f>
        <v>2</v>
      </c>
      <c r="M13" s="703">
        <f>IFERROR(INDEX(OffsetHistory[CreateDate],MATCH(J13,OffsetHistory[30_Fixtures.Nomenclature],0)),0)</f>
        <v>43700.56181712963</v>
      </c>
      <c r="N13" s="699">
        <f>COUNTIFS(AMP3_2[Date],"&gt;"&amp;M13)</f>
        <v>129</v>
      </c>
      <c r="O13" s="699">
        <f>COUNTA(AMP3_2[Date])</f>
        <v>145</v>
      </c>
      <c r="P13" s="796">
        <f>INDEX(Counters!$C$2:$C$9,MATCH(I13,Counters!$A$2:$A$9,0))</f>
        <v>18</v>
      </c>
      <c r="Q13" s="796">
        <f>INDEX(Counters!$D$2:$D$9,MATCH(I13,Counters!$A$2:$A$9,0))</f>
        <v>1032</v>
      </c>
      <c r="R13" s="337"/>
    </row>
    <row r="14" spans="1:18" ht="15" customHeight="1" thickBot="1" x14ac:dyDescent="0.3">
      <c r="A14" s="335"/>
      <c r="B14" s="844"/>
      <c r="C14" s="834"/>
      <c r="D14" s="836"/>
      <c r="E14" s="627"/>
      <c r="F14" s="627"/>
      <c r="G14" s="627"/>
      <c r="H14" s="796"/>
      <c r="I14" s="814"/>
      <c r="J14" s="702" t="s">
        <v>283</v>
      </c>
      <c r="K14" s="664">
        <f>COUNTIFS('AMP3-4'!7:8,"&lt;.35",'AMP3-4'!7:8,"&gt;=.2")+COUNTIFS('AMP3-4'!7:8,"&gt;-.35",'AMP3-4'!7:8,"&lt;=-.2")</f>
        <v>2</v>
      </c>
      <c r="L14" s="664">
        <f>COUNTIFS('AMP3-4'!7:8,"&gt;=.35")+COUNTIFS('AMP3-4'!7:8,"&lt;=-.35")-COUNTIFS('AMP3-4'!AF7:AG8,"&gt;1")</f>
        <v>2</v>
      </c>
      <c r="M14" s="703">
        <f>IFERROR(INDEX(OffsetHistory[CreateDate],MATCH(J14,OffsetHistory[30_Fixtures.Nomenclature],0)),0)</f>
        <v>43700.562951388885</v>
      </c>
      <c r="N14" s="699">
        <f>COUNTIFS(AMP3_4[Date],"&gt;"&amp;M14)</f>
        <v>128</v>
      </c>
      <c r="O14" s="699">
        <f>COUNTA(AMP3_4[Date])</f>
        <v>142</v>
      </c>
      <c r="P14" s="796"/>
      <c r="Q14" s="796"/>
      <c r="R14" s="337"/>
    </row>
    <row r="15" spans="1:18" ht="15" customHeight="1" x14ac:dyDescent="0.25">
      <c r="A15" s="826" t="s">
        <v>500</v>
      </c>
      <c r="B15" s="851">
        <v>4</v>
      </c>
      <c r="C15" s="849" t="s">
        <v>305</v>
      </c>
      <c r="D15" s="650"/>
      <c r="E15" s="822" t="s">
        <v>501</v>
      </c>
      <c r="F15" s="823"/>
      <c r="G15" s="627"/>
      <c r="H15" s="700"/>
      <c r="I15" s="700"/>
      <c r="J15" s="700"/>
      <c r="K15" s="701"/>
      <c r="L15" s="701"/>
      <c r="M15" s="704"/>
      <c r="N15" s="700"/>
      <c r="O15" s="700"/>
      <c r="P15" s="700"/>
      <c r="Q15" s="700"/>
      <c r="R15" s="337"/>
    </row>
    <row r="16" spans="1:18" ht="15" customHeight="1" x14ac:dyDescent="0.25">
      <c r="A16" s="827"/>
      <c r="B16" s="852"/>
      <c r="C16" s="850"/>
      <c r="D16" s="516"/>
      <c r="E16" s="824"/>
      <c r="F16" s="825"/>
      <c r="G16" s="627"/>
      <c r="H16" s="796" t="s">
        <v>241</v>
      </c>
      <c r="I16" s="796" t="s">
        <v>226</v>
      </c>
      <c r="J16" s="717" t="s">
        <v>238</v>
      </c>
      <c r="K16" s="718">
        <f>COUNTIFS('AMP4-2'!7:8,"&lt;.35",'AMP4-2'!7:8,"&gt;=.2")+COUNTIFS('AMP4-2'!7:8,"&gt;-.35",'AMP4-2'!7:8,"&lt;=-.2")</f>
        <v>0</v>
      </c>
      <c r="L16" s="664">
        <f>COUNTIFS('AMP4-2'!7:8,"&gt;=.35")+COUNTIFS('AMP4-2'!7:8,"&lt;=-.35")-COUNTIFS('AMP4-2'!AF7:AG8,"&gt;1")</f>
        <v>2</v>
      </c>
      <c r="M16" s="703">
        <f>IFERROR(INDEX(OffsetHistory[CreateDate],MATCH(J16,OffsetHistory[30_Fixtures.Nomenclature],0)),0)</f>
        <v>43703.282743055555</v>
      </c>
      <c r="N16" s="717">
        <f>COUNTIFS(AMP4_2[Date],"&gt;"&amp;M16)</f>
        <v>118</v>
      </c>
      <c r="O16" s="717">
        <f>COUNTA(AMP4_2[Date])</f>
        <v>180</v>
      </c>
      <c r="P16" s="796">
        <f>INDEX(Counters!$C$2:$C$9,MATCH(I16,Counters!$A$2:$A$9,0))</f>
        <v>16</v>
      </c>
      <c r="Q16" s="796">
        <f>INDEX(Counters!$D$2:$D$9,MATCH(I16,Counters!$A$2:$A$9,0))</f>
        <v>720</v>
      </c>
      <c r="R16" s="337"/>
    </row>
    <row r="17" spans="1:18" ht="15.75" customHeight="1" x14ac:dyDescent="0.25">
      <c r="A17" s="827"/>
      <c r="B17" s="852"/>
      <c r="C17" s="859">
        <f>IFERROR(MATCH(INDEX(Settings!E3:E10,Settings!E2)&amp;"_"&amp;INDEX(Settings!I3:I6,Settings!I2),Machine[Combined],0),"Machine and Fixture combination is invalid")</f>
        <v>14</v>
      </c>
      <c r="D17" s="516"/>
      <c r="E17" s="635"/>
      <c r="F17" s="636"/>
      <c r="G17" s="627"/>
      <c r="H17" s="796"/>
      <c r="I17" s="796"/>
      <c r="J17" s="717" t="s">
        <v>237</v>
      </c>
      <c r="K17" s="718">
        <f>COUNTIFS('AMP4-4'!7:8,"&lt;.35",'AMP4-4'!7:8,"&gt;=.2")+COUNTIFS('AMP4-4'!7:8,"&gt;-.35",'AMP4-4'!7:8,"&lt;=-.2")</f>
        <v>2</v>
      </c>
      <c r="L17" s="718">
        <f>COUNTIFS('AMP4-4'!7:8,"&gt;=.35")+COUNTIFS('AMP4-4'!7:8,"&lt;=-.35")-COUNTIFS('AMP4-4'!AF7:AG8,"&gt;1")</f>
        <v>2</v>
      </c>
      <c r="M17" s="703">
        <f>IFERROR(INDEX(OffsetHistory[CreateDate],MATCH(J17,OffsetHistory[30_Fixtures.Nomenclature],0)),0)</f>
        <v>43690.223993055559</v>
      </c>
      <c r="N17" s="717">
        <f>COUNTIFS(AMP4_4[Date],"&gt;"&amp;M17)</f>
        <v>168</v>
      </c>
      <c r="O17" s="717">
        <f>COUNTA(AMP4_4[Date])</f>
        <v>168</v>
      </c>
      <c r="P17" s="796"/>
      <c r="Q17" s="796"/>
      <c r="R17" s="337"/>
    </row>
    <row r="18" spans="1:18" ht="15.75" customHeight="1" thickBot="1" x14ac:dyDescent="0.3">
      <c r="A18" s="827"/>
      <c r="B18" s="853"/>
      <c r="C18" s="860"/>
      <c r="D18" s="651"/>
      <c r="E18" s="635"/>
      <c r="F18" s="636"/>
      <c r="G18" s="627"/>
      <c r="H18" s="706"/>
      <c r="I18" s="706"/>
      <c r="J18" s="706"/>
      <c r="K18" s="707"/>
      <c r="L18" s="701"/>
      <c r="M18" s="705"/>
      <c r="N18" s="700"/>
      <c r="O18" s="700"/>
      <c r="P18" s="700"/>
      <c r="Q18" s="700"/>
      <c r="R18" s="337"/>
    </row>
    <row r="19" spans="1:18" ht="15" customHeight="1" x14ac:dyDescent="0.25">
      <c r="A19" s="827"/>
      <c r="B19" s="819">
        <v>5</v>
      </c>
      <c r="C19" s="837" t="s">
        <v>471</v>
      </c>
      <c r="D19" s="838"/>
      <c r="E19" s="633"/>
      <c r="F19" s="634"/>
      <c r="G19" s="627"/>
      <c r="H19" s="796" t="s">
        <v>240</v>
      </c>
      <c r="I19" s="796" t="s">
        <v>193</v>
      </c>
      <c r="J19" s="601" t="s">
        <v>235</v>
      </c>
      <c r="K19" s="721">
        <f>COUNTIFS('AMP5-2'!7:8,"&lt;.35",'AMP5-2'!7:8,"&gt;=.2")+COUNTIFS('AMP5-2'!7:8,"&gt;-.35",'AMP5-2'!7:8,"&lt;=-.2")</f>
        <v>5</v>
      </c>
      <c r="L19" s="721">
        <f>COUNTIFS('AMP5-2'!7:8,"&gt;=.35")+COUNTIFS('AMP5-2'!7:8,"&lt;=-.35")-COUNTIFS('AMP5-2'!AF7:AG8,"&gt;1")</f>
        <v>2</v>
      </c>
      <c r="M19" s="703">
        <f>IFERROR(INDEX(OffsetHistory[CreateDate],MATCH(J19,OffsetHistory[30_Fixtures.Nomenclature],0)),0)</f>
        <v>43711.254386574074</v>
      </c>
      <c r="N19" s="720">
        <f>COUNTIFS(AMP5_2[Date],"&gt;"&amp;M19)</f>
        <v>9</v>
      </c>
      <c r="O19" s="720">
        <f>COUNTA(AMP5_2[Date])</f>
        <v>129</v>
      </c>
      <c r="P19" s="796">
        <f>INDEX(Counters!$C$2:$C$9,MATCH(I19,Counters!$A$2:$A$9,0))</f>
        <v>8</v>
      </c>
      <c r="Q19" s="796">
        <f>INDEX(Counters!$D$2:$D$9,MATCH(I19,Counters!$A$2:$A$9,0))</f>
        <v>91</v>
      </c>
      <c r="R19" s="337"/>
    </row>
    <row r="20" spans="1:18" ht="15.75" customHeight="1" x14ac:dyDescent="0.25">
      <c r="A20" s="827"/>
      <c r="B20" s="820"/>
      <c r="C20" s="802" t="s">
        <v>478</v>
      </c>
      <c r="D20" s="648"/>
      <c r="E20" s="633"/>
      <c r="F20" s="634"/>
      <c r="G20" s="627"/>
      <c r="H20" s="796"/>
      <c r="I20" s="796"/>
      <c r="J20" s="601" t="s">
        <v>236</v>
      </c>
      <c r="K20" s="721">
        <f>COUNTIFS('AMP5-4'!7:8,"&lt;.35",'AMP5-4'!7:8,"&gt;=.2")+COUNTIFS('AMP5-4'!7:8,"&gt;-.35",'AMP5-4'!7:8,"&lt;=-.2")</f>
        <v>1</v>
      </c>
      <c r="L20" s="721">
        <f>COUNTIFS('AMP5-4'!7:8,"&gt;=.35")+COUNTIFS('AMP5-4'!7:8,"&lt;=-.35")-COUNTIFS('AMP5-4'!AF7:AG8,"&gt;1")</f>
        <v>3</v>
      </c>
      <c r="M20" s="703">
        <f>IFERROR(INDEX(OffsetHistory[CreateDate],MATCH(J20,OffsetHistory[30_Fixtures.Nomenclature],0)),0)</f>
        <v>43706.244490740741</v>
      </c>
      <c r="N20" s="720">
        <f>COUNTIFS(AMP5_4[Date],"&gt;"&amp;M20)</f>
        <v>46</v>
      </c>
      <c r="O20" s="720">
        <f>COUNTA(AMP5_4[Date])</f>
        <v>124</v>
      </c>
      <c r="P20" s="796"/>
      <c r="Q20" s="796"/>
      <c r="R20" s="337"/>
    </row>
    <row r="21" spans="1:18" ht="15" customHeight="1" x14ac:dyDescent="0.25">
      <c r="A21" s="827"/>
      <c r="B21" s="820"/>
      <c r="C21" s="839"/>
      <c r="D21" s="652"/>
      <c r="E21" s="633"/>
      <c r="F21" s="634"/>
      <c r="G21" s="627"/>
      <c r="H21" s="700"/>
      <c r="I21" s="700"/>
      <c r="J21" s="700"/>
      <c r="K21" s="701"/>
      <c r="L21" s="701"/>
      <c r="M21" s="700"/>
      <c r="N21" s="700"/>
      <c r="O21" s="700"/>
      <c r="P21" s="700"/>
      <c r="Q21" s="700"/>
      <c r="R21" s="337"/>
    </row>
    <row r="22" spans="1:18" ht="15" customHeight="1" x14ac:dyDescent="0.25">
      <c r="A22" s="827"/>
      <c r="B22" s="820"/>
      <c r="C22" s="667" t="str">
        <f>IF(Settings!D2=3,"Manual Date:","")</f>
        <v/>
      </c>
      <c r="D22" s="645"/>
      <c r="E22" s="829" t="s">
        <v>508</v>
      </c>
      <c r="F22" s="830"/>
      <c r="G22" s="627"/>
      <c r="H22" s="796" t="s">
        <v>281</v>
      </c>
      <c r="I22" s="796" t="s">
        <v>190</v>
      </c>
      <c r="J22" s="737" t="s">
        <v>284</v>
      </c>
      <c r="K22" s="739">
        <f>COUNTIFS('AMP6-2'!16:17,"&lt;.35",'AMP6-2'!16:17,"&gt;=.2")+COUNTIFS('AMP6-2'!16:17,"&gt;-.35",'AMP6-2'!16:17,"&lt;=-.2")</f>
        <v>4</v>
      </c>
      <c r="L22" s="742">
        <f>COUNTIFS('AMP6-2'!7:8,"&gt;=.35")+COUNTIFS('AMP6-2'!7:8,"&lt;=-.35")-COUNTIFS('AMP6-2'!AF7:AG8,"&gt;1")</f>
        <v>2</v>
      </c>
      <c r="M22" s="703">
        <f>IFERROR(INDEX(OffsetHistory[CreateDate],MATCH(J22,OffsetHistory[30_Fixtures.Nomenclature],0)),0)</f>
        <v>43711.255972222221</v>
      </c>
      <c r="N22" s="737">
        <f>COUNTIFS(AMP6_2[Date],"&gt;"&amp;M22)</f>
        <v>12</v>
      </c>
      <c r="O22" s="737">
        <f>COUNTA(AMP6_2[Date])</f>
        <v>52</v>
      </c>
      <c r="P22" s="796">
        <f>INDEX(Counters!$C$2:$C$9,MATCH(I22,Counters!$A$2:$A$9,0))</f>
        <v>2</v>
      </c>
      <c r="Q22" s="796">
        <f>INDEX(Counters!$D$2:$D$9,MATCH(I22,Counters!$A$2:$A$9,0))</f>
        <v>462</v>
      </c>
      <c r="R22" s="337"/>
    </row>
    <row r="23" spans="1:18" ht="15" customHeight="1" x14ac:dyDescent="0.25">
      <c r="A23" s="827"/>
      <c r="B23" s="820"/>
      <c r="C23" s="611" t="s">
        <v>472</v>
      </c>
      <c r="D23" s="646">
        <f>'Offset Solver'!E30</f>
        <v>0</v>
      </c>
      <c r="E23" s="829"/>
      <c r="F23" s="830"/>
      <c r="G23" s="627"/>
      <c r="H23" s="796"/>
      <c r="I23" s="796"/>
      <c r="J23" s="737" t="s">
        <v>285</v>
      </c>
      <c r="K23" s="739">
        <f>COUNTIFS('AMP6-4'!16:17,"&lt;.35",'AMP6-4'!16:17,"&gt;=.2")+COUNTIFS('AMP6-4'!16:17,"&gt;-.35",'AMP6-4'!16:17,"&lt;=-.2")</f>
        <v>12</v>
      </c>
      <c r="L23" s="742">
        <f>COUNTIFS('AMP6-4'!7:8,"&gt;=.35")+COUNTIFS('AMP6-4'!7:8,"&lt;=-.35")-COUNTIFS('AMP6-4'!AF7:AG8,"&gt;1")</f>
        <v>4</v>
      </c>
      <c r="M23" s="703">
        <f>IFERROR(INDEX(OffsetHistory[CreateDate],MATCH(J23,OffsetHistory[30_Fixtures.Nomenclature],0)),0)</f>
        <v>43706.246365740742</v>
      </c>
      <c r="N23" s="737">
        <f>COUNTIFS(AMP6_4[Date],"&gt;"&amp;M23)</f>
        <v>22</v>
      </c>
      <c r="O23" s="737">
        <f>COUNTA(AMP6_4[Date])</f>
        <v>52</v>
      </c>
      <c r="P23" s="796"/>
      <c r="Q23" s="796"/>
      <c r="R23" s="337"/>
    </row>
    <row r="24" spans="1:18" ht="15.75" customHeight="1" x14ac:dyDescent="0.25">
      <c r="A24" s="827"/>
      <c r="B24" s="820"/>
      <c r="C24" s="611" t="s">
        <v>473</v>
      </c>
      <c r="D24" s="647" t="str">
        <f>'Offset Solver'!J30&amp;" -1's &amp; "&amp;'Offset Solver'!J31&amp;" -2's"</f>
        <v>26 -1's &amp; 26 -2's</v>
      </c>
      <c r="E24" s="829"/>
      <c r="F24" s="830"/>
      <c r="G24" s="632"/>
      <c r="H24" s="796"/>
      <c r="I24" s="796"/>
      <c r="J24" s="737" t="s">
        <v>2236</v>
      </c>
      <c r="K24" s="739">
        <f>COUNTIFS('AMP6-8'!16:17,"&lt;.35",'AMP6-8'!16:17,"&gt;=.2")+COUNTIFS('AMP6-8'!16:17,"&gt;-.35",'AMP6-8'!16:17,"&lt;=-.2")</f>
        <v>4</v>
      </c>
      <c r="L24" s="742">
        <f>COUNTIFS('AMP6-8'!7:8,"&gt;=.35")+COUNTIFS('AMP6-8'!7:8,"&lt;=-.35")-COUNTIFS('AMP6-8'!AF7:AG8,"&gt;1")</f>
        <v>2</v>
      </c>
      <c r="M24" s="703">
        <f>IFERROR(INDEX(OffsetHistory[CreateDate],MATCH(J24,OffsetHistory[30_Fixtures.Nomenclature],0)),0)</f>
        <v>0</v>
      </c>
      <c r="N24" s="738">
        <f>COUNTIFS(AMP6_8[Date],"&gt;"&amp;M24)</f>
        <v>12</v>
      </c>
      <c r="O24" s="738">
        <f>COUNTA(AMP6_8[Date])</f>
        <v>12</v>
      </c>
      <c r="P24" s="797" t="s">
        <v>2639</v>
      </c>
      <c r="Q24" s="797"/>
      <c r="R24" s="337"/>
    </row>
    <row r="25" spans="1:18" ht="15.75" customHeight="1" x14ac:dyDescent="0.25">
      <c r="A25" s="827"/>
      <c r="B25" s="820"/>
      <c r="C25" s="840" t="str">
        <f>IF(INT(LEFT(D24,FIND(" ",D24)-1))&lt;80,"Warning: Small number of blades in calculation","")</f>
        <v>Warning: Small number of blades in calculation</v>
      </c>
      <c r="D25" s="841"/>
      <c r="E25" s="829"/>
      <c r="F25" s="830"/>
      <c r="G25" s="627"/>
      <c r="H25" s="700"/>
      <c r="I25" s="700"/>
      <c r="J25" s="700"/>
      <c r="K25" s="701"/>
      <c r="L25" s="701"/>
      <c r="M25" s="705"/>
      <c r="N25" s="700"/>
      <c r="O25" s="700"/>
      <c r="P25" s="700"/>
      <c r="Q25" s="700"/>
      <c r="R25" s="337"/>
    </row>
    <row r="26" spans="1:18" s="13" customFormat="1" ht="15" customHeight="1" x14ac:dyDescent="0.25">
      <c r="A26" s="827"/>
      <c r="B26" s="820"/>
      <c r="C26" s="802" t="s">
        <v>479</v>
      </c>
      <c r="D26" s="648"/>
      <c r="E26" s="829"/>
      <c r="F26" s="830"/>
      <c r="G26" s="627"/>
      <c r="H26" s="796" t="s">
        <v>247</v>
      </c>
      <c r="I26" s="813" t="s">
        <v>207</v>
      </c>
      <c r="J26" s="702" t="s">
        <v>248</v>
      </c>
      <c r="K26" s="664">
        <f>COUNTIFS('AMP7-6'!7:8,"&lt;.35",'AMP7-6'!7:8,"&gt;=.2")+COUNTIFS('AMP7-6'!7:8,"&gt;-.35",'AMP7-6'!7:8,"&lt;=-.2")</f>
        <v>6</v>
      </c>
      <c r="L26" s="664">
        <f>COUNTIFS('AMP7-6'!7:8,"&gt;=.35")+COUNTIFS('AMP7-6'!7:8,"&lt;=-.35")-COUNTIFS('AMP7-6'!AF7:AG8,"&gt;1")</f>
        <v>4</v>
      </c>
      <c r="M26" s="703">
        <f>IFERROR(INDEX(OffsetHistory[CreateDate],MATCH(J26,OffsetHistory[30_Fixtures.Nomenclature],0)),0)</f>
        <v>43633.276064814818</v>
      </c>
      <c r="N26" s="699">
        <f>COUNTIFS(AMP7_6[Date],"&gt;"&amp;M26)</f>
        <v>130</v>
      </c>
      <c r="O26" s="699">
        <f>COUNTA(AMP7_6[Date])</f>
        <v>130</v>
      </c>
      <c r="P26" s="796">
        <f>INDEX(Counters!$C$2:$C$9,MATCH(I26,Counters!$A$2:$A$9,0))</f>
        <v>34</v>
      </c>
      <c r="Q26" s="796">
        <f>INDEX(Counters!$D$2:$D$9,MATCH(I26,Counters!$A$2:$A$9,0))</f>
        <v>605</v>
      </c>
      <c r="R26" s="337"/>
    </row>
    <row r="27" spans="1:18" s="13" customFormat="1" ht="15" customHeight="1" x14ac:dyDescent="0.25">
      <c r="A27" s="827"/>
      <c r="B27" s="820"/>
      <c r="C27" s="803"/>
      <c r="D27" s="649"/>
      <c r="E27" s="829"/>
      <c r="F27" s="830"/>
      <c r="G27" s="627"/>
      <c r="H27" s="796"/>
      <c r="I27" s="814"/>
      <c r="J27" s="702" t="s">
        <v>249</v>
      </c>
      <c r="K27" s="664">
        <f>COUNTIFS('AMP7-8'!7:8,"&lt;.35",'AMP7-8'!7:8,"&gt;=.2")+COUNTIFS('AMP7-8'!7:8,"&gt;-.35",'AMP7-8'!7:8,"&lt;=-.2")</f>
        <v>4</v>
      </c>
      <c r="L27" s="664">
        <f>COUNTIFS('AMP7-8'!7:8,"&gt;=.35")+COUNTIFS('AMP7-8'!7:8,"&lt;=-.35")-COUNTIFS('AMP7-8'!AF7:AG8,"&gt;1")</f>
        <v>3</v>
      </c>
      <c r="M27" s="703">
        <f>IFERROR(INDEX(OffsetHistory[CreateDate],MATCH(J27,OffsetHistory[30_Fixtures.Nomenclature],0)),0)</f>
        <v>43705.466631944444</v>
      </c>
      <c r="N27" s="699">
        <f>COUNTIFS(AMP7_8[Date],"&gt;"&amp;M27)</f>
        <v>52</v>
      </c>
      <c r="O27" s="699">
        <f>COUNTA(AMP7_8[Date])</f>
        <v>128</v>
      </c>
      <c r="P27" s="796"/>
      <c r="Q27" s="796"/>
      <c r="R27" s="337"/>
    </row>
    <row r="28" spans="1:18" ht="15" customHeight="1" x14ac:dyDescent="0.25">
      <c r="A28" s="827"/>
      <c r="B28" s="820"/>
      <c r="C28" s="802" t="s">
        <v>499</v>
      </c>
      <c r="D28" s="648"/>
      <c r="E28" s="829"/>
      <c r="F28" s="830"/>
      <c r="G28" s="628"/>
      <c r="H28" s="628"/>
      <c r="I28" s="628"/>
      <c r="J28" s="628"/>
      <c r="K28" s="590"/>
      <c r="L28" s="590"/>
      <c r="M28" s="502"/>
      <c r="N28" s="502"/>
      <c r="O28" s="502"/>
      <c r="P28" s="502"/>
      <c r="Q28" s="502"/>
      <c r="R28" s="337"/>
    </row>
    <row r="29" spans="1:18" ht="15" customHeight="1" x14ac:dyDescent="0.25">
      <c r="A29" s="827"/>
      <c r="B29" s="820"/>
      <c r="C29" s="803"/>
      <c r="D29" s="649"/>
      <c r="E29" s="829"/>
      <c r="F29" s="830"/>
      <c r="G29" s="628"/>
      <c r="H29" s="628"/>
      <c r="I29" s="628"/>
      <c r="J29" s="628"/>
      <c r="K29" s="590"/>
      <c r="L29" s="590"/>
      <c r="M29" s="502"/>
      <c r="N29" s="502"/>
      <c r="O29" s="502"/>
      <c r="P29" s="502"/>
      <c r="Q29" s="502"/>
      <c r="R29" s="337"/>
    </row>
    <row r="30" spans="1:18" x14ac:dyDescent="0.25">
      <c r="A30" s="827"/>
      <c r="B30" s="820"/>
      <c r="C30" s="815" t="str">
        <f>IF('Offset Solver'!D35=FALSE,IF('Offset Solver'!D36=FALSE,"","Warning: Global shift for fixture"&amp;CHAR(10)&amp;"Please review CMM data"),"Warning: Global shift for fixture"&amp;CHAR(10)&amp;"Please review CMM data")</f>
        <v/>
      </c>
      <c r="D30" s="816"/>
      <c r="E30" s="829"/>
      <c r="F30" s="830"/>
      <c r="G30" s="671"/>
      <c r="H30" s="671"/>
      <c r="I30" s="671"/>
      <c r="J30" s="671"/>
      <c r="K30" s="590"/>
      <c r="L30" s="590"/>
      <c r="M30" s="502"/>
      <c r="N30" s="502"/>
      <c r="O30" s="502"/>
      <c r="P30" s="502"/>
      <c r="Q30" s="502"/>
      <c r="R30" s="337"/>
    </row>
    <row r="31" spans="1:18" ht="15.75" thickBot="1" x14ac:dyDescent="0.3">
      <c r="A31" s="827"/>
      <c r="B31" s="821"/>
      <c r="C31" s="817"/>
      <c r="D31" s="818"/>
      <c r="E31" s="829"/>
      <c r="F31" s="830"/>
      <c r="G31" s="671"/>
      <c r="H31" s="671"/>
      <c r="I31" s="671"/>
      <c r="J31" s="671"/>
      <c r="K31" s="590"/>
      <c r="L31" s="590"/>
      <c r="M31" s="502"/>
      <c r="N31" s="502"/>
      <c r="O31" s="502"/>
      <c r="P31" s="502"/>
      <c r="Q31" s="502"/>
      <c r="R31" s="337"/>
    </row>
    <row r="32" spans="1:18" x14ac:dyDescent="0.25">
      <c r="A32" s="827"/>
      <c r="B32" s="798">
        <v>6</v>
      </c>
      <c r="C32" s="861" t="s">
        <v>443</v>
      </c>
      <c r="D32" s="857"/>
      <c r="E32" s="829"/>
      <c r="F32" s="830"/>
      <c r="G32" s="627"/>
      <c r="H32" s="590"/>
      <c r="I32" s="590"/>
      <c r="J32" s="590"/>
      <c r="K32" s="590"/>
      <c r="L32" s="590"/>
      <c r="M32" s="502"/>
      <c r="N32" s="502"/>
      <c r="O32" s="502"/>
      <c r="P32" s="502"/>
      <c r="Q32" s="502"/>
      <c r="R32" s="337"/>
    </row>
    <row r="33" spans="1:18" ht="15" customHeight="1" x14ac:dyDescent="0.25">
      <c r="A33" s="827"/>
      <c r="B33" s="856"/>
      <c r="C33" s="862"/>
      <c r="D33" s="858"/>
      <c r="E33" s="829"/>
      <c r="F33" s="830"/>
      <c r="G33" s="627"/>
      <c r="H33" s="804" t="s">
        <v>960</v>
      </c>
      <c r="I33" s="805"/>
      <c r="J33" s="805"/>
      <c r="K33" s="805"/>
      <c r="L33" s="805"/>
      <c r="M33" s="805"/>
      <c r="N33" s="805"/>
      <c r="O33" s="805"/>
      <c r="P33" s="805"/>
      <c r="Q33" s="805"/>
      <c r="R33" s="806"/>
    </row>
    <row r="34" spans="1:18" ht="15.75" customHeight="1" x14ac:dyDescent="0.25">
      <c r="A34" s="827"/>
      <c r="B34" s="856"/>
      <c r="C34" s="863" t="s">
        <v>2813</v>
      </c>
      <c r="D34" s="681"/>
      <c r="E34" s="829"/>
      <c r="F34" s="830"/>
      <c r="G34" s="627"/>
      <c r="H34" s="807"/>
      <c r="I34" s="808"/>
      <c r="J34" s="808"/>
      <c r="K34" s="808"/>
      <c r="L34" s="808"/>
      <c r="M34" s="808"/>
      <c r="N34" s="808"/>
      <c r="O34" s="808"/>
      <c r="P34" s="808"/>
      <c r="Q34" s="808"/>
      <c r="R34" s="809"/>
    </row>
    <row r="35" spans="1:18" ht="15.75" customHeight="1" x14ac:dyDescent="0.25">
      <c r="A35" s="827"/>
      <c r="B35" s="856"/>
      <c r="C35" s="863"/>
      <c r="D35" s="681"/>
      <c r="E35" s="829"/>
      <c r="F35" s="830"/>
      <c r="G35" s="627"/>
      <c r="H35" s="807"/>
      <c r="I35" s="808"/>
      <c r="J35" s="808"/>
      <c r="K35" s="808"/>
      <c r="L35" s="808"/>
      <c r="M35" s="808"/>
      <c r="N35" s="808"/>
      <c r="O35" s="808"/>
      <c r="P35" s="808"/>
      <c r="Q35" s="808"/>
      <c r="R35" s="809"/>
    </row>
    <row r="36" spans="1:18" ht="15.75" customHeight="1" x14ac:dyDescent="0.25">
      <c r="A36" s="827"/>
      <c r="B36" s="856"/>
      <c r="C36" s="863"/>
      <c r="D36" s="681"/>
      <c r="E36" s="829"/>
      <c r="F36" s="830"/>
      <c r="G36" s="627"/>
      <c r="H36" s="807"/>
      <c r="I36" s="808"/>
      <c r="J36" s="808"/>
      <c r="K36" s="808"/>
      <c r="L36" s="808"/>
      <c r="M36" s="808"/>
      <c r="N36" s="808"/>
      <c r="O36" s="808"/>
      <c r="P36" s="808"/>
      <c r="Q36" s="808"/>
      <c r="R36" s="809"/>
    </row>
    <row r="37" spans="1:18" ht="15.75" customHeight="1" thickBot="1" x14ac:dyDescent="0.3">
      <c r="A37" s="827"/>
      <c r="B37" s="799"/>
      <c r="C37" s="864"/>
      <c r="D37" s="682"/>
      <c r="E37" s="831"/>
      <c r="F37" s="832"/>
      <c r="G37" s="590"/>
      <c r="H37" s="807"/>
      <c r="I37" s="808"/>
      <c r="J37" s="808"/>
      <c r="K37" s="808"/>
      <c r="L37" s="808"/>
      <c r="M37" s="808"/>
      <c r="N37" s="808"/>
      <c r="O37" s="808"/>
      <c r="P37" s="808"/>
      <c r="Q37" s="808"/>
      <c r="R37" s="809"/>
    </row>
    <row r="38" spans="1:18" ht="15.75" customHeight="1" x14ac:dyDescent="0.25">
      <c r="A38" s="827"/>
      <c r="B38" s="819">
        <v>7</v>
      </c>
      <c r="C38" s="846" t="s">
        <v>496</v>
      </c>
      <c r="D38" s="501"/>
      <c r="E38" s="590"/>
      <c r="F38" s="590"/>
      <c r="G38" s="590"/>
      <c r="H38" s="807"/>
      <c r="I38" s="808"/>
      <c r="J38" s="808"/>
      <c r="K38" s="808"/>
      <c r="L38" s="808"/>
      <c r="M38" s="808"/>
      <c r="N38" s="808"/>
      <c r="O38" s="808"/>
      <c r="P38" s="808"/>
      <c r="Q38" s="808"/>
      <c r="R38" s="809"/>
    </row>
    <row r="39" spans="1:18" ht="15.75" thickBot="1" x14ac:dyDescent="0.3">
      <c r="A39" s="828"/>
      <c r="B39" s="821"/>
      <c r="C39" s="848"/>
      <c r="D39" s="497"/>
      <c r="E39" s="590"/>
      <c r="F39" s="590"/>
      <c r="G39" s="590"/>
      <c r="H39" s="807"/>
      <c r="I39" s="808"/>
      <c r="J39" s="808"/>
      <c r="K39" s="808"/>
      <c r="L39" s="808"/>
      <c r="M39" s="808"/>
      <c r="N39" s="808"/>
      <c r="O39" s="808"/>
      <c r="P39" s="808"/>
      <c r="Q39" s="808"/>
      <c r="R39" s="809"/>
    </row>
    <row r="40" spans="1:18" ht="15" customHeight="1" x14ac:dyDescent="0.25">
      <c r="A40" s="335"/>
      <c r="B40" s="798">
        <v>8</v>
      </c>
      <c r="C40" s="800" t="s">
        <v>497</v>
      </c>
      <c r="D40" s="854"/>
      <c r="E40" s="590"/>
      <c r="F40" s="590"/>
      <c r="G40" s="590"/>
      <c r="H40" s="807"/>
      <c r="I40" s="808"/>
      <c r="J40" s="808"/>
      <c r="K40" s="808"/>
      <c r="L40" s="808"/>
      <c r="M40" s="808"/>
      <c r="N40" s="808"/>
      <c r="O40" s="808"/>
      <c r="P40" s="808"/>
      <c r="Q40" s="808"/>
      <c r="R40" s="809"/>
    </row>
    <row r="41" spans="1:18" ht="15.75" customHeight="1" thickBot="1" x14ac:dyDescent="0.3">
      <c r="A41" s="335"/>
      <c r="B41" s="799"/>
      <c r="C41" s="801"/>
      <c r="D41" s="855"/>
      <c r="E41" s="590"/>
      <c r="F41" s="590"/>
      <c r="G41" s="590"/>
      <c r="H41" s="807"/>
      <c r="I41" s="808"/>
      <c r="J41" s="808"/>
      <c r="K41" s="808"/>
      <c r="L41" s="808"/>
      <c r="M41" s="808"/>
      <c r="N41" s="808"/>
      <c r="O41" s="808"/>
      <c r="P41" s="808"/>
      <c r="Q41" s="808"/>
      <c r="R41" s="809"/>
    </row>
    <row r="42" spans="1:18" x14ac:dyDescent="0.25">
      <c r="A42" s="335"/>
      <c r="B42" s="819">
        <v>9</v>
      </c>
      <c r="C42" s="846" t="s">
        <v>298</v>
      </c>
      <c r="D42" s="609"/>
      <c r="E42" s="590"/>
      <c r="F42" s="590"/>
      <c r="G42" s="590"/>
      <c r="H42" s="807"/>
      <c r="I42" s="808"/>
      <c r="J42" s="808"/>
      <c r="K42" s="808"/>
      <c r="L42" s="808"/>
      <c r="M42" s="808"/>
      <c r="N42" s="808"/>
      <c r="O42" s="808"/>
      <c r="P42" s="808"/>
      <c r="Q42" s="808"/>
      <c r="R42" s="809"/>
    </row>
    <row r="43" spans="1:18" x14ac:dyDescent="0.25">
      <c r="A43" s="335"/>
      <c r="B43" s="820"/>
      <c r="C43" s="847"/>
      <c r="D43" s="610"/>
      <c r="E43" s="590"/>
      <c r="F43" s="590"/>
      <c r="G43" s="590"/>
      <c r="H43" s="807"/>
      <c r="I43" s="808"/>
      <c r="J43" s="808"/>
      <c r="K43" s="808"/>
      <c r="L43" s="808"/>
      <c r="M43" s="808"/>
      <c r="N43" s="808"/>
      <c r="O43" s="808"/>
      <c r="P43" s="808"/>
      <c r="Q43" s="808"/>
      <c r="R43" s="809"/>
    </row>
    <row r="44" spans="1:18" x14ac:dyDescent="0.25">
      <c r="A44" s="335"/>
      <c r="B44" s="820"/>
      <c r="C44" s="847"/>
      <c r="D44" s="619"/>
      <c r="E44" s="590"/>
      <c r="F44" s="590"/>
      <c r="G44" s="590"/>
      <c r="H44" s="807"/>
      <c r="I44" s="808"/>
      <c r="J44" s="808"/>
      <c r="K44" s="808"/>
      <c r="L44" s="808"/>
      <c r="M44" s="808"/>
      <c r="N44" s="808"/>
      <c r="O44" s="808"/>
      <c r="P44" s="808"/>
      <c r="Q44" s="808"/>
      <c r="R44" s="809"/>
    </row>
    <row r="45" spans="1:18" ht="15.75" thickBot="1" x14ac:dyDescent="0.3">
      <c r="A45" s="335"/>
      <c r="B45" s="821"/>
      <c r="C45" s="848"/>
      <c r="D45" s="497"/>
      <c r="E45" s="590"/>
      <c r="F45" s="590"/>
      <c r="G45" s="590"/>
      <c r="H45" s="807"/>
      <c r="I45" s="808"/>
      <c r="J45" s="808"/>
      <c r="K45" s="808"/>
      <c r="L45" s="808"/>
      <c r="M45" s="808"/>
      <c r="N45" s="808"/>
      <c r="O45" s="808"/>
      <c r="P45" s="808"/>
      <c r="Q45" s="808"/>
      <c r="R45" s="809"/>
    </row>
    <row r="46" spans="1:18" x14ac:dyDescent="0.25">
      <c r="A46" s="335"/>
      <c r="B46" s="798">
        <v>10</v>
      </c>
      <c r="C46" s="800" t="s">
        <v>498</v>
      </c>
      <c r="D46" s="514"/>
      <c r="E46" s="590"/>
      <c r="F46" s="590"/>
      <c r="G46" s="590"/>
      <c r="H46" s="807"/>
      <c r="I46" s="808"/>
      <c r="J46" s="808"/>
      <c r="K46" s="808"/>
      <c r="L46" s="808"/>
      <c r="M46" s="808"/>
      <c r="N46" s="808"/>
      <c r="O46" s="808"/>
      <c r="P46" s="808"/>
      <c r="Q46" s="808"/>
      <c r="R46" s="809"/>
    </row>
    <row r="47" spans="1:18" ht="15.75" thickBot="1" x14ac:dyDescent="0.3">
      <c r="A47" s="656"/>
      <c r="B47" s="799"/>
      <c r="C47" s="801"/>
      <c r="D47" s="492"/>
      <c r="E47" s="590"/>
      <c r="F47" s="680"/>
      <c r="G47" s="627"/>
      <c r="H47" s="807"/>
      <c r="I47" s="808"/>
      <c r="J47" s="808"/>
      <c r="K47" s="808"/>
      <c r="L47" s="808"/>
      <c r="M47" s="808"/>
      <c r="N47" s="808"/>
      <c r="O47" s="808"/>
      <c r="P47" s="808"/>
      <c r="Q47" s="808"/>
      <c r="R47" s="809"/>
    </row>
    <row r="48" spans="1:18" ht="15.75" thickBot="1" x14ac:dyDescent="0.3">
      <c r="A48" s="657"/>
      <c r="B48" s="418"/>
      <c r="C48" s="418"/>
      <c r="D48" s="418"/>
      <c r="E48" s="658"/>
      <c r="F48" s="658"/>
      <c r="G48" s="658"/>
      <c r="H48" s="810"/>
      <c r="I48" s="811"/>
      <c r="J48" s="811"/>
      <c r="K48" s="811"/>
      <c r="L48" s="811"/>
      <c r="M48" s="811"/>
      <c r="N48" s="811"/>
      <c r="O48" s="811"/>
      <c r="P48" s="811"/>
      <c r="Q48" s="811"/>
      <c r="R48" s="812"/>
    </row>
  </sheetData>
  <sheetProtection sheet="1" objects="1" scenarios="1" selectLockedCells="1"/>
  <dataConsolidate/>
  <mergeCells count="69">
    <mergeCell ref="P13:P14"/>
    <mergeCell ref="Q13:Q14"/>
    <mergeCell ref="H13:H14"/>
    <mergeCell ref="I13:I14"/>
    <mergeCell ref="H9:H11"/>
    <mergeCell ref="I9:I11"/>
    <mergeCell ref="P9:P11"/>
    <mergeCell ref="Q9:Q11"/>
    <mergeCell ref="B9:B10"/>
    <mergeCell ref="C9:C10"/>
    <mergeCell ref="P5:P7"/>
    <mergeCell ref="Q5:Q7"/>
    <mergeCell ref="H5:H7"/>
    <mergeCell ref="I5:I7"/>
    <mergeCell ref="H1:Q2"/>
    <mergeCell ref="B4:D6"/>
    <mergeCell ref="B2:D3"/>
    <mergeCell ref="B7:B8"/>
    <mergeCell ref="C7:C8"/>
    <mergeCell ref="N3:O3"/>
    <mergeCell ref="K3:L3"/>
    <mergeCell ref="P3:Q3"/>
    <mergeCell ref="C42:C45"/>
    <mergeCell ref="C15:C16"/>
    <mergeCell ref="B42:B45"/>
    <mergeCell ref="B38:B39"/>
    <mergeCell ref="B15:B18"/>
    <mergeCell ref="B40:B41"/>
    <mergeCell ref="C38:C39"/>
    <mergeCell ref="C40:D41"/>
    <mergeCell ref="B32:B37"/>
    <mergeCell ref="D32:D33"/>
    <mergeCell ref="C26:C27"/>
    <mergeCell ref="C17:C18"/>
    <mergeCell ref="C32:C33"/>
    <mergeCell ref="C34:C37"/>
    <mergeCell ref="B19:B31"/>
    <mergeCell ref="E15:F16"/>
    <mergeCell ref="A15:A39"/>
    <mergeCell ref="E22:F37"/>
    <mergeCell ref="C13:C14"/>
    <mergeCell ref="D13:D14"/>
    <mergeCell ref="C19:D19"/>
    <mergeCell ref="C20:C21"/>
    <mergeCell ref="C25:D25"/>
    <mergeCell ref="B11:B14"/>
    <mergeCell ref="C11:C12"/>
    <mergeCell ref="I16:I17"/>
    <mergeCell ref="Q16:Q17"/>
    <mergeCell ref="P16:P17"/>
    <mergeCell ref="H16:H17"/>
    <mergeCell ref="B46:B47"/>
    <mergeCell ref="C46:C47"/>
    <mergeCell ref="C28:C29"/>
    <mergeCell ref="H19:H20"/>
    <mergeCell ref="H33:R48"/>
    <mergeCell ref="P26:P27"/>
    <mergeCell ref="Q26:Q27"/>
    <mergeCell ref="H26:H27"/>
    <mergeCell ref="P22:P23"/>
    <mergeCell ref="Q22:Q23"/>
    <mergeCell ref="I26:I27"/>
    <mergeCell ref="C30:D31"/>
    <mergeCell ref="H22:H24"/>
    <mergeCell ref="I22:I24"/>
    <mergeCell ref="P24:Q24"/>
    <mergeCell ref="I19:I20"/>
    <mergeCell ref="P19:P20"/>
    <mergeCell ref="Q19:Q20"/>
  </mergeCells>
  <conditionalFormatting sqref="C17">
    <cfRule type="containsText" dxfId="188" priority="51" operator="containsText" text="Machine and Fixture combination is invalid">
      <formula>NOT(ISERROR(SEARCH("Machine and Fixture combination is invalid",C17)))</formula>
    </cfRule>
  </conditionalFormatting>
  <conditionalFormatting sqref="H4 K4:L4 N10:O11 N17:O17 N4:O8">
    <cfRule type="notContainsBlanks" priority="50" stopIfTrue="1">
      <formula>LEN(TRIM(H4))&gt;0</formula>
    </cfRule>
  </conditionalFormatting>
  <conditionalFormatting sqref="L26">
    <cfRule type="cellIs" dxfId="187" priority="46" operator="greaterThan">
      <formula>0</formula>
    </cfRule>
  </conditionalFormatting>
  <conditionalFormatting sqref="L17">
    <cfRule type="cellIs" dxfId="186" priority="39" operator="greaterThan">
      <formula>0</formula>
    </cfRule>
  </conditionalFormatting>
  <conditionalFormatting sqref="P18:P19 P12:P16 P5:P9 P21:P32">
    <cfRule type="cellIs" dxfId="185" priority="38" operator="greaterThan">
      <formula>40</formula>
    </cfRule>
  </conditionalFormatting>
  <conditionalFormatting sqref="Q18:Q19 Q12:Q16 Q5:Q9 Q21:Q23 Q25:Q32">
    <cfRule type="cellIs" dxfId="184" priority="37" operator="greaterThan">
      <formula>600</formula>
    </cfRule>
  </conditionalFormatting>
  <conditionalFormatting sqref="L22:L23">
    <cfRule type="cellIs" dxfId="183" priority="31" operator="greaterThan">
      <formula>0</formula>
    </cfRule>
  </conditionalFormatting>
  <conditionalFormatting sqref="K5:L15 K17:L32">
    <cfRule type="cellIs" dxfId="182" priority="29" stopIfTrue="1" operator="greaterThan">
      <formula>2</formula>
    </cfRule>
    <cfRule type="cellIs" dxfId="181" priority="30" operator="greaterThan">
      <formula>0</formula>
    </cfRule>
  </conditionalFormatting>
  <conditionalFormatting sqref="P22:P23">
    <cfRule type="cellIs" dxfId="180" priority="28" operator="greaterThan">
      <formula>40</formula>
    </cfRule>
  </conditionalFormatting>
  <conditionalFormatting sqref="Q22:Q23">
    <cfRule type="cellIs" dxfId="179" priority="27" operator="greaterThan">
      <formula>600</formula>
    </cfRule>
  </conditionalFormatting>
  <conditionalFormatting sqref="L13:L14">
    <cfRule type="cellIs" dxfId="178" priority="26" operator="greaterThan">
      <formula>0</formula>
    </cfRule>
  </conditionalFormatting>
  <conditionalFormatting sqref="N26:O27">
    <cfRule type="notContainsBlanks" priority="19" stopIfTrue="1">
      <formula>LEN(TRIM(N26))&gt;0</formula>
    </cfRule>
  </conditionalFormatting>
  <conditionalFormatting sqref="N13:O14">
    <cfRule type="notContainsBlanks" priority="23" stopIfTrue="1">
      <formula>LEN(TRIM(N13))&gt;0</formula>
    </cfRule>
  </conditionalFormatting>
  <conditionalFormatting sqref="N19:O20">
    <cfRule type="notContainsBlanks" priority="21" stopIfTrue="1">
      <formula>LEN(TRIM(N19))&gt;0</formula>
    </cfRule>
  </conditionalFormatting>
  <conditionalFormatting sqref="N22:O23">
    <cfRule type="notContainsBlanks" priority="20" stopIfTrue="1">
      <formula>LEN(TRIM(N22))&gt;0</formula>
    </cfRule>
  </conditionalFormatting>
  <conditionalFormatting sqref="C34">
    <cfRule type="beginsWith" dxfId="177" priority="18" operator="beginsWith" text="Solver Complete">
      <formula>LEFT(C34,LEN("Solver Complete"))="Solver Complete"</formula>
    </cfRule>
  </conditionalFormatting>
  <conditionalFormatting sqref="C30:D31 C25:D25">
    <cfRule type="notContainsBlanks" dxfId="176" priority="53">
      <formula>LEN(TRIM(C25))&gt;0</formula>
    </cfRule>
  </conditionalFormatting>
  <conditionalFormatting sqref="N16:O16">
    <cfRule type="notContainsBlanks" priority="13" stopIfTrue="1">
      <formula>LEN(TRIM(N16))&gt;0</formula>
    </cfRule>
  </conditionalFormatting>
  <conditionalFormatting sqref="K16">
    <cfRule type="cellIs" dxfId="175" priority="10" stopIfTrue="1" operator="greaterThan">
      <formula>2</formula>
    </cfRule>
    <cfRule type="cellIs" dxfId="174" priority="11" operator="greaterThan">
      <formula>0</formula>
    </cfRule>
  </conditionalFormatting>
  <conditionalFormatting sqref="L16">
    <cfRule type="cellIs" dxfId="173" priority="5" stopIfTrue="1" operator="greaterThan">
      <formula>2</formula>
    </cfRule>
    <cfRule type="cellIs" dxfId="172" priority="6" operator="greaterThan">
      <formula>0</formula>
    </cfRule>
  </conditionalFormatting>
  <conditionalFormatting sqref="L16">
    <cfRule type="cellIs" dxfId="171" priority="4" operator="greaterThan">
      <formula>0</formula>
    </cfRule>
  </conditionalFormatting>
  <conditionalFormatting sqref="L20">
    <cfRule type="cellIs" dxfId="170" priority="3" operator="greaterThan">
      <formula>0</formula>
    </cfRule>
  </conditionalFormatting>
  <conditionalFormatting sqref="P24:Q24">
    <cfRule type="notContainsBlanks" priority="2" stopIfTrue="1">
      <formula>LEN(TRIM(P24))&gt;0</formula>
    </cfRule>
  </conditionalFormatting>
  <conditionalFormatting sqref="L24">
    <cfRule type="cellIs" dxfId="169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ustMakeCutFiles">
                <anchor moveWithCells="1" sizeWithCells="1">
                  <from>
                    <xdr:col>2</xdr:col>
                    <xdr:colOff>1838325</xdr:colOff>
                    <xdr:row>45</xdr:row>
                    <xdr:rowOff>76200</xdr:rowOff>
                  </from>
                  <to>
                    <xdr:col>3</xdr:col>
                    <xdr:colOff>1476375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Drop Down 2">
              <controlPr defaultSize="0" autoLine="0" autoPict="0">
                <anchor moveWithCells="1">
                  <from>
                    <xdr:col>3</xdr:col>
                    <xdr:colOff>57150</xdr:colOff>
                    <xdr:row>8</xdr:row>
                    <xdr:rowOff>104775</xdr:rowOff>
                  </from>
                  <to>
                    <xdr:col>3</xdr:col>
                    <xdr:colOff>1438275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Drop Down 4">
              <controlPr defaultSize="0" autoLine="0" autoPict="0">
                <anchor moveWithCells="1">
                  <from>
                    <xdr:col>3</xdr:col>
                    <xdr:colOff>57150</xdr:colOff>
                    <xdr:row>14</xdr:row>
                    <xdr:rowOff>85725</xdr:rowOff>
                  </from>
                  <to>
                    <xdr:col>3</xdr:col>
                    <xdr:colOff>1438275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CheckFix12">
              <controlPr defaultSize="0" autoFill="0" autoLine="0" autoPict="0">
                <anchor moveWithCells="1">
                  <from>
                    <xdr:col>3</xdr:col>
                    <xdr:colOff>428625</xdr:colOff>
                    <xdr:row>41</xdr:row>
                    <xdr:rowOff>38100</xdr:rowOff>
                  </from>
                  <to>
                    <xdr:col>3</xdr:col>
                    <xdr:colOff>1314450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CheckFix34">
              <controlPr defaultSize="0" autoFill="0" autoLine="0" autoPict="0">
                <anchor moveWithCells="1">
                  <from>
                    <xdr:col>3</xdr:col>
                    <xdr:colOff>428625</xdr:colOff>
                    <xdr:row>42</xdr:row>
                    <xdr:rowOff>9525</xdr:rowOff>
                  </from>
                  <to>
                    <xdr:col>3</xdr:col>
                    <xdr:colOff>1343025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CheckFix56">
              <controlPr defaultSize="0" autoFill="0" autoLine="0" autoPict="0">
                <anchor moveWithCells="1">
                  <from>
                    <xdr:col>3</xdr:col>
                    <xdr:colOff>428625</xdr:colOff>
                    <xdr:row>42</xdr:row>
                    <xdr:rowOff>152400</xdr:rowOff>
                  </from>
                  <to>
                    <xdr:col>3</xdr:col>
                    <xdr:colOff>1343025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CheckFix78">
              <controlPr defaultSize="0" autoFill="0" autoLine="0" autoPict="0">
                <anchor moveWithCells="1">
                  <from>
                    <xdr:col>3</xdr:col>
                    <xdr:colOff>428625</xdr:colOff>
                    <xdr:row>43</xdr:row>
                    <xdr:rowOff>123825</xdr:rowOff>
                  </from>
                  <to>
                    <xdr:col>3</xdr:col>
                    <xdr:colOff>1343025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11" name="Button 21">
              <controlPr defaultSize="0" print="0" autoFill="0" autoPict="0" macro="[0]!Run_Solver">
                <anchor moveWithCells="1" sizeWithCells="1">
                  <from>
                    <xdr:col>3</xdr:col>
                    <xdr:colOff>57150</xdr:colOff>
                    <xdr:row>31</xdr:row>
                    <xdr:rowOff>76200</xdr:rowOff>
                  </from>
                  <to>
                    <xdr:col>3</xdr:col>
                    <xdr:colOff>1447800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2" name="Button 22">
              <controlPr defaultSize="0" print="0" autoFill="0" autoPict="0" macro="[0]!ShowCMMTabs">
                <anchor moveWithCells="1" sizeWithCells="1">
                  <from>
                    <xdr:col>3</xdr:col>
                    <xdr:colOff>47625</xdr:colOff>
                    <xdr:row>16</xdr:row>
                    <xdr:rowOff>19050</xdr:rowOff>
                  </from>
                  <to>
                    <xdr:col>3</xdr:col>
                    <xdr:colOff>1438275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13" name="Drop Down 23">
              <controlPr defaultSize="0" autoLine="0" autoPict="0">
                <anchor moveWithCells="1">
                  <from>
                    <xdr:col>3</xdr:col>
                    <xdr:colOff>85725</xdr:colOff>
                    <xdr:row>19</xdr:row>
                    <xdr:rowOff>95250</xdr:rowOff>
                  </from>
                  <to>
                    <xdr:col>3</xdr:col>
                    <xdr:colOff>1466850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14" name="Button 24">
              <controlPr defaultSize="0" print="0" autoFill="0" autoPict="0" macro="[0]!UploadToSQL">
                <anchor moveWithCells="1" sizeWithCells="1">
                  <from>
                    <xdr:col>2</xdr:col>
                    <xdr:colOff>1828800</xdr:colOff>
                    <xdr:row>37</xdr:row>
                    <xdr:rowOff>85725</xdr:rowOff>
                  </from>
                  <to>
                    <xdr:col>3</xdr:col>
                    <xdr:colOff>1466850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15" name="Button 25">
              <controlPr defaultSize="0" print="0" autoFill="0" autoPict="0" macro="[0]!reset_workbook">
                <anchor moveWithCells="1" sizeWithCells="1">
                  <from>
                    <xdr:col>3</xdr:col>
                    <xdr:colOff>38100</xdr:colOff>
                    <xdr:row>3</xdr:row>
                    <xdr:rowOff>95250</xdr:rowOff>
                  </from>
                  <to>
                    <xdr:col>3</xdr:col>
                    <xdr:colOff>1428750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16" name="Drop Down 26">
              <controlPr defaultSize="0" autoLine="0" autoPict="0">
                <anchor moveWithCells="1">
                  <from>
                    <xdr:col>3</xdr:col>
                    <xdr:colOff>57150</xdr:colOff>
                    <xdr:row>25</xdr:row>
                    <xdr:rowOff>104775</xdr:rowOff>
                  </from>
                  <to>
                    <xdr:col>3</xdr:col>
                    <xdr:colOff>1438275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17" name="Drop Down 27">
              <controlPr defaultSize="0" autoLine="0" autoPict="0">
                <anchor moveWithCells="1">
                  <from>
                    <xdr:col>3</xdr:col>
                    <xdr:colOff>57150</xdr:colOff>
                    <xdr:row>27</xdr:row>
                    <xdr:rowOff>95250</xdr:rowOff>
                  </from>
                  <to>
                    <xdr:col>3</xdr:col>
                    <xdr:colOff>1438275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18" name="Drop Down 28">
              <controlPr defaultSize="0" autoLine="0" autoPict="0">
                <anchor moveWithCells="1">
                  <from>
                    <xdr:col>3</xdr:col>
                    <xdr:colOff>57150</xdr:colOff>
                    <xdr:row>6</xdr:row>
                    <xdr:rowOff>104775</xdr:rowOff>
                  </from>
                  <to>
                    <xdr:col>3</xdr:col>
                    <xdr:colOff>1438275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19" name="Check Box 30">
              <controlPr defaultSize="0" autoFill="0" autoLine="0" autoPict="0" macro="[0]!loadOffsetFiles">
                <anchor moveWithCells="1">
                  <from>
                    <xdr:col>3</xdr:col>
                    <xdr:colOff>419100</xdr:colOff>
                    <xdr:row>10</xdr:row>
                    <xdr:rowOff>57150</xdr:rowOff>
                  </from>
                  <to>
                    <xdr:col>3</xdr:col>
                    <xdr:colOff>1314450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20" name="Button 31">
              <controlPr defaultSize="0" print="0" autoFill="0" autoPict="0" macro="[0]!ShowManualOffsetTab">
                <anchor moveWithCells="1" sizeWithCells="1">
                  <from>
                    <xdr:col>4</xdr:col>
                    <xdr:colOff>209550</xdr:colOff>
                    <xdr:row>17</xdr:row>
                    <xdr:rowOff>95250</xdr:rowOff>
                  </from>
                  <to>
                    <xdr:col>5</xdr:col>
                    <xdr:colOff>590550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21" name="Check Box 32">
              <controlPr defaultSize="0" autoFill="0" autoLine="0" autoPict="0">
                <anchor moveWithCells="1">
                  <from>
                    <xdr:col>4</xdr:col>
                    <xdr:colOff>142875</xdr:colOff>
                    <xdr:row>15</xdr:row>
                    <xdr:rowOff>161925</xdr:rowOff>
                  </from>
                  <to>
                    <xdr:col>5</xdr:col>
                    <xdr:colOff>714375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22" name="Button 33">
              <controlPr defaultSize="0" print="0" autoFill="0" autoPict="0" macro="[0]!ShowSolverTab">
                <anchor moveWithCells="1" sizeWithCells="1">
                  <from>
                    <xdr:col>3</xdr:col>
                    <xdr:colOff>57150</xdr:colOff>
                    <xdr:row>33</xdr:row>
                    <xdr:rowOff>76200</xdr:rowOff>
                  </from>
                  <to>
                    <xdr:col>3</xdr:col>
                    <xdr:colOff>1447800</xdr:colOff>
                    <xdr:row>34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51A6CD35-EF5F-441B-B6A5-FC6497CA26AB}">
            <xm:f>IF(Settings!$D$2=3,TRUE)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D22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8">
    <tabColor rgb="FF00B0F0"/>
    <pageSetUpPr fitToPage="1"/>
  </sheetPr>
  <dimension ref="B1:AH53"/>
  <sheetViews>
    <sheetView topLeftCell="A7" zoomScale="70" zoomScaleNormal="70" workbookViewId="0">
      <selection activeCell="AD15" sqref="AD15:AE15"/>
    </sheetView>
  </sheetViews>
  <sheetFormatPr defaultColWidth="5.7109375" defaultRowHeight="15" x14ac:dyDescent="0.25"/>
  <cols>
    <col min="1" max="2" width="5.7109375" style="626"/>
    <col min="3" max="3" width="1.7109375" style="626" customWidth="1"/>
    <col min="4" max="8" width="5.7109375" style="626"/>
    <col min="9" max="9" width="1.7109375" style="626" customWidth="1"/>
    <col min="10" max="10" width="5.7109375" style="626"/>
    <col min="11" max="11" width="5.7109375" style="626" customWidth="1"/>
    <col min="12" max="32" width="5.7109375" style="626"/>
    <col min="33" max="33" width="1.7109375" style="626" customWidth="1"/>
    <col min="34" max="16384" width="5.7109375" style="626"/>
  </cols>
  <sheetData>
    <row r="1" spans="2:34" ht="15.75" thickBot="1" x14ac:dyDescent="0.3"/>
    <row r="2" spans="2:34" ht="36" x14ac:dyDescent="0.25">
      <c r="B2" s="299"/>
      <c r="C2" s="620"/>
      <c r="D2" s="909" t="s">
        <v>502</v>
      </c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  <c r="V2" s="909"/>
      <c r="W2" s="909"/>
      <c r="X2" s="909"/>
      <c r="Y2" s="909"/>
      <c r="Z2" s="909"/>
      <c r="AA2" s="909"/>
      <c r="AB2" s="909"/>
      <c r="AC2" s="909"/>
      <c r="AD2" s="909"/>
      <c r="AE2" s="909"/>
      <c r="AF2" s="909"/>
      <c r="AG2" s="620"/>
      <c r="AH2" s="307"/>
    </row>
    <row r="3" spans="2:34" ht="25.9" customHeight="1" x14ac:dyDescent="0.25">
      <c r="B3" s="301"/>
      <c r="C3" s="621"/>
      <c r="D3" s="621"/>
      <c r="E3" s="621"/>
      <c r="F3" s="621"/>
      <c r="G3" s="621"/>
      <c r="H3" s="621"/>
      <c r="I3" s="621"/>
      <c r="J3" s="621"/>
      <c r="K3" s="621"/>
      <c r="L3" s="910" t="s">
        <v>503</v>
      </c>
      <c r="M3" s="910"/>
      <c r="N3" s="910"/>
      <c r="O3" s="910"/>
      <c r="P3" s="910"/>
      <c r="Q3" s="910"/>
      <c r="R3" s="910"/>
      <c r="S3" s="910"/>
      <c r="T3" s="910"/>
      <c r="U3" s="910"/>
      <c r="V3" s="910"/>
      <c r="W3" s="910"/>
      <c r="X3" s="910"/>
      <c r="Y3" s="910"/>
      <c r="Z3" s="621"/>
      <c r="AA3" s="621"/>
      <c r="AB3" s="621"/>
      <c r="AC3" s="621"/>
      <c r="AD3" s="621"/>
      <c r="AE3" s="621"/>
      <c r="AF3" s="621"/>
      <c r="AG3" s="621"/>
      <c r="AH3" s="302"/>
    </row>
    <row r="4" spans="2:34" ht="25.9" customHeight="1" x14ac:dyDescent="0.25">
      <c r="B4" s="301"/>
      <c r="C4" s="623"/>
      <c r="D4" s="927" t="s">
        <v>107</v>
      </c>
      <c r="E4" s="928"/>
      <c r="F4" s="312" t="s">
        <v>93</v>
      </c>
      <c r="G4" s="913">
        <v>0</v>
      </c>
      <c r="H4" s="913"/>
      <c r="I4" s="897" t="str">
        <f>IF(G4&gt;0,"↑",IF(G4&lt;0,"↓",""))</f>
        <v/>
      </c>
      <c r="J4" s="897"/>
      <c r="K4" s="623"/>
      <c r="L4" s="624"/>
      <c r="M4" s="623"/>
      <c r="N4" s="623"/>
      <c r="O4" s="623"/>
      <c r="P4" s="623"/>
      <c r="Q4" s="623"/>
      <c r="R4" s="623"/>
      <c r="S4" s="623"/>
      <c r="T4" s="623"/>
      <c r="U4" s="623"/>
      <c r="V4" s="623"/>
      <c r="W4" s="623"/>
      <c r="X4" s="623"/>
      <c r="Y4" s="623"/>
      <c r="Z4" s="623"/>
      <c r="AA4" s="927" t="s">
        <v>106</v>
      </c>
      <c r="AB4" s="928"/>
      <c r="AC4" s="312" t="s">
        <v>93</v>
      </c>
      <c r="AD4" s="913">
        <v>0</v>
      </c>
      <c r="AE4" s="913"/>
      <c r="AF4" s="644" t="str">
        <f>IF(AD4&gt;0,"↑",IF(AD4&lt;0,"↓",""))</f>
        <v/>
      </c>
      <c r="AG4" s="624"/>
      <c r="AH4" s="302"/>
    </row>
    <row r="5" spans="2:34" ht="25.9" customHeight="1" x14ac:dyDescent="0.25">
      <c r="B5" s="301"/>
      <c r="C5" s="50"/>
      <c r="D5" s="928"/>
      <c r="E5" s="928"/>
      <c r="F5" s="312" t="s">
        <v>149</v>
      </c>
      <c r="G5" s="913">
        <v>0</v>
      </c>
      <c r="H5" s="913"/>
      <c r="I5" s="897" t="str">
        <f>IF(G5&gt;0,"↑",IF(G5&lt;0,"↓",""))</f>
        <v/>
      </c>
      <c r="J5" s="897"/>
      <c r="K5" s="624"/>
      <c r="L5" s="624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928"/>
      <c r="AB5" s="928"/>
      <c r="AC5" s="312" t="s">
        <v>149</v>
      </c>
      <c r="AD5" s="913">
        <v>0</v>
      </c>
      <c r="AE5" s="913"/>
      <c r="AF5" s="644" t="str">
        <f>IF(AD5&gt;0,"↑",IF(AD5&lt;0,"↓",""))</f>
        <v/>
      </c>
      <c r="AG5" s="50"/>
      <c r="AH5" s="303"/>
    </row>
    <row r="6" spans="2:34" ht="25.9" customHeight="1" x14ac:dyDescent="0.25">
      <c r="B6" s="301"/>
      <c r="C6" s="50"/>
      <c r="D6" s="50"/>
      <c r="E6" s="50"/>
      <c r="F6" s="50"/>
      <c r="G6" s="50"/>
      <c r="H6" s="50"/>
      <c r="I6" s="50"/>
      <c r="J6" s="50"/>
      <c r="K6" s="624"/>
      <c r="L6" s="624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303"/>
    </row>
    <row r="7" spans="2:34" ht="25.9" customHeight="1" x14ac:dyDescent="0.25">
      <c r="B7" s="301"/>
      <c r="C7" s="50"/>
      <c r="D7" s="50"/>
      <c r="E7" s="50"/>
      <c r="F7" s="50"/>
      <c r="G7" s="50"/>
      <c r="H7" s="50"/>
      <c r="I7" s="50"/>
      <c r="J7" s="637" t="str">
        <f>IF(J8&gt;0,"↑",IF(J8&lt;0,"↓",""))</f>
        <v/>
      </c>
      <c r="K7" s="637" t="str">
        <f>IF(K8&gt;0,"↑",IF(K8&lt;0,"↓",""))</f>
        <v/>
      </c>
      <c r="L7" s="624"/>
      <c r="M7" s="50"/>
      <c r="N7" s="50"/>
      <c r="O7" s="50"/>
      <c r="P7" s="50"/>
      <c r="Q7" s="50"/>
      <c r="R7" s="904" t="s">
        <v>31</v>
      </c>
      <c r="S7" s="904"/>
      <c r="T7" s="904"/>
      <c r="U7" s="904"/>
      <c r="V7" s="904"/>
      <c r="W7" s="904"/>
      <c r="X7" s="904"/>
      <c r="Y7" s="904"/>
      <c r="Z7" s="50"/>
      <c r="AA7" s="50"/>
      <c r="AB7" s="50"/>
      <c r="AC7" s="50"/>
      <c r="AD7" s="50"/>
      <c r="AE7" s="50"/>
      <c r="AF7" s="50"/>
      <c r="AG7" s="50"/>
      <c r="AH7" s="303"/>
    </row>
    <row r="8" spans="2:34" ht="25.9" customHeight="1" x14ac:dyDescent="0.25">
      <c r="B8" s="301"/>
      <c r="C8" s="50"/>
      <c r="D8" s="50"/>
      <c r="E8" s="50"/>
      <c r="F8" s="50"/>
      <c r="G8" s="50"/>
      <c r="H8" s="50"/>
      <c r="I8" s="50"/>
      <c r="J8" s="898">
        <v>0</v>
      </c>
      <c r="K8" s="898">
        <v>0</v>
      </c>
      <c r="L8" s="624"/>
      <c r="M8" s="50"/>
      <c r="N8" s="50"/>
      <c r="O8" s="50"/>
      <c r="P8" s="50"/>
      <c r="Q8" s="50"/>
      <c r="R8" s="904"/>
      <c r="S8" s="904"/>
      <c r="T8" s="904"/>
      <c r="U8" s="904"/>
      <c r="V8" s="904"/>
      <c r="W8" s="904"/>
      <c r="X8" s="904"/>
      <c r="Y8" s="904"/>
      <c r="Z8" s="50"/>
      <c r="AA8" s="50"/>
      <c r="AB8" s="50"/>
      <c r="AC8" s="50"/>
      <c r="AD8" s="50"/>
      <c r="AE8" s="50"/>
      <c r="AF8" s="50"/>
      <c r="AG8" s="50"/>
      <c r="AH8" s="303"/>
    </row>
    <row r="9" spans="2:34" ht="25.9" customHeight="1" x14ac:dyDescent="0.25">
      <c r="B9" s="301"/>
      <c r="C9" s="50"/>
      <c r="D9" s="50"/>
      <c r="E9" s="50"/>
      <c r="F9" s="50"/>
      <c r="G9" s="50"/>
      <c r="H9" s="50"/>
      <c r="I9" s="50"/>
      <c r="J9" s="898"/>
      <c r="K9" s="898"/>
      <c r="L9" s="624"/>
      <c r="M9" s="50"/>
      <c r="N9" s="50"/>
      <c r="O9" s="50"/>
      <c r="P9" s="50"/>
      <c r="Q9" s="50"/>
      <c r="R9" s="622"/>
      <c r="S9" s="622"/>
      <c r="T9" s="622"/>
      <c r="U9" s="622"/>
      <c r="V9" s="622"/>
      <c r="W9" s="622"/>
      <c r="X9" s="622"/>
      <c r="Y9" s="622"/>
      <c r="Z9" s="50"/>
      <c r="AA9" s="50"/>
      <c r="AB9" s="50"/>
      <c r="AC9" s="50"/>
      <c r="AD9" s="50"/>
      <c r="AE9" s="50"/>
      <c r="AF9" s="50"/>
      <c r="AG9" s="50"/>
      <c r="AH9" s="303"/>
    </row>
    <row r="10" spans="2:34" ht="25.9" customHeight="1" x14ac:dyDescent="0.25">
      <c r="B10" s="301"/>
      <c r="C10" s="50"/>
      <c r="D10" s="50"/>
      <c r="E10" s="50"/>
      <c r="F10" s="50"/>
      <c r="G10" s="50"/>
      <c r="H10" s="50"/>
      <c r="I10" s="50"/>
      <c r="J10" s="309" t="s">
        <v>93</v>
      </c>
      <c r="K10" s="309" t="s">
        <v>149</v>
      </c>
      <c r="L10" s="624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303"/>
    </row>
    <row r="11" spans="2:34" ht="25.9" customHeight="1" x14ac:dyDescent="0.25">
      <c r="B11" s="301"/>
      <c r="C11" s="50"/>
      <c r="D11" s="50"/>
      <c r="E11" s="50"/>
      <c r="F11" s="50"/>
      <c r="G11" s="50"/>
      <c r="H11" s="50"/>
      <c r="I11" s="50"/>
      <c r="J11" s="902" t="s">
        <v>119</v>
      </c>
      <c r="K11" s="902"/>
      <c r="L11" s="624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911" t="s">
        <v>112</v>
      </c>
      <c r="AB11" s="914"/>
      <c r="AC11" s="294" t="s">
        <v>93</v>
      </c>
      <c r="AD11" s="913">
        <v>0</v>
      </c>
      <c r="AE11" s="913"/>
      <c r="AF11" s="644" t="str">
        <f>IF(AD11&gt;0,"↑",IF(AD11&lt;0,"↓",""))</f>
        <v/>
      </c>
      <c r="AG11" s="50"/>
      <c r="AH11" s="303"/>
    </row>
    <row r="12" spans="2:34" ht="25.9" customHeight="1" x14ac:dyDescent="0.25">
      <c r="B12" s="301"/>
      <c r="C12" s="50"/>
      <c r="D12" s="50"/>
      <c r="E12" s="50"/>
      <c r="F12" s="50"/>
      <c r="G12" s="50"/>
      <c r="H12" s="50"/>
      <c r="I12" s="50"/>
      <c r="J12" s="902"/>
      <c r="K12" s="902"/>
      <c r="L12" s="624"/>
      <c r="M12" s="624"/>
      <c r="N12" s="624"/>
      <c r="O12" s="624"/>
      <c r="P12" s="624"/>
      <c r="Q12" s="624"/>
      <c r="R12" s="624"/>
      <c r="S12" s="623"/>
      <c r="T12" s="623"/>
      <c r="U12" s="50"/>
      <c r="V12" s="50"/>
      <c r="W12" s="637" t="str">
        <f>IF(W13&gt;0,"↑",IF(W13&lt;0,"↓",""))</f>
        <v/>
      </c>
      <c r="X12" s="637" t="str">
        <f>IF(X13&gt;0,"↑",IF(X13&lt;0,"↓",""))</f>
        <v/>
      </c>
      <c r="Y12" s="623"/>
      <c r="Z12" s="623"/>
      <c r="AA12" s="914"/>
      <c r="AB12" s="914"/>
      <c r="AC12" s="294" t="s">
        <v>149</v>
      </c>
      <c r="AD12" s="913">
        <v>0</v>
      </c>
      <c r="AE12" s="913"/>
      <c r="AF12" s="644" t="str">
        <f>IF(AD12&gt;0,"↑",IF(AD12&lt;0,"↓",""))</f>
        <v/>
      </c>
      <c r="AG12" s="623"/>
      <c r="AH12" s="303"/>
    </row>
    <row r="13" spans="2:34" ht="25.9" customHeight="1" x14ac:dyDescent="0.25">
      <c r="B13" s="301"/>
      <c r="C13" s="50"/>
      <c r="D13" s="50"/>
      <c r="E13" s="50"/>
      <c r="F13" s="50"/>
      <c r="G13" s="50"/>
      <c r="H13" s="50"/>
      <c r="I13" s="50"/>
      <c r="J13" s="50"/>
      <c r="K13" s="623"/>
      <c r="L13" s="911" t="s">
        <v>116</v>
      </c>
      <c r="M13" s="914"/>
      <c r="N13" s="312" t="s">
        <v>93</v>
      </c>
      <c r="O13" s="913">
        <v>0</v>
      </c>
      <c r="P13" s="913"/>
      <c r="Q13" s="644" t="str">
        <f>IF(O13&gt;0,"↑",IF(O13&lt;0,"↓",""))</f>
        <v/>
      </c>
      <c r="R13" s="623"/>
      <c r="S13" s="623"/>
      <c r="T13" s="624"/>
      <c r="U13" s="50"/>
      <c r="V13" s="50"/>
      <c r="W13" s="898">
        <v>0</v>
      </c>
      <c r="X13" s="898">
        <v>0</v>
      </c>
      <c r="Y13" s="623"/>
      <c r="Z13" s="663"/>
      <c r="AA13" s="663"/>
      <c r="AB13" s="663"/>
      <c r="AC13" s="663"/>
      <c r="AD13" s="663"/>
      <c r="AE13" s="663"/>
      <c r="AF13" s="663"/>
      <c r="AG13" s="663"/>
      <c r="AH13" s="303"/>
    </row>
    <row r="14" spans="2:34" ht="25.9" customHeight="1" x14ac:dyDescent="0.25">
      <c r="B14" s="301"/>
      <c r="C14" s="50"/>
      <c r="D14" s="50"/>
      <c r="E14" s="50"/>
      <c r="F14" s="50"/>
      <c r="G14" s="50"/>
      <c r="H14" s="50"/>
      <c r="I14" s="50"/>
      <c r="J14" s="50"/>
      <c r="K14" s="50"/>
      <c r="L14" s="914"/>
      <c r="M14" s="914"/>
      <c r="N14" s="312" t="s">
        <v>149</v>
      </c>
      <c r="O14" s="913">
        <v>0</v>
      </c>
      <c r="P14" s="913"/>
      <c r="Q14" s="644" t="str">
        <f>IF(O14&gt;0,"↑",IF(O14&lt;0,"↓",""))</f>
        <v/>
      </c>
      <c r="R14" s="50"/>
      <c r="S14" s="623"/>
      <c r="T14" s="624"/>
      <c r="U14" s="50"/>
      <c r="V14" s="50"/>
      <c r="W14" s="898"/>
      <c r="X14" s="898"/>
      <c r="Y14" s="623"/>
      <c r="Z14" s="924" t="s">
        <v>510</v>
      </c>
      <c r="AA14" s="924"/>
      <c r="AB14" s="924"/>
      <c r="AC14" s="924"/>
      <c r="AD14" s="925">
        <v>0</v>
      </c>
      <c r="AE14" s="925"/>
      <c r="AF14" s="926" t="str">
        <f>IF(AD14="","",IF(AD14&lt;0,"→ ",IF(AD14&gt;0,"← ","")))</f>
        <v/>
      </c>
      <c r="AG14" s="926"/>
      <c r="AH14" s="303"/>
    </row>
    <row r="15" spans="2:34" ht="25.9" customHeight="1" x14ac:dyDescent="0.25">
      <c r="B15" s="301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623"/>
      <c r="T15" s="624"/>
      <c r="U15" s="50"/>
      <c r="V15" s="50"/>
      <c r="W15" s="309" t="s">
        <v>93</v>
      </c>
      <c r="X15" s="309" t="s">
        <v>149</v>
      </c>
      <c r="Y15" s="623"/>
      <c r="Z15" s="924" t="s">
        <v>511</v>
      </c>
      <c r="AA15" s="924"/>
      <c r="AB15" s="924"/>
      <c r="AC15" s="924"/>
      <c r="AD15" s="925">
        <v>0</v>
      </c>
      <c r="AE15" s="925"/>
      <c r="AF15" s="926" t="str">
        <f>IF(AD15="","",IF(AD15&gt;0,"↑",IF(AD15&lt;0,"↓","")))</f>
        <v/>
      </c>
      <c r="AG15" s="926"/>
      <c r="AH15" s="303"/>
    </row>
    <row r="16" spans="2:34" ht="25.9" customHeight="1" x14ac:dyDescent="0.25">
      <c r="B16" s="301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623"/>
      <c r="T16" s="624"/>
      <c r="U16" s="50"/>
      <c r="V16" s="50"/>
      <c r="W16" s="905" t="s">
        <v>113</v>
      </c>
      <c r="X16" s="906"/>
      <c r="Y16" s="623"/>
      <c r="Z16" s="663"/>
      <c r="AA16" s="663"/>
      <c r="AB16" s="663"/>
      <c r="AC16" s="663"/>
      <c r="AD16" s="663"/>
      <c r="AE16" s="663"/>
      <c r="AF16" s="663"/>
      <c r="AG16" s="663"/>
      <c r="AH16" s="303"/>
    </row>
    <row r="17" spans="2:34" ht="25.9" customHeight="1" x14ac:dyDescent="0.25">
      <c r="B17" s="301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623"/>
      <c r="T17" s="624"/>
      <c r="U17" s="50"/>
      <c r="V17" s="50"/>
      <c r="W17" s="907"/>
      <c r="X17" s="908"/>
      <c r="Y17" s="623"/>
      <c r="Z17" s="623"/>
      <c r="AA17" s="623"/>
      <c r="AB17" s="917" t="str">
        <f ca="1">TEXT(TODAY(),"mm/dd/yyyy")</f>
        <v>09/04/2019</v>
      </c>
      <c r="AC17" s="917"/>
      <c r="AD17" s="917"/>
      <c r="AE17" s="917"/>
      <c r="AF17" s="917"/>
      <c r="AG17" s="623"/>
      <c r="AH17" s="303"/>
    </row>
    <row r="18" spans="2:34" ht="25.9" customHeight="1" x14ac:dyDescent="0.25">
      <c r="B18" s="301"/>
      <c r="C18" s="50"/>
      <c r="D18" s="50"/>
      <c r="E18" s="50"/>
      <c r="F18" s="50"/>
      <c r="G18" s="50"/>
      <c r="H18" s="904" t="s">
        <v>32</v>
      </c>
      <c r="I18" s="904"/>
      <c r="J18" s="904"/>
      <c r="K18" s="904"/>
      <c r="L18" s="904"/>
      <c r="M18" s="904"/>
      <c r="N18" s="904"/>
      <c r="O18" s="622"/>
      <c r="P18" s="50"/>
      <c r="Q18" s="50"/>
      <c r="R18" s="50"/>
      <c r="S18" s="623"/>
      <c r="T18" s="623"/>
      <c r="U18" s="50"/>
      <c r="V18" s="50"/>
      <c r="W18" s="50"/>
      <c r="X18" s="623"/>
      <c r="Y18" s="623"/>
      <c r="Z18" s="623"/>
      <c r="AA18" s="623"/>
      <c r="AB18" s="917" t="str">
        <f>INDEX(Machine[Name],MATCH('Offset Solver'!E28,Machine[Nomenclature],0))</f>
        <v>AMP 6</v>
      </c>
      <c r="AC18" s="917"/>
      <c r="AD18" s="917"/>
      <c r="AE18" s="917"/>
      <c r="AF18" s="917"/>
      <c r="AG18" s="623"/>
      <c r="AH18" s="303"/>
    </row>
    <row r="19" spans="2:34" ht="25.9" customHeight="1" x14ac:dyDescent="0.25">
      <c r="B19" s="301"/>
      <c r="C19" s="50"/>
      <c r="D19" s="50"/>
      <c r="E19" s="50"/>
      <c r="F19" s="50"/>
      <c r="G19" s="50"/>
      <c r="H19" s="904"/>
      <c r="I19" s="904"/>
      <c r="J19" s="904"/>
      <c r="K19" s="904"/>
      <c r="L19" s="904"/>
      <c r="M19" s="904"/>
      <c r="N19" s="904"/>
      <c r="O19" s="622"/>
      <c r="P19" s="50"/>
      <c r="Q19" s="50"/>
      <c r="R19" s="50"/>
      <c r="S19" s="623"/>
      <c r="T19" s="623"/>
      <c r="U19" s="50"/>
      <c r="V19" s="50"/>
      <c r="W19" s="50"/>
      <c r="X19" s="918"/>
      <c r="Y19" s="918"/>
      <c r="Z19" s="623"/>
      <c r="AA19" s="623"/>
      <c r="AB19" s="917" t="str">
        <f>INDEX(Machine[Fixture],MATCH('Offset Solver'!E28,Machine[Nomenclature],0))</f>
        <v>Fixture 3/4</v>
      </c>
      <c r="AC19" s="917"/>
      <c r="AD19" s="917"/>
      <c r="AE19" s="917"/>
      <c r="AF19" s="917"/>
      <c r="AG19" s="623"/>
      <c r="AH19" s="303"/>
    </row>
    <row r="20" spans="2:34" ht="25.9" customHeight="1" x14ac:dyDescent="0.25">
      <c r="B20" s="301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623"/>
      <c r="T20" s="623"/>
      <c r="U20" s="50"/>
      <c r="V20" s="50"/>
      <c r="W20" s="50"/>
      <c r="X20" s="918"/>
      <c r="Y20" s="918"/>
      <c r="Z20" s="623"/>
      <c r="AA20" s="623"/>
      <c r="AB20" s="919" t="str">
        <f>INDEX(Setup!C81:C86,Setup!B82)</f>
        <v>Chris Zarlengo</v>
      </c>
      <c r="AC20" s="919"/>
      <c r="AD20" s="919"/>
      <c r="AE20" s="919"/>
      <c r="AF20" s="919"/>
      <c r="AG20" s="623"/>
      <c r="AH20" s="303"/>
    </row>
    <row r="21" spans="2:34" ht="25.9" customHeight="1" x14ac:dyDescent="0.25">
      <c r="B21" s="301"/>
      <c r="C21" s="50"/>
      <c r="D21" s="911" t="s">
        <v>108</v>
      </c>
      <c r="E21" s="914"/>
      <c r="F21" s="294" t="s">
        <v>93</v>
      </c>
      <c r="G21" s="913">
        <v>0</v>
      </c>
      <c r="H21" s="913"/>
      <c r="I21" s="897" t="str">
        <f>IF(G21&gt;0,"↑",IF(G21&lt;0,"↓",""))</f>
        <v/>
      </c>
      <c r="J21" s="897"/>
      <c r="K21" s="50"/>
      <c r="L21" s="50"/>
      <c r="M21" s="50"/>
      <c r="N21" s="50"/>
      <c r="O21" s="50"/>
      <c r="P21" s="50"/>
      <c r="Q21" s="50"/>
      <c r="R21" s="50"/>
      <c r="S21" s="623"/>
      <c r="T21" s="623"/>
      <c r="U21" s="50"/>
      <c r="V21" s="50"/>
      <c r="W21" s="50"/>
      <c r="X21" s="918"/>
      <c r="Y21" s="918"/>
      <c r="Z21" s="623"/>
      <c r="AA21" s="623"/>
      <c r="AB21" s="298"/>
      <c r="AC21" s="298"/>
      <c r="AD21" s="298"/>
      <c r="AE21" s="298"/>
      <c r="AF21" s="298"/>
      <c r="AG21" s="623"/>
      <c r="AH21" s="303"/>
    </row>
    <row r="22" spans="2:34" ht="25.9" customHeight="1" x14ac:dyDescent="0.25">
      <c r="B22" s="301"/>
      <c r="C22" s="623"/>
      <c r="D22" s="914"/>
      <c r="E22" s="914"/>
      <c r="F22" s="294" t="s">
        <v>149</v>
      </c>
      <c r="G22" s="913">
        <v>0</v>
      </c>
      <c r="H22" s="913"/>
      <c r="I22" s="897" t="str">
        <f>IF(G22&gt;0,"↑",IF(G22&lt;0,"↓",""))</f>
        <v/>
      </c>
      <c r="J22" s="897"/>
      <c r="K22" s="50"/>
      <c r="L22" s="50"/>
      <c r="M22" s="50"/>
      <c r="N22" s="50"/>
      <c r="O22" s="50"/>
      <c r="P22" s="50"/>
      <c r="Q22" s="50"/>
      <c r="R22" s="50"/>
      <c r="S22" s="623"/>
      <c r="T22" s="623"/>
      <c r="U22" s="50"/>
      <c r="V22" s="50"/>
      <c r="W22" s="50"/>
      <c r="X22" s="918"/>
      <c r="Y22" s="918"/>
      <c r="Z22" s="623"/>
      <c r="AA22" s="623"/>
      <c r="AB22" s="623"/>
      <c r="AC22" s="623"/>
      <c r="AD22" s="623"/>
      <c r="AE22" s="623"/>
      <c r="AF22" s="623"/>
      <c r="AG22" s="623"/>
      <c r="AH22" s="303"/>
    </row>
    <row r="23" spans="2:34" ht="25.9" customHeight="1" x14ac:dyDescent="0.25">
      <c r="B23" s="301"/>
      <c r="C23" s="623"/>
      <c r="D23" s="623"/>
      <c r="E23" s="623"/>
      <c r="F23" s="623"/>
      <c r="G23" s="623"/>
      <c r="H23" s="623"/>
      <c r="I23" s="623"/>
      <c r="J23" s="920" t="s">
        <v>109</v>
      </c>
      <c r="K23" s="921"/>
      <c r="L23" s="50"/>
      <c r="M23" s="50"/>
      <c r="N23" s="50"/>
      <c r="O23" s="50"/>
      <c r="P23" s="50"/>
      <c r="Q23" s="50"/>
      <c r="R23" s="50"/>
      <c r="S23" s="623"/>
      <c r="T23" s="623"/>
      <c r="U23" s="50"/>
      <c r="V23" s="50"/>
      <c r="W23" s="50"/>
      <c r="X23" s="918"/>
      <c r="Y23" s="918"/>
      <c r="Z23" s="623"/>
      <c r="AA23" s="623"/>
      <c r="AB23" s="623"/>
      <c r="AC23" s="623"/>
      <c r="AD23" s="623"/>
      <c r="AE23" s="623"/>
      <c r="AF23" s="623"/>
      <c r="AG23" s="623"/>
      <c r="AH23" s="303"/>
    </row>
    <row r="24" spans="2:34" ht="25.9" customHeight="1" x14ac:dyDescent="0.25">
      <c r="B24" s="301"/>
      <c r="C24" s="623"/>
      <c r="D24" s="623"/>
      <c r="E24" s="623"/>
      <c r="F24" s="623"/>
      <c r="G24" s="623"/>
      <c r="H24" s="623"/>
      <c r="I24" s="623"/>
      <c r="J24" s="922"/>
      <c r="K24" s="923"/>
      <c r="L24" s="50"/>
      <c r="M24" s="50"/>
      <c r="N24" s="50"/>
      <c r="O24" s="50"/>
      <c r="P24" s="50"/>
      <c r="Q24" s="50"/>
      <c r="R24" s="50"/>
      <c r="S24" s="623"/>
      <c r="T24" s="623"/>
      <c r="U24" s="50"/>
      <c r="V24" s="50"/>
      <c r="W24" s="50"/>
      <c r="X24" s="918"/>
      <c r="Y24" s="918"/>
      <c r="Z24" s="623"/>
      <c r="AA24" s="623"/>
      <c r="AB24" s="623"/>
      <c r="AC24" s="623"/>
      <c r="AD24" s="623"/>
      <c r="AE24" s="623"/>
      <c r="AF24" s="623"/>
      <c r="AG24" s="623"/>
      <c r="AH24" s="303"/>
    </row>
    <row r="25" spans="2:34" ht="25.9" customHeight="1" x14ac:dyDescent="0.25">
      <c r="B25" s="301"/>
      <c r="C25" s="623"/>
      <c r="D25" s="623"/>
      <c r="E25" s="623"/>
      <c r="F25" s="623"/>
      <c r="G25" s="623"/>
      <c r="H25" s="623"/>
      <c r="I25" s="623"/>
      <c r="J25" s="297" t="s">
        <v>149</v>
      </c>
      <c r="K25" s="297" t="s">
        <v>93</v>
      </c>
      <c r="L25" s="50"/>
      <c r="M25" s="50"/>
      <c r="N25" s="50"/>
      <c r="O25" s="50"/>
      <c r="P25" s="50"/>
      <c r="Q25" s="50"/>
      <c r="R25" s="50"/>
      <c r="S25" s="623"/>
      <c r="T25" s="623"/>
      <c r="U25" s="50"/>
      <c r="V25" s="50"/>
      <c r="W25" s="50"/>
      <c r="X25" s="918"/>
      <c r="Y25" s="918"/>
      <c r="Z25" s="623"/>
      <c r="AA25" s="623"/>
      <c r="AB25" s="623"/>
      <c r="AC25" s="623"/>
      <c r="AD25" s="623"/>
      <c r="AE25" s="623"/>
      <c r="AF25" s="623"/>
      <c r="AG25" s="623"/>
      <c r="AH25" s="303"/>
    </row>
    <row r="26" spans="2:34" ht="25.9" customHeight="1" x14ac:dyDescent="0.25">
      <c r="B26" s="301"/>
      <c r="C26" s="623"/>
      <c r="D26" s="623"/>
      <c r="E26" s="623"/>
      <c r="F26" s="623"/>
      <c r="G26" s="623"/>
      <c r="H26" s="623"/>
      <c r="I26" s="623"/>
      <c r="J26" s="901">
        <v>0</v>
      </c>
      <c r="K26" s="901">
        <v>0</v>
      </c>
      <c r="L26" s="50"/>
      <c r="M26" s="50"/>
      <c r="N26" s="50"/>
      <c r="O26" s="50"/>
      <c r="P26" s="50"/>
      <c r="Q26" s="50"/>
      <c r="R26" s="50"/>
      <c r="S26" s="623"/>
      <c r="T26" s="623"/>
      <c r="U26" s="50"/>
      <c r="V26" s="50"/>
      <c r="W26" s="50"/>
      <c r="X26" s="918"/>
      <c r="Y26" s="918"/>
      <c r="Z26" s="623"/>
      <c r="AA26" s="623"/>
      <c r="AB26" s="623"/>
      <c r="AC26" s="623"/>
      <c r="AD26" s="623"/>
      <c r="AE26" s="623"/>
      <c r="AF26" s="624"/>
      <c r="AG26" s="624"/>
      <c r="AH26" s="302"/>
    </row>
    <row r="27" spans="2:34" ht="25.9" customHeight="1" x14ac:dyDescent="0.25">
      <c r="B27" s="301"/>
      <c r="C27" s="623"/>
      <c r="D27" s="623"/>
      <c r="E27" s="623"/>
      <c r="F27" s="623"/>
      <c r="G27" s="623"/>
      <c r="H27" s="623"/>
      <c r="I27" s="623"/>
      <c r="J27" s="901"/>
      <c r="K27" s="901"/>
      <c r="L27" s="50"/>
      <c r="M27" s="50"/>
      <c r="N27" s="50"/>
      <c r="O27" s="50"/>
      <c r="P27" s="50"/>
      <c r="Q27" s="50"/>
      <c r="R27" s="637" t="str">
        <f>IF(R28&gt;0,"↑",IF(R28&lt;0,"↓",""))</f>
        <v/>
      </c>
      <c r="S27" s="637" t="str">
        <f>IF(S28&gt;0,"↑",IF(S28&lt;0,"↓",""))</f>
        <v/>
      </c>
      <c r="T27" s="623"/>
      <c r="U27" s="50"/>
      <c r="V27" s="50"/>
      <c r="W27" s="50"/>
      <c r="X27" s="918"/>
      <c r="Y27" s="918"/>
      <c r="Z27" s="623"/>
      <c r="AA27" s="623"/>
      <c r="AB27" s="623"/>
      <c r="AC27" s="623"/>
      <c r="AD27" s="623"/>
      <c r="AE27" s="623"/>
      <c r="AF27" s="624"/>
      <c r="AG27" s="624"/>
      <c r="AH27" s="302"/>
    </row>
    <row r="28" spans="2:34" ht="25.9" customHeight="1" thickBot="1" x14ac:dyDescent="0.3">
      <c r="B28" s="301"/>
      <c r="C28" s="623"/>
      <c r="D28" s="623"/>
      <c r="E28" s="623"/>
      <c r="F28" s="623"/>
      <c r="G28" s="623"/>
      <c r="H28" s="623"/>
      <c r="I28" s="623"/>
      <c r="J28" s="637" t="str">
        <f>IF(J26&gt;0,"↑",IF(J26&lt;0,"↓",""))</f>
        <v/>
      </c>
      <c r="K28" s="637" t="str">
        <f>IF(K26&gt;0,"↑",IF(K26&lt;0,"↓",""))</f>
        <v/>
      </c>
      <c r="L28" s="50"/>
      <c r="M28" s="50"/>
      <c r="N28" s="50"/>
      <c r="O28" s="50"/>
      <c r="P28" s="50"/>
      <c r="Q28" s="50"/>
      <c r="R28" s="898">
        <v>0</v>
      </c>
      <c r="S28" s="898">
        <v>0</v>
      </c>
      <c r="T28" s="623"/>
      <c r="U28" s="50"/>
      <c r="V28" s="50"/>
      <c r="W28" s="50"/>
      <c r="X28" s="918"/>
      <c r="Y28" s="918"/>
      <c r="Z28" s="623"/>
      <c r="AA28" s="623"/>
      <c r="AB28" s="623"/>
      <c r="AC28" s="623"/>
      <c r="AD28" s="623"/>
      <c r="AE28" s="623"/>
      <c r="AF28" s="623"/>
      <c r="AG28" s="623"/>
      <c r="AH28" s="303"/>
    </row>
    <row r="29" spans="2:34" ht="25.9" customHeight="1" x14ac:dyDescent="0.25">
      <c r="B29" s="301"/>
      <c r="C29" s="894" t="s">
        <v>507</v>
      </c>
      <c r="D29" s="895"/>
      <c r="E29" s="895"/>
      <c r="F29" s="896"/>
      <c r="G29" s="639" t="s">
        <v>323</v>
      </c>
      <c r="H29" s="640" t="s">
        <v>321</v>
      </c>
      <c r="I29" s="623"/>
      <c r="J29" s="623"/>
      <c r="K29" s="623"/>
      <c r="L29" s="623"/>
      <c r="M29" s="50"/>
      <c r="N29" s="50"/>
      <c r="O29" s="50"/>
      <c r="P29" s="50"/>
      <c r="Q29" s="50"/>
      <c r="R29" s="898"/>
      <c r="S29" s="898"/>
      <c r="T29" s="623"/>
      <c r="U29" s="50"/>
      <c r="V29" s="50"/>
      <c r="W29" s="50"/>
      <c r="X29" s="50"/>
      <c r="Y29" s="637" t="str">
        <f>IF(Y30&gt;0,"↑",IF(Y30&lt;0,"↓",""))</f>
        <v/>
      </c>
      <c r="Z29" s="637" t="str">
        <f>IF(Z30&gt;0,"↑",IF(Z30&lt;0,"↓",""))</f>
        <v/>
      </c>
      <c r="AA29" s="623"/>
      <c r="AB29" s="623"/>
      <c r="AC29" s="623"/>
      <c r="AD29" s="623"/>
      <c r="AE29" s="623"/>
      <c r="AF29" s="623"/>
      <c r="AG29" s="623"/>
      <c r="AH29" s="303"/>
    </row>
    <row r="30" spans="2:34" ht="25.9" customHeight="1" x14ac:dyDescent="0.25">
      <c r="B30" s="301"/>
      <c r="C30" s="890" t="s">
        <v>504</v>
      </c>
      <c r="D30" s="891"/>
      <c r="E30" s="891"/>
      <c r="F30" s="891"/>
      <c r="G30" s="638" t="s">
        <v>442</v>
      </c>
      <c r="H30" s="641" t="s">
        <v>442</v>
      </c>
      <c r="I30" s="623"/>
      <c r="J30" s="623"/>
      <c r="K30" s="623"/>
      <c r="L30" s="623"/>
      <c r="M30" s="50"/>
      <c r="N30" s="50"/>
      <c r="O30" s="50"/>
      <c r="P30" s="50"/>
      <c r="Q30" s="50"/>
      <c r="R30" s="309" t="s">
        <v>93</v>
      </c>
      <c r="S30" s="309" t="s">
        <v>149</v>
      </c>
      <c r="T30" s="623"/>
      <c r="U30" s="50"/>
      <c r="V30" s="50"/>
      <c r="W30" s="50"/>
      <c r="X30" s="50"/>
      <c r="Y30" s="898">
        <v>0</v>
      </c>
      <c r="Z30" s="898">
        <v>0</v>
      </c>
      <c r="AA30" s="623"/>
      <c r="AB30" s="623"/>
      <c r="AC30" s="623"/>
      <c r="AD30" s="623"/>
      <c r="AE30" s="623"/>
      <c r="AF30" s="623"/>
      <c r="AG30" s="623"/>
      <c r="AH30" s="303"/>
    </row>
    <row r="31" spans="2:34" ht="25.9" customHeight="1" thickBot="1" x14ac:dyDescent="0.3">
      <c r="B31" s="301"/>
      <c r="C31" s="892" t="s">
        <v>505</v>
      </c>
      <c r="D31" s="893"/>
      <c r="E31" s="893"/>
      <c r="F31" s="893"/>
      <c r="G31" s="642" t="s">
        <v>506</v>
      </c>
      <c r="H31" s="643" t="s">
        <v>506</v>
      </c>
      <c r="I31" s="623"/>
      <c r="J31" s="623"/>
      <c r="K31" s="623"/>
      <c r="L31" s="623"/>
      <c r="M31" s="50"/>
      <c r="N31" s="50"/>
      <c r="O31" s="50"/>
      <c r="P31" s="50"/>
      <c r="Q31" s="50"/>
      <c r="R31" s="902" t="s">
        <v>118</v>
      </c>
      <c r="S31" s="903"/>
      <c r="T31" s="623"/>
      <c r="U31" s="50"/>
      <c r="V31" s="50"/>
      <c r="W31" s="50"/>
      <c r="X31" s="50"/>
      <c r="Y31" s="898"/>
      <c r="Z31" s="898"/>
      <c r="AA31" s="623"/>
      <c r="AB31" s="623"/>
      <c r="AC31" s="623"/>
      <c r="AD31" s="623"/>
      <c r="AE31" s="623"/>
      <c r="AF31" s="623"/>
      <c r="AG31" s="623"/>
      <c r="AH31" s="303"/>
    </row>
    <row r="32" spans="2:34" ht="25.9" customHeight="1" x14ac:dyDescent="0.25">
      <c r="B32" s="301"/>
      <c r="C32" s="623"/>
      <c r="D32" s="623"/>
      <c r="E32" s="623"/>
      <c r="F32" s="623"/>
      <c r="G32" s="623"/>
      <c r="H32" s="623"/>
      <c r="I32" s="623"/>
      <c r="J32" s="623"/>
      <c r="K32" s="623"/>
      <c r="L32" s="623"/>
      <c r="M32" s="50"/>
      <c r="N32" s="50"/>
      <c r="O32" s="50"/>
      <c r="P32" s="50"/>
      <c r="Q32" s="50"/>
      <c r="R32" s="903"/>
      <c r="S32" s="903"/>
      <c r="T32" s="623"/>
      <c r="U32" s="50"/>
      <c r="V32" s="50"/>
      <c r="W32" s="50"/>
      <c r="X32" s="50"/>
      <c r="Y32" s="309" t="s">
        <v>93</v>
      </c>
      <c r="Z32" s="309" t="s">
        <v>149</v>
      </c>
      <c r="AA32" s="623"/>
      <c r="AB32" s="623"/>
      <c r="AC32" s="623"/>
      <c r="AD32" s="623"/>
      <c r="AE32" s="623"/>
      <c r="AF32" s="623"/>
      <c r="AG32" s="623"/>
      <c r="AH32" s="303"/>
    </row>
    <row r="33" spans="2:34" ht="25.9" customHeight="1" x14ac:dyDescent="0.25">
      <c r="B33" s="301"/>
      <c r="C33" s="623"/>
      <c r="D33" s="623"/>
      <c r="E33" s="623"/>
      <c r="F33" s="623"/>
      <c r="G33" s="623"/>
      <c r="H33" s="623"/>
      <c r="I33" s="623"/>
      <c r="J33" s="623"/>
      <c r="K33" s="623"/>
      <c r="L33" s="623"/>
      <c r="M33" s="50"/>
      <c r="N33" s="50"/>
      <c r="O33" s="50"/>
      <c r="P33" s="50"/>
      <c r="Q33" s="50"/>
      <c r="R33" s="50"/>
      <c r="S33" s="623"/>
      <c r="T33" s="623"/>
      <c r="U33" s="50"/>
      <c r="V33" s="50"/>
      <c r="W33" s="50"/>
      <c r="X33" s="50"/>
      <c r="Y33" s="905" t="s">
        <v>114</v>
      </c>
      <c r="Z33" s="906"/>
      <c r="AA33" s="623"/>
      <c r="AB33" s="623"/>
      <c r="AC33" s="623"/>
      <c r="AD33" s="623"/>
      <c r="AE33" s="623"/>
      <c r="AF33" s="623"/>
      <c r="AG33" s="623"/>
      <c r="AH33" s="303"/>
    </row>
    <row r="34" spans="2:34" ht="25.9" customHeight="1" x14ac:dyDescent="0.25">
      <c r="B34" s="301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50"/>
      <c r="N34" s="50"/>
      <c r="O34" s="50"/>
      <c r="P34" s="50"/>
      <c r="Q34" s="50"/>
      <c r="R34" s="50"/>
      <c r="S34" s="623"/>
      <c r="T34" s="623"/>
      <c r="U34" s="50"/>
      <c r="V34" s="50"/>
      <c r="W34" s="50"/>
      <c r="X34" s="50"/>
      <c r="Y34" s="907"/>
      <c r="Z34" s="908"/>
      <c r="AA34" s="623"/>
      <c r="AB34" s="623"/>
      <c r="AC34" s="623"/>
      <c r="AD34" s="623"/>
      <c r="AE34" s="623"/>
      <c r="AF34" s="623"/>
      <c r="AG34" s="623"/>
      <c r="AH34" s="303"/>
    </row>
    <row r="35" spans="2:34" ht="25.9" customHeight="1" x14ac:dyDescent="0.25">
      <c r="B35" s="301"/>
      <c r="C35" s="623"/>
      <c r="D35" s="623"/>
      <c r="E35" s="623"/>
      <c r="F35" s="623"/>
      <c r="G35" s="623"/>
      <c r="H35" s="623"/>
      <c r="I35" s="623"/>
      <c r="J35" s="623"/>
      <c r="K35" s="623"/>
      <c r="L35" s="623"/>
      <c r="M35" s="50"/>
      <c r="N35" s="50"/>
      <c r="O35" s="50"/>
      <c r="P35" s="50"/>
      <c r="Q35" s="50"/>
      <c r="R35" s="50"/>
      <c r="S35" s="623"/>
      <c r="T35" s="623"/>
      <c r="U35" s="50"/>
      <c r="V35" s="50"/>
      <c r="W35" s="50"/>
      <c r="X35" s="50"/>
      <c r="Y35" s="50"/>
      <c r="Z35" s="623"/>
      <c r="AA35" s="911" t="s">
        <v>115</v>
      </c>
      <c r="AB35" s="914"/>
      <c r="AC35" s="294" t="s">
        <v>93</v>
      </c>
      <c r="AD35" s="913">
        <v>0</v>
      </c>
      <c r="AE35" s="913"/>
      <c r="AF35" s="644" t="str">
        <f>IF(AD35&gt;0,"↑",IF(AD35&lt;0,"↓",""))</f>
        <v/>
      </c>
      <c r="AG35" s="623"/>
      <c r="AH35" s="303"/>
    </row>
    <row r="36" spans="2:34" ht="25.9" customHeight="1" x14ac:dyDescent="0.25">
      <c r="B36" s="301"/>
      <c r="C36" s="623"/>
      <c r="D36" s="623"/>
      <c r="E36" s="623"/>
      <c r="F36" s="623"/>
      <c r="G36" s="623"/>
      <c r="H36" s="623"/>
      <c r="I36" s="623"/>
      <c r="J36" s="623"/>
      <c r="K36" s="623"/>
      <c r="L36" s="623"/>
      <c r="M36" s="50"/>
      <c r="N36" s="50"/>
      <c r="O36" s="50"/>
      <c r="P36" s="50"/>
      <c r="Q36" s="50"/>
      <c r="R36" s="50"/>
      <c r="S36" s="623"/>
      <c r="T36" s="623"/>
      <c r="U36" s="50"/>
      <c r="V36" s="50"/>
      <c r="W36" s="50"/>
      <c r="X36" s="50"/>
      <c r="Y36" s="50"/>
      <c r="Z36" s="50"/>
      <c r="AA36" s="914"/>
      <c r="AB36" s="914"/>
      <c r="AC36" s="294" t="s">
        <v>149</v>
      </c>
      <c r="AD36" s="913">
        <v>0</v>
      </c>
      <c r="AE36" s="913"/>
      <c r="AF36" s="644" t="str">
        <f>IF(AD36&gt;0,"↑",IF(AD36&lt;0,"↓",""))</f>
        <v/>
      </c>
      <c r="AG36" s="50"/>
      <c r="AH36" s="303"/>
    </row>
    <row r="37" spans="2:34" ht="25.9" customHeight="1" x14ac:dyDescent="0.25">
      <c r="B37" s="301"/>
      <c r="C37" s="623"/>
      <c r="D37" s="623"/>
      <c r="E37" s="623"/>
      <c r="F37" s="623"/>
      <c r="G37" s="623"/>
      <c r="H37" s="623"/>
      <c r="I37" s="623"/>
      <c r="J37" s="623"/>
      <c r="K37" s="623"/>
      <c r="L37" s="623"/>
      <c r="M37" s="50"/>
      <c r="N37" s="50"/>
      <c r="O37" s="50"/>
      <c r="P37" s="50"/>
      <c r="Q37" s="50"/>
      <c r="R37" s="50"/>
      <c r="S37" s="623"/>
      <c r="T37" s="623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303"/>
    </row>
    <row r="38" spans="2:34" ht="25.9" customHeight="1" x14ac:dyDescent="0.25">
      <c r="B38" s="301"/>
      <c r="C38" s="623"/>
      <c r="D38" s="623"/>
      <c r="E38" s="623"/>
      <c r="F38" s="623"/>
      <c r="G38" s="623"/>
      <c r="H38" s="623"/>
      <c r="I38" s="623"/>
      <c r="J38" s="623"/>
      <c r="K38" s="623"/>
      <c r="L38" s="623"/>
      <c r="M38" s="50"/>
      <c r="N38" s="50"/>
      <c r="O38" s="50"/>
      <c r="P38" s="50"/>
      <c r="Q38" s="50"/>
      <c r="R38" s="50"/>
      <c r="S38" s="623"/>
      <c r="T38" s="623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303"/>
    </row>
    <row r="39" spans="2:34" ht="25.9" customHeight="1" x14ac:dyDescent="0.25">
      <c r="B39" s="301"/>
      <c r="C39" s="623"/>
      <c r="D39" s="623"/>
      <c r="E39" s="623"/>
      <c r="F39" s="623"/>
      <c r="G39" s="623"/>
      <c r="H39" s="623"/>
      <c r="I39" s="623"/>
      <c r="J39" s="623"/>
      <c r="K39" s="623"/>
      <c r="L39" s="623"/>
      <c r="M39" s="50"/>
      <c r="N39" s="50"/>
      <c r="O39" s="50"/>
      <c r="P39" s="50"/>
      <c r="Q39" s="50"/>
      <c r="R39" s="50"/>
      <c r="S39" s="623"/>
      <c r="T39" s="623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303"/>
    </row>
    <row r="40" spans="2:34" ht="25.9" customHeight="1" x14ac:dyDescent="0.25">
      <c r="B40" s="301"/>
      <c r="C40" s="623"/>
      <c r="D40" s="623"/>
      <c r="E40" s="623"/>
      <c r="F40" s="623"/>
      <c r="G40" s="623"/>
      <c r="H40" s="623"/>
      <c r="I40" s="623"/>
      <c r="J40" s="623"/>
      <c r="K40" s="623"/>
      <c r="L40" s="915" t="s">
        <v>111</v>
      </c>
      <c r="M40" s="916"/>
      <c r="N40" s="50"/>
      <c r="O40" s="50"/>
      <c r="P40" s="50"/>
      <c r="Q40" s="50"/>
      <c r="R40" s="50"/>
      <c r="S40" s="623"/>
      <c r="T40" s="623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303"/>
    </row>
    <row r="41" spans="2:34" ht="25.9" customHeight="1" x14ac:dyDescent="0.25">
      <c r="B41" s="301"/>
      <c r="C41" s="623"/>
      <c r="D41" s="623"/>
      <c r="E41" s="623"/>
      <c r="F41" s="623"/>
      <c r="G41" s="623"/>
      <c r="H41" s="623"/>
      <c r="I41" s="293"/>
      <c r="J41" s="623"/>
      <c r="K41" s="623"/>
      <c r="L41" s="916"/>
      <c r="M41" s="916"/>
      <c r="N41" s="50"/>
      <c r="O41" s="50"/>
      <c r="P41" s="50"/>
      <c r="Q41" s="50"/>
      <c r="R41" s="50"/>
      <c r="S41" s="623"/>
      <c r="T41" s="623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303"/>
    </row>
    <row r="42" spans="2:34" ht="25.9" customHeight="1" x14ac:dyDescent="0.25">
      <c r="B42" s="301"/>
      <c r="C42" s="623"/>
      <c r="D42" s="623"/>
      <c r="E42" s="623"/>
      <c r="F42" s="623"/>
      <c r="G42" s="623"/>
      <c r="H42" s="623"/>
      <c r="I42" s="293"/>
      <c r="J42" s="623"/>
      <c r="K42" s="623"/>
      <c r="L42" s="297" t="s">
        <v>149</v>
      </c>
      <c r="M42" s="297" t="s">
        <v>93</v>
      </c>
      <c r="N42" s="50"/>
      <c r="O42" s="50"/>
      <c r="P42" s="50"/>
      <c r="Q42" s="50"/>
      <c r="R42" s="50"/>
      <c r="S42" s="623"/>
      <c r="T42" s="623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303"/>
    </row>
    <row r="43" spans="2:34" ht="25.9" customHeight="1" x14ac:dyDescent="0.25">
      <c r="B43" s="301"/>
      <c r="C43" s="623"/>
      <c r="D43" s="623"/>
      <c r="E43" s="623"/>
      <c r="F43" s="623"/>
      <c r="G43" s="623"/>
      <c r="H43" s="623"/>
      <c r="I43" s="293"/>
      <c r="J43" s="623"/>
      <c r="K43" s="623"/>
      <c r="L43" s="901">
        <v>0</v>
      </c>
      <c r="M43" s="901">
        <v>0</v>
      </c>
      <c r="N43" s="50"/>
      <c r="O43" s="50"/>
      <c r="P43" s="50"/>
      <c r="Q43" s="50"/>
      <c r="R43" s="50"/>
      <c r="S43" s="623"/>
      <c r="T43" s="623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303"/>
    </row>
    <row r="44" spans="2:34" ht="25.9" customHeight="1" x14ac:dyDescent="0.25">
      <c r="B44" s="301"/>
      <c r="C44" s="623"/>
      <c r="D44" s="623"/>
      <c r="E44" s="623"/>
      <c r="F44" s="623"/>
      <c r="G44" s="623"/>
      <c r="H44" s="623"/>
      <c r="I44" s="293"/>
      <c r="J44" s="623"/>
      <c r="K44" s="623"/>
      <c r="L44" s="901"/>
      <c r="M44" s="901"/>
      <c r="N44" s="50"/>
      <c r="O44" s="50"/>
      <c r="P44" s="50"/>
      <c r="Q44" s="50"/>
      <c r="R44" s="50"/>
      <c r="S44" s="623"/>
      <c r="T44" s="623"/>
      <c r="U44" s="623"/>
      <c r="V44" s="623"/>
      <c r="W44" s="623"/>
      <c r="X44" s="623"/>
      <c r="Y44" s="623"/>
      <c r="Z44" s="623"/>
      <c r="AA44" s="623"/>
      <c r="AB44" s="623"/>
      <c r="AC44" s="50"/>
      <c r="AD44" s="50"/>
      <c r="AE44" s="50"/>
      <c r="AF44" s="50"/>
      <c r="AG44" s="50"/>
      <c r="AH44" s="302"/>
    </row>
    <row r="45" spans="2:34" ht="25.9" customHeight="1" x14ac:dyDescent="0.25">
      <c r="B45" s="301"/>
      <c r="C45" s="623"/>
      <c r="D45" s="911" t="s">
        <v>110</v>
      </c>
      <c r="E45" s="912"/>
      <c r="F45" s="294" t="s">
        <v>93</v>
      </c>
      <c r="G45" s="913">
        <v>0</v>
      </c>
      <c r="H45" s="913"/>
      <c r="I45" s="897" t="str">
        <f>IF(G45&gt;0,"↑",IF(G45&lt;0,"↓",""))</f>
        <v/>
      </c>
      <c r="J45" s="897"/>
      <c r="K45" s="623"/>
      <c r="L45" s="637" t="str">
        <f>IF(L43&gt;0,"↑",IF(L43&lt;0,"↓",""))</f>
        <v/>
      </c>
      <c r="M45" s="637" t="str">
        <f>IF(M43&gt;0,"↑",IF(M43&lt;0,"↓",""))</f>
        <v/>
      </c>
      <c r="N45" s="50"/>
      <c r="O45" s="50"/>
      <c r="P45" s="50"/>
      <c r="Q45" s="50"/>
      <c r="R45" s="50"/>
      <c r="S45" s="623"/>
      <c r="T45" s="911" t="s">
        <v>117</v>
      </c>
      <c r="U45" s="911"/>
      <c r="V45" s="294" t="s">
        <v>93</v>
      </c>
      <c r="W45" s="913">
        <v>0</v>
      </c>
      <c r="X45" s="913"/>
      <c r="Y45" s="644" t="str">
        <f>IF(W45&gt;0,"↑",IF(W45&lt;0,"↓",""))</f>
        <v/>
      </c>
      <c r="Z45" s="623"/>
      <c r="AA45" s="623"/>
      <c r="AB45" s="623"/>
      <c r="AC45" s="50"/>
      <c r="AD45" s="50"/>
      <c r="AE45" s="50"/>
      <c r="AF45" s="50"/>
      <c r="AG45" s="50"/>
      <c r="AH45" s="302"/>
    </row>
    <row r="46" spans="2:34" ht="25.9" customHeight="1" x14ac:dyDescent="0.25">
      <c r="B46" s="301"/>
      <c r="C46" s="50"/>
      <c r="D46" s="912"/>
      <c r="E46" s="912"/>
      <c r="F46" s="294" t="s">
        <v>149</v>
      </c>
      <c r="G46" s="913">
        <v>0</v>
      </c>
      <c r="H46" s="913"/>
      <c r="I46" s="897" t="str">
        <f>IF(G46&gt;0,"↑",IF(G46&lt;0,"↓",""))</f>
        <v/>
      </c>
      <c r="J46" s="897"/>
      <c r="K46" s="50"/>
      <c r="L46" s="50"/>
      <c r="M46" s="50"/>
      <c r="N46" s="50"/>
      <c r="O46" s="50"/>
      <c r="P46" s="50"/>
      <c r="Q46" s="50"/>
      <c r="R46" s="50"/>
      <c r="S46" s="50"/>
      <c r="T46" s="912"/>
      <c r="U46" s="912"/>
      <c r="V46" s="294" t="s">
        <v>149</v>
      </c>
      <c r="W46" s="913">
        <v>0</v>
      </c>
      <c r="X46" s="913"/>
      <c r="Y46" s="644" t="str">
        <f>IF(W46&gt;0,"↑",IF(W46&lt;0,"↓",""))</f>
        <v/>
      </c>
      <c r="Z46" s="50"/>
      <c r="AA46" s="623"/>
      <c r="AB46" s="623"/>
      <c r="AC46" s="50"/>
      <c r="AD46" s="50"/>
      <c r="AE46" s="50"/>
      <c r="AF46" s="50"/>
      <c r="AG46" s="50"/>
      <c r="AH46" s="303"/>
    </row>
    <row r="47" spans="2:34" ht="25.9" customHeight="1" x14ac:dyDescent="0.25">
      <c r="B47" s="301"/>
      <c r="C47" s="50"/>
      <c r="D47" s="50"/>
      <c r="E47" s="50"/>
      <c r="F47" s="50"/>
      <c r="G47" s="50"/>
      <c r="H47" s="50"/>
      <c r="I47" s="50"/>
      <c r="J47" s="50"/>
      <c r="K47" s="50"/>
      <c r="L47" s="625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637" t="str">
        <f>IF(Z48&gt;0,"↑",IF(Z48&lt;0,"↓",""))</f>
        <v/>
      </c>
      <c r="AA47" s="637" t="str">
        <f>IF(AA48&gt;0,"↑",IF(AA48&lt;0,"↓",""))</f>
        <v/>
      </c>
      <c r="AB47" s="623"/>
      <c r="AC47" s="50"/>
      <c r="AD47" s="50"/>
      <c r="AE47" s="50"/>
      <c r="AF47" s="50"/>
      <c r="AG47" s="50"/>
      <c r="AH47" s="303"/>
    </row>
    <row r="48" spans="2:34" ht="25.9" customHeight="1" x14ac:dyDescent="0.25">
      <c r="B48" s="301"/>
      <c r="C48" s="50"/>
      <c r="D48" s="50"/>
      <c r="E48" s="50"/>
      <c r="F48" s="50"/>
      <c r="G48" s="50"/>
      <c r="H48" s="50"/>
      <c r="I48" s="50"/>
      <c r="J48" s="50"/>
      <c r="K48" s="50"/>
      <c r="L48" s="625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898">
        <v>0</v>
      </c>
      <c r="AA48" s="898">
        <v>0</v>
      </c>
      <c r="AB48" s="623"/>
      <c r="AC48" s="50"/>
      <c r="AD48" s="50"/>
      <c r="AE48" s="50"/>
      <c r="AF48" s="50"/>
      <c r="AG48" s="50"/>
      <c r="AH48" s="303"/>
    </row>
    <row r="49" spans="2:34" ht="25.9" customHeight="1" x14ac:dyDescent="0.25">
      <c r="B49" s="301"/>
      <c r="C49" s="50"/>
      <c r="D49" s="50"/>
      <c r="E49" s="50"/>
      <c r="F49" s="50"/>
      <c r="G49" s="50"/>
      <c r="H49" s="50"/>
      <c r="I49" s="50"/>
      <c r="J49" s="50"/>
      <c r="K49" s="50"/>
      <c r="L49" s="625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898"/>
      <c r="AA49" s="898"/>
      <c r="AB49" s="623"/>
      <c r="AC49" s="50"/>
      <c r="AD49" s="50"/>
      <c r="AE49" s="50"/>
      <c r="AF49" s="50"/>
      <c r="AG49" s="50"/>
      <c r="AH49" s="303"/>
    </row>
    <row r="50" spans="2:34" ht="25.9" customHeight="1" x14ac:dyDescent="0.25">
      <c r="B50" s="301"/>
      <c r="C50" s="50"/>
      <c r="D50" s="50"/>
      <c r="E50" s="50"/>
      <c r="F50" s="50"/>
      <c r="G50" s="50"/>
      <c r="H50" s="50"/>
      <c r="I50" s="50"/>
      <c r="J50" s="50"/>
      <c r="K50" s="50"/>
      <c r="L50" s="625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309" t="s">
        <v>93</v>
      </c>
      <c r="AA50" s="309" t="s">
        <v>149</v>
      </c>
      <c r="AB50" s="623"/>
      <c r="AC50" s="50"/>
      <c r="AD50" s="50"/>
      <c r="AE50" s="50"/>
      <c r="AF50" s="50"/>
      <c r="AG50" s="50"/>
      <c r="AH50" s="303"/>
    </row>
    <row r="51" spans="2:34" ht="25.9" customHeight="1" x14ac:dyDescent="0.25">
      <c r="B51" s="301"/>
      <c r="C51" s="50"/>
      <c r="D51" s="50"/>
      <c r="E51" s="50"/>
      <c r="F51" s="50"/>
      <c r="G51" s="50"/>
      <c r="H51" s="50"/>
      <c r="I51" s="50"/>
      <c r="J51" s="50"/>
      <c r="K51" s="50"/>
      <c r="L51" s="625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899" t="s">
        <v>120</v>
      </c>
      <c r="AA51" s="900"/>
      <c r="AB51" s="623"/>
      <c r="AC51" s="50"/>
      <c r="AD51" s="50"/>
      <c r="AE51" s="50"/>
      <c r="AF51" s="50"/>
      <c r="AG51" s="50"/>
      <c r="AH51" s="303"/>
    </row>
    <row r="52" spans="2:34" ht="25.9" customHeight="1" x14ac:dyDescent="0.25">
      <c r="B52" s="301"/>
      <c r="C52" s="50"/>
      <c r="D52" s="50"/>
      <c r="E52" s="50"/>
      <c r="F52" s="50"/>
      <c r="G52" s="50"/>
      <c r="H52" s="50"/>
      <c r="I52" s="50"/>
      <c r="J52" s="50"/>
      <c r="K52" s="50"/>
      <c r="L52" s="625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900"/>
      <c r="AA52" s="900"/>
      <c r="AB52" s="623"/>
      <c r="AC52" s="50"/>
      <c r="AD52" s="50"/>
      <c r="AE52" s="50"/>
      <c r="AF52" s="50"/>
      <c r="AG52" s="50"/>
      <c r="AH52" s="303"/>
    </row>
    <row r="53" spans="2:34" ht="25.9" customHeight="1" thickBot="1" x14ac:dyDescent="0.3">
      <c r="B53" s="304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305"/>
      <c r="X53" s="305"/>
      <c r="Y53" s="305"/>
      <c r="Z53" s="305"/>
      <c r="AA53" s="305"/>
      <c r="AB53" s="305"/>
      <c r="AC53" s="305"/>
      <c r="AD53" s="305"/>
      <c r="AE53" s="305"/>
      <c r="AF53" s="305"/>
      <c r="AG53" s="305"/>
      <c r="AH53" s="306"/>
    </row>
  </sheetData>
  <sheetProtection sheet="1" objects="1" scenarios="1" selectLockedCells="1"/>
  <mergeCells count="69">
    <mergeCell ref="D4:E5"/>
    <mergeCell ref="G4:H4"/>
    <mergeCell ref="AA4:AB5"/>
    <mergeCell ref="AD4:AE4"/>
    <mergeCell ref="G5:H5"/>
    <mergeCell ref="AD5:AE5"/>
    <mergeCell ref="K8:K9"/>
    <mergeCell ref="R7:Y8"/>
    <mergeCell ref="AA11:AB12"/>
    <mergeCell ref="AD11:AE11"/>
    <mergeCell ref="AD12:AE12"/>
    <mergeCell ref="AB17:AF17"/>
    <mergeCell ref="L13:M14"/>
    <mergeCell ref="O13:P13"/>
    <mergeCell ref="W13:W14"/>
    <mergeCell ref="X13:X14"/>
    <mergeCell ref="O14:P14"/>
    <mergeCell ref="Z14:AC14"/>
    <mergeCell ref="AD14:AE14"/>
    <mergeCell ref="AF14:AG14"/>
    <mergeCell ref="Z15:AC15"/>
    <mergeCell ref="AD15:AE15"/>
    <mergeCell ref="AF15:AG15"/>
    <mergeCell ref="AB18:AF18"/>
    <mergeCell ref="X19:Y28"/>
    <mergeCell ref="AB19:AF19"/>
    <mergeCell ref="AB20:AF20"/>
    <mergeCell ref="D21:E22"/>
    <mergeCell ref="G21:H21"/>
    <mergeCell ref="G22:H22"/>
    <mergeCell ref="J23:K24"/>
    <mergeCell ref="J26:J27"/>
    <mergeCell ref="D2:AF2"/>
    <mergeCell ref="L3:Y3"/>
    <mergeCell ref="J11:K12"/>
    <mergeCell ref="D45:E46"/>
    <mergeCell ref="G45:H45"/>
    <mergeCell ref="T45:U46"/>
    <mergeCell ref="W45:X45"/>
    <mergeCell ref="G46:H46"/>
    <mergeCell ref="W46:X46"/>
    <mergeCell ref="I45:J45"/>
    <mergeCell ref="I46:J46"/>
    <mergeCell ref="Y33:Z34"/>
    <mergeCell ref="AA35:AB36"/>
    <mergeCell ref="AD35:AE35"/>
    <mergeCell ref="AD36:AE36"/>
    <mergeCell ref="L40:M41"/>
    <mergeCell ref="Z48:Z49"/>
    <mergeCell ref="AA48:AA49"/>
    <mergeCell ref="Z51:AA52"/>
    <mergeCell ref="I4:J4"/>
    <mergeCell ref="I5:J5"/>
    <mergeCell ref="L43:L44"/>
    <mergeCell ref="M43:M44"/>
    <mergeCell ref="K26:K27"/>
    <mergeCell ref="R28:R29"/>
    <mergeCell ref="S28:S29"/>
    <mergeCell ref="Y30:Y31"/>
    <mergeCell ref="Z30:Z31"/>
    <mergeCell ref="R31:S32"/>
    <mergeCell ref="H18:N19"/>
    <mergeCell ref="W16:X17"/>
    <mergeCell ref="J8:J9"/>
    <mergeCell ref="C30:F30"/>
    <mergeCell ref="C31:F31"/>
    <mergeCell ref="C29:F29"/>
    <mergeCell ref="I21:J21"/>
    <mergeCell ref="I22:J22"/>
  </mergeCells>
  <conditionalFormatting sqref="G4:H4 J8">
    <cfRule type="cellIs" dxfId="167" priority="31" operator="notEqual">
      <formula>0</formula>
    </cfRule>
  </conditionalFormatting>
  <conditionalFormatting sqref="G5:H5">
    <cfRule type="cellIs" dxfId="166" priority="30" operator="notEqual">
      <formula>0</formula>
    </cfRule>
  </conditionalFormatting>
  <conditionalFormatting sqref="G21:H21">
    <cfRule type="cellIs" dxfId="165" priority="29" operator="notEqual">
      <formula>0</formula>
    </cfRule>
  </conditionalFormatting>
  <conditionalFormatting sqref="G22:H22">
    <cfRule type="cellIs" dxfId="164" priority="28" operator="notEqual">
      <formula>0</formula>
    </cfRule>
  </conditionalFormatting>
  <conditionalFormatting sqref="G45:H45">
    <cfRule type="cellIs" dxfId="163" priority="27" operator="notEqual">
      <formula>0</formula>
    </cfRule>
  </conditionalFormatting>
  <conditionalFormatting sqref="G46:H46">
    <cfRule type="cellIs" dxfId="162" priority="26" operator="notEqual">
      <formula>0</formula>
    </cfRule>
  </conditionalFormatting>
  <conditionalFormatting sqref="AD4:AE4">
    <cfRule type="cellIs" dxfId="161" priority="25" operator="notEqual">
      <formula>0</formula>
    </cfRule>
  </conditionalFormatting>
  <conditionalFormatting sqref="AD5:AE5">
    <cfRule type="cellIs" dxfId="160" priority="24" operator="notEqual">
      <formula>0</formula>
    </cfRule>
  </conditionalFormatting>
  <conditionalFormatting sqref="AD11:AE11">
    <cfRule type="cellIs" dxfId="159" priority="23" operator="notEqual">
      <formula>0</formula>
    </cfRule>
  </conditionalFormatting>
  <conditionalFormatting sqref="AD12:AE12">
    <cfRule type="cellIs" dxfId="158" priority="22" operator="notEqual">
      <formula>0</formula>
    </cfRule>
  </conditionalFormatting>
  <conditionalFormatting sqref="W46:X46">
    <cfRule type="cellIs" dxfId="157" priority="21" operator="notEqual">
      <formula>0</formula>
    </cfRule>
  </conditionalFormatting>
  <conditionalFormatting sqref="W45:X45">
    <cfRule type="cellIs" dxfId="156" priority="20" operator="notEqual">
      <formula>0</formula>
    </cfRule>
  </conditionalFormatting>
  <conditionalFormatting sqref="AD36:AE36">
    <cfRule type="cellIs" dxfId="155" priority="19" operator="notEqual">
      <formula>0</formula>
    </cfRule>
  </conditionalFormatting>
  <conditionalFormatting sqref="AD35:AE35">
    <cfRule type="cellIs" dxfId="154" priority="18" operator="notEqual">
      <formula>0</formula>
    </cfRule>
  </conditionalFormatting>
  <conditionalFormatting sqref="K8">
    <cfRule type="cellIs" dxfId="153" priority="17" operator="notEqual">
      <formula>0</formula>
    </cfRule>
  </conditionalFormatting>
  <conditionalFormatting sqref="W13">
    <cfRule type="cellIs" dxfId="152" priority="16" operator="notEqual">
      <formula>0</formula>
    </cfRule>
  </conditionalFormatting>
  <conditionalFormatting sqref="X13">
    <cfRule type="cellIs" dxfId="151" priority="15" operator="notEqual">
      <formula>0</formula>
    </cfRule>
  </conditionalFormatting>
  <conditionalFormatting sqref="Z30">
    <cfRule type="cellIs" dxfId="150" priority="14" operator="notEqual">
      <formula>0</formula>
    </cfRule>
  </conditionalFormatting>
  <conditionalFormatting sqref="Y30">
    <cfRule type="cellIs" dxfId="149" priority="13" operator="notEqual">
      <formula>0</formula>
    </cfRule>
  </conditionalFormatting>
  <conditionalFormatting sqref="R28">
    <cfRule type="cellIs" dxfId="148" priority="12" operator="notEqual">
      <formula>0</formula>
    </cfRule>
  </conditionalFormatting>
  <conditionalFormatting sqref="S28">
    <cfRule type="cellIs" dxfId="147" priority="11" operator="notEqual">
      <formula>0</formula>
    </cfRule>
  </conditionalFormatting>
  <conditionalFormatting sqref="L43">
    <cfRule type="cellIs" dxfId="146" priority="10" operator="notEqual">
      <formula>0</formula>
    </cfRule>
  </conditionalFormatting>
  <conditionalFormatting sqref="M43">
    <cfRule type="cellIs" dxfId="145" priority="9" operator="notEqual">
      <formula>0</formula>
    </cfRule>
  </conditionalFormatting>
  <conditionalFormatting sqref="Z48">
    <cfRule type="cellIs" dxfId="144" priority="8" operator="notEqual">
      <formula>0</formula>
    </cfRule>
  </conditionalFormatting>
  <conditionalFormatting sqref="AA48">
    <cfRule type="cellIs" dxfId="143" priority="7" operator="notEqual">
      <formula>0</formula>
    </cfRule>
  </conditionalFormatting>
  <conditionalFormatting sqref="J26">
    <cfRule type="cellIs" dxfId="142" priority="6" operator="notEqual">
      <formula>0</formula>
    </cfRule>
  </conditionalFormatting>
  <conditionalFormatting sqref="K26">
    <cfRule type="cellIs" dxfId="141" priority="5" operator="notEqual">
      <formula>0</formula>
    </cfRule>
  </conditionalFormatting>
  <conditionalFormatting sqref="O13:P14">
    <cfRule type="cellIs" dxfId="140" priority="4" operator="notEqual">
      <formula>0</formula>
    </cfRule>
  </conditionalFormatting>
  <conditionalFormatting sqref="Z14:AG15">
    <cfRule type="notContainsBlanks" dxfId="139" priority="3">
      <formula>LEN(TRIM(Z14))&gt;0</formula>
    </cfRule>
  </conditionalFormatting>
  <conditionalFormatting sqref="AF14:AG14">
    <cfRule type="notContainsBlanks" dxfId="138" priority="2">
      <formula>LEN(TRIM(AF14))&gt;0</formula>
    </cfRule>
  </conditionalFormatting>
  <conditionalFormatting sqref="AF15:AG15">
    <cfRule type="notContainsBlanks" dxfId="137" priority="1">
      <formula>LEN(TRIM(AF15))&gt;0</formula>
    </cfRule>
  </conditionalFormatting>
  <printOptions horizontalCentered="1" verticalCentered="1"/>
  <pageMargins left="0.25" right="0.25" top="0.75" bottom="0.75" header="0.3" footer="0.3"/>
  <pageSetup scale="53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>
    <pageSetUpPr fitToPage="1"/>
  </sheetPr>
  <dimension ref="B1:AI52"/>
  <sheetViews>
    <sheetView zoomScale="85" zoomScaleNormal="85" workbookViewId="0">
      <selection activeCell="AB34" activeCellId="1" sqref="AB10:AC11 AB34:AC35"/>
    </sheetView>
  </sheetViews>
  <sheetFormatPr defaultColWidth="5.7109375" defaultRowHeight="15" x14ac:dyDescent="0.25"/>
  <cols>
    <col min="1" max="2" width="5.7109375" style="217"/>
    <col min="3" max="3" width="1.7109375" style="217" customWidth="1"/>
    <col min="4" max="8" width="5.7109375" style="217"/>
    <col min="9" max="9" width="1.7109375" style="217" customWidth="1"/>
    <col min="10" max="10" width="5.7109375" style="217"/>
    <col min="11" max="11" width="5.7109375" style="217" customWidth="1"/>
    <col min="12" max="32" width="5.7109375" style="217"/>
    <col min="33" max="33" width="1.7109375" style="217" customWidth="1"/>
    <col min="34" max="16384" width="5.7109375" style="217"/>
  </cols>
  <sheetData>
    <row r="1" spans="2:35" ht="15.75" thickBot="1" x14ac:dyDescent="0.3"/>
    <row r="2" spans="2:35" ht="25.9" customHeight="1" x14ac:dyDescent="0.25">
      <c r="B2" s="299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7"/>
    </row>
    <row r="3" spans="2:35" ht="25.9" customHeight="1" x14ac:dyDescent="0.25">
      <c r="B3" s="301"/>
      <c r="C3" s="296"/>
      <c r="D3" s="927" t="s">
        <v>107</v>
      </c>
      <c r="E3" s="932"/>
      <c r="F3" s="312" t="s">
        <v>93</v>
      </c>
      <c r="G3" s="796" t="str">
        <f>IF('Offset Solver'!AZ32&gt;0,"↑ "&amp;'Offset Solver'!AZ32,IF('Offset Solver'!AZ32&lt;0,"↓ "&amp;-'Offset Solver'!AZ32,0))</f>
        <v>↑ 0.1</v>
      </c>
      <c r="H3" s="796"/>
      <c r="I3" s="296"/>
      <c r="J3" s="296"/>
      <c r="K3" s="296"/>
      <c r="L3" s="292"/>
      <c r="M3" s="296"/>
      <c r="N3" s="296"/>
      <c r="O3" s="296"/>
      <c r="P3" s="296"/>
      <c r="Q3" s="296"/>
      <c r="R3" s="296"/>
      <c r="S3" s="296"/>
      <c r="T3" s="296"/>
      <c r="U3" s="296"/>
      <c r="V3" s="296"/>
      <c r="W3" s="296"/>
      <c r="X3" s="296"/>
      <c r="Y3" s="296"/>
      <c r="Z3" s="296"/>
      <c r="AA3" s="292"/>
      <c r="AB3" s="927" t="s">
        <v>106</v>
      </c>
      <c r="AC3" s="932"/>
      <c r="AD3" s="312" t="s">
        <v>93</v>
      </c>
      <c r="AE3" s="796">
        <f>IF('Offset Solver'!AY32&gt;0,"↑ "&amp;'Offset Solver'!AY32,IF('Offset Solver'!AY32&lt;0,"↓ "&amp;-'Offset Solver'!AY32,0))</f>
        <v>0</v>
      </c>
      <c r="AF3" s="796"/>
      <c r="AG3" s="292"/>
      <c r="AH3" s="302"/>
    </row>
    <row r="4" spans="2:35" ht="25.9" customHeight="1" x14ac:dyDescent="0.25">
      <c r="B4" s="301"/>
      <c r="C4" s="50"/>
      <c r="D4" s="932"/>
      <c r="E4" s="932"/>
      <c r="F4" s="312" t="s">
        <v>149</v>
      </c>
      <c r="G4" s="796">
        <f>IF('Offset Solver'!BH32&gt;0,"↑ "&amp;'Offset Solver'!BH32,IF('Offset Solver'!BH32&lt;0,"↓ "&amp;-'Offset Solver'!BH32,0))</f>
        <v>0</v>
      </c>
      <c r="H4" s="796"/>
      <c r="I4" s="50"/>
      <c r="J4" s="50"/>
      <c r="K4" s="292"/>
      <c r="L4" s="292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932"/>
      <c r="AC4" s="932"/>
      <c r="AD4" s="312" t="s">
        <v>149</v>
      </c>
      <c r="AE4" s="796" t="str">
        <f>IF('Offset Solver'!BG32&gt;0,"↑ "&amp;'Offset Solver'!BG32,IF('Offset Solver'!BG32&lt;0,"↓ "&amp;-'Offset Solver'!BG32,0))</f>
        <v>↓ 0.2</v>
      </c>
      <c r="AF4" s="796"/>
      <c r="AG4" s="50"/>
      <c r="AH4" s="303"/>
    </row>
    <row r="5" spans="2:35" ht="25.9" customHeight="1" x14ac:dyDescent="0.25">
      <c r="B5" s="301"/>
      <c r="C5" s="50"/>
      <c r="D5" s="50"/>
      <c r="E5" s="50"/>
      <c r="F5" s="50"/>
      <c r="G5" s="50"/>
      <c r="H5" s="50"/>
      <c r="I5" s="50"/>
      <c r="J5" s="50"/>
      <c r="K5" s="292"/>
      <c r="L5" s="292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303"/>
    </row>
    <row r="6" spans="2:35" ht="25.9" customHeight="1" x14ac:dyDescent="0.25">
      <c r="B6" s="301"/>
      <c r="C6" s="50"/>
      <c r="D6" s="50"/>
      <c r="E6" s="50"/>
      <c r="F6" s="50"/>
      <c r="G6" s="50"/>
      <c r="H6" s="50"/>
      <c r="I6" s="50"/>
      <c r="J6" s="933" t="str">
        <f>IF('Offset Solver'!AY79&gt;0,"↓ "&amp;'Offset Solver'!AY79,IF('Offset Solver'!AY79&lt;0,"↑ "&amp;-'Offset Solver'!AY79,0))</f>
        <v>↑ 0.1</v>
      </c>
      <c r="K6" s="933" t="str">
        <f>IF('Offset Solver'!BF79&gt;0,"↓ "&amp;'Offset Solver'!BF79,IF('Offset Solver'!BF79&lt;0,"↑ "&amp;-'Offset Solver'!BF79,0))</f>
        <v>↑ 0.1</v>
      </c>
      <c r="L6" s="292"/>
      <c r="M6" s="50"/>
      <c r="N6" s="50"/>
      <c r="O6" s="50"/>
      <c r="P6" s="50"/>
      <c r="Q6" s="50"/>
      <c r="R6" s="904" t="s">
        <v>31</v>
      </c>
      <c r="S6" s="904"/>
      <c r="T6" s="904"/>
      <c r="U6" s="904"/>
      <c r="V6" s="904"/>
      <c r="W6" s="904"/>
      <c r="X6" s="904"/>
      <c r="Y6" s="904"/>
      <c r="Z6" s="50"/>
      <c r="AA6" s="50"/>
      <c r="AB6" s="50"/>
      <c r="AC6" s="50"/>
      <c r="AD6" s="50"/>
      <c r="AE6" s="50"/>
      <c r="AF6" s="50"/>
      <c r="AG6" s="50"/>
      <c r="AH6" s="303"/>
    </row>
    <row r="7" spans="2:35" ht="25.9" customHeight="1" x14ac:dyDescent="0.25">
      <c r="B7" s="301"/>
      <c r="C7" s="50"/>
      <c r="D7" s="50"/>
      <c r="E7" s="50"/>
      <c r="F7" s="50"/>
      <c r="G7" s="50"/>
      <c r="H7" s="50"/>
      <c r="I7" s="50"/>
      <c r="J7" s="933"/>
      <c r="K7" s="933"/>
      <c r="L7" s="292"/>
      <c r="M7" s="50"/>
      <c r="N7" s="50"/>
      <c r="O7" s="50"/>
      <c r="P7" s="50"/>
      <c r="Q7" s="50"/>
      <c r="R7" s="904"/>
      <c r="S7" s="904"/>
      <c r="T7" s="904"/>
      <c r="U7" s="904"/>
      <c r="V7" s="904"/>
      <c r="W7" s="904"/>
      <c r="X7" s="904"/>
      <c r="Y7" s="904"/>
      <c r="Z7" s="50"/>
      <c r="AA7" s="50"/>
      <c r="AB7" s="50"/>
      <c r="AC7" s="50"/>
      <c r="AD7" s="50"/>
      <c r="AE7" s="50"/>
      <c r="AF7" s="50"/>
      <c r="AG7" s="50"/>
      <c r="AH7" s="303"/>
    </row>
    <row r="8" spans="2:35" ht="25.9" customHeight="1" x14ac:dyDescent="0.25">
      <c r="B8" s="301"/>
      <c r="C8" s="50"/>
      <c r="D8" s="50"/>
      <c r="E8" s="50"/>
      <c r="F8" s="50"/>
      <c r="G8" s="50"/>
      <c r="H8" s="50"/>
      <c r="I8" s="50"/>
      <c r="J8" s="309" t="s">
        <v>93</v>
      </c>
      <c r="K8" s="309" t="s">
        <v>149</v>
      </c>
      <c r="L8" s="292"/>
      <c r="M8" s="50"/>
      <c r="N8" s="50"/>
      <c r="O8" s="50"/>
      <c r="P8" s="50"/>
      <c r="Q8" s="50"/>
      <c r="R8" s="308"/>
      <c r="S8" s="308"/>
      <c r="T8" s="308"/>
      <c r="U8" s="308"/>
      <c r="V8" s="308"/>
      <c r="W8" s="308"/>
      <c r="X8" s="308"/>
      <c r="Y8" s="308"/>
      <c r="Z8" s="50"/>
      <c r="AA8" s="50"/>
      <c r="AB8" s="50"/>
      <c r="AC8" s="50"/>
      <c r="AD8" s="50"/>
      <c r="AE8" s="50"/>
      <c r="AF8" s="50"/>
      <c r="AG8" s="50"/>
      <c r="AH8" s="303"/>
    </row>
    <row r="9" spans="2:35" ht="25.9" customHeight="1" x14ac:dyDescent="0.25">
      <c r="B9" s="301"/>
      <c r="C9" s="50"/>
      <c r="D9" s="50"/>
      <c r="E9" s="50"/>
      <c r="F9" s="50"/>
      <c r="G9" s="50"/>
      <c r="H9" s="50"/>
      <c r="I9" s="50"/>
      <c r="J9" s="935" t="s">
        <v>119</v>
      </c>
      <c r="K9" s="936"/>
      <c r="L9" s="292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303"/>
    </row>
    <row r="10" spans="2:35" ht="25.9" customHeight="1" x14ac:dyDescent="0.25">
      <c r="B10" s="301"/>
      <c r="C10" s="50"/>
      <c r="D10" s="50"/>
      <c r="E10" s="50"/>
      <c r="F10" s="50"/>
      <c r="G10" s="50"/>
      <c r="H10" s="50"/>
      <c r="I10" s="50"/>
      <c r="J10" s="937"/>
      <c r="K10" s="938"/>
      <c r="L10" s="292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911" t="s">
        <v>112</v>
      </c>
      <c r="AC10" s="929"/>
      <c r="AD10" s="294" t="s">
        <v>93</v>
      </c>
      <c r="AE10" s="796">
        <f>IF('Offset Solver'!BD32&gt;0,"↑ "&amp;'Offset Solver'!BD32,IF('Offset Solver'!BD32&lt;0,"↓ "&amp;-'Offset Solver'!BD32,0))</f>
        <v>0</v>
      </c>
      <c r="AF10" s="796"/>
      <c r="AG10" s="50"/>
      <c r="AH10" s="303"/>
    </row>
    <row r="11" spans="2:35" ht="25.9" customHeight="1" x14ac:dyDescent="0.25">
      <c r="B11" s="301"/>
      <c r="C11" s="50"/>
      <c r="D11" s="50"/>
      <c r="E11" s="50"/>
      <c r="F11" s="50"/>
      <c r="G11" s="50"/>
      <c r="H11" s="50"/>
      <c r="I11" s="50"/>
      <c r="J11" s="50"/>
      <c r="K11" s="296"/>
      <c r="L11" s="292"/>
      <c r="M11" s="292"/>
      <c r="N11" s="292"/>
      <c r="O11" s="292"/>
      <c r="P11" s="292"/>
      <c r="Q11" s="292"/>
      <c r="R11" s="292"/>
      <c r="S11" s="296"/>
      <c r="T11" s="296"/>
      <c r="U11" s="50"/>
      <c r="V11" s="50"/>
      <c r="W11" s="50"/>
      <c r="X11" s="296"/>
      <c r="Y11" s="296"/>
      <c r="Z11" s="296"/>
      <c r="AA11" s="296"/>
      <c r="AB11" s="929"/>
      <c r="AC11" s="929"/>
      <c r="AD11" s="294" t="s">
        <v>149</v>
      </c>
      <c r="AE11" s="796" t="str">
        <f>IF('Offset Solver'!BL32&gt;0,"↑ "&amp;'Offset Solver'!BL32,IF('Offset Solver'!BL32&lt;0,"↓ "&amp;-'Offset Solver'!BL32,0))</f>
        <v>↑ 0.1</v>
      </c>
      <c r="AF11" s="796"/>
      <c r="AG11" s="296"/>
      <c r="AH11" s="303"/>
    </row>
    <row r="12" spans="2:35" ht="25.9" customHeight="1" x14ac:dyDescent="0.25">
      <c r="B12" s="301"/>
      <c r="C12" s="50"/>
      <c r="D12" s="50"/>
      <c r="E12" s="50"/>
      <c r="F12" s="50"/>
      <c r="G12" s="50"/>
      <c r="H12" s="50"/>
      <c r="I12" s="50"/>
      <c r="J12" s="50"/>
      <c r="K12" s="296"/>
      <c r="L12" s="296"/>
      <c r="M12" s="911" t="s">
        <v>116</v>
      </c>
      <c r="N12" s="929"/>
      <c r="O12" s="312" t="s">
        <v>93</v>
      </c>
      <c r="P12" s="796">
        <f>IF('Offset Solver'!BE32&gt;0,"↑ "&amp;'Offset Solver'!BE32,IF('Offset Solver'!BE32&lt;0,"↓ "&amp;-'Offset Solver'!BE32,0))</f>
        <v>0</v>
      </c>
      <c r="Q12" s="796"/>
      <c r="R12" s="296"/>
      <c r="S12" s="296"/>
      <c r="T12" s="292"/>
      <c r="U12" s="50"/>
      <c r="V12" s="50"/>
      <c r="W12" s="933" t="str">
        <f>IF('Offset Solver'!BE79&gt;0,"↓ "&amp;'Offset Solver'!BE79,IF('Offset Solver'!BE79&lt;0,"↑ "&amp;-'Offset Solver'!BE79,0))</f>
        <v>↑ 0.2</v>
      </c>
      <c r="X12" s="933" t="str">
        <f>IF('Offset Solver'!BL79&gt;0,"↓ "&amp;'Offset Solver'!BL79,IF('Offset Solver'!BL79&lt;0,"↑ "&amp;-'Offset Solver'!BL79,0))</f>
        <v>↑ 0.2</v>
      </c>
      <c r="Y12" s="296"/>
      <c r="Z12" s="296"/>
      <c r="AA12" s="296"/>
      <c r="AB12" s="296"/>
      <c r="AC12" s="296"/>
      <c r="AD12" s="296"/>
      <c r="AE12" s="296"/>
      <c r="AF12" s="296"/>
      <c r="AG12" s="296"/>
      <c r="AH12" s="303"/>
    </row>
    <row r="13" spans="2:35" ht="25.9" customHeight="1" x14ac:dyDescent="0.25">
      <c r="B13" s="301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929"/>
      <c r="N13" s="929"/>
      <c r="O13" s="312" t="s">
        <v>149</v>
      </c>
      <c r="P13" s="796" t="str">
        <f>IF('Offset Solver'!BM32&gt;0,"↑ "&amp;'Offset Solver'!BM32,IF('Offset Solver'!BM32&lt;0,"↓ "&amp;-'Offset Solver'!BM32,0))</f>
        <v>↓ 0.2</v>
      </c>
      <c r="Q13" s="796"/>
      <c r="R13" s="50"/>
      <c r="S13" s="296"/>
      <c r="T13" s="292"/>
      <c r="U13" s="50"/>
      <c r="V13" s="50"/>
      <c r="W13" s="933"/>
      <c r="X13" s="933"/>
      <c r="Y13" s="296"/>
      <c r="Z13" s="924" t="str">
        <f>IF('Offset Solver'!D35=TRUE,"Global Shift Left/Right","")</f>
        <v/>
      </c>
      <c r="AA13" s="924"/>
      <c r="AB13" s="924"/>
      <c r="AC13" s="924"/>
      <c r="AD13" s="772" t="str">
        <f>IF('Offset Solver'!D35=TRUE,'Offset Solver'!F35,"")</f>
        <v/>
      </c>
      <c r="AE13" s="772"/>
      <c r="AF13" s="934" t="str">
        <f>IF(AD13="","",IF(AD13&gt;0,"→ ",IF(AD13&lt;0,"← ","")))</f>
        <v/>
      </c>
      <c r="AG13" s="934"/>
      <c r="AH13" s="303"/>
    </row>
    <row r="14" spans="2:35" ht="25.9" customHeight="1" x14ac:dyDescent="0.25">
      <c r="B14" s="301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296"/>
      <c r="T14" s="292"/>
      <c r="U14" s="50"/>
      <c r="V14" s="50"/>
      <c r="W14" s="309" t="s">
        <v>93</v>
      </c>
      <c r="X14" s="309" t="s">
        <v>149</v>
      </c>
      <c r="Y14" s="296"/>
      <c r="Z14" s="924" t="str">
        <f>IF('Offset Solver'!D36=TRUE,"Global Shift Up/Down","")</f>
        <v/>
      </c>
      <c r="AA14" s="924"/>
      <c r="AB14" s="924"/>
      <c r="AC14" s="924"/>
      <c r="AD14" s="772" t="str">
        <f>IF('Offset Solver'!D36=TRUE,'Offset Solver'!F36,"")</f>
        <v/>
      </c>
      <c r="AE14" s="772"/>
      <c r="AF14" s="934" t="str">
        <f>IF(AD14="","",IF(AD14&gt;0,"↑",IF(AD14&lt;0,"↓","")))</f>
        <v/>
      </c>
      <c r="AG14" s="934"/>
      <c r="AH14" s="303"/>
    </row>
    <row r="15" spans="2:35" ht="25.9" customHeight="1" x14ac:dyDescent="0.25">
      <c r="B15" s="301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296"/>
      <c r="T15" s="292"/>
      <c r="U15" s="50"/>
      <c r="V15" s="50"/>
      <c r="W15" s="905" t="s">
        <v>113</v>
      </c>
      <c r="X15" s="906"/>
      <c r="Y15" s="296"/>
      <c r="Z15" s="296"/>
      <c r="AA15" s="296"/>
      <c r="AB15" s="604"/>
      <c r="AC15" s="604"/>
      <c r="AD15" s="604"/>
      <c r="AE15" s="604"/>
      <c r="AF15" s="604"/>
      <c r="AG15" s="604"/>
      <c r="AH15" s="303"/>
      <c r="AI15" s="607"/>
    </row>
    <row r="16" spans="2:35" ht="25.9" customHeight="1" x14ac:dyDescent="0.25">
      <c r="B16" s="301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296"/>
      <c r="T16" s="292"/>
      <c r="U16" s="50"/>
      <c r="V16" s="50"/>
      <c r="W16" s="907"/>
      <c r="X16" s="908"/>
      <c r="Y16" s="296"/>
      <c r="Z16" s="296"/>
      <c r="AA16" s="296"/>
      <c r="AB16" s="917" t="str">
        <f ca="1">TEXT(TODAY(),"mm/dd/yyyy")</f>
        <v>09/04/2019</v>
      </c>
      <c r="AC16" s="917"/>
      <c r="AD16" s="917"/>
      <c r="AE16" s="917"/>
      <c r="AF16" s="917"/>
      <c r="AG16" s="296"/>
      <c r="AH16" s="303"/>
      <c r="AI16" s="607"/>
    </row>
    <row r="17" spans="2:34" ht="25.9" customHeight="1" x14ac:dyDescent="0.25">
      <c r="B17" s="301"/>
      <c r="C17" s="50"/>
      <c r="D17" s="50"/>
      <c r="E17" s="50"/>
      <c r="F17" s="50"/>
      <c r="G17" s="50"/>
      <c r="H17" s="904" t="s">
        <v>32</v>
      </c>
      <c r="I17" s="904"/>
      <c r="J17" s="904"/>
      <c r="K17" s="904"/>
      <c r="L17" s="904"/>
      <c r="M17" s="904"/>
      <c r="N17" s="904"/>
      <c r="O17" s="308"/>
      <c r="P17" s="50"/>
      <c r="Q17" s="50"/>
      <c r="R17" s="50"/>
      <c r="S17" s="296"/>
      <c r="T17" s="296"/>
      <c r="U17" s="50"/>
      <c r="V17" s="50"/>
      <c r="W17" s="50"/>
      <c r="X17" s="296"/>
      <c r="Y17" s="296"/>
      <c r="Z17" s="296"/>
      <c r="AA17" s="296"/>
      <c r="AB17" s="917" t="str">
        <f>INDEX(Machine[Name],MATCH('Offset Solver'!E28,Machine[Nomenclature],0))</f>
        <v>AMP 6</v>
      </c>
      <c r="AC17" s="917"/>
      <c r="AD17" s="917"/>
      <c r="AE17" s="917"/>
      <c r="AF17" s="917"/>
      <c r="AG17" s="296"/>
      <c r="AH17" s="303"/>
    </row>
    <row r="18" spans="2:34" ht="25.9" customHeight="1" x14ac:dyDescent="0.25">
      <c r="B18" s="301"/>
      <c r="C18" s="50"/>
      <c r="D18" s="50"/>
      <c r="E18" s="50"/>
      <c r="F18" s="50"/>
      <c r="G18" s="50"/>
      <c r="H18" s="904"/>
      <c r="I18" s="904"/>
      <c r="J18" s="904"/>
      <c r="K18" s="904"/>
      <c r="L18" s="904"/>
      <c r="M18" s="904"/>
      <c r="N18" s="904"/>
      <c r="O18" s="308"/>
      <c r="P18" s="50"/>
      <c r="Q18" s="50"/>
      <c r="R18" s="50"/>
      <c r="S18" s="296"/>
      <c r="T18" s="296"/>
      <c r="U18" s="50"/>
      <c r="V18" s="50"/>
      <c r="W18" s="50"/>
      <c r="X18" s="918"/>
      <c r="Y18" s="918"/>
      <c r="Z18" s="296"/>
      <c r="AA18" s="296"/>
      <c r="AB18" s="917" t="str">
        <f>INDEX(Machine[Fixture],MATCH('Offset Solver'!E28,Machine[Nomenclature],0))</f>
        <v>Fixture 3/4</v>
      </c>
      <c r="AC18" s="917"/>
      <c r="AD18" s="917"/>
      <c r="AE18" s="917"/>
      <c r="AF18" s="917"/>
      <c r="AG18" s="296"/>
      <c r="AH18" s="303"/>
    </row>
    <row r="19" spans="2:34" ht="25.9" customHeight="1" x14ac:dyDescent="0.25">
      <c r="B19" s="301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296"/>
      <c r="T19" s="296"/>
      <c r="U19" s="50"/>
      <c r="V19" s="50"/>
      <c r="W19" s="50"/>
      <c r="X19" s="918"/>
      <c r="Y19" s="918"/>
      <c r="Z19" s="296"/>
      <c r="AA19" s="296"/>
      <c r="AB19" s="919" t="str">
        <f>INDEX(Settings!M3:M10,Settings!M2)</f>
        <v>Corey Wilson</v>
      </c>
      <c r="AC19" s="919"/>
      <c r="AD19" s="919"/>
      <c r="AE19" s="919"/>
      <c r="AF19" s="919"/>
      <c r="AG19" s="296"/>
      <c r="AH19" s="303"/>
    </row>
    <row r="20" spans="2:34" ht="25.9" customHeight="1" x14ac:dyDescent="0.25">
      <c r="B20" s="301"/>
      <c r="C20" s="50"/>
      <c r="D20" s="911" t="s">
        <v>108</v>
      </c>
      <c r="E20" s="914"/>
      <c r="F20" s="294" t="s">
        <v>93</v>
      </c>
      <c r="G20" s="796">
        <f>IF('Offset Solver'!BA32&gt;0,"↑ "&amp;'Offset Solver'!BA32,IF('Offset Solver'!BA32&lt;0,"↓ "&amp;-'Offset Solver'!BA32,0))</f>
        <v>0</v>
      </c>
      <c r="H20" s="796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296"/>
      <c r="T20" s="296"/>
      <c r="U20" s="50"/>
      <c r="V20" s="50"/>
      <c r="W20" s="50"/>
      <c r="X20" s="918"/>
      <c r="Y20" s="918"/>
      <c r="Z20" s="296"/>
      <c r="AA20" s="296"/>
      <c r="AB20" s="298"/>
      <c r="AC20" s="298"/>
      <c r="AD20" s="298"/>
      <c r="AE20" s="298"/>
      <c r="AF20" s="298"/>
      <c r="AG20" s="296"/>
      <c r="AH20" s="303"/>
    </row>
    <row r="21" spans="2:34" ht="25.9" customHeight="1" x14ac:dyDescent="0.25">
      <c r="B21" s="301"/>
      <c r="C21" s="296"/>
      <c r="D21" s="914"/>
      <c r="E21" s="914"/>
      <c r="F21" s="294" t="s">
        <v>149</v>
      </c>
      <c r="G21" s="796">
        <f>IF('Offset Solver'!BI32&gt;0,"↑ "&amp;'Offset Solver'!BI32,IF('Offset Solver'!BI32&lt;0,"↓ "&amp;-'Offset Solver'!BI32,0))</f>
        <v>0</v>
      </c>
      <c r="H21" s="796"/>
      <c r="I21" s="296"/>
      <c r="J21" s="296"/>
      <c r="K21" s="50"/>
      <c r="L21" s="50"/>
      <c r="M21" s="50"/>
      <c r="N21" s="50"/>
      <c r="O21" s="50"/>
      <c r="P21" s="50"/>
      <c r="Q21" s="50"/>
      <c r="R21" s="50"/>
      <c r="S21" s="296"/>
      <c r="T21" s="296"/>
      <c r="U21" s="50"/>
      <c r="V21" s="50"/>
      <c r="W21" s="50"/>
      <c r="X21" s="918"/>
      <c r="Y21" s="918"/>
      <c r="Z21" s="296"/>
      <c r="AA21" s="296"/>
      <c r="AB21" s="296"/>
      <c r="AC21" s="296"/>
      <c r="AD21" s="296"/>
      <c r="AE21" s="296"/>
      <c r="AF21" s="296"/>
      <c r="AG21" s="296"/>
      <c r="AH21" s="303"/>
    </row>
    <row r="22" spans="2:34" ht="25.9" customHeight="1" x14ac:dyDescent="0.25">
      <c r="B22" s="301"/>
      <c r="C22" s="296"/>
      <c r="D22" s="296"/>
      <c r="E22" s="296"/>
      <c r="F22" s="296"/>
      <c r="G22" s="296"/>
      <c r="H22" s="296"/>
      <c r="I22" s="296"/>
      <c r="J22" s="920" t="s">
        <v>109</v>
      </c>
      <c r="K22" s="940"/>
      <c r="L22" s="50"/>
      <c r="M22" s="50"/>
      <c r="N22" s="50"/>
      <c r="O22" s="50"/>
      <c r="P22" s="50"/>
      <c r="Q22" s="50"/>
      <c r="R22" s="50"/>
      <c r="S22" s="296"/>
      <c r="T22" s="296"/>
      <c r="U22" s="50"/>
      <c r="V22" s="50"/>
      <c r="W22" s="50"/>
      <c r="X22" s="918"/>
      <c r="Y22" s="918"/>
      <c r="Z22" s="296"/>
      <c r="AA22" s="296"/>
      <c r="AB22" s="296"/>
      <c r="AC22" s="296"/>
      <c r="AD22" s="296"/>
      <c r="AE22" s="296"/>
      <c r="AF22" s="296"/>
      <c r="AG22" s="296"/>
      <c r="AH22" s="303"/>
    </row>
    <row r="23" spans="2:34" ht="25.9" customHeight="1" x14ac:dyDescent="0.25">
      <c r="B23" s="301"/>
      <c r="C23" s="296"/>
      <c r="D23" s="296"/>
      <c r="E23" s="296"/>
      <c r="F23" s="296"/>
      <c r="G23" s="296"/>
      <c r="H23" s="296"/>
      <c r="I23" s="296"/>
      <c r="J23" s="941"/>
      <c r="K23" s="942"/>
      <c r="L23" s="50"/>
      <c r="M23" s="50"/>
      <c r="N23" s="50"/>
      <c r="O23" s="50"/>
      <c r="P23" s="50"/>
      <c r="Q23" s="50"/>
      <c r="R23" s="50"/>
      <c r="S23" s="296"/>
      <c r="T23" s="296"/>
      <c r="U23" s="50"/>
      <c r="V23" s="50"/>
      <c r="W23" s="50"/>
      <c r="X23" s="918"/>
      <c r="Y23" s="918"/>
      <c r="Z23" s="296"/>
      <c r="AA23" s="296"/>
      <c r="AB23" s="296"/>
      <c r="AC23" s="296"/>
      <c r="AD23" s="296"/>
      <c r="AE23" s="296"/>
      <c r="AF23" s="296"/>
      <c r="AG23" s="296"/>
      <c r="AH23" s="303"/>
    </row>
    <row r="24" spans="2:34" ht="25.9" customHeight="1" x14ac:dyDescent="0.25">
      <c r="B24" s="301"/>
      <c r="C24" s="296"/>
      <c r="D24" s="296"/>
      <c r="E24" s="296"/>
      <c r="F24" s="296"/>
      <c r="G24" s="296"/>
      <c r="H24" s="296"/>
      <c r="I24" s="296"/>
      <c r="J24" s="297" t="s">
        <v>149</v>
      </c>
      <c r="K24" s="297" t="s">
        <v>93</v>
      </c>
      <c r="L24" s="50"/>
      <c r="M24" s="50"/>
      <c r="N24" s="50"/>
      <c r="O24" s="50"/>
      <c r="P24" s="50"/>
      <c r="Q24" s="50"/>
      <c r="R24" s="50"/>
      <c r="S24" s="296"/>
      <c r="T24" s="296"/>
      <c r="U24" s="50"/>
      <c r="V24" s="50"/>
      <c r="W24" s="50"/>
      <c r="X24" s="918"/>
      <c r="Y24" s="918"/>
      <c r="Z24" s="296"/>
      <c r="AA24" s="296"/>
      <c r="AB24" s="296"/>
      <c r="AC24" s="296"/>
      <c r="AD24" s="296"/>
      <c r="AE24" s="296"/>
      <c r="AF24" s="296"/>
      <c r="AG24" s="296"/>
      <c r="AH24" s="303"/>
    </row>
    <row r="25" spans="2:34" ht="25.9" customHeight="1" x14ac:dyDescent="0.25">
      <c r="B25" s="301"/>
      <c r="C25" s="296"/>
      <c r="D25" s="296"/>
      <c r="E25" s="296"/>
      <c r="F25" s="296"/>
      <c r="G25" s="296"/>
      <c r="H25" s="296"/>
      <c r="I25" s="296"/>
      <c r="J25" s="930" t="str">
        <f>IF('Offset Solver'!BI79&gt;0,"↑ "&amp;'Offset Solver'!BI79,IF('Offset Solver'!BI79&lt;0,"↓ "&amp;-'Offset Solver'!BI79,0))</f>
        <v>↑ 0.2</v>
      </c>
      <c r="K25" s="930" t="str">
        <f>IF('Offset Solver'!BB79&gt;0,"↑ "&amp;'Offset Solver'!BB79,IF('Offset Solver'!BB79&lt;0,"↓ "&amp;-'Offset Solver'!BB79,0))</f>
        <v>↑ 0.2</v>
      </c>
      <c r="L25" s="50"/>
      <c r="M25" s="50"/>
      <c r="N25" s="50"/>
      <c r="O25" s="50"/>
      <c r="P25" s="50"/>
      <c r="Q25" s="50"/>
      <c r="R25" s="50"/>
      <c r="S25" s="296"/>
      <c r="T25" s="296"/>
      <c r="U25" s="50"/>
      <c r="V25" s="50"/>
      <c r="W25" s="50"/>
      <c r="X25" s="918"/>
      <c r="Y25" s="918"/>
      <c r="Z25" s="296"/>
      <c r="AA25" s="296"/>
      <c r="AB25" s="296"/>
      <c r="AC25" s="296"/>
      <c r="AD25" s="296"/>
      <c r="AE25" s="296"/>
      <c r="AF25" s="292"/>
      <c r="AG25" s="292"/>
      <c r="AH25" s="302"/>
    </row>
    <row r="26" spans="2:34" ht="25.9" customHeight="1" x14ac:dyDescent="0.25">
      <c r="B26" s="301"/>
      <c r="C26" s="296"/>
      <c r="D26" s="296"/>
      <c r="E26" s="296"/>
      <c r="F26" s="296"/>
      <c r="G26" s="296"/>
      <c r="H26" s="296"/>
      <c r="I26" s="296"/>
      <c r="J26" s="930"/>
      <c r="K26" s="930"/>
      <c r="L26" s="50"/>
      <c r="M26" s="50"/>
      <c r="N26" s="50"/>
      <c r="O26" s="50"/>
      <c r="P26" s="50"/>
      <c r="Q26" s="50"/>
      <c r="R26" s="50"/>
      <c r="S26" s="296"/>
      <c r="T26" s="296"/>
      <c r="U26" s="50"/>
      <c r="V26" s="50"/>
      <c r="W26" s="50"/>
      <c r="X26" s="918"/>
      <c r="Y26" s="918"/>
      <c r="Z26" s="296"/>
      <c r="AA26" s="296"/>
      <c r="AB26" s="296"/>
      <c r="AC26" s="296"/>
      <c r="AD26" s="296"/>
      <c r="AE26" s="296"/>
      <c r="AF26" s="292"/>
      <c r="AG26" s="292"/>
      <c r="AH26" s="302"/>
    </row>
    <row r="27" spans="2:34" ht="25.9" customHeight="1" x14ac:dyDescent="0.25">
      <c r="B27" s="301"/>
      <c r="C27" s="296"/>
      <c r="D27" s="296"/>
      <c r="E27" s="296"/>
      <c r="F27" s="296"/>
      <c r="G27" s="296"/>
      <c r="H27" s="296"/>
      <c r="I27" s="296"/>
      <c r="J27" s="296"/>
      <c r="K27" s="50"/>
      <c r="L27" s="50"/>
      <c r="M27" s="50"/>
      <c r="N27" s="50"/>
      <c r="O27" s="50"/>
      <c r="P27" s="50"/>
      <c r="Q27" s="50"/>
      <c r="R27" s="933">
        <f>IF('Offset Solver'!AZ79&gt;0,"↓ "&amp;'Offset Solver'!AZ79,IF('Offset Solver'!AZ79&lt;0,"↑ "&amp;-'Offset Solver'!AZ79,0))</f>
        <v>0</v>
      </c>
      <c r="S27" s="933">
        <f>IF('Offset Solver'!BG79&gt;0,"↓ "&amp;'Offset Solver'!BG79,IF('Offset Solver'!BG79&lt;0,"↑ "&amp;-'Offset Solver'!BG79,0))</f>
        <v>0</v>
      </c>
      <c r="T27" s="296"/>
      <c r="U27" s="50"/>
      <c r="V27" s="50"/>
      <c r="W27" s="50"/>
      <c r="X27" s="918"/>
      <c r="Y27" s="918"/>
      <c r="Z27" s="296"/>
      <c r="AA27" s="296"/>
      <c r="AB27" s="296"/>
      <c r="AC27" s="296"/>
      <c r="AD27" s="296"/>
      <c r="AE27" s="296"/>
      <c r="AF27" s="296"/>
      <c r="AG27" s="296"/>
      <c r="AH27" s="303"/>
    </row>
    <row r="28" spans="2:34" ht="25.9" customHeight="1" x14ac:dyDescent="0.25">
      <c r="B28" s="301"/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50"/>
      <c r="N28" s="50"/>
      <c r="O28" s="50"/>
      <c r="P28" s="50"/>
      <c r="Q28" s="50"/>
      <c r="R28" s="933"/>
      <c r="S28" s="933"/>
      <c r="T28" s="296"/>
      <c r="U28" s="50"/>
      <c r="V28" s="50"/>
      <c r="W28" s="50"/>
      <c r="X28" s="50"/>
      <c r="Y28" s="50"/>
      <c r="Z28" s="296"/>
      <c r="AA28" s="296"/>
      <c r="AB28" s="296"/>
      <c r="AC28" s="296"/>
      <c r="AD28" s="296"/>
      <c r="AE28" s="296"/>
      <c r="AF28" s="296"/>
      <c r="AG28" s="296"/>
      <c r="AH28" s="303"/>
    </row>
    <row r="29" spans="2:34" ht="25.9" customHeight="1" x14ac:dyDescent="0.25">
      <c r="B29" s="301"/>
      <c r="C29" s="296"/>
      <c r="D29" s="296"/>
      <c r="E29" s="296"/>
      <c r="F29" s="296"/>
      <c r="G29" s="296"/>
      <c r="H29" s="296"/>
      <c r="I29" s="296"/>
      <c r="J29" s="296"/>
      <c r="K29" s="296"/>
      <c r="L29" s="296"/>
      <c r="M29" s="50"/>
      <c r="N29" s="50"/>
      <c r="O29" s="50"/>
      <c r="P29" s="50"/>
      <c r="Q29" s="50"/>
      <c r="R29" s="309" t="s">
        <v>93</v>
      </c>
      <c r="S29" s="309" t="s">
        <v>149</v>
      </c>
      <c r="T29" s="296"/>
      <c r="U29" s="50"/>
      <c r="V29" s="50"/>
      <c r="W29" s="50"/>
      <c r="X29" s="50"/>
      <c r="Y29" s="933" t="str">
        <f>IF('Offset Solver'!BD79&gt;0,"↓ "&amp;'Offset Solver'!BD79,IF('Offset Solver'!BD79&lt;0,"↑ "&amp;-'Offset Solver'!BD79,0))</f>
        <v>↑ 0.1</v>
      </c>
      <c r="Z29" s="933">
        <f>IF('Offset Solver'!BK79&gt;0,"↓ "&amp;'Offset Solver'!BK79,IF('Offset Solver'!BK79&lt;0,"↑ "&amp;-'Offset Solver'!BK79,0))</f>
        <v>0</v>
      </c>
      <c r="AA29" s="296"/>
      <c r="AB29" s="296"/>
      <c r="AC29" s="296"/>
      <c r="AD29" s="296"/>
      <c r="AE29" s="296"/>
      <c r="AF29" s="296"/>
      <c r="AG29" s="296"/>
      <c r="AH29" s="303"/>
    </row>
    <row r="30" spans="2:34" ht="25.9" customHeight="1" x14ac:dyDescent="0.25">
      <c r="B30" s="301"/>
      <c r="C30" s="296"/>
      <c r="D30" s="296"/>
      <c r="E30" s="296"/>
      <c r="F30" s="296"/>
      <c r="G30" s="296"/>
      <c r="H30" s="296"/>
      <c r="I30" s="296"/>
      <c r="J30" s="296"/>
      <c r="K30" s="296"/>
      <c r="L30" s="296"/>
      <c r="M30" s="50"/>
      <c r="N30" s="50"/>
      <c r="O30" s="50"/>
      <c r="P30" s="50"/>
      <c r="Q30" s="50"/>
      <c r="R30" s="902" t="s">
        <v>118</v>
      </c>
      <c r="S30" s="903"/>
      <c r="T30" s="296"/>
      <c r="U30" s="50"/>
      <c r="V30" s="50"/>
      <c r="W30" s="50"/>
      <c r="X30" s="50"/>
      <c r="Y30" s="933"/>
      <c r="Z30" s="933"/>
      <c r="AA30" s="296"/>
      <c r="AB30" s="296"/>
      <c r="AC30" s="296"/>
      <c r="AD30" s="296"/>
      <c r="AE30" s="296"/>
      <c r="AF30" s="296"/>
      <c r="AG30" s="296"/>
      <c r="AH30" s="303"/>
    </row>
    <row r="31" spans="2:34" ht="25.9" customHeight="1" x14ac:dyDescent="0.25">
      <c r="B31" s="301"/>
      <c r="C31" s="296"/>
      <c r="D31" s="296"/>
      <c r="E31" s="296"/>
      <c r="F31" s="296"/>
      <c r="G31" s="296"/>
      <c r="H31" s="296"/>
      <c r="I31" s="296"/>
      <c r="J31" s="296"/>
      <c r="K31" s="296"/>
      <c r="L31" s="296"/>
      <c r="M31" s="50"/>
      <c r="N31" s="50"/>
      <c r="O31" s="50"/>
      <c r="P31" s="50"/>
      <c r="Q31" s="50"/>
      <c r="R31" s="903"/>
      <c r="S31" s="903"/>
      <c r="T31" s="296"/>
      <c r="U31" s="50"/>
      <c r="V31" s="50"/>
      <c r="W31" s="50"/>
      <c r="X31" s="50"/>
      <c r="Y31" s="309" t="s">
        <v>93</v>
      </c>
      <c r="Z31" s="309" t="s">
        <v>149</v>
      </c>
      <c r="AA31" s="296"/>
      <c r="AB31" s="296"/>
      <c r="AC31" s="296"/>
      <c r="AD31" s="296"/>
      <c r="AE31" s="296"/>
      <c r="AF31" s="296"/>
      <c r="AG31" s="296"/>
      <c r="AH31" s="303"/>
    </row>
    <row r="32" spans="2:34" ht="25.9" customHeight="1" x14ac:dyDescent="0.25">
      <c r="B32" s="301"/>
      <c r="C32" s="296"/>
      <c r="D32" s="296"/>
      <c r="E32" s="296"/>
      <c r="F32" s="296"/>
      <c r="G32" s="296"/>
      <c r="H32" s="296"/>
      <c r="I32" s="296"/>
      <c r="J32" s="296"/>
      <c r="K32" s="296"/>
      <c r="L32" s="296"/>
      <c r="M32" s="50"/>
      <c r="N32" s="50"/>
      <c r="O32" s="50"/>
      <c r="P32" s="50"/>
      <c r="Q32" s="50"/>
      <c r="R32" s="50"/>
      <c r="S32" s="296"/>
      <c r="T32" s="296"/>
      <c r="U32" s="50"/>
      <c r="V32" s="50"/>
      <c r="W32" s="50"/>
      <c r="X32" s="50"/>
      <c r="Y32" s="905" t="s">
        <v>114</v>
      </c>
      <c r="Z32" s="906"/>
      <c r="AA32" s="296"/>
      <c r="AB32" s="296"/>
      <c r="AC32" s="296"/>
      <c r="AD32" s="296"/>
      <c r="AE32" s="296"/>
      <c r="AF32" s="296"/>
      <c r="AG32" s="296"/>
      <c r="AH32" s="303"/>
    </row>
    <row r="33" spans="2:34" ht="25.9" customHeight="1" x14ac:dyDescent="0.25">
      <c r="B33" s="301"/>
      <c r="C33" s="296"/>
      <c r="D33" s="296"/>
      <c r="E33" s="296"/>
      <c r="F33" s="296"/>
      <c r="G33" s="296"/>
      <c r="H33" s="296"/>
      <c r="I33" s="296"/>
      <c r="J33" s="296"/>
      <c r="K33" s="296"/>
      <c r="L33" s="296"/>
      <c r="M33" s="50"/>
      <c r="N33" s="50"/>
      <c r="O33" s="50"/>
      <c r="P33" s="50"/>
      <c r="Q33" s="50"/>
      <c r="R33" s="50"/>
      <c r="S33" s="296"/>
      <c r="T33" s="296"/>
      <c r="U33" s="50"/>
      <c r="V33" s="50"/>
      <c r="W33" s="50"/>
      <c r="X33" s="50"/>
      <c r="Y33" s="907"/>
      <c r="Z33" s="908"/>
      <c r="AA33" s="296"/>
      <c r="AB33" s="296"/>
      <c r="AC33" s="296"/>
      <c r="AD33" s="296"/>
      <c r="AE33" s="296"/>
      <c r="AF33" s="296"/>
      <c r="AG33" s="296"/>
      <c r="AH33" s="303"/>
    </row>
    <row r="34" spans="2:34" ht="25.9" customHeight="1" x14ac:dyDescent="0.25">
      <c r="B34" s="301"/>
      <c r="C34" s="296"/>
      <c r="D34" s="296"/>
      <c r="E34" s="296"/>
      <c r="F34" s="296"/>
      <c r="G34" s="296"/>
      <c r="H34" s="296"/>
      <c r="I34" s="296"/>
      <c r="J34" s="296"/>
      <c r="K34" s="296"/>
      <c r="L34" s="296"/>
      <c r="M34" s="50"/>
      <c r="N34" s="50"/>
      <c r="O34" s="50"/>
      <c r="P34" s="50"/>
      <c r="Q34" s="50"/>
      <c r="R34" s="50"/>
      <c r="S34" s="296"/>
      <c r="T34" s="296"/>
      <c r="U34" s="50"/>
      <c r="V34" s="50"/>
      <c r="W34" s="50"/>
      <c r="X34" s="50"/>
      <c r="Y34" s="50"/>
      <c r="Z34" s="296"/>
      <c r="AA34" s="296"/>
      <c r="AB34" s="911" t="s">
        <v>115</v>
      </c>
      <c r="AC34" s="929"/>
      <c r="AD34" s="294" t="s">
        <v>93</v>
      </c>
      <c r="AE34" s="796" t="str">
        <f>IF('Offset Solver'!BC32&gt;0,"↑ "&amp;'Offset Solver'!BC32,IF('Offset Solver'!BC32&lt;0,"↓ "&amp;-'Offset Solver'!BC32,0))</f>
        <v>↑ 0.1</v>
      </c>
      <c r="AF34" s="796"/>
      <c r="AG34" s="296"/>
      <c r="AH34" s="303"/>
    </row>
    <row r="35" spans="2:34" ht="25.9" customHeight="1" x14ac:dyDescent="0.25">
      <c r="B35" s="301"/>
      <c r="C35" s="296"/>
      <c r="D35" s="296"/>
      <c r="E35" s="296"/>
      <c r="F35" s="296"/>
      <c r="G35" s="296"/>
      <c r="H35" s="296"/>
      <c r="I35" s="296"/>
      <c r="J35" s="296"/>
      <c r="K35" s="296"/>
      <c r="L35" s="296"/>
      <c r="M35" s="50"/>
      <c r="N35" s="50"/>
      <c r="O35" s="50"/>
      <c r="P35" s="50"/>
      <c r="Q35" s="50"/>
      <c r="R35" s="50"/>
      <c r="S35" s="296"/>
      <c r="T35" s="296"/>
      <c r="U35" s="50"/>
      <c r="V35" s="50"/>
      <c r="W35" s="50"/>
      <c r="X35" s="50"/>
      <c r="Y35" s="50"/>
      <c r="Z35" s="50"/>
      <c r="AA35" s="50"/>
      <c r="AB35" s="929"/>
      <c r="AC35" s="929"/>
      <c r="AD35" s="294" t="s">
        <v>149</v>
      </c>
      <c r="AE35" s="796" t="str">
        <f>IF('Offset Solver'!BK32&gt;0,"↑ "&amp;'Offset Solver'!BK32,IF('Offset Solver'!BK32&lt;0,"↓ "&amp;-'Offset Solver'!BK32,0))</f>
        <v>↑ 0.1</v>
      </c>
      <c r="AF35" s="796"/>
      <c r="AG35" s="50"/>
      <c r="AH35" s="303"/>
    </row>
    <row r="36" spans="2:34" ht="25.9" customHeight="1" x14ac:dyDescent="0.25">
      <c r="B36" s="301"/>
      <c r="C36" s="296"/>
      <c r="D36" s="296"/>
      <c r="E36" s="296"/>
      <c r="F36" s="296"/>
      <c r="G36" s="296"/>
      <c r="H36" s="296"/>
      <c r="I36" s="296"/>
      <c r="J36" s="296"/>
      <c r="K36" s="296"/>
      <c r="L36" s="296"/>
      <c r="M36" s="50"/>
      <c r="N36" s="50"/>
      <c r="O36" s="50"/>
      <c r="P36" s="50"/>
      <c r="Q36" s="50"/>
      <c r="R36" s="50"/>
      <c r="S36" s="296"/>
      <c r="T36" s="296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303"/>
    </row>
    <row r="37" spans="2:34" ht="25.9" customHeight="1" x14ac:dyDescent="0.25">
      <c r="B37" s="301"/>
      <c r="C37" s="296"/>
      <c r="D37" s="296"/>
      <c r="E37" s="296"/>
      <c r="F37" s="296"/>
      <c r="G37" s="296"/>
      <c r="H37" s="296"/>
      <c r="I37" s="296"/>
      <c r="J37" s="296"/>
      <c r="K37" s="296"/>
      <c r="L37" s="296"/>
      <c r="M37" s="50"/>
      <c r="N37" s="50"/>
      <c r="O37" s="50"/>
      <c r="P37" s="50"/>
      <c r="Q37" s="50"/>
      <c r="R37" s="50"/>
      <c r="S37" s="296"/>
      <c r="T37" s="296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303"/>
    </row>
    <row r="38" spans="2:34" ht="25.9" customHeight="1" x14ac:dyDescent="0.25">
      <c r="B38" s="301"/>
      <c r="C38" s="296"/>
      <c r="D38" s="296"/>
      <c r="E38" s="296"/>
      <c r="F38" s="296"/>
      <c r="G38" s="296"/>
      <c r="H38" s="296"/>
      <c r="I38" s="296"/>
      <c r="J38" s="296"/>
      <c r="K38" s="296"/>
      <c r="L38" s="296"/>
      <c r="M38" s="50"/>
      <c r="N38" s="50"/>
      <c r="O38" s="50"/>
      <c r="P38" s="50"/>
      <c r="Q38" s="50"/>
      <c r="R38" s="50"/>
      <c r="S38" s="296"/>
      <c r="T38" s="296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303"/>
    </row>
    <row r="39" spans="2:34" ht="25.9" customHeight="1" x14ac:dyDescent="0.25">
      <c r="B39" s="301"/>
      <c r="C39" s="296"/>
      <c r="D39" s="296"/>
      <c r="E39" s="296"/>
      <c r="F39" s="296"/>
      <c r="G39" s="296"/>
      <c r="H39" s="296"/>
      <c r="I39" s="296"/>
      <c r="J39" s="296"/>
      <c r="K39" s="296"/>
      <c r="L39" s="915" t="s">
        <v>111</v>
      </c>
      <c r="M39" s="939"/>
      <c r="N39" s="50"/>
      <c r="O39" s="50"/>
      <c r="P39" s="50"/>
      <c r="Q39" s="50"/>
      <c r="R39" s="50"/>
      <c r="S39" s="296"/>
      <c r="T39" s="296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303"/>
    </row>
    <row r="40" spans="2:34" ht="25.9" customHeight="1" x14ac:dyDescent="0.25">
      <c r="B40" s="301"/>
      <c r="C40" s="296"/>
      <c r="D40" s="296"/>
      <c r="E40" s="296"/>
      <c r="F40" s="296"/>
      <c r="G40" s="296"/>
      <c r="H40" s="296"/>
      <c r="I40" s="293"/>
      <c r="J40" s="296"/>
      <c r="K40" s="296"/>
      <c r="L40" s="939"/>
      <c r="M40" s="939"/>
      <c r="N40" s="50"/>
      <c r="O40" s="50"/>
      <c r="P40" s="50"/>
      <c r="Q40" s="50"/>
      <c r="R40" s="50"/>
      <c r="S40" s="296"/>
      <c r="T40" s="296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303"/>
    </row>
    <row r="41" spans="2:34" ht="25.9" customHeight="1" x14ac:dyDescent="0.25">
      <c r="B41" s="301"/>
      <c r="C41" s="296"/>
      <c r="D41" s="296"/>
      <c r="E41" s="296"/>
      <c r="F41" s="296"/>
      <c r="G41" s="296"/>
      <c r="H41" s="296"/>
      <c r="I41" s="293"/>
      <c r="J41" s="296"/>
      <c r="K41" s="296"/>
      <c r="L41" s="297" t="s">
        <v>149</v>
      </c>
      <c r="M41" s="297" t="s">
        <v>93</v>
      </c>
      <c r="N41" s="50"/>
      <c r="O41" s="50"/>
      <c r="P41" s="50"/>
      <c r="Q41" s="50"/>
      <c r="R41" s="50"/>
      <c r="S41" s="296"/>
      <c r="T41" s="296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303"/>
    </row>
    <row r="42" spans="2:34" ht="25.9" customHeight="1" x14ac:dyDescent="0.25">
      <c r="B42" s="301"/>
      <c r="C42" s="296"/>
      <c r="D42" s="296"/>
      <c r="E42" s="296"/>
      <c r="F42" s="296"/>
      <c r="G42" s="296"/>
      <c r="H42" s="296"/>
      <c r="I42" s="293"/>
      <c r="J42" s="296"/>
      <c r="K42" s="296"/>
      <c r="L42" s="930" t="str">
        <f>IF('Offset Solver'!BJ79&gt;0,"↑ "&amp;'Offset Solver'!BJ79,IF('Offset Solver'!BJ79&lt;0,"↓ "&amp;-'Offset Solver'!BJ79,0))</f>
        <v>↑ 0.2</v>
      </c>
      <c r="M42" s="930" t="str">
        <f>IF('Offset Solver'!BC79&gt;0,"↑ "&amp;'Offset Solver'!BC79,IF('Offset Solver'!BC79&lt;0,"↓ "&amp;-'Offset Solver'!BC79,0))</f>
        <v>↑ 0.2</v>
      </c>
      <c r="N42" s="50"/>
      <c r="O42" s="50"/>
      <c r="P42" s="50"/>
      <c r="Q42" s="50"/>
      <c r="R42" s="50"/>
      <c r="S42" s="296"/>
      <c r="T42" s="296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303"/>
    </row>
    <row r="43" spans="2:34" ht="25.9" customHeight="1" x14ac:dyDescent="0.25">
      <c r="B43" s="301"/>
      <c r="C43" s="296"/>
      <c r="D43" s="296"/>
      <c r="E43" s="296"/>
      <c r="F43" s="296"/>
      <c r="G43" s="296"/>
      <c r="H43" s="296"/>
      <c r="I43" s="293"/>
      <c r="J43" s="296"/>
      <c r="K43" s="296"/>
      <c r="L43" s="930"/>
      <c r="M43" s="930"/>
      <c r="N43" s="50"/>
      <c r="O43" s="50"/>
      <c r="P43" s="50"/>
      <c r="Q43" s="50"/>
      <c r="R43" s="50"/>
      <c r="S43" s="296"/>
      <c r="T43" s="296"/>
      <c r="U43" s="296"/>
      <c r="V43" s="296"/>
      <c r="W43" s="296"/>
      <c r="X43" s="296"/>
      <c r="Y43" s="296"/>
      <c r="Z43" s="296"/>
      <c r="AA43" s="296"/>
      <c r="AB43" s="296"/>
      <c r="AC43" s="50"/>
      <c r="AD43" s="50"/>
      <c r="AE43" s="50"/>
      <c r="AF43" s="50"/>
      <c r="AG43" s="50"/>
      <c r="AH43" s="302"/>
    </row>
    <row r="44" spans="2:34" ht="25.9" customHeight="1" x14ac:dyDescent="0.25">
      <c r="B44" s="301"/>
      <c r="C44" s="296"/>
      <c r="D44" s="911" t="s">
        <v>110</v>
      </c>
      <c r="E44" s="931"/>
      <c r="F44" s="294" t="s">
        <v>93</v>
      </c>
      <c r="G44" s="796" t="str">
        <f>IF('Offset Solver'!BB32&gt;0,"↑ "&amp;'Offset Solver'!BB32,IF('Offset Solver'!BB32&lt;0,"↓ "&amp;-'Offset Solver'!BB32,0))</f>
        <v>↓ 0.1</v>
      </c>
      <c r="H44" s="796"/>
      <c r="I44" s="293"/>
      <c r="J44" s="296"/>
      <c r="K44" s="296"/>
      <c r="L44" s="296"/>
      <c r="M44" s="50"/>
      <c r="N44" s="50"/>
      <c r="O44" s="50"/>
      <c r="P44" s="50"/>
      <c r="Q44" s="50"/>
      <c r="R44" s="50"/>
      <c r="S44" s="296"/>
      <c r="T44" s="911" t="s">
        <v>117</v>
      </c>
      <c r="U44" s="931"/>
      <c r="V44" s="294" t="s">
        <v>93</v>
      </c>
      <c r="W44" s="796">
        <f>IF('Offset Solver'!BF32&gt;0,"↑ "&amp;'Offset Solver'!BF32,IF('Offset Solver'!BF32&lt;0,"↓ "&amp;-'Offset Solver'!BF32,0))</f>
        <v>0</v>
      </c>
      <c r="X44" s="796"/>
      <c r="Y44" s="296"/>
      <c r="Z44" s="296"/>
      <c r="AA44" s="296"/>
      <c r="AB44" s="296"/>
      <c r="AC44" s="50"/>
      <c r="AD44" s="50"/>
      <c r="AE44" s="50"/>
      <c r="AF44" s="50"/>
      <c r="AG44" s="50"/>
      <c r="AH44" s="302"/>
    </row>
    <row r="45" spans="2:34" ht="25.9" customHeight="1" x14ac:dyDescent="0.25">
      <c r="B45" s="301"/>
      <c r="C45" s="50"/>
      <c r="D45" s="931"/>
      <c r="E45" s="931"/>
      <c r="F45" s="294" t="s">
        <v>149</v>
      </c>
      <c r="G45" s="796" t="str">
        <f>IF('Offset Solver'!BJ32&gt;0,"↑ "&amp;'Offset Solver'!BJ32,IF('Offset Solver'!BJ32&lt;0,"↓ "&amp;-'Offset Solver'!BJ32,0))</f>
        <v>↓ 0.2</v>
      </c>
      <c r="H45" s="796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931"/>
      <c r="U45" s="931"/>
      <c r="V45" s="294" t="s">
        <v>149</v>
      </c>
      <c r="W45" s="796" t="str">
        <f>IF('Offset Solver'!BN32&gt;0,"↑ "&amp;'Offset Solver'!BN32,IF('Offset Solver'!BN32&lt;0,"↓ "&amp;-'Offset Solver'!BN32,0))</f>
        <v>↓ 0.2</v>
      </c>
      <c r="X45" s="796"/>
      <c r="Y45" s="50"/>
      <c r="Z45" s="50"/>
      <c r="AA45" s="296"/>
      <c r="AB45" s="296"/>
      <c r="AC45" s="50"/>
      <c r="AD45" s="50"/>
      <c r="AE45" s="50"/>
      <c r="AF45" s="50"/>
      <c r="AG45" s="50"/>
      <c r="AH45" s="303"/>
    </row>
    <row r="46" spans="2:34" ht="25.9" customHeight="1" x14ac:dyDescent="0.25">
      <c r="B46" s="301"/>
      <c r="C46" s="50"/>
      <c r="D46" s="50"/>
      <c r="E46" s="50"/>
      <c r="F46" s="50"/>
      <c r="G46" s="50"/>
      <c r="H46" s="50"/>
      <c r="I46" s="50"/>
      <c r="J46" s="50"/>
      <c r="K46" s="50"/>
      <c r="L46" s="295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933">
        <f>IF('Offset Solver'!BA79&gt;0,"↓ "&amp;'Offset Solver'!BA79,IF('Offset Solver'!BA79&lt;0,"↑ "&amp;-'Offset Solver'!BA79,0))</f>
        <v>0</v>
      </c>
      <c r="AA46" s="933">
        <f>IF('Offset Solver'!BH79&gt;0,"↓ "&amp;'Offset Solver'!BH79,IF('Offset Solver'!BH79&lt;0,"↑ "&amp;-'Offset Solver'!BH79,0))</f>
        <v>0</v>
      </c>
      <c r="AB46" s="296"/>
      <c r="AC46" s="50"/>
      <c r="AD46" s="50"/>
      <c r="AE46" s="50"/>
      <c r="AF46" s="50"/>
      <c r="AG46" s="50"/>
      <c r="AH46" s="303"/>
    </row>
    <row r="47" spans="2:34" ht="25.9" customHeight="1" x14ac:dyDescent="0.25">
      <c r="B47" s="301"/>
      <c r="C47" s="50"/>
      <c r="D47" s="50"/>
      <c r="E47" s="50"/>
      <c r="F47" s="50"/>
      <c r="G47" s="50"/>
      <c r="H47" s="50"/>
      <c r="I47" s="50"/>
      <c r="J47" s="50"/>
      <c r="K47" s="50"/>
      <c r="L47" s="295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933"/>
      <c r="AA47" s="933"/>
      <c r="AB47" s="296"/>
      <c r="AC47" s="50"/>
      <c r="AD47" s="50"/>
      <c r="AE47" s="50"/>
      <c r="AF47" s="50"/>
      <c r="AG47" s="50"/>
      <c r="AH47" s="303"/>
    </row>
    <row r="48" spans="2:34" ht="25.9" customHeight="1" x14ac:dyDescent="0.25">
      <c r="B48" s="301"/>
      <c r="C48" s="50"/>
      <c r="D48" s="50"/>
      <c r="E48" s="50"/>
      <c r="F48" s="50"/>
      <c r="G48" s="50"/>
      <c r="H48" s="50"/>
      <c r="I48" s="50"/>
      <c r="J48" s="50"/>
      <c r="K48" s="50"/>
      <c r="L48" s="295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309" t="s">
        <v>93</v>
      </c>
      <c r="AA48" s="309" t="s">
        <v>149</v>
      </c>
      <c r="AB48" s="296"/>
      <c r="AC48" s="50"/>
      <c r="AD48" s="50"/>
      <c r="AE48" s="50"/>
      <c r="AF48" s="50"/>
      <c r="AG48" s="50"/>
      <c r="AH48" s="303"/>
    </row>
    <row r="49" spans="2:34" ht="25.9" customHeight="1" x14ac:dyDescent="0.25">
      <c r="B49" s="301"/>
      <c r="C49" s="50"/>
      <c r="D49" s="50"/>
      <c r="E49" s="50"/>
      <c r="F49" s="50"/>
      <c r="G49" s="50"/>
      <c r="H49" s="50"/>
      <c r="I49" s="50"/>
      <c r="J49" s="50"/>
      <c r="K49" s="50"/>
      <c r="L49" s="295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899" t="s">
        <v>120</v>
      </c>
      <c r="AA49" s="900"/>
      <c r="AB49" s="296"/>
      <c r="AC49" s="50"/>
      <c r="AD49" s="50"/>
      <c r="AE49" s="50"/>
      <c r="AF49" s="50"/>
      <c r="AG49" s="50"/>
      <c r="AH49" s="303"/>
    </row>
    <row r="50" spans="2:34" ht="25.9" customHeight="1" x14ac:dyDescent="0.25">
      <c r="B50" s="301"/>
      <c r="C50" s="50"/>
      <c r="D50" s="50"/>
      <c r="E50" s="50"/>
      <c r="F50" s="50"/>
      <c r="G50" s="50"/>
      <c r="H50" s="50"/>
      <c r="I50" s="50"/>
      <c r="J50" s="50"/>
      <c r="K50" s="50"/>
      <c r="L50" s="295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900"/>
      <c r="AA50" s="900"/>
      <c r="AB50" s="296"/>
      <c r="AC50" s="50"/>
      <c r="AD50" s="50"/>
      <c r="AE50" s="50"/>
      <c r="AF50" s="50"/>
      <c r="AG50" s="50"/>
      <c r="AH50" s="303"/>
    </row>
    <row r="51" spans="2:34" ht="25.9" customHeight="1" x14ac:dyDescent="0.25">
      <c r="B51" s="301"/>
      <c r="C51" s="50"/>
      <c r="D51" s="50"/>
      <c r="E51" s="50"/>
      <c r="F51" s="50"/>
      <c r="G51" s="50"/>
      <c r="H51" s="50"/>
      <c r="I51" s="50"/>
      <c r="J51" s="50"/>
      <c r="K51" s="50"/>
      <c r="L51" s="295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296"/>
      <c r="AB51" s="296"/>
      <c r="AC51" s="50"/>
      <c r="AD51" s="50"/>
      <c r="AE51" s="50"/>
      <c r="AF51" s="50"/>
      <c r="AG51" s="50"/>
      <c r="AH51" s="303"/>
    </row>
    <row r="52" spans="2:34" ht="25.9" customHeight="1" thickBot="1" x14ac:dyDescent="0.3">
      <c r="B52" s="304"/>
      <c r="C52" s="305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05"/>
      <c r="Y52" s="305"/>
      <c r="Z52" s="305"/>
      <c r="AA52" s="305"/>
      <c r="AB52" s="305"/>
      <c r="AC52" s="305"/>
      <c r="AD52" s="305"/>
      <c r="AE52" s="305"/>
      <c r="AF52" s="305"/>
      <c r="AG52" s="305"/>
      <c r="AH52" s="306"/>
    </row>
  </sheetData>
  <sheetProtection sheet="1" objects="1" scenarios="1" selectLockedCells="1"/>
  <mergeCells count="58">
    <mergeCell ref="Z49:AA50"/>
    <mergeCell ref="AA46:AA47"/>
    <mergeCell ref="Z46:Z47"/>
    <mergeCell ref="H17:N18"/>
    <mergeCell ref="AB10:AC11"/>
    <mergeCell ref="R30:S31"/>
    <mergeCell ref="S27:S28"/>
    <mergeCell ref="R27:R28"/>
    <mergeCell ref="W12:W13"/>
    <mergeCell ref="Y29:Y30"/>
    <mergeCell ref="Z29:Z30"/>
    <mergeCell ref="M42:M43"/>
    <mergeCell ref="L39:M40"/>
    <mergeCell ref="J22:K23"/>
    <mergeCell ref="J25:J26"/>
    <mergeCell ref="K25:K26"/>
    <mergeCell ref="D3:E4"/>
    <mergeCell ref="G3:H3"/>
    <mergeCell ref="G4:H4"/>
    <mergeCell ref="J9:K10"/>
    <mergeCell ref="AE35:AF35"/>
    <mergeCell ref="AB34:AC35"/>
    <mergeCell ref="AE34:AF34"/>
    <mergeCell ref="D20:E21"/>
    <mergeCell ref="G20:H20"/>
    <mergeCell ref="G21:H21"/>
    <mergeCell ref="K6:K7"/>
    <mergeCell ref="J6:J7"/>
    <mergeCell ref="AE10:AF10"/>
    <mergeCell ref="AE11:AF11"/>
    <mergeCell ref="X18:Y27"/>
    <mergeCell ref="AB17:AF17"/>
    <mergeCell ref="AB3:AC4"/>
    <mergeCell ref="AE3:AF3"/>
    <mergeCell ref="AE4:AF4"/>
    <mergeCell ref="W44:X44"/>
    <mergeCell ref="W45:X45"/>
    <mergeCell ref="AB16:AF16"/>
    <mergeCell ref="AB18:AF18"/>
    <mergeCell ref="X12:X13"/>
    <mergeCell ref="W15:X16"/>
    <mergeCell ref="R6:Y7"/>
    <mergeCell ref="Y32:Z33"/>
    <mergeCell ref="AD13:AE13"/>
    <mergeCell ref="AB19:AF19"/>
    <mergeCell ref="AD14:AE14"/>
    <mergeCell ref="AF13:AG13"/>
    <mergeCell ref="AF14:AG14"/>
    <mergeCell ref="L42:L43"/>
    <mergeCell ref="D44:E45"/>
    <mergeCell ref="G44:H44"/>
    <mergeCell ref="G45:H45"/>
    <mergeCell ref="T44:U45"/>
    <mergeCell ref="Z13:AC13"/>
    <mergeCell ref="Z14:AC14"/>
    <mergeCell ref="P13:Q13"/>
    <mergeCell ref="M12:N13"/>
    <mergeCell ref="P12:Q12"/>
  </mergeCells>
  <conditionalFormatting sqref="G3:H3 J6">
    <cfRule type="cellIs" dxfId="136" priority="33" operator="notEqual">
      <formula>0</formula>
    </cfRule>
  </conditionalFormatting>
  <conditionalFormatting sqref="G4:H4">
    <cfRule type="cellIs" dxfId="135" priority="32" operator="notEqual">
      <formula>0</formula>
    </cfRule>
  </conditionalFormatting>
  <conditionalFormatting sqref="G20:H20">
    <cfRule type="cellIs" dxfId="134" priority="31" operator="notEqual">
      <formula>0</formula>
    </cfRule>
  </conditionalFormatting>
  <conditionalFormatting sqref="G21:H21">
    <cfRule type="cellIs" dxfId="133" priority="30" operator="notEqual">
      <formula>0</formula>
    </cfRule>
  </conditionalFormatting>
  <conditionalFormatting sqref="G44:H44">
    <cfRule type="cellIs" dxfId="132" priority="29" operator="notEqual">
      <formula>0</formula>
    </cfRule>
  </conditionalFormatting>
  <conditionalFormatting sqref="G45:H45">
    <cfRule type="cellIs" dxfId="131" priority="28" operator="notEqual">
      <formula>0</formula>
    </cfRule>
  </conditionalFormatting>
  <conditionalFormatting sqref="AE3:AF3">
    <cfRule type="cellIs" dxfId="130" priority="27" operator="notEqual">
      <formula>0</formula>
    </cfRule>
  </conditionalFormatting>
  <conditionalFormatting sqref="AE4:AF4">
    <cfRule type="cellIs" dxfId="129" priority="26" operator="notEqual">
      <formula>0</formula>
    </cfRule>
  </conditionalFormatting>
  <conditionalFormatting sqref="AE10:AF10">
    <cfRule type="cellIs" dxfId="128" priority="25" operator="notEqual">
      <formula>0</formula>
    </cfRule>
  </conditionalFormatting>
  <conditionalFormatting sqref="AE11:AF11">
    <cfRule type="cellIs" dxfId="127" priority="24" operator="notEqual">
      <formula>0</formula>
    </cfRule>
  </conditionalFormatting>
  <conditionalFormatting sqref="W45:X45">
    <cfRule type="cellIs" dxfId="126" priority="23" operator="notEqual">
      <formula>0</formula>
    </cfRule>
  </conditionalFormatting>
  <conditionalFormatting sqref="W44:X44">
    <cfRule type="cellIs" dxfId="125" priority="22" operator="notEqual">
      <formula>0</formula>
    </cfRule>
  </conditionalFormatting>
  <conditionalFormatting sqref="AE35:AF35">
    <cfRule type="cellIs" dxfId="124" priority="21" operator="notEqual">
      <formula>0</formula>
    </cfRule>
  </conditionalFormatting>
  <conditionalFormatting sqref="AE34:AF34">
    <cfRule type="cellIs" dxfId="123" priority="20" operator="notEqual">
      <formula>0</formula>
    </cfRule>
  </conditionalFormatting>
  <conditionalFormatting sqref="K6">
    <cfRule type="cellIs" dxfId="122" priority="19" operator="notEqual">
      <formula>0</formula>
    </cfRule>
  </conditionalFormatting>
  <conditionalFormatting sqref="W12">
    <cfRule type="cellIs" dxfId="121" priority="18" operator="notEqual">
      <formula>0</formula>
    </cfRule>
  </conditionalFormatting>
  <conditionalFormatting sqref="X12">
    <cfRule type="cellIs" dxfId="120" priority="17" operator="notEqual">
      <formula>0</formula>
    </cfRule>
  </conditionalFormatting>
  <conditionalFormatting sqref="Z29">
    <cfRule type="cellIs" dxfId="119" priority="16" operator="notEqual">
      <formula>0</formula>
    </cfRule>
  </conditionalFormatting>
  <conditionalFormatting sqref="Y29">
    <cfRule type="cellIs" dxfId="118" priority="15" operator="notEqual">
      <formula>0</formula>
    </cfRule>
  </conditionalFormatting>
  <conditionalFormatting sqref="R27">
    <cfRule type="cellIs" dxfId="117" priority="14" operator="notEqual">
      <formula>0</formula>
    </cfRule>
  </conditionalFormatting>
  <conditionalFormatting sqref="S27">
    <cfRule type="cellIs" dxfId="116" priority="13" operator="notEqual">
      <formula>0</formula>
    </cfRule>
  </conditionalFormatting>
  <conditionalFormatting sqref="L42">
    <cfRule type="cellIs" dxfId="115" priority="10" operator="notEqual">
      <formula>0</formula>
    </cfRule>
  </conditionalFormatting>
  <conditionalFormatting sqref="M42">
    <cfRule type="cellIs" dxfId="114" priority="9" operator="notEqual">
      <formula>0</formula>
    </cfRule>
  </conditionalFormatting>
  <conditionalFormatting sqref="Z46">
    <cfRule type="cellIs" dxfId="113" priority="8" operator="notEqual">
      <formula>0</formula>
    </cfRule>
  </conditionalFormatting>
  <conditionalFormatting sqref="AA46">
    <cfRule type="cellIs" dxfId="112" priority="7" operator="notEqual">
      <formula>0</formula>
    </cfRule>
  </conditionalFormatting>
  <conditionalFormatting sqref="J25">
    <cfRule type="cellIs" dxfId="111" priority="6" operator="notEqual">
      <formula>0</formula>
    </cfRule>
  </conditionalFormatting>
  <conditionalFormatting sqref="K25">
    <cfRule type="cellIs" dxfId="110" priority="5" operator="notEqual">
      <formula>0</formula>
    </cfRule>
  </conditionalFormatting>
  <conditionalFormatting sqref="P12:Q13">
    <cfRule type="cellIs" dxfId="109" priority="4" operator="notEqual">
      <formula>0</formula>
    </cfRule>
  </conditionalFormatting>
  <conditionalFormatting sqref="Z13:AG14">
    <cfRule type="notContainsBlanks" dxfId="108" priority="3">
      <formula>LEN(TRIM(Z13))&gt;0</formula>
    </cfRule>
  </conditionalFormatting>
  <conditionalFormatting sqref="AF13:AG13">
    <cfRule type="notContainsBlanks" dxfId="107" priority="2">
      <formula>LEN(TRIM(AF13))&gt;0</formula>
    </cfRule>
  </conditionalFormatting>
  <conditionalFormatting sqref="AF14:AG14">
    <cfRule type="notContainsBlanks" dxfId="106" priority="1">
      <formula>LEN(TRIM(AF14))&gt;0</formula>
    </cfRule>
  </conditionalFormatting>
  <printOptions horizontalCentered="1" verticalCentered="1"/>
  <pageMargins left="0.25" right="0.25" top="0.75" bottom="0.75" header="0.3" footer="0.3"/>
  <pageSetup scale="53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rgb="FF00B050"/>
  </sheetPr>
  <dimension ref="A1:AI177"/>
  <sheetViews>
    <sheetView workbookViewId="0">
      <pane xSplit="2" ySplit="8" topLeftCell="C53" activePane="bottomRight" state="frozenSplit"/>
      <selection pane="topRight" activeCell="C1" sqref="C1"/>
      <selection pane="bottomLeft" activeCell="A9" sqref="A9"/>
      <selection pane="bottomRight" activeCell="B77" sqref="B77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MIN(AMP1_6[Date])</f>
        <v>43699.781504629631</v>
      </c>
      <c r="D1" s="310"/>
      <c r="E1" s="794" t="s">
        <v>40</v>
      </c>
      <c r="F1" s="2">
        <f>IFERROR(AVERAGEIFS(AMP1_6[[#All],[Dim 1_1]],AMP1_6[[#All],[Blade Part Number]],$B1,AMP1_6[[#All],[Date]],"&gt;"&amp;$A$1,AMP1_6[[#All],[Date]],"&lt;"&amp;$A$2),"")</f>
        <v>41.136387755102042</v>
      </c>
      <c r="G1" s="2">
        <f>IFERROR(AVERAGEIFS(AMP1_6[[#All],[Dim 1_2]],AMP1_6[[#All],[Blade Part Number]],$B1,AMP1_6[[#All],[Date]],"&gt;"&amp;$A$1,AMP1_6[[#All],[Date]],"&lt;"&amp;$A$2),"")</f>
        <v>41.144551020408159</v>
      </c>
      <c r="H1" s="2">
        <f>IFERROR(AVERAGEIFS(AMP1_6[[#All],[Dim 2_1]],AMP1_6[[#All],[Blade Part Number]],$B1,AMP1_6[[#All],[Date]],"&gt;"&amp;$A$1,AMP1_6[[#All],[Date]],"&lt;"&amp;$A$2),"")</f>
        <v>155.72679591836737</v>
      </c>
      <c r="I1" s="2">
        <f>IFERROR(AVERAGEIFS(AMP1_6[[#All],[Dim 2_2]],AMP1_6[[#All],[Blade Part Number]],$B1,AMP1_6[[#All],[Date]],"&gt;"&amp;$A$1,AMP1_6[[#All],[Date]],"&lt;"&amp;$A$2),"")</f>
        <v>155.75322448979591</v>
      </c>
      <c r="J1" s="2" t="str">
        <f>IFERROR(AVERAGEIFS(AMP1_6[[#All],[Dim 3_1]],AMP1_6[[#All],[Blade Part Number]],$B1,AMP1_6[[#All],[Date]],"&gt;"&amp;$A$1,AMP1_6[[#All],[Date]],"&lt;"&amp;$A$2),"")</f>
        <v/>
      </c>
      <c r="K1" s="2" t="str">
        <f>IFERROR(AVERAGEIFS(AMP1_6[[#All],[Dim 3_2]],AMP1_6[[#All],[Blade Part Number]],$B1,AMP1_6[[#All],[Date]],"&gt;"&amp;$A$1,AMP1_6[[#All],[Date]],"&lt;"&amp;$A$2),"")</f>
        <v/>
      </c>
      <c r="L1" s="2">
        <f>IFERROR(AVERAGEIFS(AMP1_6[[#All],[Dim 4_1]],AMP1_6[[#All],[Blade Part Number]],$B1,AMP1_6[[#All],[Date]],"&gt;"&amp;$A$1,AMP1_6[[#All],[Date]],"&lt;"&amp;$A$2),"")</f>
        <v>155.95877551020405</v>
      </c>
      <c r="M1" s="2">
        <f>IFERROR(AVERAGEIFS(AMP1_6[[#All],[Dim 4_2]],AMP1_6[[#All],[Blade Part Number]],$B1,AMP1_6[[#All],[Date]],"&gt;"&amp;$A$1,AMP1_6[[#All],[Date]],"&lt;"&amp;$A$2),"")</f>
        <v>155.78197959183674</v>
      </c>
      <c r="N1" s="2">
        <f>IFERROR(AVERAGEIFS(AMP1_6[[#All],[Dim 5_1]],AMP1_6[[#All],[Blade Part Number]],$B1,AMP1_6[[#All],[Date]],"&gt;"&amp;$A$1,AMP1_6[[#All],[Date]],"&lt;"&amp;$A$2),"")</f>
        <v>27.380204081632652</v>
      </c>
      <c r="O1" s="2">
        <f>IFERROR(AVERAGEIFS(AMP1_6[[#All],[Dim 5_2]],AMP1_6[[#All],[Blade Part Number]],$B1,AMP1_6[[#All],[Date]],"&gt;"&amp;$A$1,AMP1_6[[#All],[Date]],"&lt;"&amp;$A$2),"")</f>
        <v>27.473346938775499</v>
      </c>
      <c r="P1" s="2" t="str">
        <f>IFERROR(AVERAGEIFS(AMP1_6[[#All],[Dim 6]],AMP1_6[[#All],[Blade Part Number]],$B1,AMP1_6[[#All],[Date]],"&gt;"&amp;$A$1,AMP1_6[[#All],[Date]],"&lt;"&amp;$A$2),"")</f>
        <v/>
      </c>
      <c r="Q1" s="2" t="str">
        <f>IFERROR(AVERAGEIFS(AMP1_6[[#All],[Dim 7]],AMP1_6[[#All],[Blade Part Number]],$B1,AMP1_6[[#All],[Date]],"&gt;"&amp;$A$1,AMP1_6[[#All],[Date]],"&lt;"&amp;$A$2),"")</f>
        <v/>
      </c>
      <c r="R1" s="2">
        <f>IFERROR(AVERAGEIFS(AMP1_6[[#All],[Dim 9_1]],AMP1_6[[#All],[Blade Part Number]],$B1,AMP1_6[[#All],[Date]],"&gt;"&amp;$A$1,AMP1_6[[#All],[Date]],"&lt;"&amp;$A$2),"")</f>
        <v>16.970183673469389</v>
      </c>
      <c r="S1" s="2">
        <f>IFERROR(AVERAGEIFS(AMP1_6[[#All],[Dim 9_2]],AMP1_6[[#All],[Blade Part Number]],$B1,AMP1_6[[#All],[Date]],"&gt;"&amp;$A$1,AMP1_6[[#All],[Date]],"&lt;"&amp;$A$2),"")</f>
        <v>16.941755102040819</v>
      </c>
      <c r="T1" s="2">
        <f>IFERROR(AVERAGEIFS(AMP1_6[[#All],[Dim 10_1]],AMP1_6[[#All],[Blade Part Number]],$B1,AMP1_6[[#All],[Date]],"&gt;"&amp;$A$1,AMP1_6[[#All],[Date]],"&lt;"&amp;$A$2),"")</f>
        <v>34.377816326530613</v>
      </c>
      <c r="U1" s="2">
        <f>IFERROR(AVERAGEIFS(AMP1_6[[#All],[Dim 10_2]],AMP1_6[[#All],[Blade Part Number]],$B1,AMP1_6[[#All],[Date]],"&gt;"&amp;$A$1,AMP1_6[[#All],[Date]],"&lt;"&amp;$A$2),"")</f>
        <v>35.019530612244907</v>
      </c>
      <c r="V1" s="2" t="str">
        <f>IFERROR(AVERAGEIFS(AMP1_6[[#All],[Dim 11]],AMP1_6[[#All],[Blade Part Number]],$B1,AMP1_6[[#All],[Date]],"&gt;"&amp;$A$1,AMP1_6[[#All],[Date]],"&lt;"&amp;$A$2),"")</f>
        <v/>
      </c>
      <c r="W1" s="2">
        <f>IFERROR(AVERAGEIFS(AMP1_6[[#All],[Dim 11 Max]],AMP1_6[[#All],[Blade Part Number]],$B1,AMP1_6[[#All],[Date]],"&gt;"&amp;$A$1,AMP1_6[[#All],[Date]],"&lt;"&amp;$A$2),"")</f>
        <v>0.16253061224489795</v>
      </c>
      <c r="X1" s="2">
        <f>IFERROR(AVERAGEIFS(AMP1_6[[#All],[Dim 11 Min]],AMP1_6[[#All],[Blade Part Number]],$B1,AMP1_6[[#All],[Date]],"&gt;"&amp;$A$1,AMP1_6[[#All],[Date]],"&lt;"&amp;$A$2),"")</f>
        <v>-0.29855102040816328</v>
      </c>
      <c r="Y1" s="2" t="str">
        <f>IFERROR(AVERAGEIFS(AMP1_6[[#All],[Dim 12]],AMP1_6[[#All],[Blade Part Number]],$B1,AMP1_6[[#All],[Date]],"&gt;"&amp;$A$1,AMP1_6[[#All],[Date]],"&lt;"&amp;$A$2),"")</f>
        <v/>
      </c>
      <c r="Z1" s="2">
        <f>IFERROR(AVERAGEIFS(AMP1_6[[#All],[Dim 12 Max]],AMP1_6[[#All],[Blade Part Number]],$B1,AMP1_6[[#All],[Date]],"&gt;"&amp;$A$1,AMP1_6[[#All],[Date]],"&lt;"&amp;$A$2),"")</f>
        <v>3.2877551020408166E-2</v>
      </c>
      <c r="AA1" s="2">
        <f>IFERROR(AVERAGEIFS(AMP1_6[[#All],[Dim 12 Min]],AMP1_6[[#All],[Blade Part Number]],$B1,AMP1_6[[#All],[Date]],"&gt;"&amp;$A$1,AMP1_6[[#All],[Date]],"&lt;"&amp;$A$2),"")</f>
        <v>-0.20602040816326536</v>
      </c>
      <c r="AB1" s="2">
        <f>IFERROR(AVERAGEIFS(AMP1_6[[#All],[T 1]],AMP1_6[[#All],[Blade Part Number]],$B1,AMP1_6[[#All],[Date]],"&gt;"&amp;$A$1,AMP1_6[[#All],[Date]],"&lt;"&amp;$A$2),"")</f>
        <v>-0.27026530612244892</v>
      </c>
      <c r="AC1" s="2">
        <f>IFERROR(AVERAGEIFS(AMP1_6[[#All],[T 2]],AMP1_6[[#All],[Blade Part Number]],$B1,AMP1_6[[#All],[Date]],"&gt;"&amp;$A$1,AMP1_6[[#All],[Date]],"&lt;"&amp;$A$2),"")</f>
        <v>-0.29740816326530611</v>
      </c>
      <c r="AD1" s="2">
        <f>IFERROR(AVERAGEIFS(AMP1_6[[#All],[T 3]],AMP1_6[[#All],[Blade Part Number]],$B1,AMP1_6[[#All],[Date]],"&gt;"&amp;$A$1,AMP1_6[[#All],[Date]],"&lt;"&amp;$A$2),"")</f>
        <v>0.16253061224489795</v>
      </c>
      <c r="AE1" s="2">
        <f>IFERROR(AVERAGEIFS(AMP1_6[[#All],[T 4]],AMP1_6[[#All],[Blade Part Number]],$B1,AMP1_6[[#All],[Date]],"&gt;"&amp;$A$1,AMP1_6[[#All],[Date]],"&lt;"&amp;$A$2),"")</f>
        <v>-0.1293673469387755</v>
      </c>
      <c r="AF1" s="2">
        <f>IFERROR(AVERAGEIFS(AMP1_6[[#All],[T 5]],AMP1_6[[#All],[Blade Part Number]],$B1,AMP1_6[[#All],[Date]],"&gt;"&amp;$A$1,AMP1_6[[#All],[Date]],"&lt;"&amp;$A$2),"")</f>
        <v>-0.20165306122448984</v>
      </c>
      <c r="AG1" s="2">
        <f>IFERROR(AVERAGEIFS(AMP1_6[[#All],[T 6]],AMP1_6[[#All],[Blade Part Number]],$B1,AMP1_6[[#All],[Date]],"&gt;"&amp;$A$1,AMP1_6[[#All],[Date]],"&lt;"&amp;$A$2),"")</f>
        <v>-7.8591836734693901E-2</v>
      </c>
      <c r="AH1" s="2">
        <f>IFERROR(AVERAGEIFS(AMP1_6[[#All],[T 7]],AMP1_6[[#All],[Blade Part Number]],$B1,AMP1_6[[#All],[Date]],"&gt;"&amp;$A$1,AMP1_6[[#All],[Date]],"&lt;"&amp;$A$2),"")</f>
        <v>-0.12885714285714286</v>
      </c>
      <c r="AI1" s="2">
        <f>IFERROR(AVERAGEIFS(AMP1_6[[#All],[T 8]],AMP1_6[[#All],[Blade Part Number]],$B1,AMP1_6[[#All],[Date]],"&gt;"&amp;$A$1,AMP1_6[[#All],[Date]],"&lt;"&amp;$A$2),"")</f>
        <v>3.1204081632653067E-2</v>
      </c>
    </row>
    <row r="2" spans="1:35" x14ac:dyDescent="0.25">
      <c r="A2" s="1">
        <f>'Offset Solver'!E31</f>
        <v>73050</v>
      </c>
      <c r="B2" s="12" t="s">
        <v>31</v>
      </c>
      <c r="C2" s="25">
        <f>MAX(AMP1_6[Date])</f>
        <v>43712.349641203706</v>
      </c>
      <c r="D2" s="310"/>
      <c r="E2" s="795"/>
      <c r="F2" s="2" t="str">
        <f>IFERROR(AVERAGEIFS(AMP1_6[[#All],[Dim 1_1]],AMP1_6[[#All],[Blade Part Number]],$B2,AMP1_6[[#All],[Date]],"&gt;"&amp;$A$1,AMP1_6[[#All],[Date]],"&lt;"&amp;$A$2),"")</f>
        <v/>
      </c>
      <c r="G2" s="2" t="str">
        <f>IFERROR(AVERAGEIFS(AMP1_6[[#All],[Dim 1_2]],AMP1_6[[#All],[Blade Part Number]],$B2,AMP1_6[[#All],[Date]],"&gt;"&amp;$A$1,AMP1_6[[#All],[Date]],"&lt;"&amp;$A$2),"")</f>
        <v/>
      </c>
      <c r="H2" s="2">
        <f>IFERROR(AVERAGEIFS(AMP1_6[[#All],[Dim 2_1]],AMP1_6[[#All],[Blade Part Number]],$B2,AMP1_6[[#All],[Date]],"&gt;"&amp;$A$1,AMP1_6[[#All],[Date]],"&lt;"&amp;$A$2),"")</f>
        <v>155.94714285714284</v>
      </c>
      <c r="I2" s="2">
        <f>IFERROR(AVERAGEIFS(AMP1_6[[#All],[Dim 2_2]],AMP1_6[[#All],[Blade Part Number]],$B2,AMP1_6[[#All],[Date]],"&gt;"&amp;$A$1,AMP1_6[[#All],[Date]],"&lt;"&amp;$A$2),"")</f>
        <v>155.72804081632651</v>
      </c>
      <c r="J2" s="2">
        <f>IFERROR(AVERAGEIFS(AMP1_6[[#All],[Dim 3_1]],AMP1_6[[#All],[Blade Part Number]],$B2,AMP1_6[[#All],[Date]],"&gt;"&amp;$A$1,AMP1_6[[#All],[Date]],"&lt;"&amp;$A$2),"")</f>
        <v>168.59540816326532</v>
      </c>
      <c r="K2" s="2">
        <f>IFERROR(AVERAGEIFS(AMP1_6[[#All],[Dim 3_2]],AMP1_6[[#All],[Blade Part Number]],$B2,AMP1_6[[#All],[Date]],"&gt;"&amp;$A$1,AMP1_6[[#All],[Date]],"&lt;"&amp;$A$2),"")</f>
        <v>168.47500000000002</v>
      </c>
      <c r="L2" s="2">
        <f>IFERROR(AVERAGEIFS(AMP1_6[[#All],[Dim 4_1]],AMP1_6[[#All],[Blade Part Number]],$B2,AMP1_6[[#All],[Date]],"&gt;"&amp;$A$1,AMP1_6[[#All],[Date]],"&lt;"&amp;$A$2),"")</f>
        <v>156.1353877551021</v>
      </c>
      <c r="M2" s="2">
        <f>IFERROR(AVERAGEIFS(AMP1_6[[#All],[Dim 4_2]],AMP1_6[[#All],[Blade Part Number]],$B2,AMP1_6[[#All],[Date]],"&gt;"&amp;$A$1,AMP1_6[[#All],[Date]],"&lt;"&amp;$A$2),"")</f>
        <v>155.77793877551019</v>
      </c>
      <c r="N2" s="2">
        <f>IFERROR(AVERAGEIFS(AMP1_6[[#All],[Dim 5_1]],AMP1_6[[#All],[Blade Part Number]],$B2,AMP1_6[[#All],[Date]],"&gt;"&amp;$A$1,AMP1_6[[#All],[Date]],"&lt;"&amp;$A$2),"")</f>
        <v>27.171510204081645</v>
      </c>
      <c r="O2" s="2">
        <f>IFERROR(AVERAGEIFS(AMP1_6[[#All],[Dim 5_2]],AMP1_6[[#All],[Blade Part Number]],$B2,AMP1_6[[#All],[Date]],"&gt;"&amp;$A$1,AMP1_6[[#All],[Date]],"&lt;"&amp;$A$2),"")</f>
        <v>27.342122448979595</v>
      </c>
      <c r="P2" s="2" t="str">
        <f>IFERROR(AVERAGEIFS(AMP1_6[[#All],[Dim 6]],AMP1_6[[#All],[Blade Part Number]],$B2,AMP1_6[[#All],[Date]],"&gt;"&amp;$A$1,AMP1_6[[#All],[Date]],"&lt;"&amp;$A$2),"")</f>
        <v/>
      </c>
      <c r="Q2" s="2" t="str">
        <f>IFERROR(AVERAGEIFS(AMP1_6[[#All],[Dim 7]],AMP1_6[[#All],[Blade Part Number]],$B2,AMP1_6[[#All],[Date]],"&gt;"&amp;$A$1,AMP1_6[[#All],[Date]],"&lt;"&amp;$A$2),"")</f>
        <v/>
      </c>
      <c r="R2" s="2">
        <f>IFERROR(AVERAGEIFS(AMP1_6[[#All],[Dim 9_1]],AMP1_6[[#All],[Blade Part Number]],$B2,AMP1_6[[#All],[Date]],"&gt;"&amp;$A$1,AMP1_6[[#All],[Date]],"&lt;"&amp;$A$2),"")</f>
        <v>16.842428571428567</v>
      </c>
      <c r="S2" s="2">
        <f>IFERROR(AVERAGEIFS(AMP1_6[[#All],[Dim 9_2]],AMP1_6[[#All],[Blade Part Number]],$B2,AMP1_6[[#All],[Date]],"&gt;"&amp;$A$1,AMP1_6[[#All],[Date]],"&lt;"&amp;$A$2),"")</f>
        <v>16.98414285714286</v>
      </c>
      <c r="T2" s="2">
        <f>IFERROR(AVERAGEIFS(AMP1_6[[#All],[Dim 10_1]],AMP1_6[[#All],[Blade Part Number]],$B2,AMP1_6[[#All],[Date]],"&gt;"&amp;$A$1,AMP1_6[[#All],[Date]],"&lt;"&amp;$A$2),"")</f>
        <v>37.023530612244905</v>
      </c>
      <c r="U2" s="2">
        <f>IFERROR(AVERAGEIFS(AMP1_6[[#All],[Dim 10_2]],AMP1_6[[#All],[Blade Part Number]],$B2,AMP1_6[[#All],[Date]],"&gt;"&amp;$A$1,AMP1_6[[#All],[Date]],"&lt;"&amp;$A$2),"")</f>
        <v>37.594040816326533</v>
      </c>
      <c r="V2" s="2" t="str">
        <f>IFERROR(AVERAGEIFS(AMP1_6[[#All],[Dim 11]],AMP1_6[[#All],[Blade Part Number]],$B2,AMP1_6[[#All],[Date]],"&gt;"&amp;$A$1,AMP1_6[[#All],[Date]],"&lt;"&amp;$A$2),"")</f>
        <v/>
      </c>
      <c r="W2" s="2">
        <f>IFERROR(AVERAGEIFS(AMP1_6[[#All],[Dim 11 Max]],AMP1_6[[#All],[Blade Part Number]],$B2,AMP1_6[[#All],[Date]],"&gt;"&amp;$A$1,AMP1_6[[#All],[Date]],"&lt;"&amp;$A$2),"")</f>
        <v>-0.18410204081632658</v>
      </c>
      <c r="X2" s="2">
        <f>IFERROR(AVERAGEIFS(AMP1_6[[#All],[Dim 11 Min]],AMP1_6[[#All],[Blade Part Number]],$B2,AMP1_6[[#All],[Date]],"&gt;"&amp;$A$1,AMP1_6[[#All],[Date]],"&lt;"&amp;$A$2),"")</f>
        <v>-0.45777551020408164</v>
      </c>
      <c r="Y2" s="2" t="str">
        <f>IFERROR(AVERAGEIFS(AMP1_6[[#All],[Dim 12]],AMP1_6[[#All],[Blade Part Number]],$B2,AMP1_6[[#All],[Date]],"&gt;"&amp;$A$1,AMP1_6[[#All],[Date]],"&lt;"&amp;$A$2),"")</f>
        <v/>
      </c>
      <c r="Z2" s="2">
        <f>IFERROR(AVERAGEIFS(AMP1_6[[#All],[Dim 12 Max]],AMP1_6[[#All],[Blade Part Number]],$B2,AMP1_6[[#All],[Date]],"&gt;"&amp;$A$1,AMP1_6[[#All],[Date]],"&lt;"&amp;$A$2),"")</f>
        <v>0.15642857142857139</v>
      </c>
      <c r="AA2" s="2">
        <f>IFERROR(AVERAGEIFS(AMP1_6[[#All],[Dim 12 Min]],AMP1_6[[#All],[Blade Part Number]],$B2,AMP1_6[[#All],[Date]],"&gt;"&amp;$A$1,AMP1_6[[#All],[Date]],"&lt;"&amp;$A$2),"")</f>
        <v>-0.10910204081632655</v>
      </c>
      <c r="AB2" s="2">
        <f>IFERROR(AVERAGEIFS(AMP1_6[[#All],[T 1]],AMP1_6[[#All],[Blade Part Number]],$B2,AMP1_6[[#All],[Date]],"&gt;"&amp;$A$1,AMP1_6[[#All],[Date]],"&lt;"&amp;$A$2),"")</f>
        <v>-0.20028571428571437</v>
      </c>
      <c r="AC2" s="2">
        <f>IFERROR(AVERAGEIFS(AMP1_6[[#All],[T 2]],AMP1_6[[#All],[Blade Part Number]],$B2,AMP1_6[[#All],[Date]],"&gt;"&amp;$A$1,AMP1_6[[#All],[Date]],"&lt;"&amp;$A$2),"")</f>
        <v>-0.19130612244897963</v>
      </c>
      <c r="AD2" s="2">
        <f>IFERROR(AVERAGEIFS(AMP1_6[[#All],[T 3]],AMP1_6[[#All],[Blade Part Number]],$B2,AMP1_6[[#All],[Date]],"&gt;"&amp;$A$1,AMP1_6[[#All],[Date]],"&lt;"&amp;$A$2),"")</f>
        <v>-0.34306122448979598</v>
      </c>
      <c r="AE2" s="2">
        <f>IFERROR(AVERAGEIFS(AMP1_6[[#All],[T 4]],AMP1_6[[#All],[Blade Part Number]],$B2,AMP1_6[[#All],[Date]],"&gt;"&amp;$A$1,AMP1_6[[#All],[Date]],"&lt;"&amp;$A$2),"")</f>
        <v>-0.45777551020408164</v>
      </c>
      <c r="AF2" s="2">
        <f>IFERROR(AVERAGEIFS(AMP1_6[[#All],[T 5]],AMP1_6[[#All],[Blade Part Number]],$B2,AMP1_6[[#All],[Date]],"&gt;"&amp;$A$1,AMP1_6[[#All],[Date]],"&lt;"&amp;$A$2),"")</f>
        <v>0.1481428571428571</v>
      </c>
      <c r="AG2" s="2">
        <f>IFERROR(AVERAGEIFS(AMP1_6[[#All],[T 6]],AMP1_6[[#All],[Blade Part Number]],$B2,AMP1_6[[#All],[Date]],"&gt;"&amp;$A$1,AMP1_6[[#All],[Date]],"&lt;"&amp;$A$2),"")</f>
        <v>0.15030612244897959</v>
      </c>
      <c r="AH2" s="2">
        <f>IFERROR(AVERAGEIFS(AMP1_6[[#All],[T 7]],AMP1_6[[#All],[Blade Part Number]],$B2,AMP1_6[[#All],[Date]],"&gt;"&amp;$A$1,AMP1_6[[#All],[Date]],"&lt;"&amp;$A$2),"")</f>
        <v>-0.10438775510204082</v>
      </c>
      <c r="AI2" s="2">
        <f>IFERROR(AVERAGEIFS(AMP1_6[[#All],[T 8]],AMP1_6[[#All],[Blade Part Number]],$B2,AMP1_6[[#All],[Date]],"&gt;"&amp;$A$1,AMP1_6[[#All],[Date]],"&lt;"&amp;$A$2),"")</f>
        <v>-9.1979591836734681E-2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-0.16361224489795489</v>
      </c>
      <c r="G6" s="11">
        <f t="shared" si="0"/>
        <v>-0.15544897959183857</v>
      </c>
      <c r="H6" s="11">
        <f t="shared" si="0"/>
        <v>-7.3204081632638918E-2</v>
      </c>
      <c r="I6" s="11">
        <f t="shared" si="0"/>
        <v>-4.6775510204099646E-2</v>
      </c>
      <c r="J6" s="11" t="str">
        <f t="shared" si="0"/>
        <v/>
      </c>
      <c r="K6" s="11" t="str">
        <f t="shared" si="0"/>
        <v/>
      </c>
      <c r="L6" s="11">
        <f t="shared" si="0"/>
        <v>0.15877551020403757</v>
      </c>
      <c r="M6" s="11">
        <f t="shared" si="0"/>
        <v>-1.8020408163266666E-2</v>
      </c>
      <c r="N6" s="11">
        <f t="shared" si="0"/>
        <v>-1.9795918367346843E-2</v>
      </c>
      <c r="O6" s="11">
        <f t="shared" si="0"/>
        <v>7.3346938775500803E-2</v>
      </c>
      <c r="P6" s="11" t="str">
        <f t="shared" si="0"/>
        <v/>
      </c>
      <c r="Q6" s="11" t="str">
        <f t="shared" si="0"/>
        <v/>
      </c>
      <c r="R6" s="11">
        <f t="shared" si="0"/>
        <v>-0.27981632653061084</v>
      </c>
      <c r="S6" s="11">
        <f t="shared" si="0"/>
        <v>-0.30824489795918097</v>
      </c>
      <c r="T6" s="11">
        <f t="shared" si="0"/>
        <v>2.3778163265306134</v>
      </c>
      <c r="U6" s="11">
        <f t="shared" si="0"/>
        <v>3.0195306122449068</v>
      </c>
      <c r="V6" s="11" t="str">
        <f t="shared" si="0"/>
        <v/>
      </c>
      <c r="W6" s="11">
        <f t="shared" si="0"/>
        <v>0.16253061224489795</v>
      </c>
      <c r="X6" s="11">
        <f t="shared" si="0"/>
        <v>-0.29855102040816328</v>
      </c>
      <c r="Y6" s="11" t="str">
        <f t="shared" si="0"/>
        <v/>
      </c>
      <c r="Z6" s="11">
        <f t="shared" si="0"/>
        <v>3.2877551020408166E-2</v>
      </c>
      <c r="AA6" s="11">
        <f t="shared" si="0"/>
        <v>-0.20602040816326536</v>
      </c>
      <c r="AB6" s="11">
        <f t="shared" si="0"/>
        <v>-0.27026530612244892</v>
      </c>
      <c r="AC6" s="11">
        <f t="shared" si="0"/>
        <v>-0.29740816326530611</v>
      </c>
      <c r="AD6" s="11">
        <f t="shared" si="0"/>
        <v>0.16253061224489795</v>
      </c>
      <c r="AE6" s="11">
        <f t="shared" si="0"/>
        <v>-0.1293673469387755</v>
      </c>
      <c r="AF6" s="11">
        <f t="shared" si="0"/>
        <v>-0.20165306122448984</v>
      </c>
      <c r="AG6" s="11">
        <f t="shared" si="0"/>
        <v>-7.8591836734693901E-2</v>
      </c>
      <c r="AH6" s="11">
        <f t="shared" si="0"/>
        <v>-0.12885714285714286</v>
      </c>
      <c r="AI6" s="11">
        <f t="shared" si="0"/>
        <v>3.1204081632653067E-2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0.14714285714282482</v>
      </c>
      <c r="I7" s="11">
        <f t="shared" si="1"/>
        <v>-7.1959183673499183E-2</v>
      </c>
      <c r="J7" s="11">
        <f t="shared" si="1"/>
        <v>-0.1045918367346701</v>
      </c>
      <c r="K7" s="11">
        <f t="shared" si="1"/>
        <v>-0.22499999999996589</v>
      </c>
      <c r="L7" s="11">
        <f t="shared" si="1"/>
        <v>0.33538775510209007</v>
      </c>
      <c r="M7" s="11">
        <f t="shared" si="1"/>
        <v>-2.2061224489817732E-2</v>
      </c>
      <c r="N7" s="11">
        <f t="shared" si="1"/>
        <v>-0.22848979591835317</v>
      </c>
      <c r="O7" s="11">
        <f t="shared" si="1"/>
        <v>-5.7877551020403928E-2</v>
      </c>
      <c r="P7" s="11" t="str">
        <f t="shared" si="1"/>
        <v/>
      </c>
      <c r="Q7" s="11" t="str">
        <f t="shared" si="1"/>
        <v/>
      </c>
      <c r="R7" s="11">
        <f t="shared" si="1"/>
        <v>-0.40757142857143336</v>
      </c>
      <c r="S7" s="11">
        <f t="shared" si="1"/>
        <v>-0.26585714285713991</v>
      </c>
      <c r="T7" s="11">
        <f t="shared" si="1"/>
        <v>5.0235306122449046</v>
      </c>
      <c r="U7" s="11">
        <f t="shared" si="1"/>
        <v>5.5940408163265332</v>
      </c>
      <c r="V7" s="11" t="str">
        <f t="shared" si="1"/>
        <v/>
      </c>
      <c r="W7" s="11">
        <f t="shared" si="1"/>
        <v>-0.18410204081632658</v>
      </c>
      <c r="X7" s="11">
        <f t="shared" si="1"/>
        <v>-0.45777551020408164</v>
      </c>
      <c r="Y7" s="11" t="str">
        <f t="shared" si="1"/>
        <v/>
      </c>
      <c r="Z7" s="11">
        <f t="shared" si="1"/>
        <v>0.15642857142857139</v>
      </c>
      <c r="AA7" s="11">
        <f t="shared" si="1"/>
        <v>-0.10910204081632655</v>
      </c>
      <c r="AB7" s="11">
        <f t="shared" si="1"/>
        <v>-0.20028571428571437</v>
      </c>
      <c r="AC7" s="11">
        <f t="shared" si="1"/>
        <v>-0.19130612244897963</v>
      </c>
      <c r="AD7" s="11">
        <f t="shared" si="1"/>
        <v>-0.34306122448979598</v>
      </c>
      <c r="AE7" s="11">
        <f t="shared" si="1"/>
        <v>-0.45777551020408164</v>
      </c>
      <c r="AF7" s="11">
        <f t="shared" si="1"/>
        <v>0.1481428571428571</v>
      </c>
      <c r="AG7" s="11">
        <f t="shared" si="1"/>
        <v>0.15030612244897959</v>
      </c>
      <c r="AH7" s="11">
        <f>IFERROR(AH2-AH3,"")</f>
        <v>-0.10438775510204082</v>
      </c>
      <c r="AI7" s="11">
        <f t="shared" si="1"/>
        <v>-9.1979591836734681E-2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ht="15" customHeight="1" x14ac:dyDescent="0.25">
      <c r="A9" t="s">
        <v>1197</v>
      </c>
      <c r="B9" t="s">
        <v>32</v>
      </c>
      <c r="C9" s="25">
        <v>43699.781504629631</v>
      </c>
      <c r="D9" s="741" t="s">
        <v>969</v>
      </c>
      <c r="E9" s="741">
        <f t="array" ref="E9">SUMPRODUCT(IF(AMP1_6[[#This Row],[Dim 1_1]:[T 8]]-$F$4:$AI$4&lt;0,1,0)+IF($F$5:$AI$5-AMP1_6[[#This Row],[Dim 1_1]:[T 8]]&lt;0,1,0),IF(ISNUMBER(AMP1_6[[#This Row],[Dim 1_1]:[T 8]])=TRUE,1,0))</f>
        <v>0</v>
      </c>
      <c r="F9">
        <v>41.277999999999999</v>
      </c>
      <c r="G9">
        <v>41.33</v>
      </c>
      <c r="H9">
        <v>155.631</v>
      </c>
      <c r="I9">
        <v>155.62</v>
      </c>
      <c r="L9">
        <v>155.846</v>
      </c>
      <c r="M9">
        <v>155.61600000000001</v>
      </c>
      <c r="N9">
        <v>27.472999999999999</v>
      </c>
      <c r="O9">
        <v>27.661999999999999</v>
      </c>
      <c r="R9">
        <v>16.983000000000001</v>
      </c>
      <c r="S9">
        <v>16.908000000000001</v>
      </c>
      <c r="T9">
        <v>34.488</v>
      </c>
      <c r="U9">
        <v>34.893999999999998</v>
      </c>
      <c r="W9">
        <v>0.19400000000000001</v>
      </c>
      <c r="X9">
        <v>-0.16</v>
      </c>
      <c r="Z9">
        <v>0.10100000000000001</v>
      </c>
      <c r="AA9">
        <v>-2.1999999999999999E-2</v>
      </c>
      <c r="AB9">
        <v>-0.111</v>
      </c>
      <c r="AC9">
        <v>-0.16</v>
      </c>
      <c r="AD9">
        <v>0.19400000000000001</v>
      </c>
      <c r="AE9">
        <v>-0.151</v>
      </c>
      <c r="AF9">
        <v>5.0000000000000001E-3</v>
      </c>
      <c r="AG9">
        <v>0.10100000000000001</v>
      </c>
      <c r="AH9">
        <v>-2.1999999999999999E-2</v>
      </c>
      <c r="AI9">
        <v>9.7000000000000003E-2</v>
      </c>
    </row>
    <row r="10" spans="1:35" hidden="1" x14ac:dyDescent="0.25">
      <c r="A10" t="s">
        <v>1198</v>
      </c>
      <c r="B10" t="s">
        <v>31</v>
      </c>
      <c r="C10" s="25">
        <v>43699.784004629626</v>
      </c>
      <c r="D10" s="741" t="s">
        <v>969</v>
      </c>
      <c r="E10" s="741">
        <f t="array" ref="E10">SUMPRODUCT(IF(AMP1_6[[#This Row],[Dim 1_1]:[T 8]]-$F$4:$AI$4&lt;0,1,0)+IF($F$5:$AI$5-AMP1_6[[#This Row],[Dim 1_1]:[T 8]]&lt;0,1,0),IF(ISNUMBER(AMP1_6[[#This Row],[Dim 1_1]:[T 8]])=TRUE,1,0))</f>
        <v>0</v>
      </c>
      <c r="H10">
        <v>155.78800000000001</v>
      </c>
      <c r="I10">
        <v>155.643</v>
      </c>
      <c r="J10">
        <v>168.62299999999999</v>
      </c>
      <c r="K10">
        <v>168.62799999999999</v>
      </c>
      <c r="L10">
        <v>156.01499999999999</v>
      </c>
      <c r="M10">
        <v>155.821</v>
      </c>
      <c r="N10">
        <v>27.31</v>
      </c>
      <c r="O10">
        <v>27.321999999999999</v>
      </c>
      <c r="R10">
        <v>16.843</v>
      </c>
      <c r="S10">
        <v>17.111999999999998</v>
      </c>
      <c r="T10">
        <v>37.043999999999997</v>
      </c>
      <c r="U10">
        <v>37.865000000000002</v>
      </c>
      <c r="W10">
        <v>-5.2999999999999999E-2</v>
      </c>
      <c r="X10">
        <v>-0.49</v>
      </c>
      <c r="Z10">
        <v>0.27300000000000002</v>
      </c>
      <c r="AA10">
        <v>-0.13800000000000001</v>
      </c>
      <c r="AB10">
        <v>-8.5000000000000006E-2</v>
      </c>
      <c r="AC10">
        <v>-5.2999999999999999E-2</v>
      </c>
      <c r="AD10">
        <v>-0.32100000000000001</v>
      </c>
      <c r="AE10">
        <v>-0.49</v>
      </c>
      <c r="AF10">
        <v>0.25600000000000001</v>
      </c>
      <c r="AG10">
        <v>0.27300000000000002</v>
      </c>
      <c r="AH10">
        <v>-0.13800000000000001</v>
      </c>
      <c r="AI10">
        <v>-0.114</v>
      </c>
    </row>
    <row r="11" spans="1:35" ht="15" customHeight="1" x14ac:dyDescent="0.25">
      <c r="A11" t="s">
        <v>1199</v>
      </c>
      <c r="B11" t="s">
        <v>32</v>
      </c>
      <c r="C11" s="25">
        <v>43699.893877314818</v>
      </c>
      <c r="D11" s="741" t="s">
        <v>969</v>
      </c>
      <c r="E11" s="741">
        <f t="array" ref="E11">SUMPRODUCT(IF(AMP1_6[[#This Row],[Dim 1_1]:[T 8]]-$F$4:$AI$4&lt;0,1,0)+IF($F$5:$AI$5-AMP1_6[[#This Row],[Dim 1_1]:[T 8]]&lt;0,1,0),IF(ISNUMBER(AMP1_6[[#This Row],[Dim 1_1]:[T 8]])=TRUE,1,0))</f>
        <v>0</v>
      </c>
      <c r="F11">
        <v>41.253</v>
      </c>
      <c r="G11">
        <v>41.432000000000002</v>
      </c>
      <c r="H11">
        <v>155.67099999999999</v>
      </c>
      <c r="I11">
        <v>155.65700000000001</v>
      </c>
      <c r="L11">
        <v>155.87899999999999</v>
      </c>
      <c r="M11">
        <v>155.661</v>
      </c>
      <c r="N11">
        <v>27.472000000000001</v>
      </c>
      <c r="O11">
        <v>27.596</v>
      </c>
      <c r="R11">
        <v>16.984999999999999</v>
      </c>
      <c r="S11">
        <v>16.942</v>
      </c>
      <c r="T11">
        <v>34.331000000000003</v>
      </c>
      <c r="U11">
        <v>35.024999999999999</v>
      </c>
      <c r="W11">
        <v>0.17299999999999999</v>
      </c>
      <c r="X11">
        <v>-0.251</v>
      </c>
      <c r="Z11">
        <v>2.9000000000000001E-2</v>
      </c>
      <c r="AA11">
        <v>-0.157</v>
      </c>
      <c r="AB11">
        <v>-0.21</v>
      </c>
      <c r="AC11">
        <v>-0.251</v>
      </c>
      <c r="AD11">
        <v>0.17299999999999999</v>
      </c>
      <c r="AE11">
        <v>-0.10100000000000001</v>
      </c>
      <c r="AF11">
        <v>-0.14799999999999999</v>
      </c>
      <c r="AG11">
        <v>-3.5000000000000003E-2</v>
      </c>
      <c r="AH11">
        <v>-0.157</v>
      </c>
      <c r="AI11">
        <v>2.9000000000000001E-2</v>
      </c>
    </row>
    <row r="12" spans="1:35" hidden="1" x14ac:dyDescent="0.25">
      <c r="A12" t="s">
        <v>1200</v>
      </c>
      <c r="B12" t="s">
        <v>31</v>
      </c>
      <c r="C12" s="25">
        <v>43699.896053240744</v>
      </c>
      <c r="D12" s="741" t="s">
        <v>969</v>
      </c>
      <c r="E12" s="741">
        <f t="array" ref="E12">SUMPRODUCT(IF(AMP1_6[[#This Row],[Dim 1_1]:[T 8]]-$F$4:$AI$4&lt;0,1,0)+IF($F$5:$AI$5-AMP1_6[[#This Row],[Dim 1_1]:[T 8]]&lt;0,1,0),IF(ISNUMBER(AMP1_6[[#This Row],[Dim 1_1]:[T 8]])=TRUE,1,0))</f>
        <v>0</v>
      </c>
      <c r="H12">
        <v>155.863</v>
      </c>
      <c r="I12">
        <v>155.66200000000001</v>
      </c>
      <c r="J12">
        <v>168.625</v>
      </c>
      <c r="K12">
        <v>168.72399999999999</v>
      </c>
      <c r="L12">
        <v>156.07499999999999</v>
      </c>
      <c r="M12">
        <v>155.79599999999999</v>
      </c>
      <c r="N12">
        <v>27.193000000000001</v>
      </c>
      <c r="O12">
        <v>27.292999999999999</v>
      </c>
      <c r="R12">
        <v>16.846</v>
      </c>
      <c r="S12">
        <v>17.030999999999999</v>
      </c>
      <c r="T12">
        <v>38.448</v>
      </c>
      <c r="U12">
        <v>38.615000000000002</v>
      </c>
      <c r="W12">
        <v>-0.124</v>
      </c>
      <c r="X12">
        <v>-0.39300000000000002</v>
      </c>
      <c r="Z12">
        <v>0.246</v>
      </c>
      <c r="AA12">
        <v>-4.1000000000000002E-2</v>
      </c>
      <c r="AB12">
        <v>-0.155</v>
      </c>
      <c r="AC12">
        <v>-0.124</v>
      </c>
      <c r="AD12">
        <v>-0.28100000000000003</v>
      </c>
      <c r="AE12">
        <v>-0.39300000000000002</v>
      </c>
      <c r="AF12">
        <v>0.23</v>
      </c>
      <c r="AG12">
        <v>0.246</v>
      </c>
      <c r="AH12">
        <v>-4.1000000000000002E-2</v>
      </c>
      <c r="AI12">
        <v>-1.2999999999999999E-2</v>
      </c>
    </row>
    <row r="13" spans="1:35" ht="15" customHeight="1" x14ac:dyDescent="0.25">
      <c r="A13" t="s">
        <v>1201</v>
      </c>
      <c r="B13" t="s">
        <v>32</v>
      </c>
      <c r="C13" s="25">
        <v>43699.999201388891</v>
      </c>
      <c r="D13" s="741" t="s">
        <v>969</v>
      </c>
      <c r="E13" s="741">
        <f t="array" ref="E13">SUMPRODUCT(IF(AMP1_6[[#This Row],[Dim 1_1]:[T 8]]-$F$4:$AI$4&lt;0,1,0)+IF($F$5:$AI$5-AMP1_6[[#This Row],[Dim 1_1]:[T 8]]&lt;0,1,0),IF(ISNUMBER(AMP1_6[[#This Row],[Dim 1_1]:[T 8]])=TRUE,1,0))</f>
        <v>0</v>
      </c>
      <c r="F13">
        <v>41.12</v>
      </c>
      <c r="G13">
        <v>41.276000000000003</v>
      </c>
      <c r="H13">
        <v>155.679</v>
      </c>
      <c r="I13">
        <v>155.65600000000001</v>
      </c>
      <c r="L13">
        <v>155.89699999999999</v>
      </c>
      <c r="M13">
        <v>155.56899999999999</v>
      </c>
      <c r="N13">
        <v>27.411000000000001</v>
      </c>
      <c r="O13">
        <v>27.696999999999999</v>
      </c>
      <c r="R13">
        <v>16.966999999999999</v>
      </c>
      <c r="S13">
        <v>16.95</v>
      </c>
      <c r="T13">
        <v>34.918999999999997</v>
      </c>
      <c r="U13">
        <v>34.506999999999998</v>
      </c>
      <c r="W13">
        <v>0.24199999999999999</v>
      </c>
      <c r="X13">
        <v>-0.16700000000000001</v>
      </c>
      <c r="Z13">
        <v>-6.0000000000000001E-3</v>
      </c>
      <c r="AA13">
        <v>-0.124</v>
      </c>
      <c r="AB13">
        <v>-0.13100000000000001</v>
      </c>
      <c r="AC13">
        <v>-0.16700000000000001</v>
      </c>
      <c r="AD13">
        <v>0.24199999999999999</v>
      </c>
      <c r="AE13">
        <v>-3.5000000000000003E-2</v>
      </c>
      <c r="AF13">
        <v>-0.11899999999999999</v>
      </c>
      <c r="AG13">
        <v>-6.0000000000000001E-3</v>
      </c>
      <c r="AH13">
        <v>-0.124</v>
      </c>
      <c r="AI13">
        <v>-1.7999999999999999E-2</v>
      </c>
    </row>
    <row r="14" spans="1:35" hidden="1" x14ac:dyDescent="0.25">
      <c r="A14" t="s">
        <v>1202</v>
      </c>
      <c r="B14" t="s">
        <v>31</v>
      </c>
      <c r="C14" s="25">
        <v>43700.005601851852</v>
      </c>
      <c r="D14" s="741" t="s">
        <v>969</v>
      </c>
      <c r="E14" s="741">
        <f t="array" ref="E14">SUMPRODUCT(IF(AMP1_6[[#This Row],[Dim 1_1]:[T 8]]-$F$4:$AI$4&lt;0,1,0)+IF($F$5:$AI$5-AMP1_6[[#This Row],[Dim 1_1]:[T 8]]&lt;0,1,0),IF(ISNUMBER(AMP1_6[[#This Row],[Dim 1_1]:[T 8]])=TRUE,1,0))</f>
        <v>0</v>
      </c>
      <c r="H14">
        <v>155.84800000000001</v>
      </c>
      <c r="I14">
        <v>155.74299999999999</v>
      </c>
      <c r="J14">
        <v>168.565</v>
      </c>
      <c r="K14">
        <v>168.58099999999999</v>
      </c>
      <c r="L14">
        <v>156.02600000000001</v>
      </c>
      <c r="M14">
        <v>155.86699999999999</v>
      </c>
      <c r="N14">
        <v>27.265000000000001</v>
      </c>
      <c r="O14">
        <v>27.28</v>
      </c>
      <c r="R14">
        <v>16.826000000000001</v>
      </c>
      <c r="S14">
        <v>16.954000000000001</v>
      </c>
      <c r="T14">
        <v>36.255000000000003</v>
      </c>
      <c r="U14">
        <v>38.779000000000003</v>
      </c>
      <c r="W14">
        <v>-0.115</v>
      </c>
      <c r="X14">
        <v>-0.36599999999999999</v>
      </c>
      <c r="Z14">
        <v>0.25600000000000001</v>
      </c>
      <c r="AA14">
        <v>-7.0999999999999994E-2</v>
      </c>
      <c r="AB14">
        <v>-0.151</v>
      </c>
      <c r="AC14">
        <v>-0.115</v>
      </c>
      <c r="AD14">
        <v>-0.27500000000000002</v>
      </c>
      <c r="AE14">
        <v>-0.36599999999999999</v>
      </c>
      <c r="AF14">
        <v>0.23799999999999999</v>
      </c>
      <c r="AG14">
        <v>0.25600000000000001</v>
      </c>
      <c r="AH14">
        <v>-7.0999999999999994E-2</v>
      </c>
      <c r="AI14">
        <v>-2.1999999999999999E-2</v>
      </c>
    </row>
    <row r="15" spans="1:35" ht="15" customHeight="1" x14ac:dyDescent="0.25">
      <c r="A15" t="s">
        <v>1203</v>
      </c>
      <c r="B15" t="s">
        <v>32</v>
      </c>
      <c r="C15" s="25">
        <v>43700.351481481484</v>
      </c>
      <c r="D15" s="741" t="s">
        <v>969</v>
      </c>
      <c r="E15" s="741">
        <f t="array" ref="E15">SUMPRODUCT(IF(AMP1_6[[#This Row],[Dim 1_1]:[T 8]]-$F$4:$AI$4&lt;0,1,0)+IF($F$5:$AI$5-AMP1_6[[#This Row],[Dim 1_1]:[T 8]]&lt;0,1,0),IF(ISNUMBER(AMP1_6[[#This Row],[Dim 1_1]:[T 8]])=TRUE,1,0))</f>
        <v>0</v>
      </c>
      <c r="F15">
        <v>41.210999999999999</v>
      </c>
      <c r="G15">
        <v>41.295999999999999</v>
      </c>
      <c r="H15">
        <v>155.749</v>
      </c>
      <c r="I15">
        <v>155.66300000000001</v>
      </c>
      <c r="L15">
        <v>155.94399999999999</v>
      </c>
      <c r="M15">
        <v>155.69200000000001</v>
      </c>
      <c r="N15">
        <v>27.387</v>
      </c>
      <c r="O15">
        <v>27.567</v>
      </c>
      <c r="R15">
        <v>16.956</v>
      </c>
      <c r="S15">
        <v>16.975000000000001</v>
      </c>
      <c r="T15">
        <v>34.430999999999997</v>
      </c>
      <c r="U15">
        <v>35.061</v>
      </c>
      <c r="W15">
        <v>0.26600000000000001</v>
      </c>
      <c r="X15">
        <v>-0.217</v>
      </c>
      <c r="Z15">
        <v>0.114</v>
      </c>
      <c r="AA15">
        <v>-0.106</v>
      </c>
      <c r="AB15">
        <v>-0.154</v>
      </c>
      <c r="AC15">
        <v>-0.217</v>
      </c>
      <c r="AD15">
        <v>0.26600000000000001</v>
      </c>
      <c r="AE15">
        <v>-0.06</v>
      </c>
      <c r="AF15">
        <v>-0.106</v>
      </c>
      <c r="AG15">
        <v>1.7000000000000001E-2</v>
      </c>
      <c r="AH15">
        <v>-5.5E-2</v>
      </c>
      <c r="AI15">
        <v>0.114</v>
      </c>
    </row>
    <row r="16" spans="1:35" hidden="1" x14ac:dyDescent="0.25">
      <c r="A16" t="s">
        <v>1204</v>
      </c>
      <c r="B16" t="s">
        <v>31</v>
      </c>
      <c r="C16" s="25">
        <v>43700.35396990741</v>
      </c>
      <c r="D16" s="741" t="s">
        <v>969</v>
      </c>
      <c r="E16" s="741">
        <f t="array" ref="E16">SUMPRODUCT(IF(AMP1_6[[#This Row],[Dim 1_1]:[T 8]]-$F$4:$AI$4&lt;0,1,0)+IF($F$5:$AI$5-AMP1_6[[#This Row],[Dim 1_1]:[T 8]]&lt;0,1,0),IF(ISNUMBER(AMP1_6[[#This Row],[Dim 1_1]:[T 8]])=TRUE,1,0))</f>
        <v>0</v>
      </c>
      <c r="H16">
        <v>155.92500000000001</v>
      </c>
      <c r="I16">
        <v>155.72399999999999</v>
      </c>
      <c r="J16">
        <v>168.648</v>
      </c>
      <c r="K16">
        <v>168.60400000000001</v>
      </c>
      <c r="L16">
        <v>156.101</v>
      </c>
      <c r="M16">
        <v>155.79300000000001</v>
      </c>
      <c r="N16">
        <v>27.225000000000001</v>
      </c>
      <c r="O16">
        <v>27.347999999999999</v>
      </c>
      <c r="R16">
        <v>16.826000000000001</v>
      </c>
      <c r="S16">
        <v>16.989000000000001</v>
      </c>
      <c r="T16">
        <v>36.527999999999999</v>
      </c>
      <c r="U16">
        <v>36.784999999999997</v>
      </c>
      <c r="W16">
        <v>-0.17</v>
      </c>
      <c r="X16">
        <v>-0.44500000000000001</v>
      </c>
      <c r="Z16">
        <v>0.17</v>
      </c>
      <c r="AA16">
        <v>-8.4000000000000005E-2</v>
      </c>
      <c r="AB16">
        <v>-0.17</v>
      </c>
      <c r="AC16">
        <v>-0.191</v>
      </c>
      <c r="AD16">
        <v>-0.32700000000000001</v>
      </c>
      <c r="AE16">
        <v>-0.44500000000000001</v>
      </c>
      <c r="AF16">
        <v>0.17</v>
      </c>
      <c r="AG16">
        <v>0.17</v>
      </c>
      <c r="AH16">
        <v>-8.4000000000000005E-2</v>
      </c>
      <c r="AI16">
        <v>-7.6999999999999999E-2</v>
      </c>
    </row>
    <row r="17" spans="1:35" ht="15" customHeight="1" x14ac:dyDescent="0.25">
      <c r="A17" t="s">
        <v>1205</v>
      </c>
      <c r="B17" t="s">
        <v>32</v>
      </c>
      <c r="C17" s="25">
        <v>43700.511377314811</v>
      </c>
      <c r="D17" s="741" t="s">
        <v>969</v>
      </c>
      <c r="E17" s="741">
        <f t="array" ref="E17">SUMPRODUCT(IF(AMP1_6[[#This Row],[Dim 1_1]:[T 8]]-$F$4:$AI$4&lt;0,1,0)+IF($F$5:$AI$5-AMP1_6[[#This Row],[Dim 1_1]:[T 8]]&lt;0,1,0),IF(ISNUMBER(AMP1_6[[#This Row],[Dim 1_1]:[T 8]])=TRUE,1,0))</f>
        <v>0</v>
      </c>
      <c r="F17">
        <v>41.228000000000002</v>
      </c>
      <c r="G17">
        <v>41.179000000000002</v>
      </c>
      <c r="H17">
        <v>155.69200000000001</v>
      </c>
      <c r="I17">
        <v>155.71899999999999</v>
      </c>
      <c r="L17">
        <v>155.93100000000001</v>
      </c>
      <c r="M17">
        <v>155.75299999999999</v>
      </c>
      <c r="N17">
        <v>27.425999999999998</v>
      </c>
      <c r="O17">
        <v>27.515999999999998</v>
      </c>
      <c r="R17">
        <v>16.942</v>
      </c>
      <c r="S17">
        <v>17.016999999999999</v>
      </c>
      <c r="T17">
        <v>34.469000000000001</v>
      </c>
      <c r="U17">
        <v>35.076000000000001</v>
      </c>
      <c r="W17">
        <v>0.14000000000000001</v>
      </c>
      <c r="X17">
        <v>-0.27500000000000002</v>
      </c>
      <c r="Z17">
        <v>-2E-3</v>
      </c>
      <c r="AA17">
        <v>-0.222</v>
      </c>
      <c r="AB17">
        <v>-0.251</v>
      </c>
      <c r="AC17">
        <v>-0.27500000000000002</v>
      </c>
      <c r="AD17">
        <v>0.14000000000000001</v>
      </c>
      <c r="AE17">
        <v>-0.112</v>
      </c>
      <c r="AF17">
        <v>-0.222</v>
      </c>
      <c r="AG17">
        <v>-3.5999999999999997E-2</v>
      </c>
      <c r="AH17">
        <v>-0.16200000000000001</v>
      </c>
      <c r="AI17">
        <v>-2E-3</v>
      </c>
    </row>
    <row r="18" spans="1:35" hidden="1" x14ac:dyDescent="0.25">
      <c r="A18" t="s">
        <v>1206</v>
      </c>
      <c r="B18" t="s">
        <v>31</v>
      </c>
      <c r="C18" s="25">
        <v>43700.512997685182</v>
      </c>
      <c r="D18" s="741" t="s">
        <v>969</v>
      </c>
      <c r="E18" s="741">
        <f t="array" ref="E18">SUMPRODUCT(IF(AMP1_6[[#This Row],[Dim 1_1]:[T 8]]-$F$4:$AI$4&lt;0,1,0)+IF($F$5:$AI$5-AMP1_6[[#This Row],[Dim 1_1]:[T 8]]&lt;0,1,0),IF(ISNUMBER(AMP1_6[[#This Row],[Dim 1_1]:[T 8]])=TRUE,1,0))</f>
        <v>0</v>
      </c>
      <c r="H18">
        <v>155.886</v>
      </c>
      <c r="I18">
        <v>155.69999999999999</v>
      </c>
      <c r="J18">
        <v>168.66</v>
      </c>
      <c r="K18">
        <v>168.59399999999999</v>
      </c>
      <c r="L18">
        <v>156.077</v>
      </c>
      <c r="M18">
        <v>155.80600000000001</v>
      </c>
      <c r="N18">
        <v>27.213999999999999</v>
      </c>
      <c r="O18">
        <v>27.3</v>
      </c>
      <c r="R18">
        <v>16.856999999999999</v>
      </c>
      <c r="S18">
        <v>17.132999999999999</v>
      </c>
      <c r="T18">
        <v>37.941000000000003</v>
      </c>
      <c r="U18">
        <v>38.603999999999999</v>
      </c>
      <c r="W18">
        <v>-0.109</v>
      </c>
      <c r="X18">
        <v>-0.54200000000000004</v>
      </c>
      <c r="Z18">
        <v>0.21199999999999999</v>
      </c>
      <c r="AA18">
        <v>-0.17699999999999999</v>
      </c>
      <c r="AB18">
        <v>-0.14499999999999999</v>
      </c>
      <c r="AC18">
        <v>-0.109</v>
      </c>
      <c r="AD18">
        <v>-0.40200000000000002</v>
      </c>
      <c r="AE18">
        <v>-0.54200000000000004</v>
      </c>
      <c r="AF18">
        <v>0.21199999999999999</v>
      </c>
      <c r="AG18">
        <v>0.21</v>
      </c>
      <c r="AH18">
        <v>-0.16500000000000001</v>
      </c>
      <c r="AI18">
        <v>-0.17699999999999999</v>
      </c>
    </row>
    <row r="19" spans="1:35" ht="15" customHeight="1" x14ac:dyDescent="0.25">
      <c r="A19" t="s">
        <v>1385</v>
      </c>
      <c r="B19" t="s">
        <v>32</v>
      </c>
      <c r="C19" s="25">
        <v>43700.601331018515</v>
      </c>
      <c r="D19" s="741" t="s">
        <v>969</v>
      </c>
      <c r="E19" s="741">
        <f t="array" ref="E19">SUMPRODUCT(IF(AMP1_6[[#This Row],[Dim 1_1]:[T 8]]-$F$4:$AI$4&lt;0,1,0)+IF($F$5:$AI$5-AMP1_6[[#This Row],[Dim 1_1]:[T 8]]&lt;0,1,0),IF(ISNUMBER(AMP1_6[[#This Row],[Dim 1_1]:[T 8]])=TRUE,1,0))</f>
        <v>0</v>
      </c>
      <c r="F19">
        <v>41.249000000000002</v>
      </c>
      <c r="G19">
        <v>41.393999999999998</v>
      </c>
      <c r="H19">
        <v>155.67599999999999</v>
      </c>
      <c r="I19">
        <v>155.684</v>
      </c>
      <c r="L19">
        <v>155.93600000000001</v>
      </c>
      <c r="M19">
        <v>155.75399999999999</v>
      </c>
      <c r="N19">
        <v>27.425999999999998</v>
      </c>
      <c r="O19">
        <v>27.553999999999998</v>
      </c>
      <c r="R19">
        <v>16.96</v>
      </c>
      <c r="S19">
        <v>16.95</v>
      </c>
      <c r="T19">
        <v>34.445999999999998</v>
      </c>
      <c r="U19">
        <v>35.052</v>
      </c>
      <c r="W19">
        <v>0.17399999999999999</v>
      </c>
      <c r="X19">
        <v>-0.248</v>
      </c>
      <c r="Z19">
        <v>-5.0000000000000001E-3</v>
      </c>
      <c r="AA19">
        <v>-0.187</v>
      </c>
      <c r="AB19">
        <v>-0.23300000000000001</v>
      </c>
      <c r="AC19">
        <v>-0.248</v>
      </c>
      <c r="AD19">
        <v>0.17399999999999999</v>
      </c>
      <c r="AE19">
        <v>-0.122</v>
      </c>
      <c r="AF19">
        <v>-0.187</v>
      </c>
      <c r="AG19">
        <v>-7.0000000000000007E-2</v>
      </c>
      <c r="AH19">
        <v>-0.17</v>
      </c>
      <c r="AI19">
        <v>-5.0000000000000001E-3</v>
      </c>
    </row>
    <row r="20" spans="1:35" hidden="1" x14ac:dyDescent="0.25">
      <c r="A20" t="s">
        <v>1386</v>
      </c>
      <c r="B20" t="s">
        <v>31</v>
      </c>
      <c r="C20" s="25">
        <v>43700.603379629632</v>
      </c>
      <c r="D20" s="741" t="s">
        <v>969</v>
      </c>
      <c r="E20" s="741">
        <f t="array" ref="E20">SUMPRODUCT(IF(AMP1_6[[#This Row],[Dim 1_1]:[T 8]]-$F$4:$AI$4&lt;0,1,0)+IF($F$5:$AI$5-AMP1_6[[#This Row],[Dim 1_1]:[T 8]]&lt;0,1,0),IF(ISNUMBER(AMP1_6[[#This Row],[Dim 1_1]:[T 8]])=TRUE,1,0))</f>
        <v>0</v>
      </c>
      <c r="H20">
        <v>155.91999999999999</v>
      </c>
      <c r="I20">
        <v>155.72999999999999</v>
      </c>
      <c r="J20">
        <v>168.66300000000001</v>
      </c>
      <c r="K20">
        <v>168.59299999999999</v>
      </c>
      <c r="L20">
        <v>156.11699999999999</v>
      </c>
      <c r="M20">
        <v>155.82</v>
      </c>
      <c r="N20">
        <v>27.18</v>
      </c>
      <c r="O20">
        <v>27.312999999999999</v>
      </c>
      <c r="R20">
        <v>16.814</v>
      </c>
      <c r="S20">
        <v>16.963999999999999</v>
      </c>
      <c r="T20">
        <v>37.624000000000002</v>
      </c>
      <c r="U20">
        <v>38.348999999999997</v>
      </c>
      <c r="W20">
        <v>-0.14099999999999999</v>
      </c>
      <c r="X20">
        <v>-0.39600000000000002</v>
      </c>
      <c r="Z20">
        <v>0.23100000000000001</v>
      </c>
      <c r="AA20">
        <v>-2.9000000000000001E-2</v>
      </c>
      <c r="AB20">
        <v>-0.17399999999999999</v>
      </c>
      <c r="AC20">
        <v>-0.14099999999999999</v>
      </c>
      <c r="AD20">
        <v>-0.29699999999999999</v>
      </c>
      <c r="AE20">
        <v>-0.39600000000000002</v>
      </c>
      <c r="AF20">
        <v>0.22700000000000001</v>
      </c>
      <c r="AG20">
        <v>0.23100000000000001</v>
      </c>
      <c r="AH20">
        <v>-2.9000000000000001E-2</v>
      </c>
      <c r="AI20">
        <v>-1.2E-2</v>
      </c>
    </row>
    <row r="21" spans="1:35" ht="15" customHeight="1" x14ac:dyDescent="0.25">
      <c r="A21" t="s">
        <v>1387</v>
      </c>
      <c r="B21" t="s">
        <v>32</v>
      </c>
      <c r="C21" s="25">
        <v>43701.350474537037</v>
      </c>
      <c r="D21" s="741" t="s">
        <v>969</v>
      </c>
      <c r="E21" s="741">
        <f t="array" ref="E21">SUMPRODUCT(IF(AMP1_6[[#This Row],[Dim 1_1]:[T 8]]-$F$4:$AI$4&lt;0,1,0)+IF($F$5:$AI$5-AMP1_6[[#This Row],[Dim 1_1]:[T 8]]&lt;0,1,0),IF(ISNUMBER(AMP1_6[[#This Row],[Dim 1_1]:[T 8]])=TRUE,1,0))</f>
        <v>0</v>
      </c>
      <c r="F21">
        <v>41.079000000000001</v>
      </c>
      <c r="G21">
        <v>41.134</v>
      </c>
      <c r="H21">
        <v>155.709</v>
      </c>
      <c r="I21">
        <v>155.71199999999999</v>
      </c>
      <c r="L21">
        <v>155.93799999999999</v>
      </c>
      <c r="M21">
        <v>155.71299999999999</v>
      </c>
      <c r="N21">
        <v>27.41</v>
      </c>
      <c r="O21">
        <v>27.558</v>
      </c>
      <c r="R21">
        <v>16.989000000000001</v>
      </c>
      <c r="S21">
        <v>16.922000000000001</v>
      </c>
      <c r="T21">
        <v>34.363999999999997</v>
      </c>
      <c r="U21">
        <v>35.103000000000002</v>
      </c>
      <c r="W21">
        <v>0.254</v>
      </c>
      <c r="X21">
        <v>-0.24199999999999999</v>
      </c>
      <c r="Z21">
        <v>0.13100000000000001</v>
      </c>
      <c r="AA21">
        <v>-0.107</v>
      </c>
      <c r="AB21">
        <v>-0.191</v>
      </c>
      <c r="AC21">
        <v>-0.24199999999999999</v>
      </c>
      <c r="AD21">
        <v>0.254</v>
      </c>
      <c r="AE21">
        <v>-7.2999999999999995E-2</v>
      </c>
      <c r="AF21">
        <v>-0.107</v>
      </c>
      <c r="AG21">
        <v>1.7999999999999999E-2</v>
      </c>
      <c r="AH21">
        <v>-3.6999999999999998E-2</v>
      </c>
      <c r="AI21">
        <v>0.13100000000000001</v>
      </c>
    </row>
    <row r="22" spans="1:35" hidden="1" x14ac:dyDescent="0.25">
      <c r="A22" t="s">
        <v>1388</v>
      </c>
      <c r="B22" t="s">
        <v>31</v>
      </c>
      <c r="C22" s="25">
        <v>43701.352326388886</v>
      </c>
      <c r="D22" s="741" t="s">
        <v>969</v>
      </c>
      <c r="E22" s="741">
        <f t="array" ref="E22">SUMPRODUCT(IF(AMP1_6[[#This Row],[Dim 1_1]:[T 8]]-$F$4:$AI$4&lt;0,1,0)+IF($F$5:$AI$5-AMP1_6[[#This Row],[Dim 1_1]:[T 8]]&lt;0,1,0),IF(ISNUMBER(AMP1_6[[#This Row],[Dim 1_1]:[T 8]])=TRUE,1,0))</f>
        <v>0</v>
      </c>
      <c r="H22">
        <v>155.91900000000001</v>
      </c>
      <c r="I22">
        <v>155.739</v>
      </c>
      <c r="J22">
        <v>168.577</v>
      </c>
      <c r="K22">
        <v>168.54599999999999</v>
      </c>
      <c r="L22">
        <v>156.114</v>
      </c>
      <c r="M22">
        <v>155.809</v>
      </c>
      <c r="N22">
        <v>27.183</v>
      </c>
      <c r="O22">
        <v>27.285</v>
      </c>
      <c r="R22">
        <v>16.84</v>
      </c>
      <c r="S22">
        <v>16.969000000000001</v>
      </c>
      <c r="T22">
        <v>38.642000000000003</v>
      </c>
      <c r="U22">
        <v>37.552</v>
      </c>
      <c r="W22">
        <v>-0.13100000000000001</v>
      </c>
      <c r="X22">
        <v>-0.39700000000000002</v>
      </c>
      <c r="Z22">
        <v>0.24199999999999999</v>
      </c>
      <c r="AA22">
        <v>1.9E-2</v>
      </c>
      <c r="AB22">
        <v>-0.14199999999999999</v>
      </c>
      <c r="AC22">
        <v>-0.13100000000000001</v>
      </c>
      <c r="AD22">
        <v>-0.249</v>
      </c>
      <c r="AE22">
        <v>-0.39700000000000002</v>
      </c>
      <c r="AF22">
        <v>0.24199999999999999</v>
      </c>
      <c r="AG22">
        <v>0.23499999999999999</v>
      </c>
      <c r="AH22">
        <v>1.9E-2</v>
      </c>
      <c r="AI22">
        <v>2.4E-2</v>
      </c>
    </row>
    <row r="23" spans="1:35" ht="15" customHeight="1" x14ac:dyDescent="0.25">
      <c r="A23" t="s">
        <v>1389</v>
      </c>
      <c r="B23" t="s">
        <v>32</v>
      </c>
      <c r="C23" s="25">
        <v>43701.475821759261</v>
      </c>
      <c r="D23" s="741" t="s">
        <v>969</v>
      </c>
      <c r="E23" s="741">
        <f t="array" ref="E23">SUMPRODUCT(IF(AMP1_6[[#This Row],[Dim 1_1]:[T 8]]-$F$4:$AI$4&lt;0,1,0)+IF($F$5:$AI$5-AMP1_6[[#This Row],[Dim 1_1]:[T 8]]&lt;0,1,0),IF(ISNUMBER(AMP1_6[[#This Row],[Dim 1_1]:[T 8]])=TRUE,1,0))</f>
        <v>0</v>
      </c>
      <c r="F23">
        <v>41.042999999999999</v>
      </c>
      <c r="G23">
        <v>41.106999999999999</v>
      </c>
      <c r="H23">
        <v>155.857</v>
      </c>
      <c r="I23">
        <v>155.84100000000001</v>
      </c>
      <c r="L23">
        <v>156.041</v>
      </c>
      <c r="M23">
        <v>155.82499999999999</v>
      </c>
      <c r="N23">
        <v>27.277000000000001</v>
      </c>
      <c r="O23">
        <v>27.443999999999999</v>
      </c>
      <c r="R23">
        <v>16.922999999999998</v>
      </c>
      <c r="S23">
        <v>16.899999999999999</v>
      </c>
      <c r="T23">
        <v>34.35</v>
      </c>
      <c r="U23">
        <v>35.024999999999999</v>
      </c>
      <c r="W23">
        <v>0.17399999999999999</v>
      </c>
      <c r="X23">
        <v>-0.30099999999999999</v>
      </c>
      <c r="Z23">
        <v>4.4999999999999998E-2</v>
      </c>
      <c r="AA23">
        <v>-0.16800000000000001</v>
      </c>
      <c r="AB23">
        <v>-0.30099999999999999</v>
      </c>
      <c r="AC23">
        <v>-0.29899999999999999</v>
      </c>
      <c r="AD23">
        <v>0.17399999999999999</v>
      </c>
      <c r="AE23">
        <v>-0.10100000000000001</v>
      </c>
      <c r="AF23">
        <v>-0.16800000000000001</v>
      </c>
      <c r="AG23">
        <v>-7.2999999999999995E-2</v>
      </c>
      <c r="AH23">
        <v>-9.2999999999999999E-2</v>
      </c>
      <c r="AI23">
        <v>4.4999999999999998E-2</v>
      </c>
    </row>
    <row r="24" spans="1:35" hidden="1" x14ac:dyDescent="0.25">
      <c r="A24" t="s">
        <v>1390</v>
      </c>
      <c r="B24" t="s">
        <v>31</v>
      </c>
      <c r="C24" s="25">
        <v>43701.477476851855</v>
      </c>
      <c r="D24" s="741" t="s">
        <v>969</v>
      </c>
      <c r="E24" s="741">
        <f t="array" ref="E24">SUMPRODUCT(IF(AMP1_6[[#This Row],[Dim 1_1]:[T 8]]-$F$4:$AI$4&lt;0,1,0)+IF($F$5:$AI$5-AMP1_6[[#This Row],[Dim 1_1]:[T 8]]&lt;0,1,0),IF(ISNUMBER(AMP1_6[[#This Row],[Dim 1_1]:[T 8]])=TRUE,1,0))</f>
        <v>0</v>
      </c>
      <c r="H24">
        <v>155.99</v>
      </c>
      <c r="I24">
        <v>155.78</v>
      </c>
      <c r="J24">
        <v>168.64699999999999</v>
      </c>
      <c r="K24">
        <v>168.684</v>
      </c>
      <c r="L24">
        <v>156.19</v>
      </c>
      <c r="M24">
        <v>155.84399999999999</v>
      </c>
      <c r="N24">
        <v>27.082000000000001</v>
      </c>
      <c r="O24">
        <v>27.268999999999998</v>
      </c>
      <c r="R24">
        <v>16.812000000000001</v>
      </c>
      <c r="S24">
        <v>16.978000000000002</v>
      </c>
      <c r="T24">
        <v>37.779000000000003</v>
      </c>
      <c r="U24">
        <v>38.668999999999997</v>
      </c>
      <c r="W24">
        <v>-0.16</v>
      </c>
      <c r="X24">
        <v>-0.38200000000000001</v>
      </c>
      <c r="Z24">
        <v>0.17100000000000001</v>
      </c>
      <c r="AA24">
        <v>-2.9000000000000001E-2</v>
      </c>
      <c r="AB24">
        <v>-0.191</v>
      </c>
      <c r="AC24">
        <v>-0.16</v>
      </c>
      <c r="AD24">
        <v>-0.26400000000000001</v>
      </c>
      <c r="AE24">
        <v>-0.38200000000000001</v>
      </c>
      <c r="AF24">
        <v>0.16900000000000001</v>
      </c>
      <c r="AG24">
        <v>0.17100000000000001</v>
      </c>
      <c r="AH24">
        <v>-1.4999999999999999E-2</v>
      </c>
      <c r="AI24">
        <v>-2.9000000000000001E-2</v>
      </c>
    </row>
    <row r="25" spans="1:35" ht="15" customHeight="1" x14ac:dyDescent="0.25">
      <c r="A25" t="s">
        <v>1391</v>
      </c>
      <c r="B25" t="s">
        <v>32</v>
      </c>
      <c r="C25" s="25">
        <v>43701.609618055554</v>
      </c>
      <c r="D25" s="741" t="s">
        <v>969</v>
      </c>
      <c r="E25" s="741">
        <f t="array" ref="E25">SUMPRODUCT(IF(AMP1_6[[#This Row],[Dim 1_1]:[T 8]]-$F$4:$AI$4&lt;0,1,0)+IF($F$5:$AI$5-AMP1_6[[#This Row],[Dim 1_1]:[T 8]]&lt;0,1,0),IF(ISNUMBER(AMP1_6[[#This Row],[Dim 1_1]:[T 8]])=TRUE,1,0))</f>
        <v>0</v>
      </c>
      <c r="F25">
        <v>41.180999999999997</v>
      </c>
      <c r="G25">
        <v>41.207999999999998</v>
      </c>
      <c r="H25">
        <v>155.744</v>
      </c>
      <c r="I25">
        <v>155.767</v>
      </c>
      <c r="L25">
        <v>155.99199999999999</v>
      </c>
      <c r="M25">
        <v>155.81700000000001</v>
      </c>
      <c r="N25">
        <v>27.38</v>
      </c>
      <c r="O25">
        <v>27.512</v>
      </c>
      <c r="R25">
        <v>16.931000000000001</v>
      </c>
      <c r="S25">
        <v>16.914999999999999</v>
      </c>
      <c r="T25">
        <v>34.503</v>
      </c>
      <c r="U25">
        <v>34.97</v>
      </c>
      <c r="W25">
        <v>0.17799999999999999</v>
      </c>
      <c r="X25">
        <v>-0.34</v>
      </c>
      <c r="Z25">
        <v>-5.2999999999999999E-2</v>
      </c>
      <c r="AA25">
        <v>-0.26200000000000001</v>
      </c>
      <c r="AB25">
        <v>-0.314</v>
      </c>
      <c r="AC25">
        <v>-0.34</v>
      </c>
      <c r="AD25">
        <v>0.17799999999999999</v>
      </c>
      <c r="AE25">
        <v>-0.23400000000000001</v>
      </c>
      <c r="AF25">
        <v>-0.26200000000000001</v>
      </c>
      <c r="AG25">
        <v>-0.156</v>
      </c>
      <c r="AH25">
        <v>-0.183</v>
      </c>
      <c r="AI25">
        <v>-5.2999999999999999E-2</v>
      </c>
    </row>
    <row r="26" spans="1:35" hidden="1" x14ac:dyDescent="0.25">
      <c r="A26" t="s">
        <v>1392</v>
      </c>
      <c r="B26" t="s">
        <v>31</v>
      </c>
      <c r="C26" s="25">
        <v>43701.611250000002</v>
      </c>
      <c r="D26" s="741" t="s">
        <v>969</v>
      </c>
      <c r="E26" s="741">
        <f t="array" ref="E26">SUMPRODUCT(IF(AMP1_6[[#This Row],[Dim 1_1]:[T 8]]-$F$4:$AI$4&lt;0,1,0)+IF($F$5:$AI$5-AMP1_6[[#This Row],[Dim 1_1]:[T 8]]&lt;0,1,0),IF(ISNUMBER(AMP1_6[[#This Row],[Dim 1_1]:[T 8]])=TRUE,1,0))</f>
        <v>0</v>
      </c>
      <c r="H26">
        <v>155.988</v>
      </c>
      <c r="I26">
        <v>155.779</v>
      </c>
      <c r="J26">
        <v>168.71</v>
      </c>
      <c r="K26">
        <v>168.69900000000001</v>
      </c>
      <c r="L26">
        <v>156.17699999999999</v>
      </c>
      <c r="M26">
        <v>155.886</v>
      </c>
      <c r="N26">
        <v>27.119</v>
      </c>
      <c r="O26">
        <v>27.24</v>
      </c>
      <c r="R26">
        <v>16.815000000000001</v>
      </c>
      <c r="S26">
        <v>16.968</v>
      </c>
      <c r="T26">
        <v>37.725000000000001</v>
      </c>
      <c r="U26">
        <v>38.262</v>
      </c>
      <c r="W26">
        <v>-0.217</v>
      </c>
      <c r="X26">
        <v>-0.46200000000000002</v>
      </c>
      <c r="Z26">
        <v>0.16700000000000001</v>
      </c>
      <c r="AA26">
        <v>-8.1000000000000003E-2</v>
      </c>
      <c r="AB26">
        <v>-0.22800000000000001</v>
      </c>
      <c r="AC26">
        <v>-0.217</v>
      </c>
      <c r="AD26">
        <v>-0.32700000000000001</v>
      </c>
      <c r="AE26">
        <v>-0.46200000000000002</v>
      </c>
      <c r="AF26">
        <v>0.154</v>
      </c>
      <c r="AG26">
        <v>0.16700000000000001</v>
      </c>
      <c r="AH26">
        <v>-8.1000000000000003E-2</v>
      </c>
      <c r="AI26">
        <v>-4.3999999999999997E-2</v>
      </c>
    </row>
    <row r="27" spans="1:35" ht="15" customHeight="1" x14ac:dyDescent="0.25">
      <c r="A27" t="s">
        <v>1393</v>
      </c>
      <c r="B27" t="s">
        <v>32</v>
      </c>
      <c r="C27" s="25">
        <v>43701.688981481479</v>
      </c>
      <c r="D27" s="741" t="s">
        <v>969</v>
      </c>
      <c r="E27" s="741">
        <f t="array" ref="E27">SUMPRODUCT(IF(AMP1_6[[#This Row],[Dim 1_1]:[T 8]]-$F$4:$AI$4&lt;0,1,0)+IF($F$5:$AI$5-AMP1_6[[#This Row],[Dim 1_1]:[T 8]]&lt;0,1,0),IF(ISNUMBER(AMP1_6[[#This Row],[Dim 1_1]:[T 8]])=TRUE,1,0))</f>
        <v>0</v>
      </c>
      <c r="F27">
        <v>41.154000000000003</v>
      </c>
      <c r="G27">
        <v>41.179000000000002</v>
      </c>
      <c r="H27">
        <v>155.75800000000001</v>
      </c>
      <c r="I27">
        <v>155.75</v>
      </c>
      <c r="L27">
        <v>156.017</v>
      </c>
      <c r="M27">
        <v>155.82900000000001</v>
      </c>
      <c r="N27">
        <v>27.364999999999998</v>
      </c>
      <c r="O27">
        <v>27.486000000000001</v>
      </c>
      <c r="R27">
        <v>16.977</v>
      </c>
      <c r="S27">
        <v>16.940000000000001</v>
      </c>
      <c r="T27">
        <v>34.372</v>
      </c>
      <c r="U27">
        <v>35.052999999999997</v>
      </c>
      <c r="W27">
        <v>0.11700000000000001</v>
      </c>
      <c r="X27">
        <v>-0.33900000000000002</v>
      </c>
      <c r="Z27">
        <v>-1.4999999999999999E-2</v>
      </c>
      <c r="AA27">
        <v>-0.27200000000000002</v>
      </c>
      <c r="AB27">
        <v>-0.309</v>
      </c>
      <c r="AC27">
        <v>-0.33900000000000002</v>
      </c>
      <c r="AD27">
        <v>0.11700000000000001</v>
      </c>
      <c r="AE27">
        <v>-0.157</v>
      </c>
      <c r="AF27">
        <v>-0.27200000000000002</v>
      </c>
      <c r="AG27">
        <v>-0.13500000000000001</v>
      </c>
      <c r="AH27">
        <v>-0.24099999999999999</v>
      </c>
      <c r="AI27">
        <v>-1.4999999999999999E-2</v>
      </c>
    </row>
    <row r="28" spans="1:35" hidden="1" x14ac:dyDescent="0.25">
      <c r="A28" t="s">
        <v>1394</v>
      </c>
      <c r="B28" t="s">
        <v>31</v>
      </c>
      <c r="C28" s="25">
        <v>43701.690567129626</v>
      </c>
      <c r="D28" s="741" t="s">
        <v>969</v>
      </c>
      <c r="E28" s="741">
        <f t="array" ref="E28">SUMPRODUCT(IF(AMP1_6[[#This Row],[Dim 1_1]:[T 8]]-$F$4:$AI$4&lt;0,1,0)+IF($F$5:$AI$5-AMP1_6[[#This Row],[Dim 1_1]:[T 8]]&lt;0,1,0),IF(ISNUMBER(AMP1_6[[#This Row],[Dim 1_1]:[T 8]])=TRUE,1,0))</f>
        <v>0</v>
      </c>
      <c r="H28">
        <v>155.98400000000001</v>
      </c>
      <c r="I28">
        <v>155.80799999999999</v>
      </c>
      <c r="J28">
        <v>168.66900000000001</v>
      </c>
      <c r="K28">
        <v>168.69</v>
      </c>
      <c r="L28">
        <v>156.21</v>
      </c>
      <c r="M28">
        <v>155.90199999999999</v>
      </c>
      <c r="N28">
        <v>27.094000000000001</v>
      </c>
      <c r="O28">
        <v>27.254999999999999</v>
      </c>
      <c r="R28">
        <v>16.853000000000002</v>
      </c>
      <c r="S28">
        <v>17.007000000000001</v>
      </c>
      <c r="T28">
        <v>37.569000000000003</v>
      </c>
      <c r="U28">
        <v>37.210999999999999</v>
      </c>
      <c r="W28">
        <v>-0.22900000000000001</v>
      </c>
      <c r="X28">
        <v>-0.44700000000000001</v>
      </c>
      <c r="Z28">
        <v>0.11799999999999999</v>
      </c>
      <c r="AA28">
        <v>-0.112</v>
      </c>
      <c r="AB28">
        <v>-0.26300000000000001</v>
      </c>
      <c r="AC28">
        <v>-0.22900000000000001</v>
      </c>
      <c r="AD28">
        <v>-0.34499999999999997</v>
      </c>
      <c r="AE28">
        <v>-0.44700000000000001</v>
      </c>
      <c r="AF28">
        <v>0.109</v>
      </c>
      <c r="AG28">
        <v>0.11799999999999999</v>
      </c>
      <c r="AH28">
        <v>-8.7999999999999995E-2</v>
      </c>
      <c r="AI28">
        <v>-0.112</v>
      </c>
    </row>
    <row r="29" spans="1:35" ht="15" customHeight="1" x14ac:dyDescent="0.25">
      <c r="A29" t="s">
        <v>1395</v>
      </c>
      <c r="B29" t="s">
        <v>32</v>
      </c>
      <c r="C29" s="25">
        <v>43702.369247685187</v>
      </c>
      <c r="D29" s="741" t="s">
        <v>969</v>
      </c>
      <c r="E29" s="741">
        <f t="array" ref="E29">SUMPRODUCT(IF(AMP1_6[[#This Row],[Dim 1_1]:[T 8]]-$F$4:$AI$4&lt;0,1,0)+IF($F$5:$AI$5-AMP1_6[[#This Row],[Dim 1_1]:[T 8]]&lt;0,1,0),IF(ISNUMBER(AMP1_6[[#This Row],[Dim 1_1]:[T 8]])=TRUE,1,0))</f>
        <v>0</v>
      </c>
      <c r="F29">
        <v>41.026000000000003</v>
      </c>
      <c r="G29">
        <v>41.085000000000001</v>
      </c>
      <c r="H29">
        <v>155.81200000000001</v>
      </c>
      <c r="I29">
        <v>155.86000000000001</v>
      </c>
      <c r="L29">
        <v>156.02699999999999</v>
      </c>
      <c r="M29">
        <v>155.86199999999999</v>
      </c>
      <c r="N29">
        <v>27.274000000000001</v>
      </c>
      <c r="O29">
        <v>27.402000000000001</v>
      </c>
      <c r="R29">
        <v>16.911999999999999</v>
      </c>
      <c r="S29">
        <v>16.905999999999999</v>
      </c>
      <c r="T29">
        <v>34.186999999999998</v>
      </c>
      <c r="U29">
        <v>34.957000000000001</v>
      </c>
      <c r="W29">
        <v>0.13100000000000001</v>
      </c>
      <c r="X29">
        <v>-0.36399999999999999</v>
      </c>
      <c r="Z29">
        <v>9.7000000000000003E-2</v>
      </c>
      <c r="AA29">
        <v>-0.189</v>
      </c>
      <c r="AB29">
        <v>-0.33700000000000002</v>
      </c>
      <c r="AC29">
        <v>-0.36399999999999999</v>
      </c>
      <c r="AD29">
        <v>0.13100000000000001</v>
      </c>
      <c r="AE29">
        <v>-0.13100000000000001</v>
      </c>
      <c r="AF29">
        <v>-0.189</v>
      </c>
      <c r="AG29">
        <v>-8.2000000000000003E-2</v>
      </c>
      <c r="AH29">
        <v>1.9E-2</v>
      </c>
      <c r="AI29">
        <v>9.7000000000000003E-2</v>
      </c>
    </row>
    <row r="30" spans="1:35" hidden="1" x14ac:dyDescent="0.25">
      <c r="A30" t="s">
        <v>1396</v>
      </c>
      <c r="B30" t="s">
        <v>31</v>
      </c>
      <c r="C30" s="25">
        <v>43702.374363425923</v>
      </c>
      <c r="D30" s="741" t="s">
        <v>969</v>
      </c>
      <c r="E30" s="741">
        <f t="array" ref="E30">SUMPRODUCT(IF(AMP1_6[[#This Row],[Dim 1_1]:[T 8]]-$F$4:$AI$4&lt;0,1,0)+IF($F$5:$AI$5-AMP1_6[[#This Row],[Dim 1_1]:[T 8]]&lt;0,1,0),IF(ISNUMBER(AMP1_6[[#This Row],[Dim 1_1]:[T 8]])=TRUE,1,0))</f>
        <v>0</v>
      </c>
      <c r="H30">
        <v>155.98099999999999</v>
      </c>
      <c r="I30">
        <v>155.74199999999999</v>
      </c>
      <c r="J30">
        <v>168.59800000000001</v>
      </c>
      <c r="K30">
        <v>168.56399999999999</v>
      </c>
      <c r="L30">
        <v>156.173</v>
      </c>
      <c r="M30">
        <v>155.81899999999999</v>
      </c>
      <c r="N30">
        <v>27.122</v>
      </c>
      <c r="O30">
        <v>27.276</v>
      </c>
      <c r="R30">
        <v>16.849</v>
      </c>
      <c r="S30">
        <v>17.023</v>
      </c>
      <c r="T30">
        <v>38.340000000000003</v>
      </c>
      <c r="U30">
        <v>38.313000000000002</v>
      </c>
      <c r="W30">
        <v>-0.17799999999999999</v>
      </c>
      <c r="X30">
        <v>-0.47</v>
      </c>
      <c r="Z30">
        <v>8.8999999999999996E-2</v>
      </c>
      <c r="AA30">
        <v>-0.151</v>
      </c>
      <c r="AB30">
        <v>-0.188</v>
      </c>
      <c r="AC30">
        <v>-0.17799999999999999</v>
      </c>
      <c r="AD30">
        <v>-0.311</v>
      </c>
      <c r="AE30">
        <v>-0.47</v>
      </c>
      <c r="AF30">
        <v>7.8E-2</v>
      </c>
      <c r="AG30">
        <v>8.8999999999999996E-2</v>
      </c>
      <c r="AH30">
        <v>-0.114</v>
      </c>
      <c r="AI30">
        <v>-0.151</v>
      </c>
    </row>
    <row r="31" spans="1:35" ht="15" customHeight="1" x14ac:dyDescent="0.25">
      <c r="A31" t="s">
        <v>1397</v>
      </c>
      <c r="B31" t="s">
        <v>32</v>
      </c>
      <c r="C31" s="25">
        <v>43702.500740740739</v>
      </c>
      <c r="D31" s="741" t="s">
        <v>969</v>
      </c>
      <c r="E31" s="741">
        <f t="array" ref="E31">SUMPRODUCT(IF(AMP1_6[[#This Row],[Dim 1_1]:[T 8]]-$F$4:$AI$4&lt;0,1,0)+IF($F$5:$AI$5-AMP1_6[[#This Row],[Dim 1_1]:[T 8]]&lt;0,1,0),IF(ISNUMBER(AMP1_6[[#This Row],[Dim 1_1]:[T 8]])=TRUE,1,0))</f>
        <v>0</v>
      </c>
      <c r="F31">
        <v>41.152999999999999</v>
      </c>
      <c r="G31">
        <v>41.194000000000003</v>
      </c>
      <c r="H31">
        <v>155.80600000000001</v>
      </c>
      <c r="I31">
        <v>155.798</v>
      </c>
      <c r="L31">
        <v>156.047</v>
      </c>
      <c r="M31">
        <v>155.84</v>
      </c>
      <c r="N31">
        <v>27.28</v>
      </c>
      <c r="O31">
        <v>27.408000000000001</v>
      </c>
      <c r="R31">
        <v>16.949000000000002</v>
      </c>
      <c r="S31">
        <v>16.869</v>
      </c>
      <c r="T31">
        <v>34.287999999999997</v>
      </c>
      <c r="U31">
        <v>35.042000000000002</v>
      </c>
      <c r="W31">
        <v>0.18099999999999999</v>
      </c>
      <c r="X31">
        <v>-0.379</v>
      </c>
      <c r="Z31">
        <v>8.8999999999999996E-2</v>
      </c>
      <c r="AA31">
        <v>-0.22700000000000001</v>
      </c>
      <c r="AB31">
        <v>-0.33900000000000002</v>
      </c>
      <c r="AC31">
        <v>-0.379</v>
      </c>
      <c r="AD31">
        <v>0.18099999999999999</v>
      </c>
      <c r="AE31">
        <v>-0.11799999999999999</v>
      </c>
      <c r="AF31">
        <v>-0.22700000000000001</v>
      </c>
      <c r="AG31">
        <v>-0.11899999999999999</v>
      </c>
      <c r="AH31">
        <v>-8.1000000000000003E-2</v>
      </c>
      <c r="AI31">
        <v>8.8999999999999996E-2</v>
      </c>
    </row>
    <row r="32" spans="1:35" hidden="1" x14ac:dyDescent="0.25">
      <c r="A32" t="s">
        <v>1398</v>
      </c>
      <c r="B32" t="s">
        <v>31</v>
      </c>
      <c r="C32" s="25">
        <v>43702.50236111111</v>
      </c>
      <c r="D32" s="741" t="s">
        <v>969</v>
      </c>
      <c r="E32" s="741">
        <f t="array" ref="E32">SUMPRODUCT(IF(AMP1_6[[#This Row],[Dim 1_1]:[T 8]]-$F$4:$AI$4&lt;0,1,0)+IF($F$5:$AI$5-AMP1_6[[#This Row],[Dim 1_1]:[T 8]]&lt;0,1,0),IF(ISNUMBER(AMP1_6[[#This Row],[Dim 1_1]:[T 8]])=TRUE,1,0))</f>
        <v>0</v>
      </c>
      <c r="H32">
        <v>156.017</v>
      </c>
      <c r="I32">
        <v>155.82499999999999</v>
      </c>
      <c r="J32">
        <v>168.678</v>
      </c>
      <c r="K32">
        <v>168.61099999999999</v>
      </c>
      <c r="L32">
        <v>156.18</v>
      </c>
      <c r="M32">
        <v>155.79</v>
      </c>
      <c r="N32">
        <v>27.126999999999999</v>
      </c>
      <c r="O32">
        <v>27.300999999999998</v>
      </c>
      <c r="R32">
        <v>16.855</v>
      </c>
      <c r="S32">
        <v>16.98</v>
      </c>
      <c r="T32">
        <v>38.125999999999998</v>
      </c>
      <c r="U32">
        <v>38.673999999999999</v>
      </c>
      <c r="W32">
        <v>-0.17599999999999999</v>
      </c>
      <c r="X32">
        <v>-0.39200000000000002</v>
      </c>
      <c r="Z32">
        <v>0.14000000000000001</v>
      </c>
      <c r="AA32">
        <v>-0.05</v>
      </c>
      <c r="AB32">
        <v>-0.185</v>
      </c>
      <c r="AC32">
        <v>-0.17599999999999999</v>
      </c>
      <c r="AD32">
        <v>-0.26800000000000002</v>
      </c>
      <c r="AE32">
        <v>-0.39200000000000002</v>
      </c>
      <c r="AF32">
        <v>0.12</v>
      </c>
      <c r="AG32">
        <v>0.14000000000000001</v>
      </c>
      <c r="AH32">
        <v>-0.05</v>
      </c>
      <c r="AI32">
        <v>-2.1000000000000001E-2</v>
      </c>
    </row>
    <row r="33" spans="1:35" ht="15" customHeight="1" x14ac:dyDescent="0.25">
      <c r="A33" t="s">
        <v>1399</v>
      </c>
      <c r="B33" t="s">
        <v>32</v>
      </c>
      <c r="C33" s="25">
        <v>43702.621840277781</v>
      </c>
      <c r="D33" s="741" t="s">
        <v>969</v>
      </c>
      <c r="E33" s="741">
        <f t="array" ref="E33">SUMPRODUCT(IF(AMP1_6[[#This Row],[Dim 1_1]:[T 8]]-$F$4:$AI$4&lt;0,1,0)+IF($F$5:$AI$5-AMP1_6[[#This Row],[Dim 1_1]:[T 8]]&lt;0,1,0),IF(ISNUMBER(AMP1_6[[#This Row],[Dim 1_1]:[T 8]])=TRUE,1,0))</f>
        <v>0</v>
      </c>
      <c r="F33">
        <v>41.173000000000002</v>
      </c>
      <c r="G33">
        <v>40.832000000000001</v>
      </c>
      <c r="H33">
        <v>155.73599999999999</v>
      </c>
      <c r="I33">
        <v>155.72999999999999</v>
      </c>
      <c r="L33">
        <v>155.95699999999999</v>
      </c>
      <c r="M33">
        <v>155.75200000000001</v>
      </c>
      <c r="N33">
        <v>27.388000000000002</v>
      </c>
      <c r="O33">
        <v>27.481999999999999</v>
      </c>
      <c r="R33">
        <v>16.978999999999999</v>
      </c>
      <c r="S33">
        <v>16.957000000000001</v>
      </c>
      <c r="T33">
        <v>34.215000000000003</v>
      </c>
      <c r="U33">
        <v>34.905000000000001</v>
      </c>
      <c r="W33">
        <v>0.10199999999999999</v>
      </c>
      <c r="X33">
        <v>-0.28199999999999997</v>
      </c>
      <c r="Z33">
        <v>-5.8000000000000003E-2</v>
      </c>
      <c r="AA33">
        <v>-0.245</v>
      </c>
      <c r="AB33">
        <v>-0.25800000000000001</v>
      </c>
      <c r="AC33">
        <v>-0.28199999999999997</v>
      </c>
      <c r="AD33">
        <v>0.10199999999999999</v>
      </c>
      <c r="AE33">
        <v>-0.152</v>
      </c>
      <c r="AF33">
        <v>-0.245</v>
      </c>
      <c r="AG33">
        <v>-0.11899999999999999</v>
      </c>
      <c r="AH33">
        <v>-0.23799999999999999</v>
      </c>
      <c r="AI33">
        <v>-5.8000000000000003E-2</v>
      </c>
    </row>
    <row r="34" spans="1:35" hidden="1" x14ac:dyDescent="0.25">
      <c r="A34" t="s">
        <v>1400</v>
      </c>
      <c r="B34" t="s">
        <v>31</v>
      </c>
      <c r="C34" s="25">
        <v>43702.623414351852</v>
      </c>
      <c r="D34" s="741" t="s">
        <v>969</v>
      </c>
      <c r="E34" s="741">
        <f t="array" ref="E34">SUMPRODUCT(IF(AMP1_6[[#This Row],[Dim 1_1]:[T 8]]-$F$4:$AI$4&lt;0,1,0)+IF($F$5:$AI$5-AMP1_6[[#This Row],[Dim 1_1]:[T 8]]&lt;0,1,0),IF(ISNUMBER(AMP1_6[[#This Row],[Dim 1_1]:[T 8]])=TRUE,1,0))</f>
        <v>0</v>
      </c>
      <c r="H34">
        <v>155.928</v>
      </c>
      <c r="I34">
        <v>155.72499999999999</v>
      </c>
      <c r="J34">
        <v>168.69</v>
      </c>
      <c r="K34">
        <v>168.37100000000001</v>
      </c>
      <c r="L34">
        <v>156.149</v>
      </c>
      <c r="M34">
        <v>155.827</v>
      </c>
      <c r="N34">
        <v>27.111999999999998</v>
      </c>
      <c r="O34">
        <v>27.225000000000001</v>
      </c>
      <c r="R34">
        <v>16.84</v>
      </c>
      <c r="S34">
        <v>16.923999999999999</v>
      </c>
      <c r="T34">
        <v>35.713000000000001</v>
      </c>
      <c r="U34">
        <v>37.19</v>
      </c>
      <c r="W34">
        <v>-0.129</v>
      </c>
      <c r="X34">
        <v>-0.39800000000000002</v>
      </c>
      <c r="Z34">
        <v>0.191</v>
      </c>
      <c r="AA34">
        <v>-0.01</v>
      </c>
      <c r="AB34">
        <v>-0.161</v>
      </c>
      <c r="AC34">
        <v>-0.129</v>
      </c>
      <c r="AD34">
        <v>-0.26100000000000001</v>
      </c>
      <c r="AE34">
        <v>-0.39800000000000002</v>
      </c>
      <c r="AF34">
        <v>0.191</v>
      </c>
      <c r="AG34">
        <v>0.188</v>
      </c>
      <c r="AH34">
        <v>-7.0000000000000001E-3</v>
      </c>
      <c r="AI34">
        <v>-0.01</v>
      </c>
    </row>
    <row r="35" spans="1:35" ht="15" customHeight="1" x14ac:dyDescent="0.25">
      <c r="A35" t="s">
        <v>1401</v>
      </c>
      <c r="B35" t="s">
        <v>32</v>
      </c>
      <c r="C35" s="25">
        <v>43702.672581018516</v>
      </c>
      <c r="D35" s="741" t="s">
        <v>969</v>
      </c>
      <c r="E35" s="741">
        <f t="array" ref="E35">SUMPRODUCT(IF(AMP1_6[[#This Row],[Dim 1_1]:[T 8]]-$F$4:$AI$4&lt;0,1,0)+IF($F$5:$AI$5-AMP1_6[[#This Row],[Dim 1_1]:[T 8]]&lt;0,1,0),IF(ISNUMBER(AMP1_6[[#This Row],[Dim 1_1]:[T 8]])=TRUE,1,0))</f>
        <v>0</v>
      </c>
      <c r="F35">
        <v>41.063000000000002</v>
      </c>
      <c r="G35">
        <v>41.134</v>
      </c>
      <c r="H35">
        <v>155.779</v>
      </c>
      <c r="I35">
        <v>155.80000000000001</v>
      </c>
      <c r="L35">
        <v>156.011</v>
      </c>
      <c r="M35">
        <v>155.81299999999999</v>
      </c>
      <c r="N35">
        <v>27.303999999999998</v>
      </c>
      <c r="O35">
        <v>27.449000000000002</v>
      </c>
      <c r="R35">
        <v>16.995000000000001</v>
      </c>
      <c r="S35">
        <v>16.923999999999999</v>
      </c>
      <c r="T35">
        <v>34.457000000000001</v>
      </c>
      <c r="U35">
        <v>34.954000000000001</v>
      </c>
      <c r="W35">
        <v>0.182</v>
      </c>
      <c r="X35">
        <v>-0.32800000000000001</v>
      </c>
      <c r="Z35">
        <v>1.7999999999999999E-2</v>
      </c>
      <c r="AA35">
        <v>-0.24099999999999999</v>
      </c>
      <c r="AB35">
        <v>-0.32800000000000001</v>
      </c>
      <c r="AC35">
        <v>-0.32400000000000001</v>
      </c>
      <c r="AD35">
        <v>0.182</v>
      </c>
      <c r="AE35">
        <v>-0.13100000000000001</v>
      </c>
      <c r="AF35">
        <v>-0.24099999999999999</v>
      </c>
      <c r="AG35">
        <v>-0.106</v>
      </c>
      <c r="AH35">
        <v>-0.16900000000000001</v>
      </c>
      <c r="AI35">
        <v>1.7999999999999999E-2</v>
      </c>
    </row>
    <row r="36" spans="1:35" hidden="1" x14ac:dyDescent="0.25">
      <c r="A36" t="s">
        <v>1402</v>
      </c>
      <c r="B36" t="s">
        <v>31</v>
      </c>
      <c r="C36" s="25">
        <v>43702.674201388887</v>
      </c>
      <c r="D36" s="741" t="s">
        <v>969</v>
      </c>
      <c r="E36" s="741">
        <f t="array" ref="E36">SUMPRODUCT(IF(AMP1_6[[#This Row],[Dim 1_1]:[T 8]]-$F$4:$AI$4&lt;0,1,0)+IF($F$5:$AI$5-AMP1_6[[#This Row],[Dim 1_1]:[T 8]]&lt;0,1,0),IF(ISNUMBER(AMP1_6[[#This Row],[Dim 1_1]:[T 8]])=TRUE,1,0))</f>
        <v>0</v>
      </c>
      <c r="H36">
        <v>155.95599999999999</v>
      </c>
      <c r="I36">
        <v>155.773</v>
      </c>
      <c r="J36">
        <v>168.55</v>
      </c>
      <c r="K36">
        <v>168.458</v>
      </c>
      <c r="L36">
        <v>156.16</v>
      </c>
      <c r="M36">
        <v>155.80500000000001</v>
      </c>
      <c r="N36">
        <v>27.161999999999999</v>
      </c>
      <c r="O36">
        <v>27.266999999999999</v>
      </c>
      <c r="R36">
        <v>16.838999999999999</v>
      </c>
      <c r="S36">
        <v>16.998999999999999</v>
      </c>
      <c r="T36">
        <v>36.552</v>
      </c>
      <c r="U36">
        <v>37.417999999999999</v>
      </c>
      <c r="W36">
        <v>-0.182</v>
      </c>
      <c r="X36">
        <v>-0.51700000000000002</v>
      </c>
      <c r="Z36">
        <v>0.15</v>
      </c>
      <c r="AA36">
        <v>-0.129</v>
      </c>
      <c r="AB36">
        <v>-0.191</v>
      </c>
      <c r="AC36">
        <v>-0.182</v>
      </c>
      <c r="AD36">
        <v>-0.38500000000000001</v>
      </c>
      <c r="AE36">
        <v>-0.51700000000000002</v>
      </c>
      <c r="AF36">
        <v>0.13800000000000001</v>
      </c>
      <c r="AG36">
        <v>0.15</v>
      </c>
      <c r="AH36">
        <v>-0.125</v>
      </c>
      <c r="AI36">
        <v>-0.129</v>
      </c>
    </row>
    <row r="37" spans="1:35" ht="15" customHeight="1" x14ac:dyDescent="0.25">
      <c r="A37" t="s">
        <v>1652</v>
      </c>
      <c r="B37" t="s">
        <v>32</v>
      </c>
      <c r="C37" s="25">
        <v>43703.362685185188</v>
      </c>
      <c r="D37" s="741" t="s">
        <v>969</v>
      </c>
      <c r="E37" s="741">
        <f t="array" ref="E37">SUMPRODUCT(IF(AMP1_6[[#This Row],[Dim 1_1]:[T 8]]-$F$4:$AI$4&lt;0,1,0)+IF($F$5:$AI$5-AMP1_6[[#This Row],[Dim 1_1]:[T 8]]&lt;0,1,0),IF(ISNUMBER(AMP1_6[[#This Row],[Dim 1_1]:[T 8]])=TRUE,1,0))</f>
        <v>0</v>
      </c>
      <c r="F37">
        <v>41.127000000000002</v>
      </c>
      <c r="G37">
        <v>41.348999999999997</v>
      </c>
      <c r="H37">
        <v>155.84399999999999</v>
      </c>
      <c r="I37">
        <v>155.83699999999999</v>
      </c>
      <c r="L37">
        <v>156.05099999999999</v>
      </c>
      <c r="M37">
        <v>155.828</v>
      </c>
      <c r="N37">
        <v>27.303000000000001</v>
      </c>
      <c r="O37">
        <v>27.436</v>
      </c>
      <c r="R37">
        <v>16.905999999999999</v>
      </c>
      <c r="S37">
        <v>16.89</v>
      </c>
      <c r="T37">
        <v>34.439</v>
      </c>
      <c r="U37">
        <v>35.006</v>
      </c>
      <c r="W37">
        <v>0.16800000000000001</v>
      </c>
      <c r="X37">
        <v>-0.34499999999999997</v>
      </c>
      <c r="Z37">
        <v>2.8000000000000001E-2</v>
      </c>
      <c r="AA37">
        <v>-0.21199999999999999</v>
      </c>
      <c r="AB37">
        <v>-0.29599999999999999</v>
      </c>
      <c r="AC37">
        <v>-0.34499999999999997</v>
      </c>
      <c r="AD37">
        <v>0.16800000000000001</v>
      </c>
      <c r="AE37">
        <v>-0.126</v>
      </c>
      <c r="AF37">
        <v>-0.21199999999999999</v>
      </c>
      <c r="AG37">
        <v>-0.11</v>
      </c>
      <c r="AH37">
        <v>-0.109</v>
      </c>
      <c r="AI37">
        <v>2.8000000000000001E-2</v>
      </c>
    </row>
    <row r="38" spans="1:35" hidden="1" x14ac:dyDescent="0.25">
      <c r="A38" t="s">
        <v>1653</v>
      </c>
      <c r="B38" t="s">
        <v>31</v>
      </c>
      <c r="C38" s="25">
        <v>43703.364745370367</v>
      </c>
      <c r="D38" s="741" t="s">
        <v>969</v>
      </c>
      <c r="E38" s="741">
        <f t="array" ref="E38">SUMPRODUCT(IF(AMP1_6[[#This Row],[Dim 1_1]:[T 8]]-$F$4:$AI$4&lt;0,1,0)+IF($F$5:$AI$5-AMP1_6[[#This Row],[Dim 1_1]:[T 8]]&lt;0,1,0),IF(ISNUMBER(AMP1_6[[#This Row],[Dim 1_1]:[T 8]])=TRUE,1,0))</f>
        <v>0</v>
      </c>
      <c r="H38">
        <v>155.99199999999999</v>
      </c>
      <c r="I38">
        <v>155.82599999999999</v>
      </c>
      <c r="J38">
        <v>168.66900000000001</v>
      </c>
      <c r="K38">
        <v>168.43</v>
      </c>
      <c r="L38">
        <v>156.227</v>
      </c>
      <c r="M38">
        <v>155.90600000000001</v>
      </c>
      <c r="N38">
        <v>27.032</v>
      </c>
      <c r="O38">
        <v>27.206</v>
      </c>
      <c r="R38">
        <v>16.863</v>
      </c>
      <c r="S38">
        <v>16.884</v>
      </c>
      <c r="T38">
        <v>36.744999999999997</v>
      </c>
      <c r="U38">
        <v>37.337000000000003</v>
      </c>
      <c r="W38">
        <v>-0.26500000000000001</v>
      </c>
      <c r="X38">
        <v>-0.42399999999999999</v>
      </c>
      <c r="Z38">
        <v>0.17599999999999999</v>
      </c>
      <c r="AA38">
        <v>-1.4999999999999999E-2</v>
      </c>
      <c r="AB38">
        <v>-0.26800000000000002</v>
      </c>
      <c r="AC38">
        <v>-0.26500000000000001</v>
      </c>
      <c r="AD38">
        <v>-0.34200000000000003</v>
      </c>
      <c r="AE38">
        <v>-0.42399999999999999</v>
      </c>
      <c r="AF38">
        <v>0.159</v>
      </c>
      <c r="AG38">
        <v>0.17599999999999999</v>
      </c>
      <c r="AH38">
        <v>-1.4999999999999999E-2</v>
      </c>
      <c r="AI38">
        <v>2E-3</v>
      </c>
    </row>
    <row r="39" spans="1:35" ht="15" customHeight="1" x14ac:dyDescent="0.25">
      <c r="A39" t="s">
        <v>1654</v>
      </c>
      <c r="B39" t="s">
        <v>32</v>
      </c>
      <c r="C39" s="25">
        <v>43703.503854166665</v>
      </c>
      <c r="D39" s="25" t="s">
        <v>969</v>
      </c>
      <c r="E39" s="424">
        <f t="array" ref="E39">SUMPRODUCT(IF(AMP1_6[[#This Row],[Dim 1_1]:[T 8]]-$F$4:$AI$4&lt;0,1,0)+IF($F$5:$AI$5-AMP1_6[[#This Row],[Dim 1_1]:[T 8]]&lt;0,1,0),IF(ISNUMBER(AMP1_6[[#This Row],[Dim 1_1]:[T 8]])=TRUE,1,0))</f>
        <v>0</v>
      </c>
      <c r="F39">
        <v>41.128</v>
      </c>
      <c r="G39">
        <v>41.156999999999996</v>
      </c>
      <c r="H39">
        <v>155.80199999999999</v>
      </c>
      <c r="I39">
        <v>155.821</v>
      </c>
      <c r="L39">
        <v>156.06399999999999</v>
      </c>
      <c r="M39">
        <v>155.87799999999999</v>
      </c>
      <c r="N39">
        <v>27.297000000000001</v>
      </c>
      <c r="O39">
        <v>27.42</v>
      </c>
      <c r="R39">
        <v>16.986000000000001</v>
      </c>
      <c r="S39">
        <v>16.904</v>
      </c>
      <c r="T39">
        <v>34.381999999999998</v>
      </c>
      <c r="U39">
        <v>35.018999999999998</v>
      </c>
      <c r="W39">
        <v>0.17</v>
      </c>
      <c r="X39">
        <v>-0.38100000000000001</v>
      </c>
      <c r="Z39">
        <v>2.3E-2</v>
      </c>
      <c r="AA39">
        <v>-0.316</v>
      </c>
      <c r="AB39">
        <v>-0.33200000000000002</v>
      </c>
      <c r="AC39">
        <v>-0.38100000000000001</v>
      </c>
      <c r="AD39">
        <v>0.17</v>
      </c>
      <c r="AE39">
        <v>-0.124</v>
      </c>
      <c r="AF39">
        <v>-0.316</v>
      </c>
      <c r="AG39">
        <v>-0.18</v>
      </c>
      <c r="AH39">
        <v>-0.16200000000000001</v>
      </c>
      <c r="AI39">
        <v>2.3E-2</v>
      </c>
    </row>
    <row r="40" spans="1:35" hidden="1" x14ac:dyDescent="0.25">
      <c r="A40" t="s">
        <v>1655</v>
      </c>
      <c r="B40" t="s">
        <v>31</v>
      </c>
      <c r="C40" s="25">
        <v>43703.505486111113</v>
      </c>
      <c r="D40" s="25" t="s">
        <v>969</v>
      </c>
      <c r="E40" s="424">
        <f t="array" ref="E40">SUMPRODUCT(IF(AMP1_6[[#This Row],[Dim 1_1]:[T 8]]-$F$4:$AI$4&lt;0,1,0)+IF($F$5:$AI$5-AMP1_6[[#This Row],[Dim 1_1]:[T 8]]&lt;0,1,0),IF(ISNUMBER(AMP1_6[[#This Row],[Dim 1_1]:[T 8]])=TRUE,1,0))</f>
        <v>0</v>
      </c>
      <c r="H40">
        <v>156.00800000000001</v>
      </c>
      <c r="I40">
        <v>155.77699999999999</v>
      </c>
      <c r="J40">
        <v>168.68700000000001</v>
      </c>
      <c r="K40">
        <v>168.517</v>
      </c>
      <c r="L40">
        <v>156.20099999999999</v>
      </c>
      <c r="M40">
        <v>155.80600000000001</v>
      </c>
      <c r="N40">
        <v>27.100999999999999</v>
      </c>
      <c r="O40">
        <v>27.308</v>
      </c>
      <c r="R40">
        <v>16.814</v>
      </c>
      <c r="S40">
        <v>16.893999999999998</v>
      </c>
      <c r="T40">
        <v>37.655000000000001</v>
      </c>
      <c r="U40">
        <v>38.066000000000003</v>
      </c>
      <c r="W40">
        <v>-0.23499999999999999</v>
      </c>
      <c r="X40">
        <v>-0.436</v>
      </c>
      <c r="Z40">
        <v>0.13100000000000001</v>
      </c>
      <c r="AA40">
        <v>-5.3999999999999999E-2</v>
      </c>
      <c r="AB40">
        <v>-0.24099999999999999</v>
      </c>
      <c r="AC40">
        <v>-0.23499999999999999</v>
      </c>
      <c r="AD40">
        <v>-0.32400000000000001</v>
      </c>
      <c r="AE40">
        <v>-0.436</v>
      </c>
      <c r="AF40">
        <v>0.12</v>
      </c>
      <c r="AG40">
        <v>0.13100000000000001</v>
      </c>
      <c r="AH40">
        <v>-5.3999999999999999E-2</v>
      </c>
      <c r="AI40">
        <v>-1.4999999999999999E-2</v>
      </c>
    </row>
    <row r="41" spans="1:35" ht="15" customHeight="1" x14ac:dyDescent="0.25">
      <c r="A41" t="s">
        <v>1656</v>
      </c>
      <c r="B41" t="s">
        <v>32</v>
      </c>
      <c r="C41" s="25">
        <v>43703.60261574074</v>
      </c>
      <c r="D41" s="25" t="s">
        <v>969</v>
      </c>
      <c r="E41" s="424">
        <f t="array" ref="E41">SUMPRODUCT(IF(AMP1_6[[#This Row],[Dim 1_1]:[T 8]]-$F$4:$AI$4&lt;0,1,0)+IF($F$5:$AI$5-AMP1_6[[#This Row],[Dim 1_1]:[T 8]]&lt;0,1,0),IF(ISNUMBER(AMP1_6[[#This Row],[Dim 1_1]:[T 8]])=TRUE,1,0))</f>
        <v>0</v>
      </c>
      <c r="F41">
        <v>41.212000000000003</v>
      </c>
      <c r="G41">
        <v>41.561</v>
      </c>
      <c r="H41">
        <v>155.81200000000001</v>
      </c>
      <c r="I41">
        <v>155.828</v>
      </c>
      <c r="L41">
        <v>156.02000000000001</v>
      </c>
      <c r="M41">
        <v>155.83099999999999</v>
      </c>
      <c r="N41">
        <v>27.338000000000001</v>
      </c>
      <c r="O41">
        <v>27.417000000000002</v>
      </c>
      <c r="R41">
        <v>17.006</v>
      </c>
      <c r="S41">
        <v>16.989000000000001</v>
      </c>
      <c r="T41">
        <v>34.292000000000002</v>
      </c>
      <c r="U41">
        <v>35.020000000000003</v>
      </c>
      <c r="W41">
        <v>6.5000000000000002E-2</v>
      </c>
      <c r="X41">
        <v>-0.40600000000000003</v>
      </c>
      <c r="Z41">
        <v>-0.08</v>
      </c>
      <c r="AA41">
        <v>-0.32900000000000001</v>
      </c>
      <c r="AB41">
        <v>-0.36799999999999999</v>
      </c>
      <c r="AC41">
        <v>-0.40600000000000003</v>
      </c>
      <c r="AD41">
        <v>6.5000000000000002E-2</v>
      </c>
      <c r="AE41">
        <v>-0.22700000000000001</v>
      </c>
      <c r="AF41">
        <v>-0.32900000000000001</v>
      </c>
      <c r="AG41">
        <v>-0.223</v>
      </c>
      <c r="AH41">
        <v>-0.23699999999999999</v>
      </c>
      <c r="AI41">
        <v>-0.08</v>
      </c>
    </row>
    <row r="42" spans="1:35" hidden="1" x14ac:dyDescent="0.25">
      <c r="A42" t="s">
        <v>1657</v>
      </c>
      <c r="B42" t="s">
        <v>31</v>
      </c>
      <c r="C42" s="25">
        <v>43703.60428240741</v>
      </c>
      <c r="D42" s="25" t="s">
        <v>969</v>
      </c>
      <c r="E42" s="424">
        <f t="array" ref="E42">SUMPRODUCT(IF(AMP1_6[[#This Row],[Dim 1_1]:[T 8]]-$F$4:$AI$4&lt;0,1,0)+IF($F$5:$AI$5-AMP1_6[[#This Row],[Dim 1_1]:[T 8]]&lt;0,1,0),IF(ISNUMBER(AMP1_6[[#This Row],[Dim 1_1]:[T 8]])=TRUE,1,0))</f>
        <v>0</v>
      </c>
      <c r="H42">
        <v>155.977</v>
      </c>
      <c r="I42">
        <v>155.78299999999999</v>
      </c>
      <c r="J42">
        <v>168.733</v>
      </c>
      <c r="K42">
        <v>168.596</v>
      </c>
      <c r="L42">
        <v>156.179</v>
      </c>
      <c r="M42">
        <v>155.78899999999999</v>
      </c>
      <c r="N42">
        <v>27.085000000000001</v>
      </c>
      <c r="O42">
        <v>27.245000000000001</v>
      </c>
      <c r="R42">
        <v>16.84</v>
      </c>
      <c r="S42">
        <v>16.855</v>
      </c>
      <c r="T42">
        <v>37.344999999999999</v>
      </c>
      <c r="U42">
        <v>37.747</v>
      </c>
      <c r="W42">
        <v>-0.224</v>
      </c>
      <c r="X42">
        <v>-0.438</v>
      </c>
      <c r="Z42">
        <v>0.17499999999999999</v>
      </c>
      <c r="AA42">
        <v>6.0000000000000001E-3</v>
      </c>
      <c r="AB42">
        <v>-0.23200000000000001</v>
      </c>
      <c r="AC42">
        <v>-0.224</v>
      </c>
      <c r="AD42">
        <v>-0.28100000000000003</v>
      </c>
      <c r="AE42">
        <v>-0.438</v>
      </c>
      <c r="AF42">
        <v>0.17199999999999999</v>
      </c>
      <c r="AG42">
        <v>0.17499999999999999</v>
      </c>
      <c r="AH42">
        <v>6.0000000000000001E-3</v>
      </c>
      <c r="AI42">
        <v>2.1000000000000001E-2</v>
      </c>
    </row>
    <row r="43" spans="1:35" ht="15" customHeight="1" x14ac:dyDescent="0.25">
      <c r="A43" t="s">
        <v>1658</v>
      </c>
      <c r="B43" t="s">
        <v>32</v>
      </c>
      <c r="C43" s="25">
        <v>43703.71665509259</v>
      </c>
      <c r="D43" s="25" t="s">
        <v>969</v>
      </c>
      <c r="E43" s="424">
        <f t="array" ref="E43">SUMPRODUCT(IF(AMP1_6[[#This Row],[Dim 1_1]:[T 8]]-$F$4:$AI$4&lt;0,1,0)+IF($F$5:$AI$5-AMP1_6[[#This Row],[Dim 1_1]:[T 8]]&lt;0,1,0),IF(ISNUMBER(AMP1_6[[#This Row],[Dim 1_1]:[T 8]])=TRUE,1,0))</f>
        <v>0</v>
      </c>
      <c r="F43">
        <v>41.136000000000003</v>
      </c>
      <c r="G43">
        <v>41.115000000000002</v>
      </c>
      <c r="H43">
        <v>155.78700000000001</v>
      </c>
      <c r="I43">
        <v>155.81100000000001</v>
      </c>
      <c r="L43">
        <v>156.03700000000001</v>
      </c>
      <c r="M43">
        <v>155.86099999999999</v>
      </c>
      <c r="N43">
        <v>27.282</v>
      </c>
      <c r="O43">
        <v>27.387</v>
      </c>
      <c r="R43">
        <v>16.968</v>
      </c>
      <c r="S43">
        <v>16.937000000000001</v>
      </c>
      <c r="T43">
        <v>34.241999999999997</v>
      </c>
      <c r="U43">
        <v>35.08</v>
      </c>
      <c r="W43">
        <v>0.11600000000000001</v>
      </c>
      <c r="X43">
        <v>-0.40100000000000002</v>
      </c>
      <c r="Z43">
        <v>2.9000000000000001E-2</v>
      </c>
      <c r="AA43">
        <v>-0.27200000000000002</v>
      </c>
      <c r="AB43">
        <v>-0.378</v>
      </c>
      <c r="AC43">
        <v>-0.40100000000000002</v>
      </c>
      <c r="AD43">
        <v>0.11600000000000001</v>
      </c>
      <c r="AE43">
        <v>-0.157</v>
      </c>
      <c r="AF43">
        <v>-0.27200000000000002</v>
      </c>
      <c r="AG43">
        <v>-0.14099999999999999</v>
      </c>
      <c r="AH43">
        <v>-0.17</v>
      </c>
      <c r="AI43">
        <v>2.9000000000000001E-2</v>
      </c>
    </row>
    <row r="44" spans="1:35" hidden="1" x14ac:dyDescent="0.25">
      <c r="A44" t="s">
        <v>1659</v>
      </c>
      <c r="B44" t="s">
        <v>31</v>
      </c>
      <c r="C44" s="25">
        <v>43703.718252314815</v>
      </c>
      <c r="D44" s="25" t="s">
        <v>969</v>
      </c>
      <c r="E44" s="424">
        <f t="array" ref="E44">SUMPRODUCT(IF(AMP1_6[[#This Row],[Dim 1_1]:[T 8]]-$F$4:$AI$4&lt;0,1,0)+IF($F$5:$AI$5-AMP1_6[[#This Row],[Dim 1_1]:[T 8]]&lt;0,1,0),IF(ISNUMBER(AMP1_6[[#This Row],[Dim 1_1]:[T 8]])=TRUE,1,0))</f>
        <v>0</v>
      </c>
      <c r="H44">
        <v>156.04900000000001</v>
      </c>
      <c r="I44">
        <v>155.846</v>
      </c>
      <c r="J44">
        <v>168.68700000000001</v>
      </c>
      <c r="K44">
        <v>168.56899999999999</v>
      </c>
      <c r="L44">
        <v>156.24799999999999</v>
      </c>
      <c r="M44">
        <v>155.80799999999999</v>
      </c>
      <c r="N44">
        <v>27.071000000000002</v>
      </c>
      <c r="O44">
        <v>27.324999999999999</v>
      </c>
      <c r="R44">
        <v>16.858000000000001</v>
      </c>
      <c r="S44">
        <v>16.960999999999999</v>
      </c>
      <c r="T44">
        <v>36.341000000000001</v>
      </c>
      <c r="U44">
        <v>35.878</v>
      </c>
      <c r="W44">
        <v>-0.221</v>
      </c>
      <c r="X44">
        <v>-0.47799999999999998</v>
      </c>
      <c r="Z44">
        <v>7.8E-2</v>
      </c>
      <c r="AA44">
        <v>-8.6999999999999994E-2</v>
      </c>
      <c r="AB44">
        <v>-0.223</v>
      </c>
      <c r="AC44">
        <v>-0.221</v>
      </c>
      <c r="AD44">
        <v>-0.34599999999999997</v>
      </c>
      <c r="AE44">
        <v>-0.47799999999999998</v>
      </c>
      <c r="AF44">
        <v>7.8E-2</v>
      </c>
      <c r="AG44">
        <v>6.4000000000000001E-2</v>
      </c>
      <c r="AH44">
        <v>-8.5000000000000006E-2</v>
      </c>
      <c r="AI44">
        <v>-8.6999999999999994E-2</v>
      </c>
    </row>
    <row r="45" spans="1:35" ht="15" customHeight="1" x14ac:dyDescent="0.25">
      <c r="A45" t="s">
        <v>1660</v>
      </c>
      <c r="B45" t="s">
        <v>32</v>
      </c>
      <c r="C45" s="25">
        <v>43703.833032407405</v>
      </c>
      <c r="D45" s="25" t="s">
        <v>969</v>
      </c>
      <c r="E45" s="424">
        <f t="array" ref="E45">SUMPRODUCT(IF(AMP1_6[[#This Row],[Dim 1_1]:[T 8]]-$F$4:$AI$4&lt;0,1,0)+IF($F$5:$AI$5-AMP1_6[[#This Row],[Dim 1_1]:[T 8]]&lt;0,1,0),IF(ISNUMBER(AMP1_6[[#This Row],[Dim 1_1]:[T 8]])=TRUE,1,0))</f>
        <v>0</v>
      </c>
      <c r="F45">
        <v>41.319000000000003</v>
      </c>
      <c r="G45">
        <v>41.369</v>
      </c>
      <c r="H45">
        <v>155.78700000000001</v>
      </c>
      <c r="I45">
        <v>155.79599999999999</v>
      </c>
      <c r="L45">
        <v>156.024</v>
      </c>
      <c r="M45">
        <v>155.86199999999999</v>
      </c>
      <c r="N45">
        <v>27.321999999999999</v>
      </c>
      <c r="O45">
        <v>27.382999999999999</v>
      </c>
      <c r="R45">
        <v>16.937999999999999</v>
      </c>
      <c r="S45">
        <v>16.885999999999999</v>
      </c>
      <c r="T45">
        <v>34.146999999999998</v>
      </c>
      <c r="U45">
        <v>35.08</v>
      </c>
      <c r="W45">
        <v>0.13</v>
      </c>
      <c r="X45">
        <v>-0.434</v>
      </c>
      <c r="Z45">
        <v>0.03</v>
      </c>
      <c r="AA45">
        <v>-0.33200000000000002</v>
      </c>
      <c r="AB45">
        <v>-0.38900000000000001</v>
      </c>
      <c r="AC45">
        <v>-0.434</v>
      </c>
      <c r="AD45">
        <v>0.13</v>
      </c>
      <c r="AE45">
        <v>-0.161</v>
      </c>
      <c r="AF45">
        <v>-0.33200000000000002</v>
      </c>
      <c r="AG45">
        <v>-0.20100000000000001</v>
      </c>
      <c r="AH45">
        <v>-0.14899999999999999</v>
      </c>
      <c r="AI45">
        <v>0.03</v>
      </c>
    </row>
    <row r="46" spans="1:35" hidden="1" x14ac:dyDescent="0.25">
      <c r="A46" t="s">
        <v>1661</v>
      </c>
      <c r="B46" t="s">
        <v>31</v>
      </c>
      <c r="C46" s="25">
        <v>43703.83452546296</v>
      </c>
      <c r="D46" s="25" t="s">
        <v>969</v>
      </c>
      <c r="E46" s="424">
        <f t="array" ref="E46">SUMPRODUCT(IF(AMP1_6[[#This Row],[Dim 1_1]:[T 8]]-$F$4:$AI$4&lt;0,1,0)+IF($F$5:$AI$5-AMP1_6[[#This Row],[Dim 1_1]:[T 8]]&lt;0,1,0),IF(ISNUMBER(AMP1_6[[#This Row],[Dim 1_1]:[T 8]])=TRUE,1,0))</f>
        <v>0</v>
      </c>
      <c r="H46">
        <v>156.00399999999999</v>
      </c>
      <c r="I46">
        <v>155.82300000000001</v>
      </c>
      <c r="J46">
        <v>168.83500000000001</v>
      </c>
      <c r="K46">
        <v>168.59399999999999</v>
      </c>
      <c r="L46">
        <v>156.244</v>
      </c>
      <c r="M46">
        <v>155.91200000000001</v>
      </c>
      <c r="N46">
        <v>27.076000000000001</v>
      </c>
      <c r="O46">
        <v>27.207000000000001</v>
      </c>
      <c r="R46">
        <v>16.888000000000002</v>
      </c>
      <c r="S46">
        <v>16.948</v>
      </c>
      <c r="T46">
        <v>37.841000000000001</v>
      </c>
      <c r="U46">
        <v>37.664000000000001</v>
      </c>
      <c r="W46">
        <v>-0.29299999999999998</v>
      </c>
      <c r="X46">
        <v>-0.48599999999999999</v>
      </c>
      <c r="Z46">
        <v>5.2999999999999999E-2</v>
      </c>
      <c r="AA46">
        <v>-0.13300000000000001</v>
      </c>
      <c r="AB46">
        <v>-0.32</v>
      </c>
      <c r="AC46">
        <v>-0.29299999999999998</v>
      </c>
      <c r="AD46">
        <v>-0.33200000000000002</v>
      </c>
      <c r="AE46">
        <v>-0.48599999999999999</v>
      </c>
      <c r="AF46">
        <v>1.4E-2</v>
      </c>
      <c r="AG46">
        <v>5.2999999999999999E-2</v>
      </c>
      <c r="AH46">
        <v>-0.13300000000000001</v>
      </c>
      <c r="AI46">
        <v>-0.124</v>
      </c>
    </row>
    <row r="47" spans="1:35" ht="15" customHeight="1" x14ac:dyDescent="0.25">
      <c r="A47" t="s">
        <v>1662</v>
      </c>
      <c r="B47" t="s">
        <v>32</v>
      </c>
      <c r="C47" s="25">
        <v>43703.974641203706</v>
      </c>
      <c r="D47" s="25" t="s">
        <v>969</v>
      </c>
      <c r="E47" s="424">
        <f t="array" ref="E47">SUMPRODUCT(IF(AMP1_6[[#This Row],[Dim 1_1]:[T 8]]-$F$4:$AI$4&lt;0,1,0)+IF($F$5:$AI$5-AMP1_6[[#This Row],[Dim 1_1]:[T 8]]&lt;0,1,0),IF(ISNUMBER(AMP1_6[[#This Row],[Dim 1_1]:[T 8]])=TRUE,1,0))</f>
        <v>0</v>
      </c>
      <c r="F47">
        <v>41.027999999999999</v>
      </c>
      <c r="G47">
        <v>40.912999999999997</v>
      </c>
      <c r="H47">
        <v>155.80000000000001</v>
      </c>
      <c r="I47">
        <v>155.87100000000001</v>
      </c>
      <c r="L47">
        <v>156.07499999999999</v>
      </c>
      <c r="M47">
        <v>155.97499999999999</v>
      </c>
      <c r="N47">
        <v>27.259</v>
      </c>
      <c r="O47">
        <v>27.27</v>
      </c>
      <c r="R47">
        <v>16.954000000000001</v>
      </c>
      <c r="S47">
        <v>16.943000000000001</v>
      </c>
      <c r="T47">
        <v>34.343000000000004</v>
      </c>
      <c r="U47">
        <v>34.774999999999999</v>
      </c>
      <c r="W47">
        <v>7.0000000000000001E-3</v>
      </c>
      <c r="X47">
        <v>-0.45100000000000001</v>
      </c>
      <c r="Z47">
        <v>-6.8000000000000005E-2</v>
      </c>
      <c r="AA47">
        <v>-0.33800000000000002</v>
      </c>
      <c r="AB47">
        <v>-0.44</v>
      </c>
      <c r="AC47">
        <v>-0.45100000000000001</v>
      </c>
      <c r="AD47">
        <v>7.0000000000000001E-3</v>
      </c>
      <c r="AE47">
        <v>-0.32300000000000001</v>
      </c>
      <c r="AF47">
        <v>-0.33800000000000002</v>
      </c>
      <c r="AG47">
        <v>-0.17299999999999999</v>
      </c>
      <c r="AH47">
        <v>-0.309</v>
      </c>
      <c r="AI47">
        <v>-6.8000000000000005E-2</v>
      </c>
    </row>
    <row r="48" spans="1:35" hidden="1" x14ac:dyDescent="0.25">
      <c r="A48" t="s">
        <v>1663</v>
      </c>
      <c r="B48" t="s">
        <v>31</v>
      </c>
      <c r="C48" s="25">
        <v>43703.976157407407</v>
      </c>
      <c r="D48" s="25" t="s">
        <v>969</v>
      </c>
      <c r="E48" s="424">
        <f t="array" ref="E48">SUMPRODUCT(IF(AMP1_6[[#This Row],[Dim 1_1]:[T 8]]-$F$4:$AI$4&lt;0,1,0)+IF($F$5:$AI$5-AMP1_6[[#This Row],[Dim 1_1]:[T 8]]&lt;0,1,0),IF(ISNUMBER(AMP1_6[[#This Row],[Dim 1_1]:[T 8]])=TRUE,1,0))</f>
        <v>0</v>
      </c>
      <c r="H48">
        <v>156.036</v>
      </c>
      <c r="I48">
        <v>155.80500000000001</v>
      </c>
      <c r="J48">
        <v>168.554</v>
      </c>
      <c r="K48">
        <v>168.375</v>
      </c>
      <c r="L48">
        <v>156.22800000000001</v>
      </c>
      <c r="M48">
        <v>155.80099999999999</v>
      </c>
      <c r="N48">
        <v>27.128</v>
      </c>
      <c r="O48">
        <v>27.341999999999999</v>
      </c>
      <c r="R48">
        <v>16.849</v>
      </c>
      <c r="S48">
        <v>16.856000000000002</v>
      </c>
      <c r="T48">
        <v>36.792999999999999</v>
      </c>
      <c r="U48">
        <v>38.417999999999999</v>
      </c>
      <c r="W48">
        <v>-0.27300000000000002</v>
      </c>
      <c r="X48">
        <v>-0.40100000000000002</v>
      </c>
      <c r="Z48">
        <v>6.2E-2</v>
      </c>
      <c r="AA48">
        <v>-2.9000000000000001E-2</v>
      </c>
      <c r="AB48">
        <v>-0.28899999999999998</v>
      </c>
      <c r="AC48">
        <v>-0.27800000000000002</v>
      </c>
      <c r="AD48">
        <v>-0.27300000000000002</v>
      </c>
      <c r="AE48">
        <v>-0.40100000000000002</v>
      </c>
      <c r="AF48">
        <v>6.2E-2</v>
      </c>
      <c r="AG48">
        <v>5.7000000000000002E-2</v>
      </c>
      <c r="AH48">
        <v>-2.8000000000000001E-2</v>
      </c>
      <c r="AI48">
        <v>-2.9000000000000001E-2</v>
      </c>
    </row>
    <row r="49" spans="1:35" ht="15" customHeight="1" x14ac:dyDescent="0.25">
      <c r="A49" t="s">
        <v>1664</v>
      </c>
      <c r="B49" t="s">
        <v>32</v>
      </c>
      <c r="C49" s="25">
        <v>43704.047662037039</v>
      </c>
      <c r="D49" s="25" t="s">
        <v>969</v>
      </c>
      <c r="E49" s="424">
        <f t="array" ref="E49">SUMPRODUCT(IF(AMP1_6[[#This Row],[Dim 1_1]:[T 8]]-$F$4:$AI$4&lt;0,1,0)+IF($F$5:$AI$5-AMP1_6[[#This Row],[Dim 1_1]:[T 8]]&lt;0,1,0),IF(ISNUMBER(AMP1_6[[#This Row],[Dim 1_1]:[T 8]])=TRUE,1,0))</f>
        <v>0</v>
      </c>
      <c r="F49">
        <v>41.018000000000001</v>
      </c>
      <c r="G49">
        <v>40.959000000000003</v>
      </c>
      <c r="H49">
        <v>155.86199999999999</v>
      </c>
      <c r="I49">
        <v>155.86000000000001</v>
      </c>
      <c r="L49">
        <v>156.08199999999999</v>
      </c>
      <c r="M49">
        <v>155.922</v>
      </c>
      <c r="N49">
        <v>27.225000000000001</v>
      </c>
      <c r="O49">
        <v>27.349</v>
      </c>
      <c r="R49">
        <v>16.934000000000001</v>
      </c>
      <c r="S49">
        <v>16.888999999999999</v>
      </c>
      <c r="T49">
        <v>34.225999999999999</v>
      </c>
      <c r="U49">
        <v>35.226999999999997</v>
      </c>
      <c r="W49">
        <v>0.129</v>
      </c>
      <c r="X49">
        <v>-0.36099999999999999</v>
      </c>
      <c r="Z49">
        <v>-1E-3</v>
      </c>
      <c r="AA49">
        <v>-0.25900000000000001</v>
      </c>
      <c r="AB49">
        <v>-0.32200000000000001</v>
      </c>
      <c r="AC49">
        <v>-0.36099999999999999</v>
      </c>
      <c r="AD49">
        <v>0.129</v>
      </c>
      <c r="AE49">
        <v>-0.17599999999999999</v>
      </c>
      <c r="AF49">
        <v>-0.25900000000000001</v>
      </c>
      <c r="AG49">
        <v>-0.14399999999999999</v>
      </c>
      <c r="AH49">
        <v>-0.13900000000000001</v>
      </c>
      <c r="AI49">
        <v>-1E-3</v>
      </c>
    </row>
    <row r="50" spans="1:35" hidden="1" x14ac:dyDescent="0.25">
      <c r="A50" t="s">
        <v>1665</v>
      </c>
      <c r="B50" t="s">
        <v>31</v>
      </c>
      <c r="C50" s="25">
        <v>43704.049155092594</v>
      </c>
      <c r="D50" s="25" t="s">
        <v>969</v>
      </c>
      <c r="E50" s="424">
        <f t="array" ref="E50">SUMPRODUCT(IF(AMP1_6[[#This Row],[Dim 1_1]:[T 8]]-$F$4:$AI$4&lt;0,1,0)+IF($F$5:$AI$5-AMP1_6[[#This Row],[Dim 1_1]:[T 8]]&lt;0,1,0),IF(ISNUMBER(AMP1_6[[#This Row],[Dim 1_1]:[T 8]])=TRUE,1,0))</f>
        <v>0</v>
      </c>
      <c r="H50">
        <v>156.06700000000001</v>
      </c>
      <c r="I50">
        <v>155.791</v>
      </c>
      <c r="J50">
        <v>168.58199999999999</v>
      </c>
      <c r="K50">
        <v>168.327</v>
      </c>
      <c r="L50">
        <v>156.23699999999999</v>
      </c>
      <c r="M50">
        <v>155.80799999999999</v>
      </c>
      <c r="N50">
        <v>27.047000000000001</v>
      </c>
      <c r="O50">
        <v>27.300999999999998</v>
      </c>
      <c r="R50">
        <v>16.864999999999998</v>
      </c>
      <c r="S50">
        <v>16.873999999999999</v>
      </c>
      <c r="T50">
        <v>36.877000000000002</v>
      </c>
      <c r="U50">
        <v>36.968000000000004</v>
      </c>
      <c r="W50">
        <v>-0.26300000000000001</v>
      </c>
      <c r="X50">
        <v>-0.38300000000000001</v>
      </c>
      <c r="Z50">
        <v>4.1000000000000002E-2</v>
      </c>
      <c r="AA50">
        <v>-6.8000000000000005E-2</v>
      </c>
      <c r="AB50">
        <v>-0.27200000000000002</v>
      </c>
      <c r="AC50">
        <v>-0.26700000000000002</v>
      </c>
      <c r="AD50">
        <v>-0.26300000000000001</v>
      </c>
      <c r="AE50">
        <v>-0.38300000000000001</v>
      </c>
      <c r="AF50">
        <v>2.4E-2</v>
      </c>
      <c r="AG50">
        <v>4.1000000000000002E-2</v>
      </c>
      <c r="AH50">
        <v>-6.8000000000000005E-2</v>
      </c>
      <c r="AI50">
        <v>-1.7000000000000001E-2</v>
      </c>
    </row>
    <row r="51" spans="1:35" ht="15" customHeight="1" x14ac:dyDescent="0.25">
      <c r="A51" t="s">
        <v>1666</v>
      </c>
      <c r="B51" t="s">
        <v>32</v>
      </c>
      <c r="C51" s="25">
        <v>43704.35738425926</v>
      </c>
      <c r="D51" s="25" t="s">
        <v>969</v>
      </c>
      <c r="E51" s="424">
        <f t="array" ref="E51">SUMPRODUCT(IF(AMP1_6[[#This Row],[Dim 1_1]:[T 8]]-$F$4:$AI$4&lt;0,1,0)+IF($F$5:$AI$5-AMP1_6[[#This Row],[Dim 1_1]:[T 8]]&lt;0,1,0),IF(ISNUMBER(AMP1_6[[#This Row],[Dim 1_1]:[T 8]])=TRUE,1,0))</f>
        <v>0</v>
      </c>
      <c r="F51">
        <v>40.978000000000002</v>
      </c>
      <c r="G51">
        <v>40.899000000000001</v>
      </c>
      <c r="H51">
        <v>155.892</v>
      </c>
      <c r="I51">
        <v>155.93199999999999</v>
      </c>
      <c r="L51">
        <v>156.08099999999999</v>
      </c>
      <c r="M51">
        <v>155.91200000000001</v>
      </c>
      <c r="N51">
        <v>27.239000000000001</v>
      </c>
      <c r="O51">
        <v>27.338000000000001</v>
      </c>
      <c r="R51">
        <v>17.013000000000002</v>
      </c>
      <c r="S51">
        <v>16.962</v>
      </c>
      <c r="T51">
        <v>34.39</v>
      </c>
      <c r="U51">
        <v>35.054000000000002</v>
      </c>
      <c r="W51">
        <v>0.12</v>
      </c>
      <c r="X51">
        <v>-0.432</v>
      </c>
      <c r="Z51">
        <v>-3.7999999999999999E-2</v>
      </c>
      <c r="AA51">
        <v>-0.34599999999999997</v>
      </c>
      <c r="AB51">
        <v>-0.38900000000000001</v>
      </c>
      <c r="AC51">
        <v>-0.432</v>
      </c>
      <c r="AD51">
        <v>0.12</v>
      </c>
      <c r="AE51">
        <v>-0.21299999999999999</v>
      </c>
      <c r="AF51">
        <v>-0.34599999999999997</v>
      </c>
      <c r="AG51">
        <v>-0.23</v>
      </c>
      <c r="AH51">
        <v>-0.19600000000000001</v>
      </c>
      <c r="AI51">
        <v>-3.7999999999999999E-2</v>
      </c>
    </row>
    <row r="52" spans="1:35" hidden="1" x14ac:dyDescent="0.25">
      <c r="A52" t="s">
        <v>1667</v>
      </c>
      <c r="B52" t="s">
        <v>31</v>
      </c>
      <c r="C52" s="25">
        <v>43704.359513888892</v>
      </c>
      <c r="D52" s="25" t="s">
        <v>969</v>
      </c>
      <c r="E52" s="424">
        <f t="array" ref="E52">SUMPRODUCT(IF(AMP1_6[[#This Row],[Dim 1_1]:[T 8]]-$F$4:$AI$4&lt;0,1,0)+IF($F$5:$AI$5-AMP1_6[[#This Row],[Dim 1_1]:[T 8]]&lt;0,1,0),IF(ISNUMBER(AMP1_6[[#This Row],[Dim 1_1]:[T 8]])=TRUE,1,0))</f>
        <v>0</v>
      </c>
      <c r="H52">
        <v>156.078</v>
      </c>
      <c r="I52">
        <v>155.83799999999999</v>
      </c>
      <c r="J52">
        <v>168.65700000000001</v>
      </c>
      <c r="K52">
        <v>168.44399999999999</v>
      </c>
      <c r="L52">
        <v>156.33799999999999</v>
      </c>
      <c r="M52">
        <v>155.911</v>
      </c>
      <c r="N52">
        <v>26.972999999999999</v>
      </c>
      <c r="O52">
        <v>27.151</v>
      </c>
      <c r="R52">
        <v>16.837</v>
      </c>
      <c r="S52">
        <v>16.925999999999998</v>
      </c>
      <c r="T52">
        <v>37.055</v>
      </c>
      <c r="U52">
        <v>38.155000000000001</v>
      </c>
      <c r="W52">
        <v>-0.29799999999999999</v>
      </c>
      <c r="X52">
        <v>-0.495</v>
      </c>
      <c r="Z52">
        <v>2.3E-2</v>
      </c>
      <c r="AA52">
        <v>-0.14099999999999999</v>
      </c>
      <c r="AB52">
        <v>-0.33600000000000002</v>
      </c>
      <c r="AC52">
        <v>-0.29799999999999999</v>
      </c>
      <c r="AD52">
        <v>-0.36899999999999999</v>
      </c>
      <c r="AE52">
        <v>-0.495</v>
      </c>
      <c r="AF52">
        <v>8.0000000000000002E-3</v>
      </c>
      <c r="AG52">
        <v>2.3E-2</v>
      </c>
      <c r="AH52">
        <v>-0.14099999999999999</v>
      </c>
      <c r="AI52">
        <v>-0.13200000000000001</v>
      </c>
    </row>
    <row r="53" spans="1:35" ht="15" customHeight="1" x14ac:dyDescent="0.25">
      <c r="A53" t="s">
        <v>1668</v>
      </c>
      <c r="B53" t="s">
        <v>32</v>
      </c>
      <c r="C53" s="25">
        <v>43704.461655092593</v>
      </c>
      <c r="D53" s="25" t="s">
        <v>969</v>
      </c>
      <c r="E53" s="424">
        <f t="array" ref="E53">SUMPRODUCT(IF(AMP1_6[[#This Row],[Dim 1_1]:[T 8]]-$F$4:$AI$4&lt;0,1,0)+IF($F$5:$AI$5-AMP1_6[[#This Row],[Dim 1_1]:[T 8]]&lt;0,1,0),IF(ISNUMBER(AMP1_6[[#This Row],[Dim 1_1]:[T 8]])=TRUE,1,0))</f>
        <v>0</v>
      </c>
      <c r="F53">
        <v>41.008000000000003</v>
      </c>
      <c r="G53">
        <v>40.835999999999999</v>
      </c>
      <c r="H53">
        <v>155.851</v>
      </c>
      <c r="I53">
        <v>155.92699999999999</v>
      </c>
      <c r="L53">
        <v>156.119</v>
      </c>
      <c r="M53">
        <v>155.935</v>
      </c>
      <c r="N53">
        <v>27.234999999999999</v>
      </c>
      <c r="O53">
        <v>27.321000000000002</v>
      </c>
      <c r="R53">
        <v>16.992000000000001</v>
      </c>
      <c r="S53">
        <v>16.962</v>
      </c>
      <c r="T53">
        <v>34.237000000000002</v>
      </c>
      <c r="U53">
        <v>34.999000000000002</v>
      </c>
      <c r="W53">
        <v>0.14399999999999999</v>
      </c>
      <c r="X53">
        <v>-0.379</v>
      </c>
      <c r="Z53">
        <v>-0.1</v>
      </c>
      <c r="AA53">
        <v>-0.30199999999999999</v>
      </c>
      <c r="AB53">
        <v>-0.35099999999999998</v>
      </c>
      <c r="AC53">
        <v>-0.379</v>
      </c>
      <c r="AD53">
        <v>0.14399999999999999</v>
      </c>
      <c r="AE53">
        <v>-0.192</v>
      </c>
      <c r="AF53">
        <v>-0.30199999999999999</v>
      </c>
      <c r="AG53">
        <v>-0.20499999999999999</v>
      </c>
      <c r="AH53">
        <v>-0.217</v>
      </c>
      <c r="AI53">
        <v>-0.1</v>
      </c>
    </row>
    <row r="54" spans="1:35" hidden="1" x14ac:dyDescent="0.25">
      <c r="A54" t="s">
        <v>1669</v>
      </c>
      <c r="B54" t="s">
        <v>31</v>
      </c>
      <c r="C54" s="25">
        <v>43704.463761574072</v>
      </c>
      <c r="D54" s="25" t="s">
        <v>969</v>
      </c>
      <c r="E54" s="424">
        <f t="array" ref="E54">SUMPRODUCT(IF(AMP1_6[[#This Row],[Dim 1_1]:[T 8]]-$F$4:$AI$4&lt;0,1,0)+IF($F$5:$AI$5-AMP1_6[[#This Row],[Dim 1_1]:[T 8]]&lt;0,1,0),IF(ISNUMBER(AMP1_6[[#This Row],[Dim 1_1]:[T 8]])=TRUE,1,0))</f>
        <v>0</v>
      </c>
      <c r="H54">
        <v>156.11500000000001</v>
      </c>
      <c r="I54">
        <v>155.833</v>
      </c>
      <c r="J54">
        <v>168.64599999999999</v>
      </c>
      <c r="K54">
        <v>168.24100000000001</v>
      </c>
      <c r="L54">
        <v>156.291</v>
      </c>
      <c r="M54">
        <v>155.84200000000001</v>
      </c>
      <c r="N54">
        <v>26.989000000000001</v>
      </c>
      <c r="O54">
        <v>27.22</v>
      </c>
      <c r="R54">
        <v>16.835999999999999</v>
      </c>
      <c r="S54">
        <v>16.934999999999999</v>
      </c>
      <c r="T54">
        <v>38.357999999999997</v>
      </c>
      <c r="U54">
        <v>38.770000000000003</v>
      </c>
      <c r="W54">
        <v>-0.23599999999999999</v>
      </c>
      <c r="X54">
        <v>-0.48799999999999999</v>
      </c>
      <c r="Z54">
        <v>9.9000000000000005E-2</v>
      </c>
      <c r="AA54">
        <v>-0.111</v>
      </c>
      <c r="AB54">
        <v>-0.247</v>
      </c>
      <c r="AC54">
        <v>-0.23599999999999999</v>
      </c>
      <c r="AD54">
        <v>-0.36</v>
      </c>
      <c r="AE54">
        <v>-0.48799999999999999</v>
      </c>
      <c r="AF54">
        <v>9.9000000000000005E-2</v>
      </c>
      <c r="AG54">
        <v>9.6000000000000002E-2</v>
      </c>
      <c r="AH54">
        <v>-0.111</v>
      </c>
      <c r="AI54">
        <v>-8.3000000000000004E-2</v>
      </c>
    </row>
    <row r="55" spans="1:35" ht="15" customHeight="1" x14ac:dyDescent="0.25">
      <c r="A55" t="s">
        <v>1670</v>
      </c>
      <c r="B55" t="s">
        <v>32</v>
      </c>
      <c r="C55" s="25">
        <v>43704.620358796295</v>
      </c>
      <c r="D55" s="25" t="s">
        <v>969</v>
      </c>
      <c r="E55" s="424">
        <f t="array" ref="E55">SUMPRODUCT(IF(AMP1_6[[#This Row],[Dim 1_1]:[T 8]]-$F$4:$AI$4&lt;0,1,0)+IF($F$5:$AI$5-AMP1_6[[#This Row],[Dim 1_1]:[T 8]]&lt;0,1,0),IF(ISNUMBER(AMP1_6[[#This Row],[Dim 1_1]:[T 8]])=TRUE,1,0))</f>
        <v>0</v>
      </c>
      <c r="F55">
        <v>41.054000000000002</v>
      </c>
      <c r="G55">
        <v>41.241999999999997</v>
      </c>
      <c r="H55">
        <v>155.916</v>
      </c>
      <c r="I55">
        <v>155.97900000000001</v>
      </c>
      <c r="L55">
        <v>156.17099999999999</v>
      </c>
      <c r="M55">
        <v>156.04300000000001</v>
      </c>
      <c r="N55">
        <v>27.172000000000001</v>
      </c>
      <c r="O55">
        <v>27.204000000000001</v>
      </c>
      <c r="R55">
        <v>16.968</v>
      </c>
      <c r="S55">
        <v>16.920999999999999</v>
      </c>
      <c r="T55">
        <v>34.328000000000003</v>
      </c>
      <c r="U55">
        <v>35.024999999999999</v>
      </c>
      <c r="W55">
        <v>1.2E-2</v>
      </c>
      <c r="X55">
        <v>-0.628</v>
      </c>
      <c r="Z55">
        <v>-5.1999999999999998E-2</v>
      </c>
      <c r="AA55">
        <v>-0.505</v>
      </c>
      <c r="AB55">
        <v>-0.60699999999999998</v>
      </c>
      <c r="AC55">
        <v>-0.628</v>
      </c>
      <c r="AD55">
        <v>1.2E-2</v>
      </c>
      <c r="AE55">
        <v>-0.27300000000000002</v>
      </c>
      <c r="AF55">
        <v>-0.505</v>
      </c>
      <c r="AG55">
        <v>-0.35599999999999998</v>
      </c>
      <c r="AH55">
        <v>-0.222</v>
      </c>
      <c r="AI55">
        <v>-5.1999999999999998E-2</v>
      </c>
    </row>
    <row r="56" spans="1:35" hidden="1" x14ac:dyDescent="0.25">
      <c r="A56" t="s">
        <v>1671</v>
      </c>
      <c r="B56" t="s">
        <v>31</v>
      </c>
      <c r="C56" s="25">
        <v>43704.623020833336</v>
      </c>
      <c r="D56" s="25" t="s">
        <v>969</v>
      </c>
      <c r="E56" s="424">
        <f t="array" ref="E56">SUMPRODUCT(IF(AMP1_6[[#This Row],[Dim 1_1]:[T 8]]-$F$4:$AI$4&lt;0,1,0)+IF($F$5:$AI$5-AMP1_6[[#This Row],[Dim 1_1]:[T 8]]&lt;0,1,0),IF(ISNUMBER(AMP1_6[[#This Row],[Dim 1_1]:[T 8]])=TRUE,1,0))</f>
        <v>0</v>
      </c>
      <c r="H56">
        <v>156.124</v>
      </c>
      <c r="I56">
        <v>155.92500000000001</v>
      </c>
      <c r="J56">
        <v>168.74199999999999</v>
      </c>
      <c r="K56">
        <v>169.25899999999999</v>
      </c>
      <c r="L56">
        <v>156.351</v>
      </c>
      <c r="M56">
        <v>155.95500000000001</v>
      </c>
      <c r="N56">
        <v>26.97</v>
      </c>
      <c r="O56">
        <v>27.2</v>
      </c>
      <c r="R56">
        <v>16.831</v>
      </c>
      <c r="S56">
        <v>16.887</v>
      </c>
      <c r="T56">
        <v>38.491999999999997</v>
      </c>
      <c r="U56">
        <v>38.838999999999999</v>
      </c>
      <c r="W56">
        <v>-0.38400000000000001</v>
      </c>
      <c r="X56">
        <v>-0.54900000000000004</v>
      </c>
      <c r="Z56">
        <v>-7.1999999999999995E-2</v>
      </c>
      <c r="AA56">
        <v>-0.17100000000000001</v>
      </c>
      <c r="AB56">
        <v>-0.40300000000000002</v>
      </c>
      <c r="AC56">
        <v>-0.38400000000000001</v>
      </c>
      <c r="AD56">
        <v>-0.38600000000000001</v>
      </c>
      <c r="AE56">
        <v>-0.54900000000000004</v>
      </c>
      <c r="AF56">
        <v>-7.1999999999999995E-2</v>
      </c>
      <c r="AG56">
        <v>-9.1999999999999998E-2</v>
      </c>
      <c r="AH56">
        <v>-0.17100000000000001</v>
      </c>
      <c r="AI56">
        <v>-0.17</v>
      </c>
    </row>
    <row r="57" spans="1:35" ht="15" customHeight="1" x14ac:dyDescent="0.25">
      <c r="A57" t="s">
        <v>1672</v>
      </c>
      <c r="B57" t="s">
        <v>32</v>
      </c>
      <c r="C57" s="25">
        <v>43704.718321759261</v>
      </c>
      <c r="D57" s="25" t="s">
        <v>969</v>
      </c>
      <c r="E57" s="424">
        <f t="array" ref="E57">SUMPRODUCT(IF(AMP1_6[[#This Row],[Dim 1_1]:[T 8]]-$F$4:$AI$4&lt;0,1,0)+IF($F$5:$AI$5-AMP1_6[[#This Row],[Dim 1_1]:[T 8]]&lt;0,1,0),IF(ISNUMBER(AMP1_6[[#This Row],[Dim 1_1]:[T 8]])=TRUE,1,0))</f>
        <v>0</v>
      </c>
      <c r="F57">
        <v>41.052</v>
      </c>
      <c r="G57">
        <v>40.877000000000002</v>
      </c>
      <c r="H57">
        <v>155.89699999999999</v>
      </c>
      <c r="I57">
        <v>155.90799999999999</v>
      </c>
      <c r="L57">
        <v>156.16499999999999</v>
      </c>
      <c r="M57">
        <v>156</v>
      </c>
      <c r="N57">
        <v>27.2</v>
      </c>
      <c r="O57">
        <v>27.315000000000001</v>
      </c>
      <c r="R57">
        <v>16.963000000000001</v>
      </c>
      <c r="S57">
        <v>16.908000000000001</v>
      </c>
      <c r="T57">
        <v>34.302999999999997</v>
      </c>
      <c r="U57">
        <v>34.825000000000003</v>
      </c>
      <c r="W57">
        <v>5.6000000000000001E-2</v>
      </c>
      <c r="X57">
        <v>-0.441</v>
      </c>
      <c r="Z57">
        <v>-0.18099999999999999</v>
      </c>
      <c r="AA57">
        <v>-0.44800000000000001</v>
      </c>
      <c r="AB57">
        <v>-0.438</v>
      </c>
      <c r="AC57">
        <v>-0.441</v>
      </c>
      <c r="AD57">
        <v>5.6000000000000001E-2</v>
      </c>
      <c r="AE57">
        <v>-0.245</v>
      </c>
      <c r="AF57">
        <v>-0.44800000000000001</v>
      </c>
      <c r="AG57">
        <v>-0.30299999999999999</v>
      </c>
      <c r="AH57">
        <v>-0.26500000000000001</v>
      </c>
      <c r="AI57">
        <v>-0.18099999999999999</v>
      </c>
    </row>
    <row r="58" spans="1:35" hidden="1" x14ac:dyDescent="0.25">
      <c r="A58" t="s">
        <v>1673</v>
      </c>
      <c r="B58" t="s">
        <v>31</v>
      </c>
      <c r="C58" s="25">
        <v>43704.722199074073</v>
      </c>
      <c r="D58" s="25" t="s">
        <v>969</v>
      </c>
      <c r="E58" s="424">
        <f t="array" ref="E58">SUMPRODUCT(IF(AMP1_6[[#This Row],[Dim 1_1]:[T 8]]-$F$4:$AI$4&lt;0,1,0)+IF($F$5:$AI$5-AMP1_6[[#This Row],[Dim 1_1]:[T 8]]&lt;0,1,0),IF(ISNUMBER(AMP1_6[[#This Row],[Dim 1_1]:[T 8]])=TRUE,1,0))</f>
        <v>0</v>
      </c>
      <c r="H58">
        <v>156.072</v>
      </c>
      <c r="I58">
        <v>155.83000000000001</v>
      </c>
      <c r="J58">
        <v>168.73099999999999</v>
      </c>
      <c r="K58">
        <v>168.47300000000001</v>
      </c>
      <c r="L58">
        <v>156.30099999999999</v>
      </c>
      <c r="M58">
        <v>155.858</v>
      </c>
      <c r="N58">
        <v>27.021999999999998</v>
      </c>
      <c r="O58">
        <v>27.231000000000002</v>
      </c>
      <c r="R58">
        <v>16.852</v>
      </c>
      <c r="S58">
        <v>16.905000000000001</v>
      </c>
      <c r="T58">
        <v>37.222000000000001</v>
      </c>
      <c r="U58">
        <v>37.512</v>
      </c>
      <c r="W58">
        <v>-0.34200000000000003</v>
      </c>
      <c r="X58">
        <v>-0.56899999999999995</v>
      </c>
      <c r="Z58">
        <v>-1E-3</v>
      </c>
      <c r="AA58">
        <v>-0.224</v>
      </c>
      <c r="AB58">
        <v>-0.38300000000000001</v>
      </c>
      <c r="AC58">
        <v>-0.34200000000000003</v>
      </c>
      <c r="AD58">
        <v>-0.42399999999999999</v>
      </c>
      <c r="AE58">
        <v>-0.56899999999999995</v>
      </c>
      <c r="AF58">
        <v>-2.7E-2</v>
      </c>
      <c r="AG58">
        <v>-1E-3</v>
      </c>
      <c r="AH58">
        <v>-0.224</v>
      </c>
      <c r="AI58">
        <v>-0.159</v>
      </c>
    </row>
    <row r="59" spans="1:35" ht="15" customHeight="1" x14ac:dyDescent="0.25">
      <c r="A59" t="s">
        <v>1674</v>
      </c>
      <c r="B59" t="s">
        <v>32</v>
      </c>
      <c r="C59" s="25">
        <v>43704.836956018517</v>
      </c>
      <c r="D59" s="25" t="s">
        <v>969</v>
      </c>
      <c r="E59" s="424">
        <f t="array" ref="E59">SUMPRODUCT(IF(AMP1_6[[#This Row],[Dim 1_1]:[T 8]]-$F$4:$AI$4&lt;0,1,0)+IF($F$5:$AI$5-AMP1_6[[#This Row],[Dim 1_1]:[T 8]]&lt;0,1,0),IF(ISNUMBER(AMP1_6[[#This Row],[Dim 1_1]:[T 8]])=TRUE,1,0))</f>
        <v>1</v>
      </c>
      <c r="F59">
        <v>40.9</v>
      </c>
      <c r="G59">
        <v>40.784999999999997</v>
      </c>
      <c r="H59">
        <v>155.874</v>
      </c>
      <c r="I59">
        <v>155.89500000000001</v>
      </c>
      <c r="L59">
        <v>156.14500000000001</v>
      </c>
      <c r="M59">
        <v>156.03200000000001</v>
      </c>
      <c r="N59">
        <v>27.216000000000001</v>
      </c>
      <c r="O59">
        <v>27.324000000000002</v>
      </c>
      <c r="R59">
        <v>16.954000000000001</v>
      </c>
      <c r="S59">
        <v>16.946000000000002</v>
      </c>
      <c r="T59">
        <v>34.139000000000003</v>
      </c>
      <c r="U59">
        <v>35.154000000000003</v>
      </c>
      <c r="W59">
        <v>5.5E-2</v>
      </c>
      <c r="X59">
        <v>-0.49199999999999999</v>
      </c>
      <c r="Z59">
        <v>-8.4000000000000005E-2</v>
      </c>
      <c r="AA59">
        <v>-0.42299999999999999</v>
      </c>
      <c r="AB59">
        <v>-0.44700000000000001</v>
      </c>
      <c r="AC59">
        <v>-0.49199999999999999</v>
      </c>
      <c r="AD59">
        <v>5.5E-2</v>
      </c>
      <c r="AE59">
        <v>-0.23400000000000001</v>
      </c>
      <c r="AF59">
        <v>-0.42299999999999999</v>
      </c>
      <c r="AG59">
        <v>-0.29499999999999998</v>
      </c>
      <c r="AH59">
        <v>-0.25700000000000001</v>
      </c>
      <c r="AI59">
        <v>-8.4000000000000005E-2</v>
      </c>
    </row>
    <row r="60" spans="1:35" hidden="1" x14ac:dyDescent="0.25">
      <c r="A60" t="s">
        <v>1675</v>
      </c>
      <c r="B60" t="s">
        <v>31</v>
      </c>
      <c r="C60" s="25">
        <v>43704.839270833334</v>
      </c>
      <c r="D60" s="25" t="s">
        <v>969</v>
      </c>
      <c r="E60" s="424">
        <f t="array" ref="E60">SUMPRODUCT(IF(AMP1_6[[#This Row],[Dim 1_1]:[T 8]]-$F$4:$AI$4&lt;0,1,0)+IF($F$5:$AI$5-AMP1_6[[#This Row],[Dim 1_1]:[T 8]]&lt;0,1,0),IF(ISNUMBER(AMP1_6[[#This Row],[Dim 1_1]:[T 8]])=TRUE,1,0))</f>
        <v>0</v>
      </c>
      <c r="H60">
        <v>156.08000000000001</v>
      </c>
      <c r="I60">
        <v>155.887</v>
      </c>
      <c r="J60">
        <v>168.511</v>
      </c>
      <c r="K60">
        <v>168.363</v>
      </c>
      <c r="L60">
        <v>156.36099999999999</v>
      </c>
      <c r="M60">
        <v>155.899</v>
      </c>
      <c r="N60">
        <v>26.981999999999999</v>
      </c>
      <c r="O60">
        <v>27.236999999999998</v>
      </c>
      <c r="R60">
        <v>16.838999999999999</v>
      </c>
      <c r="S60">
        <v>16.792000000000002</v>
      </c>
      <c r="T60">
        <v>35.369</v>
      </c>
      <c r="U60">
        <v>35.399000000000001</v>
      </c>
      <c r="W60">
        <v>-0.309</v>
      </c>
      <c r="X60">
        <v>-0.45400000000000001</v>
      </c>
      <c r="Z60">
        <v>-1.0999999999999999E-2</v>
      </c>
      <c r="AA60">
        <v>-5.8999999999999997E-2</v>
      </c>
      <c r="AB60">
        <v>-0.38400000000000001</v>
      </c>
      <c r="AC60">
        <v>-0.35399999999999998</v>
      </c>
      <c r="AD60">
        <v>-0.309</v>
      </c>
      <c r="AE60">
        <v>-0.45400000000000001</v>
      </c>
      <c r="AF60">
        <v>-1.0999999999999999E-2</v>
      </c>
      <c r="AG60">
        <v>-1.9E-2</v>
      </c>
      <c r="AH60">
        <v>-5.8999999999999997E-2</v>
      </c>
      <c r="AI60">
        <v>-5.0999999999999997E-2</v>
      </c>
    </row>
    <row r="61" spans="1:35" ht="15" customHeight="1" x14ac:dyDescent="0.25">
      <c r="A61" t="s">
        <v>1676</v>
      </c>
      <c r="B61" t="s">
        <v>32</v>
      </c>
      <c r="C61" s="25">
        <v>43704.958287037036</v>
      </c>
      <c r="D61" s="25" t="s">
        <v>969</v>
      </c>
      <c r="E61" s="424">
        <f t="array" ref="E61">SUMPRODUCT(IF(AMP1_6[[#This Row],[Dim 1_1]:[T 8]]-$F$4:$AI$4&lt;0,1,0)+IF($F$5:$AI$5-AMP1_6[[#This Row],[Dim 1_1]:[T 8]]&lt;0,1,0),IF(ISNUMBER(AMP1_6[[#This Row],[Dim 1_1]:[T 8]])=TRUE,1,0))</f>
        <v>2</v>
      </c>
      <c r="F61">
        <v>39.435000000000002</v>
      </c>
      <c r="G61">
        <v>39.273000000000003</v>
      </c>
      <c r="H61">
        <v>155.90700000000001</v>
      </c>
      <c r="I61">
        <v>155.94900000000001</v>
      </c>
      <c r="L61">
        <v>156.18799999999999</v>
      </c>
      <c r="M61">
        <v>155.91200000000001</v>
      </c>
      <c r="N61">
        <v>27.204999999999998</v>
      </c>
      <c r="O61">
        <v>27.356000000000002</v>
      </c>
      <c r="R61">
        <v>16.995999999999999</v>
      </c>
      <c r="S61">
        <v>17.045000000000002</v>
      </c>
      <c r="T61">
        <v>34.258000000000003</v>
      </c>
      <c r="U61">
        <v>34.909999999999997</v>
      </c>
      <c r="W61">
        <v>-2.3E-2</v>
      </c>
      <c r="X61">
        <v>-0.60299999999999998</v>
      </c>
      <c r="Z61">
        <v>-0.17599999999999999</v>
      </c>
      <c r="AA61">
        <v>-0.51200000000000001</v>
      </c>
      <c r="AB61">
        <v>-0.60299999999999998</v>
      </c>
      <c r="AC61">
        <v>-0.59</v>
      </c>
      <c r="AD61">
        <v>-2.3E-2</v>
      </c>
      <c r="AE61">
        <v>-0.23599999999999999</v>
      </c>
      <c r="AF61">
        <v>-0.51200000000000001</v>
      </c>
      <c r="AG61">
        <v>-0.39100000000000001</v>
      </c>
      <c r="AH61">
        <v>-0.34599999999999997</v>
      </c>
      <c r="AI61">
        <v>-0.17599999999999999</v>
      </c>
    </row>
    <row r="62" spans="1:35" hidden="1" x14ac:dyDescent="0.25">
      <c r="A62" t="s">
        <v>1677</v>
      </c>
      <c r="B62" t="s">
        <v>31</v>
      </c>
      <c r="C62" s="25">
        <v>43704.960173611114</v>
      </c>
      <c r="D62" s="25" t="s">
        <v>969</v>
      </c>
      <c r="E62" s="424">
        <f t="array" ref="E62">SUMPRODUCT(IF(AMP1_6[[#This Row],[Dim 1_1]:[T 8]]-$F$4:$AI$4&lt;0,1,0)+IF($F$5:$AI$5-AMP1_6[[#This Row],[Dim 1_1]:[T 8]]&lt;0,1,0),IF(ISNUMBER(AMP1_6[[#This Row],[Dim 1_1]:[T 8]])=TRUE,1,0))</f>
        <v>2</v>
      </c>
      <c r="H62">
        <v>156.11799999999999</v>
      </c>
      <c r="I62">
        <v>155.95400000000001</v>
      </c>
      <c r="J62">
        <v>167.06800000000001</v>
      </c>
      <c r="K62">
        <v>166.83099999999999</v>
      </c>
      <c r="L62">
        <v>156.37200000000001</v>
      </c>
      <c r="M62">
        <v>155.98099999999999</v>
      </c>
      <c r="N62">
        <v>26.911999999999999</v>
      </c>
      <c r="O62">
        <v>27.059000000000001</v>
      </c>
      <c r="R62">
        <v>16.823</v>
      </c>
      <c r="S62">
        <v>16.795000000000002</v>
      </c>
      <c r="T62">
        <v>34.395000000000003</v>
      </c>
      <c r="U62">
        <v>36.670999999999999</v>
      </c>
      <c r="W62">
        <v>-0.33100000000000002</v>
      </c>
      <c r="X62">
        <v>-0.496</v>
      </c>
      <c r="Z62">
        <v>1.7000000000000001E-2</v>
      </c>
      <c r="AA62">
        <v>-3.4000000000000002E-2</v>
      </c>
      <c r="AB62">
        <v>-0.40100000000000002</v>
      </c>
      <c r="AC62">
        <v>-0.40600000000000003</v>
      </c>
      <c r="AD62">
        <v>-0.33100000000000002</v>
      </c>
      <c r="AE62">
        <v>-0.496</v>
      </c>
      <c r="AF62">
        <v>-0.01</v>
      </c>
      <c r="AG62">
        <v>1.7000000000000001E-2</v>
      </c>
      <c r="AH62">
        <v>-3.4000000000000002E-2</v>
      </c>
      <c r="AI62">
        <v>-2.5999999999999999E-2</v>
      </c>
    </row>
    <row r="63" spans="1:35" ht="15" customHeight="1" x14ac:dyDescent="0.25">
      <c r="A63" t="s">
        <v>1678</v>
      </c>
      <c r="B63" t="s">
        <v>32</v>
      </c>
      <c r="C63" s="25">
        <v>43705.052546296298</v>
      </c>
      <c r="D63" s="25" t="s">
        <v>969</v>
      </c>
      <c r="E63" s="424">
        <f t="array" ref="E63">SUMPRODUCT(IF(AMP1_6[[#This Row],[Dim 1_1]:[T 8]]-$F$4:$AI$4&lt;0,1,0)+IF($F$5:$AI$5-AMP1_6[[#This Row],[Dim 1_1]:[T 8]]&lt;0,1,0),IF(ISNUMBER(AMP1_6[[#This Row],[Dim 1_1]:[T 8]])=TRUE,1,0))</f>
        <v>0</v>
      </c>
      <c r="F63">
        <v>41.265000000000001</v>
      </c>
      <c r="G63">
        <v>41.22</v>
      </c>
      <c r="H63">
        <v>155.559</v>
      </c>
      <c r="I63">
        <v>155.57</v>
      </c>
      <c r="L63">
        <v>155.78200000000001</v>
      </c>
      <c r="M63">
        <v>155.636</v>
      </c>
      <c r="N63">
        <v>27.577000000000002</v>
      </c>
      <c r="O63">
        <v>27.611999999999998</v>
      </c>
      <c r="R63">
        <v>16.978000000000002</v>
      </c>
      <c r="S63">
        <v>16.859000000000002</v>
      </c>
      <c r="T63">
        <v>34.58</v>
      </c>
      <c r="U63">
        <v>35.231999999999999</v>
      </c>
      <c r="W63">
        <v>0.36399999999999999</v>
      </c>
      <c r="X63">
        <v>-9.7000000000000003E-2</v>
      </c>
      <c r="Z63">
        <v>0.219</v>
      </c>
      <c r="AA63">
        <v>-1.9E-2</v>
      </c>
      <c r="AB63">
        <v>-7.4999999999999997E-2</v>
      </c>
      <c r="AC63">
        <v>-9.7000000000000003E-2</v>
      </c>
      <c r="AD63">
        <v>0.36399999999999999</v>
      </c>
      <c r="AE63">
        <v>1.2E-2</v>
      </c>
      <c r="AF63">
        <v>-1.9E-2</v>
      </c>
      <c r="AG63">
        <v>0.10100000000000001</v>
      </c>
      <c r="AH63">
        <v>5.6000000000000001E-2</v>
      </c>
      <c r="AI63">
        <v>0.219</v>
      </c>
    </row>
    <row r="64" spans="1:35" hidden="1" x14ac:dyDescent="0.25">
      <c r="A64" t="s">
        <v>1679</v>
      </c>
      <c r="B64" t="s">
        <v>31</v>
      </c>
      <c r="C64" s="25">
        <v>43705.054062499999</v>
      </c>
      <c r="D64" s="25" t="s">
        <v>969</v>
      </c>
      <c r="E64" s="424">
        <f t="array" ref="E64">SUMPRODUCT(IF(AMP1_6[[#This Row],[Dim 1_1]:[T 8]]-$F$4:$AI$4&lt;0,1,0)+IF($F$5:$AI$5-AMP1_6[[#This Row],[Dim 1_1]:[T 8]]&lt;0,1,0),IF(ISNUMBER(AMP1_6[[#This Row],[Dim 1_1]:[T 8]])=TRUE,1,0))</f>
        <v>0</v>
      </c>
      <c r="H64">
        <v>155.79</v>
      </c>
      <c r="I64">
        <v>155.53299999999999</v>
      </c>
      <c r="J64">
        <v>168.53200000000001</v>
      </c>
      <c r="K64">
        <v>168.386</v>
      </c>
      <c r="L64">
        <v>156.006</v>
      </c>
      <c r="M64">
        <v>155.63300000000001</v>
      </c>
      <c r="N64">
        <v>27.358000000000001</v>
      </c>
      <c r="O64">
        <v>27.552</v>
      </c>
      <c r="R64">
        <v>16.823</v>
      </c>
      <c r="S64">
        <v>17.077999999999999</v>
      </c>
      <c r="T64">
        <v>36.003999999999998</v>
      </c>
      <c r="U64">
        <v>35.298000000000002</v>
      </c>
      <c r="W64">
        <v>-5.1999999999999998E-2</v>
      </c>
      <c r="X64">
        <v>-0.39900000000000002</v>
      </c>
      <c r="Z64">
        <v>0.30499999999999999</v>
      </c>
      <c r="AA64">
        <v>-6.5000000000000002E-2</v>
      </c>
      <c r="AB64">
        <v>-5.7000000000000002E-2</v>
      </c>
      <c r="AC64">
        <v>-5.1999999999999998E-2</v>
      </c>
      <c r="AD64">
        <v>-0.32300000000000001</v>
      </c>
      <c r="AE64">
        <v>-0.39900000000000002</v>
      </c>
      <c r="AF64">
        <v>0.30499999999999999</v>
      </c>
      <c r="AG64">
        <v>0.28799999999999998</v>
      </c>
      <c r="AH64">
        <v>-4.2000000000000003E-2</v>
      </c>
      <c r="AI64">
        <v>-6.5000000000000002E-2</v>
      </c>
    </row>
    <row r="65" spans="1:35" ht="15" customHeight="1" x14ac:dyDescent="0.25">
      <c r="A65" t="s">
        <v>1680</v>
      </c>
      <c r="B65" t="s">
        <v>32</v>
      </c>
      <c r="C65" s="25">
        <v>43705.363379629627</v>
      </c>
      <c r="D65" s="25" t="s">
        <v>969</v>
      </c>
      <c r="E65" s="424">
        <f t="array" ref="E65">SUMPRODUCT(IF(AMP1_6[[#This Row],[Dim 1_1]:[T 8]]-$F$4:$AI$4&lt;0,1,0)+IF($F$5:$AI$5-AMP1_6[[#This Row],[Dim 1_1]:[T 8]]&lt;0,1,0),IF(ISNUMBER(AMP1_6[[#This Row],[Dim 1_1]:[T 8]])=TRUE,1,0))</f>
        <v>0</v>
      </c>
      <c r="F65">
        <v>41.328000000000003</v>
      </c>
      <c r="G65">
        <v>41.345999999999997</v>
      </c>
      <c r="H65">
        <v>155.505</v>
      </c>
      <c r="I65">
        <v>155.54499999999999</v>
      </c>
      <c r="L65">
        <v>155.72300000000001</v>
      </c>
      <c r="M65">
        <v>155.52699999999999</v>
      </c>
      <c r="N65">
        <v>27.611999999999998</v>
      </c>
      <c r="O65">
        <v>27.696999999999999</v>
      </c>
      <c r="R65">
        <v>17.007000000000001</v>
      </c>
      <c r="S65">
        <v>17.009</v>
      </c>
      <c r="T65">
        <v>34.439</v>
      </c>
      <c r="U65">
        <v>35.109000000000002</v>
      </c>
      <c r="W65">
        <v>0.38200000000000001</v>
      </c>
      <c r="X65">
        <v>9.2999999999999999E-2</v>
      </c>
      <c r="Z65">
        <v>0.17399999999999999</v>
      </c>
      <c r="AA65">
        <v>5.0000000000000001E-3</v>
      </c>
      <c r="AB65">
        <v>0.115</v>
      </c>
      <c r="AC65">
        <v>9.2999999999999999E-2</v>
      </c>
      <c r="AD65">
        <v>0.38200000000000001</v>
      </c>
      <c r="AE65">
        <v>0.12</v>
      </c>
      <c r="AF65">
        <v>8.4000000000000005E-2</v>
      </c>
      <c r="AG65">
        <v>0.17399999999999999</v>
      </c>
      <c r="AH65">
        <v>5.0000000000000001E-3</v>
      </c>
      <c r="AI65">
        <v>0.14000000000000001</v>
      </c>
    </row>
    <row r="66" spans="1:35" hidden="1" x14ac:dyDescent="0.25">
      <c r="A66" t="s">
        <v>1681</v>
      </c>
      <c r="B66" t="s">
        <v>31</v>
      </c>
      <c r="C66" s="25">
        <v>43705.366111111114</v>
      </c>
      <c r="D66" s="25" t="s">
        <v>969</v>
      </c>
      <c r="E66" s="424">
        <f t="array" ref="E66">SUMPRODUCT(IF(AMP1_6[[#This Row],[Dim 1_1]:[T 8]]-$F$4:$AI$4&lt;0,1,0)+IF($F$5:$AI$5-AMP1_6[[#This Row],[Dim 1_1]:[T 8]]&lt;0,1,0),IF(ISNUMBER(AMP1_6[[#This Row],[Dim 1_1]:[T 8]])=TRUE,1,0))</f>
        <v>0</v>
      </c>
      <c r="H66">
        <v>155.702</v>
      </c>
      <c r="I66">
        <v>155.489</v>
      </c>
      <c r="J66">
        <v>168.559</v>
      </c>
      <c r="K66">
        <v>168.28</v>
      </c>
      <c r="L66">
        <v>155.851</v>
      </c>
      <c r="M66">
        <v>155.49600000000001</v>
      </c>
      <c r="N66">
        <v>27.460999999999999</v>
      </c>
      <c r="O66">
        <v>27.629000000000001</v>
      </c>
      <c r="R66">
        <v>16.843</v>
      </c>
      <c r="S66">
        <v>17.088999999999999</v>
      </c>
      <c r="T66">
        <v>36.015000000000001</v>
      </c>
      <c r="U66">
        <v>36.755000000000003</v>
      </c>
      <c r="W66">
        <v>3.7999999999999999E-2</v>
      </c>
      <c r="X66">
        <v>-0.45600000000000002</v>
      </c>
      <c r="Z66">
        <v>0.26700000000000002</v>
      </c>
      <c r="AA66">
        <v>-0.20100000000000001</v>
      </c>
      <c r="AB66">
        <v>3.7999999999999999E-2</v>
      </c>
      <c r="AC66">
        <v>2.9000000000000001E-2</v>
      </c>
      <c r="AD66">
        <v>-0.33500000000000002</v>
      </c>
      <c r="AE66">
        <v>-0.45600000000000002</v>
      </c>
      <c r="AF66">
        <v>0.26700000000000002</v>
      </c>
      <c r="AG66">
        <v>0.251</v>
      </c>
      <c r="AH66">
        <v>-0.20100000000000001</v>
      </c>
      <c r="AI66">
        <v>-0.186</v>
      </c>
    </row>
    <row r="67" spans="1:35" ht="15" customHeight="1" x14ac:dyDescent="0.25">
      <c r="A67" t="s">
        <v>1921</v>
      </c>
      <c r="B67" t="s">
        <v>32</v>
      </c>
      <c r="C67" s="25">
        <v>43705.504745370374</v>
      </c>
      <c r="D67" s="25" t="s">
        <v>969</v>
      </c>
      <c r="E67" s="424">
        <f t="array" ref="E67">SUMPRODUCT(IF(AMP1_6[[#This Row],[Dim 1_1]:[T 8]]-$F$4:$AI$4&lt;0,1,0)+IF($F$5:$AI$5-AMP1_6[[#This Row],[Dim 1_1]:[T 8]]&lt;0,1,0),IF(ISNUMBER(AMP1_6[[#This Row],[Dim 1_1]:[T 8]])=TRUE,1,0))</f>
        <v>0</v>
      </c>
      <c r="F67">
        <v>41.390999999999998</v>
      </c>
      <c r="G67">
        <v>41.460999999999999</v>
      </c>
      <c r="H67">
        <v>155.54</v>
      </c>
      <c r="I67">
        <v>155.57300000000001</v>
      </c>
      <c r="L67">
        <v>155.79</v>
      </c>
      <c r="M67">
        <v>155.655</v>
      </c>
      <c r="N67">
        <v>27.558</v>
      </c>
      <c r="O67">
        <v>27.6</v>
      </c>
      <c r="R67">
        <v>16.978999999999999</v>
      </c>
      <c r="S67">
        <v>17.050999999999998</v>
      </c>
      <c r="T67">
        <v>34.418999999999997</v>
      </c>
      <c r="U67">
        <v>35.018000000000001</v>
      </c>
      <c r="W67">
        <v>0.20100000000000001</v>
      </c>
      <c r="X67">
        <v>-0.111</v>
      </c>
      <c r="Z67">
        <v>0.1</v>
      </c>
      <c r="AA67">
        <v>-8.1000000000000003E-2</v>
      </c>
      <c r="AB67">
        <v>-0.10299999999999999</v>
      </c>
      <c r="AC67">
        <v>-0.111</v>
      </c>
      <c r="AD67">
        <v>0.20100000000000001</v>
      </c>
      <c r="AE67">
        <v>-0.10299999999999999</v>
      </c>
      <c r="AF67">
        <v>-1.4E-2</v>
      </c>
      <c r="AG67">
        <v>0.1</v>
      </c>
      <c r="AH67">
        <v>-8.1000000000000003E-2</v>
      </c>
      <c r="AI67">
        <v>0.08</v>
      </c>
    </row>
    <row r="68" spans="1:35" hidden="1" x14ac:dyDescent="0.25">
      <c r="A68" t="s">
        <v>1922</v>
      </c>
      <c r="B68" t="s">
        <v>31</v>
      </c>
      <c r="C68" s="25">
        <v>43705.507060185184</v>
      </c>
      <c r="D68" s="25" t="s">
        <v>969</v>
      </c>
      <c r="E68" s="424">
        <f t="array" ref="E68">SUMPRODUCT(IF(AMP1_6[[#This Row],[Dim 1_1]:[T 8]]-$F$4:$AI$4&lt;0,1,0)+IF($F$5:$AI$5-AMP1_6[[#This Row],[Dim 1_1]:[T 8]]&lt;0,1,0),IF(ISNUMBER(AMP1_6[[#This Row],[Dim 1_1]:[T 8]])=TRUE,1,0))</f>
        <v>0</v>
      </c>
      <c r="H68">
        <v>155.80199999999999</v>
      </c>
      <c r="I68">
        <v>155.54400000000001</v>
      </c>
      <c r="J68">
        <v>168.624</v>
      </c>
      <c r="K68">
        <v>168.59399999999999</v>
      </c>
      <c r="L68">
        <v>155.93</v>
      </c>
      <c r="M68">
        <v>155.59700000000001</v>
      </c>
      <c r="N68">
        <v>27.370999999999999</v>
      </c>
      <c r="O68">
        <v>27.573</v>
      </c>
      <c r="R68">
        <v>16.809999999999999</v>
      </c>
      <c r="S68">
        <v>17.074000000000002</v>
      </c>
      <c r="T68">
        <v>36.237000000000002</v>
      </c>
      <c r="U68">
        <v>36.530999999999999</v>
      </c>
      <c r="W68">
        <v>2E-3</v>
      </c>
      <c r="X68">
        <v>-0.36399999999999999</v>
      </c>
      <c r="Z68">
        <v>0.34499999999999997</v>
      </c>
      <c r="AA68">
        <v>-6.7000000000000004E-2</v>
      </c>
      <c r="AB68">
        <v>2E-3</v>
      </c>
      <c r="AC68">
        <v>-1.4999999999999999E-2</v>
      </c>
      <c r="AD68">
        <v>-0.28199999999999997</v>
      </c>
      <c r="AE68">
        <v>-0.36399999999999999</v>
      </c>
      <c r="AF68">
        <v>0.34499999999999997</v>
      </c>
      <c r="AG68">
        <v>0.30299999999999999</v>
      </c>
      <c r="AH68">
        <v>-6.7000000000000004E-2</v>
      </c>
      <c r="AI68">
        <v>-5.5E-2</v>
      </c>
    </row>
    <row r="69" spans="1:35" ht="15" customHeight="1" x14ac:dyDescent="0.25">
      <c r="A69" t="s">
        <v>1923</v>
      </c>
      <c r="B69" t="s">
        <v>32</v>
      </c>
      <c r="C69" s="25">
        <v>43705.695567129631</v>
      </c>
      <c r="D69" s="25" t="s">
        <v>969</v>
      </c>
      <c r="E69" s="424">
        <f t="array" ref="E69">SUMPRODUCT(IF(AMP1_6[[#This Row],[Dim 1_1]:[T 8]]-$F$4:$AI$4&lt;0,1,0)+IF($F$5:$AI$5-AMP1_6[[#This Row],[Dim 1_1]:[T 8]]&lt;0,1,0),IF(ISNUMBER(AMP1_6[[#This Row],[Dim 1_1]:[T 8]])=TRUE,1,0))</f>
        <v>0</v>
      </c>
      <c r="F69">
        <v>41.304000000000002</v>
      </c>
      <c r="G69">
        <v>41.374000000000002</v>
      </c>
      <c r="H69">
        <v>155.63999999999999</v>
      </c>
      <c r="I69">
        <v>155.62</v>
      </c>
      <c r="L69">
        <v>155.85300000000001</v>
      </c>
      <c r="M69">
        <v>155.69900000000001</v>
      </c>
      <c r="N69">
        <v>27.463999999999999</v>
      </c>
      <c r="O69">
        <v>27.536000000000001</v>
      </c>
      <c r="R69">
        <v>16.97</v>
      </c>
      <c r="S69">
        <v>16.969000000000001</v>
      </c>
      <c r="T69">
        <v>34.417999999999999</v>
      </c>
      <c r="U69">
        <v>35.131</v>
      </c>
      <c r="W69">
        <v>0.192</v>
      </c>
      <c r="X69">
        <v>-0.27200000000000002</v>
      </c>
      <c r="Z69">
        <v>9.7000000000000003E-2</v>
      </c>
      <c r="AA69">
        <v>-0.157</v>
      </c>
      <c r="AB69">
        <v>-0.27200000000000002</v>
      </c>
      <c r="AC69">
        <v>-0.27</v>
      </c>
      <c r="AD69">
        <v>0.192</v>
      </c>
      <c r="AE69">
        <v>-1.7999999999999999E-2</v>
      </c>
      <c r="AF69">
        <v>-0.157</v>
      </c>
      <c r="AG69">
        <v>5.0000000000000001E-3</v>
      </c>
      <c r="AH69">
        <v>-0.105</v>
      </c>
      <c r="AI69">
        <v>9.7000000000000003E-2</v>
      </c>
    </row>
    <row r="70" spans="1:35" hidden="1" x14ac:dyDescent="0.25">
      <c r="A70" t="s">
        <v>1924</v>
      </c>
      <c r="B70" t="s">
        <v>31</v>
      </c>
      <c r="C70" s="25">
        <v>43705.697222222225</v>
      </c>
      <c r="D70" s="25" t="s">
        <v>969</v>
      </c>
      <c r="E70" s="424">
        <f t="array" ref="E70">SUMPRODUCT(IF(AMP1_6[[#This Row],[Dim 1_1]:[T 8]]-$F$4:$AI$4&lt;0,1,0)+IF($F$5:$AI$5-AMP1_6[[#This Row],[Dim 1_1]:[T 8]]&lt;0,1,0),IF(ISNUMBER(AMP1_6[[#This Row],[Dim 1_1]:[T 8]])=TRUE,1,0))</f>
        <v>0</v>
      </c>
      <c r="H70">
        <v>155.86199999999999</v>
      </c>
      <c r="I70">
        <v>155.619</v>
      </c>
      <c r="J70">
        <v>168.60300000000001</v>
      </c>
      <c r="K70">
        <v>168.55699999999999</v>
      </c>
      <c r="L70">
        <v>155.99700000000001</v>
      </c>
      <c r="M70">
        <v>155.65299999999999</v>
      </c>
      <c r="N70">
        <v>27.352</v>
      </c>
      <c r="O70">
        <v>27.541</v>
      </c>
      <c r="R70">
        <v>16.861999999999998</v>
      </c>
      <c r="S70">
        <v>17.09</v>
      </c>
      <c r="T70">
        <v>35.436</v>
      </c>
      <c r="U70">
        <v>36.018000000000001</v>
      </c>
      <c r="W70">
        <v>-0.113</v>
      </c>
      <c r="X70">
        <v>-0.42199999999999999</v>
      </c>
      <c r="Z70">
        <v>0.159</v>
      </c>
      <c r="AA70">
        <v>-0.17599999999999999</v>
      </c>
      <c r="AB70">
        <v>-0.113</v>
      </c>
      <c r="AC70">
        <v>-0.121</v>
      </c>
      <c r="AD70">
        <v>-0.377</v>
      </c>
      <c r="AE70">
        <v>-0.42199999999999999</v>
      </c>
      <c r="AF70">
        <v>0.159</v>
      </c>
      <c r="AG70">
        <v>0.128</v>
      </c>
      <c r="AH70">
        <v>-0.14699999999999999</v>
      </c>
      <c r="AI70">
        <v>-0.17599999999999999</v>
      </c>
    </row>
    <row r="71" spans="1:35" ht="15" customHeight="1" x14ac:dyDescent="0.25">
      <c r="A71" t="s">
        <v>1925</v>
      </c>
      <c r="B71" t="s">
        <v>32</v>
      </c>
      <c r="C71" s="25">
        <v>43705.790069444447</v>
      </c>
      <c r="D71" s="25" t="s">
        <v>969</v>
      </c>
      <c r="E71" s="424">
        <f t="array" ref="E71">SUMPRODUCT(IF(AMP1_6[[#This Row],[Dim 1_1]:[T 8]]-$F$4:$AI$4&lt;0,1,0)+IF($F$5:$AI$5-AMP1_6[[#This Row],[Dim 1_1]:[T 8]]&lt;0,1,0),IF(ISNUMBER(AMP1_6[[#This Row],[Dim 1_1]:[T 8]])=TRUE,1,0))</f>
        <v>0</v>
      </c>
      <c r="F71">
        <v>41.331000000000003</v>
      </c>
      <c r="G71">
        <v>41.35</v>
      </c>
      <c r="H71">
        <v>155.63499999999999</v>
      </c>
      <c r="I71">
        <v>155.642</v>
      </c>
      <c r="L71">
        <v>155.89400000000001</v>
      </c>
      <c r="M71">
        <v>155.71100000000001</v>
      </c>
      <c r="N71">
        <v>27.466000000000001</v>
      </c>
      <c r="O71">
        <v>27.515000000000001</v>
      </c>
      <c r="R71">
        <v>16.948</v>
      </c>
      <c r="S71">
        <v>16.968</v>
      </c>
      <c r="T71">
        <v>34.372</v>
      </c>
      <c r="U71">
        <v>35.082999999999998</v>
      </c>
      <c r="W71">
        <v>0.16200000000000001</v>
      </c>
      <c r="X71">
        <v>-0.23699999999999999</v>
      </c>
      <c r="Z71">
        <v>2.7E-2</v>
      </c>
      <c r="AA71">
        <v>-0.151</v>
      </c>
      <c r="AB71">
        <v>-0.20799999999999999</v>
      </c>
      <c r="AC71">
        <v>-0.23699999999999999</v>
      </c>
      <c r="AD71">
        <v>0.16200000000000001</v>
      </c>
      <c r="AE71">
        <v>-7.0999999999999994E-2</v>
      </c>
      <c r="AF71">
        <v>-0.14399999999999999</v>
      </c>
      <c r="AG71">
        <v>-6.3E-2</v>
      </c>
      <c r="AH71">
        <v>-0.151</v>
      </c>
      <c r="AI71">
        <v>2.7E-2</v>
      </c>
    </row>
    <row r="72" spans="1:35" hidden="1" x14ac:dyDescent="0.25">
      <c r="A72" t="s">
        <v>1926</v>
      </c>
      <c r="B72" t="s">
        <v>31</v>
      </c>
      <c r="C72" s="25">
        <v>43705.791608796295</v>
      </c>
      <c r="D72" s="25" t="s">
        <v>969</v>
      </c>
      <c r="E72" s="424">
        <f t="array" ref="E72">SUMPRODUCT(IF(AMP1_6[[#This Row],[Dim 1_1]:[T 8]]-$F$4:$AI$4&lt;0,1,0)+IF($F$5:$AI$5-AMP1_6[[#This Row],[Dim 1_1]:[T 8]]&lt;0,1,0),IF(ISNUMBER(AMP1_6[[#This Row],[Dim 1_1]:[T 8]])=TRUE,1,0))</f>
        <v>0</v>
      </c>
      <c r="H72">
        <v>155.857</v>
      </c>
      <c r="I72">
        <v>155.608</v>
      </c>
      <c r="J72">
        <v>168.69200000000001</v>
      </c>
      <c r="K72">
        <v>168.553</v>
      </c>
      <c r="L72">
        <v>156.036</v>
      </c>
      <c r="M72">
        <v>155.66900000000001</v>
      </c>
      <c r="N72">
        <v>27.274999999999999</v>
      </c>
      <c r="O72">
        <v>27.472000000000001</v>
      </c>
      <c r="R72">
        <v>16.824999999999999</v>
      </c>
      <c r="S72">
        <v>17.035</v>
      </c>
      <c r="T72">
        <v>36.539000000000001</v>
      </c>
      <c r="U72">
        <v>37.036999999999999</v>
      </c>
      <c r="W72">
        <v>-0.29299999999999998</v>
      </c>
      <c r="X72">
        <v>-0.53300000000000003</v>
      </c>
      <c r="Z72">
        <v>0.20100000000000001</v>
      </c>
      <c r="AA72">
        <v>-0.16</v>
      </c>
      <c r="AB72">
        <v>-0.31900000000000001</v>
      </c>
      <c r="AC72">
        <v>-0.29299999999999998</v>
      </c>
      <c r="AD72">
        <v>-0.52700000000000002</v>
      </c>
      <c r="AE72">
        <v>-0.53300000000000003</v>
      </c>
      <c r="AF72">
        <v>0.20100000000000001</v>
      </c>
      <c r="AG72">
        <v>0.19</v>
      </c>
      <c r="AH72">
        <v>-0.16</v>
      </c>
      <c r="AI72">
        <v>-0.13800000000000001</v>
      </c>
    </row>
    <row r="73" spans="1:35" ht="15" customHeight="1" x14ac:dyDescent="0.25">
      <c r="A73" t="s">
        <v>1927</v>
      </c>
      <c r="B73" t="s">
        <v>32</v>
      </c>
      <c r="C73" s="25">
        <v>43705.975370370368</v>
      </c>
      <c r="D73" s="25" t="s">
        <v>969</v>
      </c>
      <c r="E73" s="424">
        <f t="array" ref="E73">SUMPRODUCT(IF(AMP1_6[[#This Row],[Dim 1_1]:[T 8]]-$F$4:$AI$4&lt;0,1,0)+IF($F$5:$AI$5-AMP1_6[[#This Row],[Dim 1_1]:[T 8]]&lt;0,1,0),IF(ISNUMBER(AMP1_6[[#This Row],[Dim 1_1]:[T 8]])=TRUE,1,0))</f>
        <v>0</v>
      </c>
      <c r="F73">
        <v>41.247</v>
      </c>
      <c r="G73">
        <v>41.131999999999998</v>
      </c>
      <c r="H73">
        <v>155.572</v>
      </c>
      <c r="I73">
        <v>155.63499999999999</v>
      </c>
      <c r="L73">
        <v>155.82900000000001</v>
      </c>
      <c r="M73">
        <v>155.68600000000001</v>
      </c>
      <c r="N73">
        <v>27.518999999999998</v>
      </c>
      <c r="O73">
        <v>27.568000000000001</v>
      </c>
      <c r="R73">
        <v>17.004999999999999</v>
      </c>
      <c r="S73">
        <v>16.928999999999998</v>
      </c>
      <c r="T73">
        <v>34.319000000000003</v>
      </c>
      <c r="U73">
        <v>35.225999999999999</v>
      </c>
      <c r="W73">
        <v>0.21099999999999999</v>
      </c>
      <c r="X73">
        <v>-0.20100000000000001</v>
      </c>
      <c r="Z73">
        <v>7.5999999999999998E-2</v>
      </c>
      <c r="AA73">
        <v>-0.156</v>
      </c>
      <c r="AB73">
        <v>-0.17499999999999999</v>
      </c>
      <c r="AC73">
        <v>-0.20100000000000001</v>
      </c>
      <c r="AD73">
        <v>0.21099999999999999</v>
      </c>
      <c r="AE73">
        <v>-9.5000000000000001E-2</v>
      </c>
      <c r="AF73">
        <v>-0.156</v>
      </c>
      <c r="AG73">
        <v>-3.9E-2</v>
      </c>
      <c r="AH73">
        <v>-7.9000000000000001E-2</v>
      </c>
      <c r="AI73">
        <v>7.5999999999999998E-2</v>
      </c>
    </row>
    <row r="74" spans="1:35" hidden="1" x14ac:dyDescent="0.25">
      <c r="A74" t="s">
        <v>1928</v>
      </c>
      <c r="B74" t="s">
        <v>31</v>
      </c>
      <c r="C74" s="25">
        <v>43705.977337962962</v>
      </c>
      <c r="D74" s="25" t="s">
        <v>969</v>
      </c>
      <c r="E74" s="424">
        <f t="array" ref="E74">SUMPRODUCT(IF(AMP1_6[[#This Row],[Dim 1_1]:[T 8]]-$F$4:$AI$4&lt;0,1,0)+IF($F$5:$AI$5-AMP1_6[[#This Row],[Dim 1_1]:[T 8]]&lt;0,1,0),IF(ISNUMBER(AMP1_6[[#This Row],[Dim 1_1]:[T 8]])=TRUE,1,0))</f>
        <v>0</v>
      </c>
      <c r="H74">
        <v>155.834</v>
      </c>
      <c r="I74">
        <v>155.565</v>
      </c>
      <c r="J74">
        <v>168.60599999999999</v>
      </c>
      <c r="K74">
        <v>168.488</v>
      </c>
      <c r="L74">
        <v>156.03899999999999</v>
      </c>
      <c r="M74">
        <v>155.66399999999999</v>
      </c>
      <c r="N74">
        <v>27.225000000000001</v>
      </c>
      <c r="O74">
        <v>27.478000000000002</v>
      </c>
      <c r="R74">
        <v>16.831</v>
      </c>
      <c r="S74">
        <v>16.975000000000001</v>
      </c>
      <c r="T74">
        <v>37.088000000000001</v>
      </c>
      <c r="U74">
        <v>37.341999999999999</v>
      </c>
      <c r="W74">
        <v>-0.16600000000000001</v>
      </c>
      <c r="X74">
        <v>-0.39</v>
      </c>
      <c r="Z74">
        <v>0.21199999999999999</v>
      </c>
      <c r="AA74">
        <v>-7.6999999999999999E-2</v>
      </c>
      <c r="AB74">
        <v>-0.16600000000000001</v>
      </c>
      <c r="AC74">
        <v>-0.18099999999999999</v>
      </c>
      <c r="AD74">
        <v>-0.30299999999999999</v>
      </c>
      <c r="AE74">
        <v>-0.39</v>
      </c>
      <c r="AF74">
        <v>0.20499999999999999</v>
      </c>
      <c r="AG74">
        <v>0.21199999999999999</v>
      </c>
      <c r="AH74">
        <v>-7.6999999999999999E-2</v>
      </c>
      <c r="AI74">
        <v>-0.03</v>
      </c>
    </row>
    <row r="75" spans="1:35" ht="15" customHeight="1" x14ac:dyDescent="0.25">
      <c r="A75" t="s">
        <v>1929</v>
      </c>
      <c r="B75" t="s">
        <v>32</v>
      </c>
      <c r="C75" s="25">
        <v>43706.06449074074</v>
      </c>
      <c r="D75" s="25" t="s">
        <v>969</v>
      </c>
      <c r="E75" s="424">
        <f t="array" ref="E75">SUMPRODUCT(IF(AMP1_6[[#This Row],[Dim 1_1]:[T 8]]-$F$4:$AI$4&lt;0,1,0)+IF($F$5:$AI$5-AMP1_6[[#This Row],[Dim 1_1]:[T 8]]&lt;0,1,0),IF(ISNUMBER(AMP1_6[[#This Row],[Dim 1_1]:[T 8]])=TRUE,1,0))</f>
        <v>0</v>
      </c>
      <c r="F75">
        <v>41.078000000000003</v>
      </c>
      <c r="G75">
        <v>41.000999999999998</v>
      </c>
      <c r="H75">
        <v>155.65899999999999</v>
      </c>
      <c r="I75">
        <v>155.71799999999999</v>
      </c>
      <c r="L75">
        <v>155.922</v>
      </c>
      <c r="M75">
        <v>155.81299999999999</v>
      </c>
      <c r="N75">
        <v>27.372</v>
      </c>
      <c r="O75">
        <v>27.434000000000001</v>
      </c>
      <c r="R75">
        <v>16.946999999999999</v>
      </c>
      <c r="S75">
        <v>16.960999999999999</v>
      </c>
      <c r="T75">
        <v>34.28</v>
      </c>
      <c r="U75">
        <v>35.049999999999997</v>
      </c>
      <c r="W75">
        <v>0.11</v>
      </c>
      <c r="X75">
        <v>-0.31900000000000001</v>
      </c>
      <c r="Z75">
        <v>6.0000000000000001E-3</v>
      </c>
      <c r="AA75">
        <v>-0.193</v>
      </c>
      <c r="AB75">
        <v>-0.30099999999999999</v>
      </c>
      <c r="AC75">
        <v>-0.31900000000000001</v>
      </c>
      <c r="AD75">
        <v>0.11</v>
      </c>
      <c r="AE75">
        <v>-0.10299999999999999</v>
      </c>
      <c r="AF75">
        <v>-0.193</v>
      </c>
      <c r="AG75">
        <v>-0.05</v>
      </c>
      <c r="AH75">
        <v>-0.16300000000000001</v>
      </c>
      <c r="AI75">
        <v>6.0000000000000001E-3</v>
      </c>
    </row>
    <row r="76" spans="1:35" hidden="1" x14ac:dyDescent="0.25">
      <c r="A76" t="s">
        <v>1930</v>
      </c>
      <c r="B76" t="s">
        <v>31</v>
      </c>
      <c r="C76" s="25">
        <v>43706.065983796296</v>
      </c>
      <c r="D76" s="25" t="s">
        <v>969</v>
      </c>
      <c r="E76" s="424">
        <f t="array" ref="E76">SUMPRODUCT(IF(AMP1_6[[#This Row],[Dim 1_1]:[T 8]]-$F$4:$AI$4&lt;0,1,0)+IF($F$5:$AI$5-AMP1_6[[#This Row],[Dim 1_1]:[T 8]]&lt;0,1,0),IF(ISNUMBER(AMP1_6[[#This Row],[Dim 1_1]:[T 8]])=TRUE,1,0))</f>
        <v>0</v>
      </c>
      <c r="H76">
        <v>155.98599999999999</v>
      </c>
      <c r="I76">
        <v>155.76400000000001</v>
      </c>
      <c r="J76">
        <v>168.51900000000001</v>
      </c>
      <c r="K76">
        <v>168.4</v>
      </c>
      <c r="L76">
        <v>156.148</v>
      </c>
      <c r="M76">
        <v>155.82900000000001</v>
      </c>
      <c r="N76">
        <v>27.193000000000001</v>
      </c>
      <c r="O76">
        <v>27.388999999999999</v>
      </c>
      <c r="R76">
        <v>16.84</v>
      </c>
      <c r="S76">
        <v>16.948</v>
      </c>
      <c r="T76">
        <v>36.826000000000001</v>
      </c>
      <c r="U76">
        <v>37.835000000000001</v>
      </c>
      <c r="W76">
        <v>-0.19500000000000001</v>
      </c>
      <c r="X76">
        <v>-0.38</v>
      </c>
      <c r="Z76">
        <v>5.5E-2</v>
      </c>
      <c r="AA76">
        <v>-0.157</v>
      </c>
      <c r="AB76">
        <v>-0.219</v>
      </c>
      <c r="AC76">
        <v>-0.19500000000000001</v>
      </c>
      <c r="AD76">
        <v>-0.308</v>
      </c>
      <c r="AE76">
        <v>-0.38</v>
      </c>
      <c r="AF76">
        <v>5.5E-2</v>
      </c>
      <c r="AG76">
        <v>4.1000000000000002E-2</v>
      </c>
      <c r="AH76">
        <v>-0.157</v>
      </c>
      <c r="AI76">
        <v>-0.11899999999999999</v>
      </c>
    </row>
    <row r="77" spans="1:35" ht="15" customHeight="1" x14ac:dyDescent="0.25">
      <c r="A77" t="s">
        <v>2218</v>
      </c>
      <c r="B77" t="s">
        <v>32</v>
      </c>
      <c r="C77" s="25">
        <v>43706.379988425928</v>
      </c>
      <c r="D77" s="25" t="s">
        <v>969</v>
      </c>
      <c r="E77" s="424">
        <f t="array" ref="E77">SUMPRODUCT(IF(AMP1_6[[#This Row],[Dim 1_1]:[T 8]]-$F$4:$AI$4&lt;0,1,0)+IF($F$5:$AI$5-AMP1_6[[#This Row],[Dim 1_1]:[T 8]]&lt;0,1,0),IF(ISNUMBER(AMP1_6[[#This Row],[Dim 1_1]:[T 8]])=TRUE,1,0))</f>
        <v>0</v>
      </c>
      <c r="F77">
        <v>41.054000000000002</v>
      </c>
      <c r="G77">
        <v>41.097000000000001</v>
      </c>
      <c r="H77">
        <v>155.71799999999999</v>
      </c>
      <c r="I77">
        <v>155.80799999999999</v>
      </c>
      <c r="L77">
        <v>155.94300000000001</v>
      </c>
      <c r="M77">
        <v>155.81100000000001</v>
      </c>
      <c r="N77">
        <v>27.376999999999999</v>
      </c>
      <c r="O77">
        <v>27.373999999999999</v>
      </c>
      <c r="R77">
        <v>16.963999999999999</v>
      </c>
      <c r="S77">
        <v>16.954999999999998</v>
      </c>
      <c r="T77">
        <v>34.439</v>
      </c>
      <c r="U77">
        <v>35.152999999999999</v>
      </c>
      <c r="W77">
        <v>0.14499999999999999</v>
      </c>
      <c r="X77">
        <v>-0.23599999999999999</v>
      </c>
      <c r="Z77">
        <v>8.5000000000000006E-2</v>
      </c>
      <c r="AA77">
        <v>-6.8000000000000005E-2</v>
      </c>
      <c r="AB77">
        <v>-0.23599999999999999</v>
      </c>
      <c r="AC77">
        <v>-0.20100000000000001</v>
      </c>
      <c r="AD77">
        <v>0.14499999999999999</v>
      </c>
      <c r="AE77">
        <v>-0.124</v>
      </c>
      <c r="AF77">
        <v>-4.8000000000000001E-2</v>
      </c>
      <c r="AG77">
        <v>8.5000000000000006E-2</v>
      </c>
      <c r="AH77">
        <v>-6.8000000000000005E-2</v>
      </c>
      <c r="AI77">
        <v>7.2999999999999995E-2</v>
      </c>
    </row>
    <row r="78" spans="1:35" hidden="1" x14ac:dyDescent="0.25">
      <c r="A78" t="s">
        <v>2219</v>
      </c>
      <c r="B78" t="s">
        <v>31</v>
      </c>
      <c r="C78" s="25">
        <v>43706.382199074076</v>
      </c>
      <c r="D78" s="25" t="s">
        <v>969</v>
      </c>
      <c r="E78" s="424">
        <f t="array" ref="E78">SUMPRODUCT(IF(AMP1_6[[#This Row],[Dim 1_1]:[T 8]]-$F$4:$AI$4&lt;0,1,0)+IF($F$5:$AI$5-AMP1_6[[#This Row],[Dim 1_1]:[T 8]]&lt;0,1,0),IF(ISNUMBER(AMP1_6[[#This Row],[Dim 1_1]:[T 8]])=TRUE,1,0))</f>
        <v>0</v>
      </c>
      <c r="H78">
        <v>155.89699999999999</v>
      </c>
      <c r="I78">
        <v>155.68199999999999</v>
      </c>
      <c r="J78">
        <v>168.49600000000001</v>
      </c>
      <c r="K78">
        <v>168.16499999999999</v>
      </c>
      <c r="L78">
        <v>156.042</v>
      </c>
      <c r="M78">
        <v>155.68899999999999</v>
      </c>
      <c r="N78">
        <v>27.286999999999999</v>
      </c>
      <c r="O78">
        <v>27.457999999999998</v>
      </c>
      <c r="R78">
        <v>16.815000000000001</v>
      </c>
      <c r="S78">
        <v>17.033999999999999</v>
      </c>
      <c r="T78">
        <v>38.131</v>
      </c>
      <c r="U78">
        <v>38.027999999999999</v>
      </c>
      <c r="W78">
        <v>-0.13800000000000001</v>
      </c>
      <c r="X78">
        <v>-0.49</v>
      </c>
      <c r="Z78">
        <v>0.17399999999999999</v>
      </c>
      <c r="AA78">
        <v>-0.20100000000000001</v>
      </c>
      <c r="AB78">
        <v>-0.159</v>
      </c>
      <c r="AC78">
        <v>-0.13800000000000001</v>
      </c>
      <c r="AD78">
        <v>-0.39</v>
      </c>
      <c r="AE78">
        <v>-0.49</v>
      </c>
      <c r="AF78">
        <v>0.16400000000000001</v>
      </c>
      <c r="AG78">
        <v>0.17399999999999999</v>
      </c>
      <c r="AH78">
        <v>-0.20100000000000001</v>
      </c>
      <c r="AI78">
        <v>-0.151</v>
      </c>
    </row>
    <row r="79" spans="1:35" ht="15" customHeight="1" x14ac:dyDescent="0.25">
      <c r="A79" t="s">
        <v>2360</v>
      </c>
      <c r="B79" t="s">
        <v>32</v>
      </c>
      <c r="C79" s="25">
        <v>43706.561076388891</v>
      </c>
      <c r="D79" s="25" t="s">
        <v>2238</v>
      </c>
      <c r="E79" s="424">
        <f t="array" ref="E79">SUMPRODUCT(IF(AMP1_6[[#This Row],[Dim 1_1]:[T 8]]-$F$4:$AI$4&lt;0,1,0)+IF($F$5:$AI$5-AMP1_6[[#This Row],[Dim 1_1]:[T 8]]&lt;0,1,0),IF(ISNUMBER(AMP1_6[[#This Row],[Dim 1_1]:[T 8]])=TRUE,1,0))</f>
        <v>0</v>
      </c>
      <c r="F79">
        <v>41.38</v>
      </c>
      <c r="G79">
        <v>41.31</v>
      </c>
      <c r="H79">
        <v>155.696</v>
      </c>
      <c r="I79">
        <v>155.73599999999999</v>
      </c>
      <c r="L79">
        <v>155.93100000000001</v>
      </c>
      <c r="M79">
        <v>155.77799999999999</v>
      </c>
      <c r="N79">
        <v>27.457999999999998</v>
      </c>
      <c r="O79">
        <v>27.492000000000001</v>
      </c>
      <c r="R79">
        <v>16.988</v>
      </c>
      <c r="S79">
        <v>17.024999999999999</v>
      </c>
      <c r="T79">
        <v>34.262999999999998</v>
      </c>
      <c r="U79">
        <v>35.073</v>
      </c>
      <c r="W79">
        <v>0.13</v>
      </c>
      <c r="X79">
        <v>-0.26300000000000001</v>
      </c>
      <c r="Z79">
        <v>2.4E-2</v>
      </c>
      <c r="AA79">
        <v>-0.17699999999999999</v>
      </c>
      <c r="AB79">
        <v>-0.20799999999999999</v>
      </c>
      <c r="AC79">
        <v>-0.26300000000000001</v>
      </c>
      <c r="AD79">
        <v>0.13</v>
      </c>
      <c r="AE79">
        <v>-0.104</v>
      </c>
      <c r="AF79">
        <v>-0.17699999999999999</v>
      </c>
      <c r="AG79">
        <v>-4.7E-2</v>
      </c>
      <c r="AH79">
        <v>-0.14899999999999999</v>
      </c>
      <c r="AI79">
        <v>2.4E-2</v>
      </c>
    </row>
    <row r="80" spans="1:35" hidden="1" x14ac:dyDescent="0.25">
      <c r="A80" t="s">
        <v>2361</v>
      </c>
      <c r="B80" t="s">
        <v>31</v>
      </c>
      <c r="C80" s="25">
        <v>43706.563483796293</v>
      </c>
      <c r="D80" s="25" t="s">
        <v>2238</v>
      </c>
      <c r="E80" s="424">
        <f t="array" ref="E80">SUMPRODUCT(IF(AMP1_6[[#This Row],[Dim 1_1]:[T 8]]-$F$4:$AI$4&lt;0,1,0)+IF($F$5:$AI$5-AMP1_6[[#This Row],[Dim 1_1]:[T 8]]&lt;0,1,0),IF(ISNUMBER(AMP1_6[[#This Row],[Dim 1_1]:[T 8]])=TRUE,1,0))</f>
        <v>0</v>
      </c>
      <c r="H80">
        <v>155.89699999999999</v>
      </c>
      <c r="I80">
        <v>155.62100000000001</v>
      </c>
      <c r="J80">
        <v>168.756</v>
      </c>
      <c r="K80">
        <v>168.64400000000001</v>
      </c>
      <c r="L80">
        <v>156.01</v>
      </c>
      <c r="M80">
        <v>155.58500000000001</v>
      </c>
      <c r="N80">
        <v>27.248000000000001</v>
      </c>
      <c r="O80">
        <v>27.45</v>
      </c>
      <c r="R80">
        <v>16.844000000000001</v>
      </c>
      <c r="S80">
        <v>17.027999999999999</v>
      </c>
      <c r="T80">
        <v>37.363999999999997</v>
      </c>
      <c r="U80">
        <v>37.811999999999998</v>
      </c>
      <c r="W80">
        <v>-0.17</v>
      </c>
      <c r="X80">
        <v>-0.51500000000000001</v>
      </c>
      <c r="Z80">
        <v>0.217</v>
      </c>
      <c r="AA80">
        <v>-0.151</v>
      </c>
      <c r="AB80">
        <v>-0.17</v>
      </c>
      <c r="AC80">
        <v>-0.193</v>
      </c>
      <c r="AD80">
        <v>-0.374</v>
      </c>
      <c r="AE80">
        <v>-0.51500000000000001</v>
      </c>
      <c r="AF80">
        <v>0.19700000000000001</v>
      </c>
      <c r="AG80">
        <v>0.217</v>
      </c>
      <c r="AH80">
        <v>-0.151</v>
      </c>
      <c r="AI80">
        <v>-0.113</v>
      </c>
    </row>
    <row r="81" spans="1:35" ht="15" customHeight="1" x14ac:dyDescent="0.25">
      <c r="A81" t="s">
        <v>2362</v>
      </c>
      <c r="B81" t="s">
        <v>32</v>
      </c>
      <c r="C81" s="25">
        <v>43706.696967592594</v>
      </c>
      <c r="D81" s="25" t="s">
        <v>2238</v>
      </c>
      <c r="E81" s="424">
        <f t="array" ref="E81">SUMPRODUCT(IF(AMP1_6[[#This Row],[Dim 1_1]:[T 8]]-$F$4:$AI$4&lt;0,1,0)+IF($F$5:$AI$5-AMP1_6[[#This Row],[Dim 1_1]:[T 8]]&lt;0,1,0),IF(ISNUMBER(AMP1_6[[#This Row],[Dim 1_1]:[T 8]])=TRUE,1,0))</f>
        <v>0</v>
      </c>
      <c r="F81">
        <v>41.366</v>
      </c>
      <c r="G81">
        <v>41.286000000000001</v>
      </c>
      <c r="H81">
        <v>155.684</v>
      </c>
      <c r="I81">
        <v>155.745</v>
      </c>
      <c r="L81">
        <v>155.934</v>
      </c>
      <c r="M81">
        <v>155.792</v>
      </c>
      <c r="N81">
        <v>27.42</v>
      </c>
      <c r="O81">
        <v>27.434000000000001</v>
      </c>
      <c r="R81">
        <v>16.997</v>
      </c>
      <c r="S81">
        <v>16.957000000000001</v>
      </c>
      <c r="T81">
        <v>34.259</v>
      </c>
      <c r="U81">
        <v>34.954000000000001</v>
      </c>
      <c r="W81">
        <v>0.113</v>
      </c>
      <c r="X81">
        <v>-0.26300000000000001</v>
      </c>
      <c r="Z81">
        <v>1.2E-2</v>
      </c>
      <c r="AA81">
        <v>-0.19400000000000001</v>
      </c>
      <c r="AB81">
        <v>-0.245</v>
      </c>
      <c r="AC81">
        <v>-0.26300000000000001</v>
      </c>
      <c r="AD81">
        <v>0.113</v>
      </c>
      <c r="AE81">
        <v>-0.13800000000000001</v>
      </c>
      <c r="AF81">
        <v>-0.19400000000000001</v>
      </c>
      <c r="AG81">
        <v>-6.7000000000000004E-2</v>
      </c>
      <c r="AH81">
        <v>-0.14699999999999999</v>
      </c>
      <c r="AI81">
        <v>1.2E-2</v>
      </c>
    </row>
    <row r="82" spans="1:35" hidden="1" x14ac:dyDescent="0.25">
      <c r="A82" t="s">
        <v>2363</v>
      </c>
      <c r="B82" t="s">
        <v>31</v>
      </c>
      <c r="C82" s="25">
        <v>43706.699016203704</v>
      </c>
      <c r="D82" s="25" t="s">
        <v>2238</v>
      </c>
      <c r="E82" s="424">
        <f t="array" ref="E82">SUMPRODUCT(IF(AMP1_6[[#This Row],[Dim 1_1]:[T 8]]-$F$4:$AI$4&lt;0,1,0)+IF($F$5:$AI$5-AMP1_6[[#This Row],[Dim 1_1]:[T 8]]&lt;0,1,0),IF(ISNUMBER(AMP1_6[[#This Row],[Dim 1_1]:[T 8]])=TRUE,1,0))</f>
        <v>0</v>
      </c>
      <c r="H82">
        <v>155.92500000000001</v>
      </c>
      <c r="I82">
        <v>155.65899999999999</v>
      </c>
      <c r="J82">
        <v>168.77</v>
      </c>
      <c r="K82">
        <v>168.58</v>
      </c>
      <c r="L82">
        <v>156.04900000000001</v>
      </c>
      <c r="M82">
        <v>155.67599999999999</v>
      </c>
      <c r="N82">
        <v>27.212</v>
      </c>
      <c r="O82">
        <v>27.442</v>
      </c>
      <c r="R82">
        <v>16.885000000000002</v>
      </c>
      <c r="S82">
        <v>17.018999999999998</v>
      </c>
      <c r="T82">
        <v>38.709000000000003</v>
      </c>
      <c r="U82">
        <v>40.206000000000003</v>
      </c>
      <c r="W82">
        <v>-0.17</v>
      </c>
      <c r="X82">
        <v>-0.46600000000000003</v>
      </c>
      <c r="Z82">
        <v>0.161</v>
      </c>
      <c r="AA82">
        <v>-0.153</v>
      </c>
      <c r="AB82">
        <v>-0.19400000000000001</v>
      </c>
      <c r="AC82">
        <v>-0.17</v>
      </c>
      <c r="AD82">
        <v>-0.36699999999999999</v>
      </c>
      <c r="AE82">
        <v>-0.46600000000000003</v>
      </c>
      <c r="AF82">
        <v>0.14499999999999999</v>
      </c>
      <c r="AG82">
        <v>0.161</v>
      </c>
      <c r="AH82">
        <v>-0.13200000000000001</v>
      </c>
      <c r="AI82">
        <v>-0.153</v>
      </c>
    </row>
    <row r="83" spans="1:35" ht="15" customHeight="1" x14ac:dyDescent="0.25">
      <c r="A83" t="s">
        <v>2364</v>
      </c>
      <c r="B83" t="s">
        <v>32</v>
      </c>
      <c r="C83" s="25">
        <v>43706.803761574076</v>
      </c>
      <c r="D83" s="25" t="s">
        <v>2238</v>
      </c>
      <c r="E83" s="424">
        <f t="array" ref="E83">SUMPRODUCT(IF(AMP1_6[[#This Row],[Dim 1_1]:[T 8]]-$F$4:$AI$4&lt;0,1,0)+IF($F$5:$AI$5-AMP1_6[[#This Row],[Dim 1_1]:[T 8]]&lt;0,1,0),IF(ISNUMBER(AMP1_6[[#This Row],[Dim 1_1]:[T 8]])=TRUE,1,0))</f>
        <v>0</v>
      </c>
      <c r="F83">
        <v>41.165999999999997</v>
      </c>
      <c r="G83">
        <v>41.078000000000003</v>
      </c>
      <c r="H83">
        <v>155.74100000000001</v>
      </c>
      <c r="I83">
        <v>155.82400000000001</v>
      </c>
      <c r="L83">
        <v>155.98599999999999</v>
      </c>
      <c r="M83">
        <v>155.857</v>
      </c>
      <c r="N83">
        <v>27.369</v>
      </c>
      <c r="O83">
        <v>27.38</v>
      </c>
      <c r="R83">
        <v>17.012</v>
      </c>
      <c r="S83">
        <v>16.945</v>
      </c>
      <c r="T83">
        <v>34.436</v>
      </c>
      <c r="U83">
        <v>34.793999999999997</v>
      </c>
      <c r="W83">
        <v>0.14399999999999999</v>
      </c>
      <c r="X83">
        <v>-0.38400000000000001</v>
      </c>
      <c r="Z83">
        <v>-7.6999999999999999E-2</v>
      </c>
      <c r="AA83">
        <v>-0.374</v>
      </c>
      <c r="AB83">
        <v>-0.36199999999999999</v>
      </c>
      <c r="AC83">
        <v>-0.38400000000000001</v>
      </c>
      <c r="AD83">
        <v>0.14399999999999999</v>
      </c>
      <c r="AE83">
        <v>-5.3999999999999999E-2</v>
      </c>
      <c r="AF83">
        <v>-0.374</v>
      </c>
      <c r="AG83">
        <v>-0.27800000000000002</v>
      </c>
      <c r="AH83">
        <v>-0.23300000000000001</v>
      </c>
      <c r="AI83">
        <v>-7.6999999999999999E-2</v>
      </c>
    </row>
    <row r="84" spans="1:35" hidden="1" x14ac:dyDescent="0.25">
      <c r="A84" t="s">
        <v>2365</v>
      </c>
      <c r="B84" t="s">
        <v>31</v>
      </c>
      <c r="C84" s="25">
        <v>43706.805844907409</v>
      </c>
      <c r="D84" s="25" t="s">
        <v>2238</v>
      </c>
      <c r="E84" s="424">
        <f t="array" ref="E84">SUMPRODUCT(IF(AMP1_6[[#This Row],[Dim 1_1]:[T 8]]-$F$4:$AI$4&lt;0,1,0)+IF($F$5:$AI$5-AMP1_6[[#This Row],[Dim 1_1]:[T 8]]&lt;0,1,0),IF(ISNUMBER(AMP1_6[[#This Row],[Dim 1_1]:[T 8]])=TRUE,1,0))</f>
        <v>0</v>
      </c>
      <c r="H84">
        <v>156.05199999999999</v>
      </c>
      <c r="I84">
        <v>155.78299999999999</v>
      </c>
      <c r="J84">
        <v>168.66</v>
      </c>
      <c r="K84">
        <v>168.52199999999999</v>
      </c>
      <c r="L84">
        <v>156.185</v>
      </c>
      <c r="M84">
        <v>155.83199999999999</v>
      </c>
      <c r="N84">
        <v>27.088000000000001</v>
      </c>
      <c r="O84">
        <v>27.228000000000002</v>
      </c>
      <c r="R84">
        <v>16.856999999999999</v>
      </c>
      <c r="S84">
        <v>17.041</v>
      </c>
      <c r="T84">
        <v>36.902999999999999</v>
      </c>
      <c r="U84">
        <v>37.841999999999999</v>
      </c>
      <c r="W84">
        <v>-0.36699999999999999</v>
      </c>
      <c r="X84">
        <v>-0.63900000000000001</v>
      </c>
      <c r="Z84">
        <v>-2.8000000000000001E-2</v>
      </c>
      <c r="AA84">
        <v>-0.371</v>
      </c>
      <c r="AB84">
        <v>-0.36699999999999999</v>
      </c>
      <c r="AC84">
        <v>-0.372</v>
      </c>
      <c r="AD84">
        <v>-0.59699999999999998</v>
      </c>
      <c r="AE84">
        <v>-0.63900000000000001</v>
      </c>
      <c r="AF84">
        <v>-6.5000000000000002E-2</v>
      </c>
      <c r="AG84">
        <v>-2.8000000000000001E-2</v>
      </c>
      <c r="AH84">
        <v>-0.371</v>
      </c>
      <c r="AI84">
        <v>-0.318</v>
      </c>
    </row>
    <row r="85" spans="1:35" ht="15" customHeight="1" x14ac:dyDescent="0.25">
      <c r="A85" t="s">
        <v>2366</v>
      </c>
      <c r="B85" t="s">
        <v>32</v>
      </c>
      <c r="C85" s="25">
        <v>43706.979155092595</v>
      </c>
      <c r="D85" s="25" t="s">
        <v>2238</v>
      </c>
      <c r="E85" s="424">
        <f t="array" ref="E85">SUMPRODUCT(IF(AMP1_6[[#This Row],[Dim 1_1]:[T 8]]-$F$4:$AI$4&lt;0,1,0)+IF($F$5:$AI$5-AMP1_6[[#This Row],[Dim 1_1]:[T 8]]&lt;0,1,0),IF(ISNUMBER(AMP1_6[[#This Row],[Dim 1_1]:[T 8]])=TRUE,1,0))</f>
        <v>0</v>
      </c>
      <c r="F85">
        <v>41.216999999999999</v>
      </c>
      <c r="G85">
        <v>41.204000000000001</v>
      </c>
      <c r="H85">
        <v>155.69900000000001</v>
      </c>
      <c r="I85">
        <v>155.76599999999999</v>
      </c>
      <c r="L85">
        <v>155.904</v>
      </c>
      <c r="M85">
        <v>155.733</v>
      </c>
      <c r="N85">
        <v>27.422000000000001</v>
      </c>
      <c r="O85">
        <v>27.5</v>
      </c>
      <c r="R85">
        <v>16.962</v>
      </c>
      <c r="S85">
        <v>16.917000000000002</v>
      </c>
      <c r="T85">
        <v>34.246000000000002</v>
      </c>
      <c r="U85">
        <v>35.234000000000002</v>
      </c>
      <c r="W85">
        <v>4.2999999999999997E-2</v>
      </c>
      <c r="X85">
        <v>-0.28399999999999997</v>
      </c>
      <c r="Z85">
        <v>0.14499999999999999</v>
      </c>
      <c r="AA85">
        <v>-6.7000000000000004E-2</v>
      </c>
      <c r="AB85">
        <v>-0.247</v>
      </c>
      <c r="AC85">
        <v>-0.28399999999999997</v>
      </c>
      <c r="AD85">
        <v>4.2999999999999997E-2</v>
      </c>
      <c r="AE85">
        <v>-0.18099999999999999</v>
      </c>
      <c r="AF85">
        <v>-6.7000000000000004E-2</v>
      </c>
      <c r="AG85">
        <v>6.3E-2</v>
      </c>
      <c r="AH85">
        <v>-2.3E-2</v>
      </c>
      <c r="AI85">
        <v>0.14499999999999999</v>
      </c>
    </row>
    <row r="86" spans="1:35" hidden="1" x14ac:dyDescent="0.25">
      <c r="A86" t="s">
        <v>2367</v>
      </c>
      <c r="B86" t="s">
        <v>31</v>
      </c>
      <c r="C86" s="25">
        <v>43706.981666666667</v>
      </c>
      <c r="D86" s="25" t="s">
        <v>2238</v>
      </c>
      <c r="E86" s="424">
        <f t="array" ref="E86">SUMPRODUCT(IF(AMP1_6[[#This Row],[Dim 1_1]:[T 8]]-$F$4:$AI$4&lt;0,1,0)+IF($F$5:$AI$5-AMP1_6[[#This Row],[Dim 1_1]:[T 8]]&lt;0,1,0),IF(ISNUMBER(AMP1_6[[#This Row],[Dim 1_1]:[T 8]])=TRUE,1,0))</f>
        <v>0</v>
      </c>
      <c r="H86">
        <v>156.04599999999999</v>
      </c>
      <c r="I86">
        <v>155.78100000000001</v>
      </c>
      <c r="J86">
        <v>168.54499999999999</v>
      </c>
      <c r="K86">
        <v>168.34100000000001</v>
      </c>
      <c r="L86">
        <v>156.08199999999999</v>
      </c>
      <c r="M86">
        <v>155.64500000000001</v>
      </c>
      <c r="N86">
        <v>27.234000000000002</v>
      </c>
      <c r="O86">
        <v>27.518000000000001</v>
      </c>
      <c r="R86">
        <v>16.861999999999998</v>
      </c>
      <c r="S86">
        <v>16.983000000000001</v>
      </c>
      <c r="T86">
        <v>37.332000000000001</v>
      </c>
      <c r="U86">
        <v>36.725999999999999</v>
      </c>
      <c r="W86">
        <v>-9.5000000000000001E-2</v>
      </c>
      <c r="X86">
        <v>-0.441</v>
      </c>
      <c r="Z86">
        <v>0.186</v>
      </c>
      <c r="AA86">
        <v>-0.151</v>
      </c>
      <c r="AB86">
        <v>-9.5000000000000001E-2</v>
      </c>
      <c r="AC86">
        <v>-0.13</v>
      </c>
      <c r="AD86">
        <v>-0.34799999999999998</v>
      </c>
      <c r="AE86">
        <v>-0.441</v>
      </c>
      <c r="AF86">
        <v>0.186</v>
      </c>
      <c r="AG86">
        <v>0.161</v>
      </c>
      <c r="AH86">
        <v>-0.151</v>
      </c>
      <c r="AI86">
        <v>-0.14899999999999999</v>
      </c>
    </row>
    <row r="87" spans="1:35" ht="15" customHeight="1" x14ac:dyDescent="0.25">
      <c r="A87" t="s">
        <v>2368</v>
      </c>
      <c r="B87" t="s">
        <v>32</v>
      </c>
      <c r="C87" s="25">
        <v>43707.04210648148</v>
      </c>
      <c r="D87" s="25" t="s">
        <v>2238</v>
      </c>
      <c r="E87" s="424">
        <f t="array" ref="E87">SUMPRODUCT(IF(AMP1_6[[#This Row],[Dim 1_1]:[T 8]]-$F$4:$AI$4&lt;0,1,0)+IF($F$5:$AI$5-AMP1_6[[#This Row],[Dim 1_1]:[T 8]]&lt;0,1,0),IF(ISNUMBER(AMP1_6[[#This Row],[Dim 1_1]:[T 8]])=TRUE,1,0))</f>
        <v>0</v>
      </c>
      <c r="F87">
        <v>41.063000000000002</v>
      </c>
      <c r="G87">
        <v>40.904000000000003</v>
      </c>
      <c r="H87">
        <v>155.73699999999999</v>
      </c>
      <c r="I87">
        <v>155.863</v>
      </c>
      <c r="L87">
        <v>155.95599999999999</v>
      </c>
      <c r="M87">
        <v>155.88800000000001</v>
      </c>
      <c r="N87">
        <v>27.384</v>
      </c>
      <c r="O87">
        <v>27.364999999999998</v>
      </c>
      <c r="R87">
        <v>17.003</v>
      </c>
      <c r="S87">
        <v>16.896000000000001</v>
      </c>
      <c r="T87">
        <v>34.125</v>
      </c>
      <c r="U87">
        <v>35.253</v>
      </c>
      <c r="W87">
        <v>0.13600000000000001</v>
      </c>
      <c r="X87">
        <v>-0.40300000000000002</v>
      </c>
      <c r="Z87">
        <v>0.03</v>
      </c>
      <c r="AA87">
        <v>-0.29099999999999998</v>
      </c>
      <c r="AB87">
        <v>-0.36199999999999999</v>
      </c>
      <c r="AC87">
        <v>-0.40300000000000002</v>
      </c>
      <c r="AD87">
        <v>0.13600000000000001</v>
      </c>
      <c r="AE87">
        <v>-0.155</v>
      </c>
      <c r="AF87">
        <v>-0.29099999999999998</v>
      </c>
      <c r="AG87">
        <v>-0.14399999999999999</v>
      </c>
      <c r="AH87">
        <v>-0.13900000000000001</v>
      </c>
      <c r="AI87">
        <v>0.03</v>
      </c>
    </row>
    <row r="88" spans="1:35" hidden="1" x14ac:dyDescent="0.25">
      <c r="A88" t="s">
        <v>2369</v>
      </c>
      <c r="B88" t="s">
        <v>31</v>
      </c>
      <c r="C88" s="25">
        <v>43707.04415509259</v>
      </c>
      <c r="D88" s="25" t="s">
        <v>2238</v>
      </c>
      <c r="E88" s="424">
        <f t="array" ref="E88">SUMPRODUCT(IF(AMP1_6[[#This Row],[Dim 1_1]:[T 8]]-$F$4:$AI$4&lt;0,1,0)+IF($F$5:$AI$5-AMP1_6[[#This Row],[Dim 1_1]:[T 8]]&lt;0,1,0),IF(ISNUMBER(AMP1_6[[#This Row],[Dim 1_1]:[T 8]])=TRUE,1,0))</f>
        <v>0</v>
      </c>
      <c r="H88">
        <v>155.99</v>
      </c>
      <c r="I88">
        <v>155.76599999999999</v>
      </c>
      <c r="J88">
        <v>168.49</v>
      </c>
      <c r="K88">
        <v>168.32300000000001</v>
      </c>
      <c r="L88">
        <v>156.15799999999999</v>
      </c>
      <c r="M88">
        <v>155.75700000000001</v>
      </c>
      <c r="N88">
        <v>27.172999999999998</v>
      </c>
      <c r="O88">
        <v>27.396000000000001</v>
      </c>
      <c r="R88">
        <v>16.856999999999999</v>
      </c>
      <c r="S88">
        <v>16.974</v>
      </c>
      <c r="T88">
        <v>38.594999999999999</v>
      </c>
      <c r="U88">
        <v>39.78</v>
      </c>
      <c r="W88">
        <v>-0.29699999999999999</v>
      </c>
      <c r="X88">
        <v>-0.56799999999999995</v>
      </c>
      <c r="Z88">
        <v>5.0999999999999997E-2</v>
      </c>
      <c r="AA88">
        <v>-0.16600000000000001</v>
      </c>
      <c r="AB88">
        <v>-0.29699999999999999</v>
      </c>
      <c r="AC88">
        <v>-0.32700000000000001</v>
      </c>
      <c r="AD88">
        <v>-0.45200000000000001</v>
      </c>
      <c r="AE88">
        <v>-0.56799999999999995</v>
      </c>
      <c r="AF88">
        <v>5.0999999999999997E-2</v>
      </c>
      <c r="AG88">
        <v>4.7E-2</v>
      </c>
      <c r="AH88">
        <v>-0.16600000000000001</v>
      </c>
      <c r="AI88">
        <v>-0.153</v>
      </c>
    </row>
    <row r="89" spans="1:35" ht="15" customHeight="1" x14ac:dyDescent="0.25">
      <c r="A89" t="s">
        <v>2370</v>
      </c>
      <c r="B89" t="s">
        <v>32</v>
      </c>
      <c r="C89" s="25">
        <v>43707.380555555559</v>
      </c>
      <c r="D89" s="25" t="s">
        <v>2238</v>
      </c>
      <c r="E89" s="424">
        <f t="array" ref="E89">SUMPRODUCT(IF(AMP1_6[[#This Row],[Dim 1_1]:[T 8]]-$F$4:$AI$4&lt;0,1,0)+IF($F$5:$AI$5-AMP1_6[[#This Row],[Dim 1_1]:[T 8]]&lt;0,1,0),IF(ISNUMBER(AMP1_6[[#This Row],[Dim 1_1]:[T 8]])=TRUE,1,0))</f>
        <v>0</v>
      </c>
      <c r="F89">
        <v>41.262999999999998</v>
      </c>
      <c r="G89">
        <v>40.965000000000003</v>
      </c>
      <c r="H89">
        <v>155.66</v>
      </c>
      <c r="I89">
        <v>155.76900000000001</v>
      </c>
      <c r="L89">
        <v>155.87899999999999</v>
      </c>
      <c r="M89">
        <v>155.75700000000001</v>
      </c>
      <c r="N89">
        <v>27.463000000000001</v>
      </c>
      <c r="O89">
        <v>27.437000000000001</v>
      </c>
      <c r="R89">
        <v>16.983000000000001</v>
      </c>
      <c r="S89">
        <v>16.992000000000001</v>
      </c>
      <c r="T89">
        <v>34.298000000000002</v>
      </c>
      <c r="U89">
        <v>35.136000000000003</v>
      </c>
      <c r="W89">
        <v>0.17499999999999999</v>
      </c>
      <c r="X89">
        <v>-0.187</v>
      </c>
      <c r="Z89">
        <v>8.1000000000000003E-2</v>
      </c>
      <c r="AA89">
        <v>-0.10299999999999999</v>
      </c>
      <c r="AB89">
        <v>-0.17199999999999999</v>
      </c>
      <c r="AC89">
        <v>-0.187</v>
      </c>
      <c r="AD89">
        <v>0.17499999999999999</v>
      </c>
      <c r="AE89">
        <v>-0.13800000000000001</v>
      </c>
      <c r="AF89">
        <v>-0.10299999999999999</v>
      </c>
      <c r="AG89">
        <v>1.2999999999999999E-2</v>
      </c>
      <c r="AH89">
        <v>-7.9000000000000001E-2</v>
      </c>
      <c r="AI89">
        <v>8.1000000000000003E-2</v>
      </c>
    </row>
    <row r="90" spans="1:35" hidden="1" x14ac:dyDescent="0.25">
      <c r="A90" t="s">
        <v>2371</v>
      </c>
      <c r="B90" t="s">
        <v>31</v>
      </c>
      <c r="C90" s="25">
        <v>43707.382743055554</v>
      </c>
      <c r="D90" s="25" t="s">
        <v>2238</v>
      </c>
      <c r="E90" s="424">
        <f t="array" ref="E90">SUMPRODUCT(IF(AMP1_6[[#This Row],[Dim 1_1]:[T 8]]-$F$4:$AI$4&lt;0,1,0)+IF($F$5:$AI$5-AMP1_6[[#This Row],[Dim 1_1]:[T 8]]&lt;0,1,0),IF(ISNUMBER(AMP1_6[[#This Row],[Dim 1_1]:[T 8]])=TRUE,1,0))</f>
        <v>0</v>
      </c>
      <c r="H90">
        <v>155.899</v>
      </c>
      <c r="I90">
        <v>155.63499999999999</v>
      </c>
      <c r="J90">
        <v>168.637</v>
      </c>
      <c r="K90">
        <v>168.23500000000001</v>
      </c>
      <c r="L90">
        <v>156.08600000000001</v>
      </c>
      <c r="M90">
        <v>155.59299999999999</v>
      </c>
      <c r="N90">
        <v>27.207999999999998</v>
      </c>
      <c r="O90">
        <v>27.414999999999999</v>
      </c>
      <c r="R90">
        <v>16.838000000000001</v>
      </c>
      <c r="S90">
        <v>17.053999999999998</v>
      </c>
      <c r="T90">
        <v>36.686</v>
      </c>
      <c r="U90">
        <v>36.255000000000003</v>
      </c>
      <c r="W90">
        <v>-0.13100000000000001</v>
      </c>
      <c r="X90">
        <v>-0.53200000000000003</v>
      </c>
      <c r="Z90">
        <v>0.247</v>
      </c>
      <c r="AA90">
        <v>-0.13900000000000001</v>
      </c>
      <c r="AB90">
        <v>-0.14699999999999999</v>
      </c>
      <c r="AC90">
        <v>-0.13100000000000001</v>
      </c>
      <c r="AD90">
        <v>-0.42799999999999999</v>
      </c>
      <c r="AE90">
        <v>-0.53200000000000003</v>
      </c>
      <c r="AF90">
        <v>0.22800000000000001</v>
      </c>
      <c r="AG90">
        <v>0.247</v>
      </c>
      <c r="AH90">
        <v>-0.13400000000000001</v>
      </c>
      <c r="AI90">
        <v>-0.13900000000000001</v>
      </c>
    </row>
    <row r="91" spans="1:35" ht="15" customHeight="1" x14ac:dyDescent="0.25">
      <c r="A91" t="s">
        <v>2522</v>
      </c>
      <c r="B91" t="s">
        <v>32</v>
      </c>
      <c r="C91" s="25">
        <v>43707.468587962961</v>
      </c>
      <c r="D91" s="25" t="s">
        <v>2238</v>
      </c>
      <c r="E91" s="424">
        <f t="array" ref="E91">SUMPRODUCT(IF(AMP1_6[[#This Row],[Dim 1_1]:[T 8]]-$F$4:$AI$4&lt;0,1,0)+IF($F$5:$AI$5-AMP1_6[[#This Row],[Dim 1_1]:[T 8]]&lt;0,1,0),IF(ISNUMBER(AMP1_6[[#This Row],[Dim 1_1]:[T 8]])=TRUE,1,0))</f>
        <v>0</v>
      </c>
      <c r="F91">
        <v>41.137999999999998</v>
      </c>
      <c r="G91">
        <v>40.994</v>
      </c>
      <c r="H91">
        <v>155.767</v>
      </c>
      <c r="I91">
        <v>155.86500000000001</v>
      </c>
      <c r="L91">
        <v>156.00399999999999</v>
      </c>
      <c r="M91">
        <v>155.899</v>
      </c>
      <c r="N91">
        <v>27.33</v>
      </c>
      <c r="O91">
        <v>27.329000000000001</v>
      </c>
      <c r="R91">
        <v>16.988</v>
      </c>
      <c r="S91">
        <v>16.908999999999999</v>
      </c>
      <c r="T91">
        <v>34.357999999999997</v>
      </c>
      <c r="U91">
        <v>35.055</v>
      </c>
      <c r="W91">
        <v>8.5000000000000006E-2</v>
      </c>
      <c r="X91">
        <v>-0.36299999999999999</v>
      </c>
      <c r="Z91">
        <v>7.0000000000000001E-3</v>
      </c>
      <c r="AA91">
        <v>-0.21299999999999999</v>
      </c>
      <c r="AB91">
        <v>-0.318</v>
      </c>
      <c r="AC91">
        <v>-0.36299999999999999</v>
      </c>
      <c r="AD91">
        <v>8.5000000000000006E-2</v>
      </c>
      <c r="AE91">
        <v>-0.186</v>
      </c>
      <c r="AF91">
        <v>-0.21299999999999999</v>
      </c>
      <c r="AG91">
        <v>-7.0999999999999994E-2</v>
      </c>
      <c r="AH91">
        <v>-0.161</v>
      </c>
      <c r="AI91">
        <v>7.0000000000000001E-3</v>
      </c>
    </row>
    <row r="92" spans="1:35" hidden="1" x14ac:dyDescent="0.25">
      <c r="A92" t="s">
        <v>2523</v>
      </c>
      <c r="B92" t="s">
        <v>31</v>
      </c>
      <c r="C92" s="25">
        <v>43707.470763888887</v>
      </c>
      <c r="D92" s="25" t="s">
        <v>2238</v>
      </c>
      <c r="E92" s="424">
        <f t="array" ref="E92">SUMPRODUCT(IF(AMP1_6[[#This Row],[Dim 1_1]:[T 8]]-$F$4:$AI$4&lt;0,1,0)+IF($F$5:$AI$5-AMP1_6[[#This Row],[Dim 1_1]:[T 8]]&lt;0,1,0),IF(ISNUMBER(AMP1_6[[#This Row],[Dim 1_1]:[T 8]])=TRUE,1,0))</f>
        <v>0</v>
      </c>
      <c r="H92">
        <v>155.99</v>
      </c>
      <c r="I92">
        <v>155.696</v>
      </c>
      <c r="J92">
        <v>168.613</v>
      </c>
      <c r="K92">
        <v>168.214</v>
      </c>
      <c r="L92">
        <v>156.18299999999999</v>
      </c>
      <c r="M92">
        <v>155.69300000000001</v>
      </c>
      <c r="N92">
        <v>27.193000000000001</v>
      </c>
      <c r="O92">
        <v>27.398</v>
      </c>
      <c r="R92">
        <v>16.838000000000001</v>
      </c>
      <c r="S92">
        <v>17.023</v>
      </c>
      <c r="T92">
        <v>39.030999999999999</v>
      </c>
      <c r="U92">
        <v>40.365000000000002</v>
      </c>
      <c r="W92">
        <v>-0.23899999999999999</v>
      </c>
      <c r="X92">
        <v>-0.61599999999999999</v>
      </c>
      <c r="Z92">
        <v>0.111</v>
      </c>
      <c r="AA92">
        <v>-0.19900000000000001</v>
      </c>
      <c r="AB92">
        <v>-0.23899999999999999</v>
      </c>
      <c r="AC92">
        <v>-0.246</v>
      </c>
      <c r="AD92">
        <v>-0.51600000000000001</v>
      </c>
      <c r="AE92">
        <v>-0.61599999999999999</v>
      </c>
      <c r="AF92">
        <v>9.1999999999999998E-2</v>
      </c>
      <c r="AG92">
        <v>0.111</v>
      </c>
      <c r="AH92">
        <v>-0.19900000000000001</v>
      </c>
      <c r="AI92">
        <v>-0.19600000000000001</v>
      </c>
    </row>
    <row r="93" spans="1:35" ht="15" customHeight="1" x14ac:dyDescent="0.25">
      <c r="A93" t="s">
        <v>2524</v>
      </c>
      <c r="B93" t="s">
        <v>32</v>
      </c>
      <c r="C93" s="25">
        <v>43707.634884259256</v>
      </c>
      <c r="D93" s="25" t="s">
        <v>2238</v>
      </c>
      <c r="E93" s="424">
        <f t="array" ref="E93">SUMPRODUCT(IF(AMP1_6[[#This Row],[Dim 1_1]:[T 8]]-$F$4:$AI$4&lt;0,1,0)+IF($F$5:$AI$5-AMP1_6[[#This Row],[Dim 1_1]:[T 8]]&lt;0,1,0),IF(ISNUMBER(AMP1_6[[#This Row],[Dim 1_1]:[T 8]])=TRUE,1,0))</f>
        <v>0</v>
      </c>
      <c r="F93">
        <v>41.277999999999999</v>
      </c>
      <c r="G93">
        <v>41.148000000000003</v>
      </c>
      <c r="H93">
        <v>155.68</v>
      </c>
      <c r="I93">
        <v>155.76</v>
      </c>
      <c r="L93">
        <v>155.88200000000001</v>
      </c>
      <c r="M93">
        <v>155.76499999999999</v>
      </c>
      <c r="N93">
        <v>27.411999999999999</v>
      </c>
      <c r="O93">
        <v>27.414999999999999</v>
      </c>
      <c r="R93">
        <v>16.98</v>
      </c>
      <c r="S93">
        <v>16.902999999999999</v>
      </c>
      <c r="T93">
        <v>34.57</v>
      </c>
      <c r="U93">
        <v>34.776000000000003</v>
      </c>
      <c r="W93">
        <v>0.156</v>
      </c>
      <c r="X93">
        <v>-0.29499999999999998</v>
      </c>
      <c r="Z93">
        <v>1.2E-2</v>
      </c>
      <c r="AA93">
        <v>-0.22500000000000001</v>
      </c>
      <c r="AB93">
        <v>-0.27400000000000002</v>
      </c>
      <c r="AC93">
        <v>-0.29499999999999998</v>
      </c>
      <c r="AD93">
        <v>0.156</v>
      </c>
      <c r="AE93">
        <v>-0.122</v>
      </c>
      <c r="AF93">
        <v>-0.22500000000000001</v>
      </c>
      <c r="AG93">
        <v>-0.10199999999999999</v>
      </c>
      <c r="AH93">
        <v>-0.159</v>
      </c>
      <c r="AI93">
        <v>1.2E-2</v>
      </c>
    </row>
    <row r="94" spans="1:35" hidden="1" x14ac:dyDescent="0.25">
      <c r="A94" t="s">
        <v>2525</v>
      </c>
      <c r="B94" t="s">
        <v>31</v>
      </c>
      <c r="C94" s="25">
        <v>43707.637094907404</v>
      </c>
      <c r="D94" s="25" t="s">
        <v>2238</v>
      </c>
      <c r="E94" s="424">
        <f t="array" ref="E94">SUMPRODUCT(IF(AMP1_6[[#This Row],[Dim 1_1]:[T 8]]-$F$4:$AI$4&lt;0,1,0)+IF($F$5:$AI$5-AMP1_6[[#This Row],[Dim 1_1]:[T 8]]&lt;0,1,0),IF(ISNUMBER(AMP1_6[[#This Row],[Dim 1_1]:[T 8]])=TRUE,1,0))</f>
        <v>0</v>
      </c>
      <c r="H94">
        <v>155.93</v>
      </c>
      <c r="I94">
        <v>155.66</v>
      </c>
      <c r="J94">
        <v>168.624</v>
      </c>
      <c r="K94">
        <v>168.471</v>
      </c>
      <c r="L94">
        <v>156.09</v>
      </c>
      <c r="M94">
        <v>155.626</v>
      </c>
      <c r="N94">
        <v>27.207999999999998</v>
      </c>
      <c r="O94">
        <v>27.457999999999998</v>
      </c>
      <c r="R94">
        <v>16.846</v>
      </c>
      <c r="S94">
        <v>16.951000000000001</v>
      </c>
      <c r="T94">
        <v>33.962000000000003</v>
      </c>
      <c r="U94">
        <v>34.622999999999998</v>
      </c>
      <c r="W94">
        <v>-0.182</v>
      </c>
      <c r="X94">
        <v>-0.59799999999999998</v>
      </c>
      <c r="Z94">
        <v>0.153</v>
      </c>
      <c r="AA94">
        <v>-0.14799999999999999</v>
      </c>
      <c r="AB94">
        <v>-0.182</v>
      </c>
      <c r="AC94">
        <v>-0.187</v>
      </c>
      <c r="AD94">
        <v>-0.42799999999999999</v>
      </c>
      <c r="AE94">
        <v>-0.59799999999999998</v>
      </c>
      <c r="AF94">
        <v>0.152</v>
      </c>
      <c r="AG94">
        <v>0.153</v>
      </c>
      <c r="AH94">
        <v>-0.14799999999999999</v>
      </c>
      <c r="AI94">
        <v>-0.13100000000000001</v>
      </c>
    </row>
    <row r="95" spans="1:35" ht="15" customHeight="1" x14ac:dyDescent="0.25">
      <c r="A95" t="s">
        <v>2724</v>
      </c>
      <c r="B95" t="s">
        <v>32</v>
      </c>
      <c r="C95" s="25">
        <v>43711.547523148147</v>
      </c>
      <c r="D95" s="25" t="s">
        <v>2238</v>
      </c>
      <c r="E95" s="424">
        <f t="array" ref="E95">SUMPRODUCT(IF(AMP1_6[[#This Row],[Dim 1_1]:[T 8]]-$F$4:$AI$4&lt;0,1,0)+IF($F$5:$AI$5-AMP1_6[[#This Row],[Dim 1_1]:[T 8]]&lt;0,1,0),IF(ISNUMBER(AMP1_6[[#This Row],[Dim 1_1]:[T 8]])=TRUE,1,0))</f>
        <v>0</v>
      </c>
      <c r="F95">
        <v>41.152000000000001</v>
      </c>
      <c r="G95">
        <v>41.398000000000003</v>
      </c>
      <c r="H95">
        <v>155.65299999999999</v>
      </c>
      <c r="I95">
        <v>155.63499999999999</v>
      </c>
      <c r="L95">
        <v>155.80500000000001</v>
      </c>
      <c r="M95">
        <v>155.571</v>
      </c>
      <c r="N95">
        <v>27.462</v>
      </c>
      <c r="O95">
        <v>27.663</v>
      </c>
      <c r="R95">
        <v>16.981000000000002</v>
      </c>
      <c r="S95">
        <v>17.042999999999999</v>
      </c>
      <c r="T95">
        <v>34.573999999999998</v>
      </c>
      <c r="U95">
        <v>35.048000000000002</v>
      </c>
      <c r="W95">
        <v>0.27200000000000002</v>
      </c>
      <c r="X95">
        <v>-0.128</v>
      </c>
      <c r="Z95">
        <v>8.2000000000000003E-2</v>
      </c>
      <c r="AA95">
        <v>-7.1999999999999995E-2</v>
      </c>
      <c r="AB95">
        <v>-0.109</v>
      </c>
      <c r="AC95">
        <v>-0.128</v>
      </c>
      <c r="AD95">
        <v>0.27200000000000002</v>
      </c>
      <c r="AE95">
        <v>-4.4999999999999998E-2</v>
      </c>
      <c r="AF95">
        <v>-7.1999999999999995E-2</v>
      </c>
      <c r="AG95">
        <v>1.7000000000000001E-2</v>
      </c>
      <c r="AH95">
        <v>-4.1000000000000002E-2</v>
      </c>
      <c r="AI95">
        <v>8.2000000000000003E-2</v>
      </c>
    </row>
    <row r="96" spans="1:35" hidden="1" x14ac:dyDescent="0.25">
      <c r="A96" t="s">
        <v>2725</v>
      </c>
      <c r="B96" t="s">
        <v>31</v>
      </c>
      <c r="C96" s="25">
        <v>43711.549629629626</v>
      </c>
      <c r="D96" s="25" t="s">
        <v>2238</v>
      </c>
      <c r="E96" s="424">
        <f t="array" ref="E96">SUMPRODUCT(IF(AMP1_6[[#This Row],[Dim 1_1]:[T 8]]-$F$4:$AI$4&lt;0,1,0)+IF($F$5:$AI$5-AMP1_6[[#This Row],[Dim 1_1]:[T 8]]&lt;0,1,0),IF(ISNUMBER(AMP1_6[[#This Row],[Dim 1_1]:[T 8]])=TRUE,1,0))</f>
        <v>0</v>
      </c>
      <c r="H96">
        <v>155.834</v>
      </c>
      <c r="I96">
        <v>155.66499999999999</v>
      </c>
      <c r="J96">
        <v>168.577</v>
      </c>
      <c r="K96">
        <v>168.506</v>
      </c>
      <c r="L96">
        <v>156.04599999999999</v>
      </c>
      <c r="M96">
        <v>155.821</v>
      </c>
      <c r="N96">
        <v>27.265000000000001</v>
      </c>
      <c r="O96">
        <v>27.355</v>
      </c>
      <c r="R96">
        <v>16.838000000000001</v>
      </c>
      <c r="S96">
        <v>17.032</v>
      </c>
      <c r="T96">
        <v>37.412999999999997</v>
      </c>
      <c r="U96">
        <v>38.526000000000003</v>
      </c>
      <c r="W96">
        <v>-0.14899999999999999</v>
      </c>
      <c r="X96">
        <v>-0.43099999999999999</v>
      </c>
      <c r="Z96">
        <v>0.158</v>
      </c>
      <c r="AA96">
        <v>-0.17199999999999999</v>
      </c>
      <c r="AB96">
        <v>-0.14899999999999999</v>
      </c>
      <c r="AC96">
        <v>-0.159</v>
      </c>
      <c r="AD96">
        <v>-0.32</v>
      </c>
      <c r="AE96">
        <v>-0.43099999999999999</v>
      </c>
      <c r="AF96">
        <v>0.158</v>
      </c>
      <c r="AG96">
        <v>0.13700000000000001</v>
      </c>
      <c r="AH96">
        <v>-0.124</v>
      </c>
      <c r="AI96">
        <v>-0.17199999999999999</v>
      </c>
    </row>
    <row r="97" spans="1:35" ht="15" customHeight="1" x14ac:dyDescent="0.25">
      <c r="A97" t="s">
        <v>2726</v>
      </c>
      <c r="B97" t="s">
        <v>32</v>
      </c>
      <c r="C97" s="25">
        <v>43711.727037037039</v>
      </c>
      <c r="D97" s="25" t="s">
        <v>2238</v>
      </c>
      <c r="E97" s="424">
        <f t="array" ref="E97">SUMPRODUCT(IF(AMP1_6[[#This Row],[Dim 1_1]:[T 8]]-$F$4:$AI$4&lt;0,1,0)+IF($F$5:$AI$5-AMP1_6[[#This Row],[Dim 1_1]:[T 8]]&lt;0,1,0),IF(ISNUMBER(AMP1_6[[#This Row],[Dim 1_1]:[T 8]])=TRUE,1,0))</f>
        <v>0</v>
      </c>
      <c r="F97">
        <v>41.231000000000002</v>
      </c>
      <c r="G97">
        <v>41.317</v>
      </c>
      <c r="H97">
        <v>155.595</v>
      </c>
      <c r="I97">
        <v>155.59700000000001</v>
      </c>
      <c r="L97">
        <v>155.82400000000001</v>
      </c>
      <c r="M97">
        <v>155.61500000000001</v>
      </c>
      <c r="N97">
        <v>27.486999999999998</v>
      </c>
      <c r="O97">
        <v>27.620999999999999</v>
      </c>
      <c r="R97">
        <v>16.989999999999998</v>
      </c>
      <c r="S97">
        <v>16.98</v>
      </c>
      <c r="T97">
        <v>34.28</v>
      </c>
      <c r="U97">
        <v>34.659999999999997</v>
      </c>
      <c r="W97">
        <v>0.25800000000000001</v>
      </c>
      <c r="X97">
        <v>-0.19900000000000001</v>
      </c>
      <c r="Z97">
        <v>0.16500000000000001</v>
      </c>
      <c r="AA97">
        <v>-7.2999999999999995E-2</v>
      </c>
      <c r="AB97">
        <v>-0.17</v>
      </c>
      <c r="AC97">
        <v>-0.19900000000000001</v>
      </c>
      <c r="AD97">
        <v>0.25800000000000001</v>
      </c>
      <c r="AE97">
        <v>-5.8000000000000003E-2</v>
      </c>
      <c r="AF97">
        <v>-7.2999999999999995E-2</v>
      </c>
      <c r="AG97">
        <v>7.1999999999999995E-2</v>
      </c>
      <c r="AH97">
        <v>-2.1999999999999999E-2</v>
      </c>
      <c r="AI97">
        <v>0.16500000000000001</v>
      </c>
    </row>
    <row r="98" spans="1:35" hidden="1" x14ac:dyDescent="0.25">
      <c r="A98" t="s">
        <v>2727</v>
      </c>
      <c r="B98" t="s">
        <v>31</v>
      </c>
      <c r="C98" s="25">
        <v>43711.732002314813</v>
      </c>
      <c r="D98" s="25" t="s">
        <v>2238</v>
      </c>
      <c r="E98" s="424">
        <f t="array" ref="E98">SUMPRODUCT(IF(AMP1_6[[#This Row],[Dim 1_1]:[T 8]]-$F$4:$AI$4&lt;0,1,0)+IF($F$5:$AI$5-AMP1_6[[#This Row],[Dim 1_1]:[T 8]]&lt;0,1,0),IF(ISNUMBER(AMP1_6[[#This Row],[Dim 1_1]:[T 8]])=TRUE,1,0))</f>
        <v>0</v>
      </c>
      <c r="H98">
        <v>155.89099999999999</v>
      </c>
      <c r="I98">
        <v>155.62899999999999</v>
      </c>
      <c r="J98">
        <v>168.60400000000001</v>
      </c>
      <c r="K98">
        <v>168.684</v>
      </c>
      <c r="L98">
        <v>156.041</v>
      </c>
      <c r="M98">
        <v>155.72200000000001</v>
      </c>
      <c r="N98">
        <v>27.326000000000001</v>
      </c>
      <c r="O98">
        <v>27.494</v>
      </c>
      <c r="R98">
        <v>16.846</v>
      </c>
      <c r="S98">
        <v>17.048999999999999</v>
      </c>
      <c r="T98">
        <v>37.100999999999999</v>
      </c>
      <c r="U98">
        <v>38.216999999999999</v>
      </c>
      <c r="W98">
        <v>-9.2999999999999999E-2</v>
      </c>
      <c r="X98">
        <v>-0.40799999999999997</v>
      </c>
      <c r="Z98">
        <v>0.19</v>
      </c>
      <c r="AA98">
        <v>-0.13300000000000001</v>
      </c>
      <c r="AB98">
        <v>-0.107</v>
      </c>
      <c r="AC98">
        <v>-9.2999999999999999E-2</v>
      </c>
      <c r="AD98">
        <v>-0.28899999999999998</v>
      </c>
      <c r="AE98">
        <v>-0.40799999999999997</v>
      </c>
      <c r="AF98">
        <v>0.19</v>
      </c>
      <c r="AG98">
        <v>0.17100000000000001</v>
      </c>
      <c r="AH98">
        <v>-0.13300000000000001</v>
      </c>
      <c r="AI98">
        <v>-0.11799999999999999</v>
      </c>
    </row>
    <row r="99" spans="1:35" ht="15" customHeight="1" x14ac:dyDescent="0.25">
      <c r="A99" t="s">
        <v>2728</v>
      </c>
      <c r="B99" t="s">
        <v>32</v>
      </c>
      <c r="C99" s="25">
        <v>43711.844166666669</v>
      </c>
      <c r="D99" s="25" t="s">
        <v>2238</v>
      </c>
      <c r="E99" s="424">
        <f t="array" ref="E99">SUMPRODUCT(IF(AMP1_6[[#This Row],[Dim 1_1]:[T 8]]-$F$4:$AI$4&lt;0,1,0)+IF($F$5:$AI$5-AMP1_6[[#This Row],[Dim 1_1]:[T 8]]&lt;0,1,0),IF(ISNUMBER(AMP1_6[[#This Row],[Dim 1_1]:[T 8]])=TRUE,1,0))</f>
        <v>0</v>
      </c>
      <c r="F99">
        <v>41.302</v>
      </c>
      <c r="G99">
        <v>41.548000000000002</v>
      </c>
      <c r="H99">
        <v>155.649</v>
      </c>
      <c r="I99">
        <v>155.626</v>
      </c>
      <c r="L99">
        <v>155.857</v>
      </c>
      <c r="M99">
        <v>155.648</v>
      </c>
      <c r="N99">
        <v>27.494</v>
      </c>
      <c r="O99">
        <v>27.616</v>
      </c>
      <c r="R99">
        <v>16.922000000000001</v>
      </c>
      <c r="S99">
        <v>16.887</v>
      </c>
      <c r="T99">
        <v>34.353000000000002</v>
      </c>
      <c r="U99">
        <v>35.131999999999998</v>
      </c>
      <c r="W99">
        <v>0.308</v>
      </c>
      <c r="X99">
        <v>-0.16900000000000001</v>
      </c>
      <c r="Z99">
        <v>0.11600000000000001</v>
      </c>
      <c r="AA99">
        <v>-0.111</v>
      </c>
      <c r="AB99">
        <v>-0.114</v>
      </c>
      <c r="AC99">
        <v>-0.16900000000000001</v>
      </c>
      <c r="AD99">
        <v>0.308</v>
      </c>
      <c r="AE99">
        <v>-4.5999999999999999E-2</v>
      </c>
      <c r="AF99">
        <v>-0.111</v>
      </c>
      <c r="AG99">
        <v>5.0000000000000001E-3</v>
      </c>
      <c r="AH99">
        <v>-9.6000000000000002E-2</v>
      </c>
      <c r="AI99">
        <v>0.11600000000000001</v>
      </c>
    </row>
    <row r="100" spans="1:35" hidden="1" x14ac:dyDescent="0.25">
      <c r="A100" t="s">
        <v>2729</v>
      </c>
      <c r="B100" t="s">
        <v>31</v>
      </c>
      <c r="C100" s="25">
        <v>43711.846215277779</v>
      </c>
      <c r="D100" s="25" t="s">
        <v>2238</v>
      </c>
      <c r="E100" s="424">
        <f t="array" ref="E100">SUMPRODUCT(IF(AMP1_6[[#This Row],[Dim 1_1]:[T 8]]-$F$4:$AI$4&lt;0,1,0)+IF($F$5:$AI$5-AMP1_6[[#This Row],[Dim 1_1]:[T 8]]&lt;0,1,0),IF(ISNUMBER(AMP1_6[[#This Row],[Dim 1_1]:[T 8]])=TRUE,1,0))</f>
        <v>0</v>
      </c>
      <c r="H100">
        <v>155.86600000000001</v>
      </c>
      <c r="I100">
        <v>155.69300000000001</v>
      </c>
      <c r="J100">
        <v>168.62100000000001</v>
      </c>
      <c r="K100">
        <v>168.55699999999999</v>
      </c>
      <c r="L100">
        <v>156.15299999999999</v>
      </c>
      <c r="M100">
        <v>155.85300000000001</v>
      </c>
      <c r="N100">
        <v>27.15</v>
      </c>
      <c r="O100">
        <v>27.32</v>
      </c>
      <c r="R100">
        <v>16.847999999999999</v>
      </c>
      <c r="S100">
        <v>17.044</v>
      </c>
      <c r="T100">
        <v>38.085999999999999</v>
      </c>
      <c r="U100">
        <v>37.758000000000003</v>
      </c>
      <c r="W100">
        <v>-0.11700000000000001</v>
      </c>
      <c r="X100">
        <v>-0.39400000000000002</v>
      </c>
      <c r="Z100">
        <v>0.50700000000000001</v>
      </c>
      <c r="AA100">
        <v>0.17899999999999999</v>
      </c>
      <c r="AB100">
        <v>-0.11700000000000001</v>
      </c>
      <c r="AC100">
        <v>-0.124</v>
      </c>
      <c r="AD100">
        <v>-0.28599999999999998</v>
      </c>
      <c r="AE100">
        <v>-0.39400000000000002</v>
      </c>
      <c r="AF100">
        <v>0.50700000000000001</v>
      </c>
      <c r="AG100">
        <v>0.499</v>
      </c>
      <c r="AH100">
        <v>0.17899999999999999</v>
      </c>
      <c r="AI100">
        <v>0.21</v>
      </c>
    </row>
    <row r="101" spans="1:35" ht="15" customHeight="1" x14ac:dyDescent="0.25">
      <c r="A101" t="s">
        <v>2730</v>
      </c>
      <c r="B101" t="s">
        <v>32</v>
      </c>
      <c r="C101" s="25">
        <v>43711.967905092592</v>
      </c>
      <c r="D101" s="25" t="s">
        <v>2238</v>
      </c>
      <c r="E101" s="424">
        <f t="array" ref="E101">SUMPRODUCT(IF(AMP1_6[[#This Row],[Dim 1_1]:[T 8]]-$F$4:$AI$4&lt;0,1,0)+IF($F$5:$AI$5-AMP1_6[[#This Row],[Dim 1_1]:[T 8]]&lt;0,1,0),IF(ISNUMBER(AMP1_6[[#This Row],[Dim 1_1]:[T 8]])=TRUE,1,0))</f>
        <v>0</v>
      </c>
      <c r="F101">
        <v>41.149000000000001</v>
      </c>
      <c r="G101">
        <v>41.277999999999999</v>
      </c>
      <c r="H101">
        <v>155.631</v>
      </c>
      <c r="I101">
        <v>155.636</v>
      </c>
      <c r="L101">
        <v>155.88200000000001</v>
      </c>
      <c r="M101">
        <v>155.68700000000001</v>
      </c>
      <c r="N101">
        <v>27.48</v>
      </c>
      <c r="O101">
        <v>27.571000000000002</v>
      </c>
      <c r="R101">
        <v>16.978000000000002</v>
      </c>
      <c r="S101">
        <v>16.914999999999999</v>
      </c>
      <c r="T101">
        <v>34.713999999999999</v>
      </c>
      <c r="U101">
        <v>34.848999999999997</v>
      </c>
      <c r="W101">
        <v>0.20699999999999999</v>
      </c>
      <c r="X101">
        <v>-0.222</v>
      </c>
      <c r="Z101">
        <v>6.6000000000000003E-2</v>
      </c>
      <c r="AA101">
        <v>-0.154</v>
      </c>
      <c r="AB101">
        <v>-0.20599999999999999</v>
      </c>
      <c r="AC101">
        <v>-0.222</v>
      </c>
      <c r="AD101">
        <v>0.20699999999999999</v>
      </c>
      <c r="AE101">
        <v>-0.13900000000000001</v>
      </c>
      <c r="AF101">
        <v>-0.154</v>
      </c>
      <c r="AG101">
        <v>-2.1999999999999999E-2</v>
      </c>
      <c r="AH101">
        <v>-0.04</v>
      </c>
      <c r="AI101">
        <v>6.6000000000000003E-2</v>
      </c>
    </row>
    <row r="102" spans="1:35" hidden="1" x14ac:dyDescent="0.25">
      <c r="A102" t="s">
        <v>2731</v>
      </c>
      <c r="B102" t="s">
        <v>31</v>
      </c>
      <c r="C102" s="25">
        <v>43711.969976851855</v>
      </c>
      <c r="D102" s="25" t="s">
        <v>2238</v>
      </c>
      <c r="E102" s="424">
        <f t="array" ref="E102">SUMPRODUCT(IF(AMP1_6[[#This Row],[Dim 1_1]:[T 8]]-$F$4:$AI$4&lt;0,1,0)+IF($F$5:$AI$5-AMP1_6[[#This Row],[Dim 1_1]:[T 8]]&lt;0,1,0),IF(ISNUMBER(AMP1_6[[#This Row],[Dim 1_1]:[T 8]])=TRUE,1,0))</f>
        <v>0</v>
      </c>
      <c r="H102">
        <v>155.89400000000001</v>
      </c>
      <c r="I102">
        <v>155.71</v>
      </c>
      <c r="J102">
        <v>168.529</v>
      </c>
      <c r="K102">
        <v>168.49600000000001</v>
      </c>
      <c r="L102">
        <v>156.03</v>
      </c>
      <c r="M102">
        <v>155.744</v>
      </c>
      <c r="N102">
        <v>27.265999999999998</v>
      </c>
      <c r="O102">
        <v>27.431000000000001</v>
      </c>
      <c r="R102">
        <v>16.841000000000001</v>
      </c>
      <c r="S102">
        <v>17.042999999999999</v>
      </c>
      <c r="T102">
        <v>35.03</v>
      </c>
      <c r="U102">
        <v>36.427999999999997</v>
      </c>
      <c r="W102">
        <v>-0.128</v>
      </c>
      <c r="X102">
        <v>-0.38300000000000001</v>
      </c>
      <c r="Z102">
        <v>0.192</v>
      </c>
      <c r="AA102">
        <v>-0.123</v>
      </c>
      <c r="AB102">
        <v>-0.151</v>
      </c>
      <c r="AC102">
        <v>-0.128</v>
      </c>
      <c r="AD102">
        <v>-0.32200000000000001</v>
      </c>
      <c r="AE102">
        <v>-0.38300000000000001</v>
      </c>
      <c r="AF102">
        <v>0.192</v>
      </c>
      <c r="AG102">
        <v>0.17100000000000001</v>
      </c>
      <c r="AH102">
        <v>-0.115</v>
      </c>
      <c r="AI102">
        <v>-0.123</v>
      </c>
    </row>
    <row r="103" spans="1:35" ht="15" customHeight="1" x14ac:dyDescent="0.25">
      <c r="A103" t="s">
        <v>2732</v>
      </c>
      <c r="B103" t="s">
        <v>32</v>
      </c>
      <c r="C103" s="25">
        <v>43712.050451388888</v>
      </c>
      <c r="D103" s="25" t="s">
        <v>2238</v>
      </c>
      <c r="E103" s="424">
        <f t="array" ref="E103">SUMPRODUCT(IF(AMP1_6[[#This Row],[Dim 1_1]:[T 8]]-$F$4:$AI$4&lt;0,1,0)+IF($F$5:$AI$5-AMP1_6[[#This Row],[Dim 1_1]:[T 8]]&lt;0,1,0),IF(ISNUMBER(AMP1_6[[#This Row],[Dim 1_1]:[T 8]])=TRUE,1,0))</f>
        <v>0</v>
      </c>
      <c r="F103">
        <v>41.237000000000002</v>
      </c>
      <c r="G103">
        <v>41.353999999999999</v>
      </c>
      <c r="H103">
        <v>155.63</v>
      </c>
      <c r="I103">
        <v>155.631</v>
      </c>
      <c r="L103">
        <v>155.85</v>
      </c>
      <c r="M103">
        <v>155.62299999999999</v>
      </c>
      <c r="N103">
        <v>27.5</v>
      </c>
      <c r="O103">
        <v>27.62</v>
      </c>
      <c r="R103">
        <v>16.972999999999999</v>
      </c>
      <c r="S103">
        <v>16.916</v>
      </c>
      <c r="T103">
        <v>34.737000000000002</v>
      </c>
      <c r="U103">
        <v>34.954999999999998</v>
      </c>
      <c r="W103">
        <v>0.23100000000000001</v>
      </c>
      <c r="X103">
        <v>-0.27400000000000002</v>
      </c>
      <c r="Z103">
        <v>9.6000000000000002E-2</v>
      </c>
      <c r="AA103">
        <v>-0.13800000000000001</v>
      </c>
      <c r="AB103">
        <v>-0.22500000000000001</v>
      </c>
      <c r="AC103">
        <v>-0.27400000000000002</v>
      </c>
      <c r="AD103">
        <v>0.23100000000000001</v>
      </c>
      <c r="AE103">
        <v>-0.15</v>
      </c>
      <c r="AF103">
        <v>-0.13800000000000001</v>
      </c>
      <c r="AG103">
        <v>-0.01</v>
      </c>
      <c r="AH103">
        <v>-8.5999999999999993E-2</v>
      </c>
      <c r="AI103">
        <v>9.6000000000000002E-2</v>
      </c>
    </row>
    <row r="104" spans="1:35" hidden="1" x14ac:dyDescent="0.25">
      <c r="A104" t="s">
        <v>2733</v>
      </c>
      <c r="B104" t="s">
        <v>31</v>
      </c>
      <c r="C104" s="25">
        <v>43712.052569444444</v>
      </c>
      <c r="D104" s="25" t="s">
        <v>2238</v>
      </c>
      <c r="E104" s="424">
        <f t="array" ref="E104">SUMPRODUCT(IF(AMP1_6[[#This Row],[Dim 1_1]:[T 8]]-$F$4:$AI$4&lt;0,1,0)+IF($F$5:$AI$5-AMP1_6[[#This Row],[Dim 1_1]:[T 8]]&lt;0,1,0),IF(ISNUMBER(AMP1_6[[#This Row],[Dim 1_1]:[T 8]])=TRUE,1,0))</f>
        <v>0</v>
      </c>
      <c r="H104">
        <v>155.88900000000001</v>
      </c>
      <c r="I104">
        <v>155.69200000000001</v>
      </c>
      <c r="J104">
        <v>168.59800000000001</v>
      </c>
      <c r="K104">
        <v>168.58500000000001</v>
      </c>
      <c r="L104">
        <v>156.072</v>
      </c>
      <c r="M104">
        <v>155.797</v>
      </c>
      <c r="N104">
        <v>27.248999999999999</v>
      </c>
      <c r="O104">
        <v>27.303999999999998</v>
      </c>
      <c r="R104">
        <v>16.856999999999999</v>
      </c>
      <c r="S104">
        <v>17.006</v>
      </c>
      <c r="T104">
        <v>34.084000000000003</v>
      </c>
      <c r="U104">
        <v>35.491999999999997</v>
      </c>
      <c r="W104">
        <v>-0.14699999999999999</v>
      </c>
      <c r="X104">
        <v>-0.379</v>
      </c>
      <c r="Z104">
        <v>0.14499999999999999</v>
      </c>
      <c r="AA104">
        <v>-0.123</v>
      </c>
      <c r="AB104">
        <v>-0.14699999999999999</v>
      </c>
      <c r="AC104">
        <v>-0.16</v>
      </c>
      <c r="AD104">
        <v>-0.28999999999999998</v>
      </c>
      <c r="AE104">
        <v>-0.379</v>
      </c>
      <c r="AF104">
        <v>0.14499999999999999</v>
      </c>
      <c r="AG104">
        <v>0.13700000000000001</v>
      </c>
      <c r="AH104">
        <v>-0.123</v>
      </c>
      <c r="AI104">
        <v>-0.114</v>
      </c>
    </row>
    <row r="105" spans="1:35" ht="15" customHeight="1" x14ac:dyDescent="0.25">
      <c r="A105" t="s">
        <v>2734</v>
      </c>
      <c r="B105" t="s">
        <v>32</v>
      </c>
      <c r="C105" s="25">
        <v>43712.347453703704</v>
      </c>
      <c r="D105" s="25" t="s">
        <v>2238</v>
      </c>
      <c r="E105" s="424">
        <f t="array" ref="E105">SUMPRODUCT(IF(AMP1_6[[#This Row],[Dim 1_1]:[T 8]]-$F$4:$AI$4&lt;0,1,0)+IF($F$5:$AI$5-AMP1_6[[#This Row],[Dim 1_1]:[T 8]]&lt;0,1,0),IF(ISNUMBER(AMP1_6[[#This Row],[Dim 1_1]:[T 8]])=TRUE,1,0))</f>
        <v>0</v>
      </c>
      <c r="F105">
        <v>41.137</v>
      </c>
      <c r="G105">
        <v>41.203000000000003</v>
      </c>
      <c r="H105">
        <v>155.63300000000001</v>
      </c>
      <c r="I105">
        <v>155.673</v>
      </c>
      <c r="L105">
        <v>155.86500000000001</v>
      </c>
      <c r="M105">
        <v>155.679</v>
      </c>
      <c r="N105">
        <v>27.437999999999999</v>
      </c>
      <c r="O105">
        <v>27.562000000000001</v>
      </c>
      <c r="R105">
        <v>16.957999999999998</v>
      </c>
      <c r="S105">
        <v>16.902999999999999</v>
      </c>
      <c r="T105">
        <v>34.488</v>
      </c>
      <c r="U105">
        <v>35.238</v>
      </c>
      <c r="W105">
        <v>0.28199999999999997</v>
      </c>
      <c r="X105">
        <v>-0.16800000000000001</v>
      </c>
      <c r="Z105">
        <v>0.253</v>
      </c>
      <c r="AA105">
        <v>0.04</v>
      </c>
      <c r="AB105">
        <v>-0.14899999999999999</v>
      </c>
      <c r="AC105">
        <v>-0.16800000000000001</v>
      </c>
      <c r="AD105">
        <v>0.28199999999999997</v>
      </c>
      <c r="AE105">
        <v>-7.5999999999999998E-2</v>
      </c>
      <c r="AF105">
        <v>0.04</v>
      </c>
      <c r="AG105">
        <v>0.16</v>
      </c>
      <c r="AH105">
        <v>0.13800000000000001</v>
      </c>
      <c r="AI105">
        <v>0.253</v>
      </c>
    </row>
    <row r="106" spans="1:35" hidden="1" x14ac:dyDescent="0.25">
      <c r="A106" t="s">
        <v>2735</v>
      </c>
      <c r="B106" t="s">
        <v>31</v>
      </c>
      <c r="C106" s="25">
        <v>43712.349641203706</v>
      </c>
      <c r="D106" s="25" t="s">
        <v>2238</v>
      </c>
      <c r="E106" s="424">
        <f t="array" ref="E106">SUMPRODUCT(IF(AMP1_6[[#This Row],[Dim 1_1]:[T 8]]-$F$4:$AI$4&lt;0,1,0)+IF($F$5:$AI$5-AMP1_6[[#This Row],[Dim 1_1]:[T 8]]&lt;0,1,0),IF(ISNUMBER(AMP1_6[[#This Row],[Dim 1_1]:[T 8]])=TRUE,1,0))</f>
        <v>0</v>
      </c>
      <c r="H106">
        <v>155.864</v>
      </c>
      <c r="I106">
        <v>155.589</v>
      </c>
      <c r="J106">
        <v>168.51499999999999</v>
      </c>
      <c r="K106">
        <v>168.328</v>
      </c>
      <c r="L106">
        <v>156.05799999999999</v>
      </c>
      <c r="M106">
        <v>155.684</v>
      </c>
      <c r="N106">
        <v>27.286000000000001</v>
      </c>
      <c r="O106">
        <v>27.457000000000001</v>
      </c>
      <c r="R106">
        <v>16.863</v>
      </c>
      <c r="S106">
        <v>17.11</v>
      </c>
      <c r="T106">
        <v>36.807000000000002</v>
      </c>
      <c r="U106">
        <v>37.524000000000001</v>
      </c>
      <c r="W106">
        <v>-3.1E-2</v>
      </c>
      <c r="X106">
        <v>-0.433</v>
      </c>
      <c r="Z106">
        <v>0.23</v>
      </c>
      <c r="AA106">
        <v>-0.189</v>
      </c>
      <c r="AB106">
        <v>-3.1E-2</v>
      </c>
      <c r="AC106">
        <v>-0.05</v>
      </c>
      <c r="AD106">
        <v>-0.29499999999999998</v>
      </c>
      <c r="AE106">
        <v>-0.433</v>
      </c>
      <c r="AF106">
        <v>0.23</v>
      </c>
      <c r="AG106">
        <v>0.22900000000000001</v>
      </c>
      <c r="AH106">
        <v>-0.189</v>
      </c>
      <c r="AI106">
        <v>-0.161</v>
      </c>
    </row>
    <row r="107" spans="1:35" ht="15" customHeight="1" x14ac:dyDescent="0.25">
      <c r="D107" s="25"/>
      <c r="E107" s="736"/>
    </row>
    <row r="108" spans="1:35" x14ac:dyDescent="0.25">
      <c r="D108" s="25"/>
    </row>
    <row r="109" spans="1:35" ht="15" customHeight="1" x14ac:dyDescent="0.25">
      <c r="D109" s="25"/>
    </row>
    <row r="110" spans="1:35" x14ac:dyDescent="0.25">
      <c r="D110" s="25"/>
    </row>
    <row r="111" spans="1:35" ht="15" customHeight="1" x14ac:dyDescent="0.25">
      <c r="D111" s="25"/>
    </row>
    <row r="112" spans="1:35" x14ac:dyDescent="0.25">
      <c r="D112" s="25"/>
    </row>
    <row r="113" spans="4:4" ht="15" customHeight="1" x14ac:dyDescent="0.25">
      <c r="D113" s="25"/>
    </row>
    <row r="114" spans="4:4" x14ac:dyDescent="0.25">
      <c r="D114" s="25"/>
    </row>
    <row r="115" spans="4:4" ht="15" customHeight="1" x14ac:dyDescent="0.25">
      <c r="D115" s="25"/>
    </row>
    <row r="116" spans="4:4" x14ac:dyDescent="0.25">
      <c r="D116" s="25"/>
    </row>
    <row r="117" spans="4:4" ht="15" customHeight="1" x14ac:dyDescent="0.25">
      <c r="D117" s="25"/>
    </row>
    <row r="118" spans="4:4" x14ac:dyDescent="0.25">
      <c r="D118" s="25"/>
    </row>
    <row r="119" spans="4:4" ht="15" customHeight="1" x14ac:dyDescent="0.25">
      <c r="D119" s="25"/>
    </row>
    <row r="120" spans="4:4" x14ac:dyDescent="0.25">
      <c r="D120" s="25"/>
    </row>
    <row r="121" spans="4:4" ht="15" customHeight="1" x14ac:dyDescent="0.25">
      <c r="D121" s="25"/>
    </row>
    <row r="122" spans="4:4" x14ac:dyDescent="0.25">
      <c r="D122" s="25"/>
    </row>
    <row r="123" spans="4:4" ht="15" customHeight="1" x14ac:dyDescent="0.25">
      <c r="D123" s="25"/>
    </row>
    <row r="124" spans="4:4" x14ac:dyDescent="0.25">
      <c r="D124" s="25"/>
    </row>
    <row r="125" spans="4:4" ht="15" customHeight="1" x14ac:dyDescent="0.25">
      <c r="D125" s="25"/>
    </row>
    <row r="126" spans="4:4" x14ac:dyDescent="0.25">
      <c r="D126" s="25"/>
    </row>
    <row r="127" spans="4:4" ht="15" customHeight="1" x14ac:dyDescent="0.25">
      <c r="D127" s="25"/>
    </row>
    <row r="128" spans="4:4" x14ac:dyDescent="0.25">
      <c r="D128" s="25"/>
    </row>
    <row r="129" spans="4:4" ht="15" customHeight="1" x14ac:dyDescent="0.25">
      <c r="D129" s="25"/>
    </row>
    <row r="130" spans="4:4" x14ac:dyDescent="0.25">
      <c r="D130" s="25"/>
    </row>
    <row r="131" spans="4:4" ht="15" customHeight="1" x14ac:dyDescent="0.25">
      <c r="D131" s="25"/>
    </row>
    <row r="132" spans="4:4" x14ac:dyDescent="0.25">
      <c r="D132" s="25"/>
    </row>
    <row r="133" spans="4:4" ht="15" customHeight="1" x14ac:dyDescent="0.25">
      <c r="D133" s="25"/>
    </row>
    <row r="134" spans="4:4" x14ac:dyDescent="0.25">
      <c r="D134" s="25"/>
    </row>
    <row r="135" spans="4:4" ht="15" customHeight="1" x14ac:dyDescent="0.25">
      <c r="D135" s="25"/>
    </row>
    <row r="136" spans="4:4" x14ac:dyDescent="0.25">
      <c r="D136" s="25"/>
    </row>
    <row r="137" spans="4:4" ht="15" customHeight="1" x14ac:dyDescent="0.25">
      <c r="D137" s="25"/>
    </row>
    <row r="138" spans="4:4" x14ac:dyDescent="0.25">
      <c r="D138" s="25"/>
    </row>
    <row r="139" spans="4:4" ht="15" customHeight="1" x14ac:dyDescent="0.25">
      <c r="D139" s="25"/>
    </row>
    <row r="140" spans="4:4" x14ac:dyDescent="0.25">
      <c r="D140" s="25"/>
    </row>
    <row r="141" spans="4:4" ht="15" customHeight="1" x14ac:dyDescent="0.25">
      <c r="D141" s="25"/>
    </row>
    <row r="142" spans="4:4" x14ac:dyDescent="0.25">
      <c r="D142" s="25"/>
    </row>
    <row r="143" spans="4:4" ht="15" customHeight="1" x14ac:dyDescent="0.25">
      <c r="D143" s="25"/>
    </row>
    <row r="144" spans="4:4" x14ac:dyDescent="0.25">
      <c r="D144" s="25"/>
    </row>
    <row r="145" spans="4:4" ht="15" customHeight="1" x14ac:dyDescent="0.25">
      <c r="D145" s="25"/>
    </row>
    <row r="147" spans="4:4" ht="15" customHeight="1" x14ac:dyDescent="0.25"/>
    <row r="149" spans="4:4" ht="15" customHeight="1" x14ac:dyDescent="0.25"/>
    <row r="151" spans="4:4" ht="15" customHeight="1" x14ac:dyDescent="0.25"/>
    <row r="153" spans="4:4" ht="15" customHeight="1" x14ac:dyDescent="0.25"/>
    <row r="155" spans="4:4" ht="15" customHeight="1" x14ac:dyDescent="0.25"/>
    <row r="157" spans="4:4" ht="15" customHeight="1" x14ac:dyDescent="0.25"/>
    <row r="159" spans="4:4" ht="15" customHeight="1" x14ac:dyDescent="0.25"/>
    <row r="161" ht="15" customHeight="1" x14ac:dyDescent="0.25"/>
    <row r="163" ht="15" customHeight="1" x14ac:dyDescent="0.25"/>
    <row r="165" ht="15" customHeight="1" x14ac:dyDescent="0.25"/>
    <row r="167" ht="15" customHeight="1" x14ac:dyDescent="0.25"/>
    <row r="169" ht="15" customHeight="1" x14ac:dyDescent="0.25"/>
    <row r="171" ht="15" customHeight="1" x14ac:dyDescent="0.25"/>
    <row r="173" ht="15" customHeight="1" x14ac:dyDescent="0.25"/>
    <row r="175" ht="15" customHeight="1" x14ac:dyDescent="0.25"/>
    <row r="177" ht="15" customHeight="1" x14ac:dyDescent="0.25"/>
  </sheetData>
  <mergeCells count="1">
    <mergeCell ref="E1:E2"/>
  </mergeCells>
  <conditionalFormatting sqref="AJ8:XFD8">
    <cfRule type="notContainsBlanks" priority="17" stopIfTrue="1">
      <formula>LEN(TRIM(AJ8))&gt;0</formula>
    </cfRule>
  </conditionalFormatting>
  <conditionalFormatting sqref="E1:E1048576">
    <cfRule type="cellIs" dxfId="105" priority="2" operator="greaterThan">
      <formula>0</formula>
    </cfRule>
  </conditionalFormatting>
  <conditionalFormatting sqref="E1:E8">
    <cfRule type="notContainsBlanks" priority="1" stopIfTrue="1">
      <formula>LEN(TRIM(E1))&gt;0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104" priority="10"/>
  </conditionalFormatting>
  <conditionalFormatting sqref="F6:S7 V6:AI7">
    <cfRule type="cellIs" dxfId="103" priority="5" stopIfTrue="1" operator="notBetween">
      <formula>0.35</formula>
      <formula>-0.35</formula>
    </cfRule>
    <cfRule type="cellIs" dxfId="102" priority="6" operator="notBetween">
      <formula>0.2</formula>
      <formula>-0.2</formula>
    </cfRule>
  </conditionalFormatting>
  <conditionalFormatting sqref="T6:U7">
    <cfRule type="cellIs" dxfId="101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100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tabColor rgb="FF00B050"/>
  </sheetPr>
  <dimension ref="A1:AI204"/>
  <sheetViews>
    <sheetView zoomScale="85" zoomScaleNormal="85" workbookViewId="0">
      <pane xSplit="2" ySplit="8" topLeftCell="AB9" activePane="bottomRight" state="frozenSplit"/>
      <selection pane="topRight" activeCell="C1" sqref="C1"/>
      <selection pane="bottomLeft" activeCell="A9" sqref="A9"/>
      <selection pane="bottomRight" activeCell="C472" sqref="C472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MIN(AMP5_2[Date])</f>
        <v>43698.523831018516</v>
      </c>
      <c r="D1" s="310"/>
      <c r="E1" s="794" t="s">
        <v>40</v>
      </c>
      <c r="F1" s="2">
        <f>IFERROR(AVERAGEIFS(AMP5_2[[#All],[Dim 1_1]],AMP5_2[[#All],[Blade Part Number]],$B1,AMP5_2[[#All],[Date]],"&gt;"&amp;$A$1,AMP5_2[[#All],[Date]],"&lt;"&amp;$A$2),"")</f>
        <v>41.140384615384619</v>
      </c>
      <c r="G1" s="2">
        <f>IFERROR(AVERAGEIFS(AMP5_2[[#All],[Dim 1_2]],AMP5_2[[#All],[Blade Part Number]],$B1,AMP5_2[[#All],[Date]],"&gt;"&amp;$A$1,AMP5_2[[#All],[Date]],"&lt;"&amp;$A$2),"")</f>
        <v>41.056046153846154</v>
      </c>
      <c r="H1" s="2">
        <f>IFERROR(AVERAGEIFS(AMP5_2[[#All],[Dim 2_1]],AMP5_2[[#All],[Blade Part Number]],$B1,AMP5_2[[#All],[Date]],"&gt;"&amp;$A$1,AMP5_2[[#All],[Date]],"&lt;"&amp;$A$2),"")</f>
        <v>155.84141538461535</v>
      </c>
      <c r="I1" s="2">
        <f>IFERROR(AVERAGEIFS(AMP5_2[[#All],[Dim 2_2]],AMP5_2[[#All],[Blade Part Number]],$B1,AMP5_2[[#All],[Date]],"&gt;"&amp;$A$1,AMP5_2[[#All],[Date]],"&lt;"&amp;$A$2),"")</f>
        <v>155.7827076923077</v>
      </c>
      <c r="J1" s="2" t="str">
        <f>IFERROR(AVERAGEIFS(AMP5_2[[#All],[Dim 3_1]],AMP5_2[[#All],[Blade Part Number]],$B1,AMP5_2[[#All],[Date]],"&gt;"&amp;$A$1,AMP5_2[[#All],[Date]],"&lt;"&amp;$A$2),"")</f>
        <v/>
      </c>
      <c r="K1" s="2" t="str">
        <f>IFERROR(AVERAGEIFS(AMP5_2[[#All],[Dim 3_2]],AMP5_2[[#All],[Blade Part Number]],$B1,AMP5_2[[#All],[Date]],"&gt;"&amp;$A$1,AMP5_2[[#All],[Date]],"&lt;"&amp;$A$2),"")</f>
        <v/>
      </c>
      <c r="L1" s="2">
        <f>IFERROR(AVERAGEIFS(AMP5_2[[#All],[Dim 4_1]],AMP5_2[[#All],[Blade Part Number]],$B1,AMP5_2[[#All],[Date]],"&gt;"&amp;$A$1,AMP5_2[[#All],[Date]],"&lt;"&amp;$A$2),"")</f>
        <v>155.93772307692305</v>
      </c>
      <c r="M1" s="2">
        <f>IFERROR(AVERAGEIFS(AMP5_2[[#All],[Dim 4_2]],AMP5_2[[#All],[Blade Part Number]],$B1,AMP5_2[[#All],[Date]],"&gt;"&amp;$A$1,AMP5_2[[#All],[Date]],"&lt;"&amp;$A$2),"")</f>
        <v>155.64115384615388</v>
      </c>
      <c r="N1" s="2">
        <f>IFERROR(AVERAGEIFS(AMP5_2[[#All],[Dim 5_1]],AMP5_2[[#All],[Blade Part Number]],$B1,AMP5_2[[#All],[Date]],"&gt;"&amp;$A$1,AMP5_2[[#All],[Date]],"&lt;"&amp;$A$2),"")</f>
        <v>27.231246153846158</v>
      </c>
      <c r="O1" s="2">
        <f>IFERROR(AVERAGEIFS(AMP5_2[[#All],[Dim 5_2]],AMP5_2[[#All],[Blade Part Number]],$B1,AMP5_2[[#All],[Date]],"&gt;"&amp;$A$1,AMP5_2[[#All],[Date]],"&lt;"&amp;$A$2),"")</f>
        <v>27.441384615384628</v>
      </c>
      <c r="P1" s="2" t="str">
        <f>IFERROR(AVERAGEIFS(AMP5_2[[#All],[Dim 6]],AMP5_2[[#All],[Blade Part Number]],$B1,AMP5_2[[#All],[Date]],"&gt;"&amp;$A$1,AMP5_2[[#All],[Date]],"&lt;"&amp;$A$2),"")</f>
        <v/>
      </c>
      <c r="Q1" s="2" t="str">
        <f>IFERROR(AVERAGEIFS(AMP5_2[[#All],[Dim 7]],AMP5_2[[#All],[Blade Part Number]],$B1,AMP5_2[[#All],[Date]],"&gt;"&amp;$A$1,AMP5_2[[#All],[Date]],"&lt;"&amp;$A$2),"")</f>
        <v/>
      </c>
      <c r="R1" s="2">
        <f>IFERROR(AVERAGEIFS(AMP5_2[[#All],[Dim 9_1]],AMP5_2[[#All],[Blade Part Number]],$B1,AMP5_2[[#All],[Date]],"&gt;"&amp;$A$1,AMP5_2[[#All],[Date]],"&lt;"&amp;$A$2),"")</f>
        <v>17.217661538461535</v>
      </c>
      <c r="S1" s="2">
        <f>IFERROR(AVERAGEIFS(AMP5_2[[#All],[Dim 9_2]],AMP5_2[[#All],[Blade Part Number]],$B1,AMP5_2[[#All],[Date]],"&gt;"&amp;$A$1,AMP5_2[[#All],[Date]],"&lt;"&amp;$A$2),"")</f>
        <v>17.221692307692301</v>
      </c>
      <c r="T1" s="2">
        <f>IFERROR(AVERAGEIFS(AMP5_2[[#All],[Dim 10_1]],AMP5_2[[#All],[Blade Part Number]],$B1,AMP5_2[[#All],[Date]],"&gt;"&amp;$A$1,AMP5_2[[#All],[Date]],"&lt;"&amp;$A$2),"")</f>
        <v>33.377984615384605</v>
      </c>
      <c r="U1" s="2">
        <f>IFERROR(AVERAGEIFS(AMP5_2[[#All],[Dim 10_2]],AMP5_2[[#All],[Blade Part Number]],$B1,AMP5_2[[#All],[Date]],"&gt;"&amp;$A$1,AMP5_2[[#All],[Date]],"&lt;"&amp;$A$2),"")</f>
        <v>33.734461538461531</v>
      </c>
      <c r="V1" s="2" t="str">
        <f>IFERROR(AVERAGEIFS(AMP5_2[[#All],[Dim 11]],AMP5_2[[#All],[Blade Part Number]],$B1,AMP5_2[[#All],[Date]],"&gt;"&amp;$A$1,AMP5_2[[#All],[Date]],"&lt;"&amp;$A$2),"")</f>
        <v/>
      </c>
      <c r="W1" s="2">
        <f>IFERROR(AVERAGEIFS(AMP5_2[[#All],[Dim 11 Max]],AMP5_2[[#All],[Blade Part Number]],$B1,AMP5_2[[#All],[Date]],"&gt;"&amp;$A$1,AMP5_2[[#All],[Date]],"&lt;"&amp;$A$2),"")</f>
        <v>9.066153846153846E-2</v>
      </c>
      <c r="X1" s="2">
        <f>IFERROR(AVERAGEIFS(AMP5_2[[#All],[Dim 11 Min]],AMP5_2[[#All],[Blade Part Number]],$B1,AMP5_2[[#All],[Date]],"&gt;"&amp;$A$1,AMP5_2[[#All],[Date]],"&lt;"&amp;$A$2),"")</f>
        <v>-7.9092307692307698E-2</v>
      </c>
      <c r="Y1" s="2" t="str">
        <f>IFERROR(AVERAGEIFS(AMP5_2[[#All],[Dim 12]],AMP5_2[[#All],[Blade Part Number]],$B1,AMP5_2[[#All],[Date]],"&gt;"&amp;$A$1,AMP5_2[[#All],[Date]],"&lt;"&amp;$A$2),"")</f>
        <v/>
      </c>
      <c r="Z1" s="2">
        <f>IFERROR(AVERAGEIFS(AMP5_2[[#All],[Dim 12 Max]],AMP5_2[[#All],[Blade Part Number]],$B1,AMP5_2[[#All],[Date]],"&gt;"&amp;$A$1,AMP5_2[[#All],[Date]],"&lt;"&amp;$A$2),"")</f>
        <v>9.8446153846153822E-2</v>
      </c>
      <c r="AA1" s="2">
        <f>IFERROR(AVERAGEIFS(AMP5_2[[#All],[Dim 12 Min]],AMP5_2[[#All],[Blade Part Number]],$B1,AMP5_2[[#All],[Date]],"&gt;"&amp;$A$1,AMP5_2[[#All],[Date]],"&lt;"&amp;$A$2),"")</f>
        <v>-7.0092307692307676E-2</v>
      </c>
      <c r="AB1" s="2">
        <f>IFERROR(AVERAGEIFS(AMP5_2[[#All],[T 1]],AMP5_2[[#All],[Blade Part Number]],$B1,AMP5_2[[#All],[Date]],"&gt;"&amp;$A$1,AMP5_2[[#All],[Date]],"&lt;"&amp;$A$2),"")</f>
        <v>-3.118461538461538E-2</v>
      </c>
      <c r="AC1" s="2">
        <f>IFERROR(AVERAGEIFS(AMP5_2[[#All],[T 2]],AMP5_2[[#All],[Blade Part Number]],$B1,AMP5_2[[#All],[Date]],"&gt;"&amp;$A$1,AMP5_2[[#All],[Date]],"&lt;"&amp;$A$2),"")</f>
        <v>3.3846153846153938E-4</v>
      </c>
      <c r="AD1" s="2">
        <f>IFERROR(AVERAGEIFS(AMP5_2[[#All],[T 3]],AMP5_2[[#All],[Blade Part Number]],$B1,AMP5_2[[#All],[Date]],"&gt;"&amp;$A$1,AMP5_2[[#All],[Date]],"&lt;"&amp;$A$2),"")</f>
        <v>6.8707692307692331E-2</v>
      </c>
      <c r="AE1" s="2">
        <f>IFERROR(AVERAGEIFS(AMP5_2[[#All],[T 4]],AMP5_2[[#All],[Blade Part Number]],$B1,AMP5_2[[#All],[Date]],"&gt;"&amp;$A$1,AMP5_2[[#All],[Date]],"&lt;"&amp;$A$2),"")</f>
        <v>-1.104615384615385E-2</v>
      </c>
      <c r="AF1" s="2">
        <f>IFERROR(AVERAGEIFS(AMP5_2[[#All],[T 5]],AMP5_2[[#All],[Blade Part Number]],$B1,AMP5_2[[#All],[Date]],"&gt;"&amp;$A$1,AMP5_2[[#All],[Date]],"&lt;"&amp;$A$2),"")</f>
        <v>1.06E-2</v>
      </c>
      <c r="AG1" s="2">
        <f>IFERROR(AVERAGEIFS(AMP5_2[[#All],[T 6]],AMP5_2[[#All],[Blade Part Number]],$B1,AMP5_2[[#All],[Date]],"&gt;"&amp;$A$1,AMP5_2[[#All],[Date]],"&lt;"&amp;$A$2),"")</f>
        <v>-4.9753846153846149E-2</v>
      </c>
      <c r="AH1" s="2">
        <f>IFERROR(AVERAGEIFS(AMP5_2[[#All],[T 7]],AMP5_2[[#All],[Blade Part Number]],$B1,AMP5_2[[#All],[Date]],"&gt;"&amp;$A$1,AMP5_2[[#All],[Date]],"&lt;"&amp;$A$2),"")</f>
        <v>3.5953846153846156E-2</v>
      </c>
      <c r="AI1" s="2">
        <f>IFERROR(AVERAGEIFS(AMP5_2[[#All],[T 8]],AMP5_2[[#All],[Blade Part Number]],$B1,AMP5_2[[#All],[Date]],"&gt;"&amp;$A$1,AMP5_2[[#All],[Date]],"&lt;"&amp;$A$2),"")</f>
        <v>6.0599999999999994E-2</v>
      </c>
    </row>
    <row r="2" spans="1:35" x14ac:dyDescent="0.25">
      <c r="A2" s="1">
        <f>'Offset Solver'!E31</f>
        <v>73050</v>
      </c>
      <c r="B2" s="12" t="s">
        <v>31</v>
      </c>
      <c r="C2" s="25">
        <f>MAX(AMP5_2[Date])</f>
        <v>43711.759733796294</v>
      </c>
      <c r="D2" s="310"/>
      <c r="E2" s="794"/>
      <c r="F2" s="2" t="str">
        <f>IFERROR(AVERAGEIFS(AMP5_2[[#All],[Dim 1_1]],AMP5_2[[#All],[Blade Part Number]],$B2,AMP5_2[[#All],[Date]],"&gt;"&amp;$A$1,AMP5_2[[#All],[Date]],"&lt;"&amp;$A$2),"")</f>
        <v/>
      </c>
      <c r="G2" s="2" t="str">
        <f>IFERROR(AVERAGEIFS(AMP5_2[[#All],[Dim 1_2]],AMP5_2[[#All],[Blade Part Number]],$B2,AMP5_2[[#All],[Date]],"&gt;"&amp;$A$1,AMP5_2[[#All],[Date]],"&lt;"&amp;$A$2),"")</f>
        <v/>
      </c>
      <c r="H2" s="2">
        <f>IFERROR(AVERAGEIFS(AMP5_2[[#All],[Dim 2_1]],AMP5_2[[#All],[Blade Part Number]],$B2,AMP5_2[[#All],[Date]],"&gt;"&amp;$A$1,AMP5_2[[#All],[Date]],"&lt;"&amp;$A$2),"")</f>
        <v>155.96240625000002</v>
      </c>
      <c r="I2" s="2">
        <f>IFERROR(AVERAGEIFS(AMP5_2[[#All],[Dim 2_2]],AMP5_2[[#All],[Blade Part Number]],$B2,AMP5_2[[#All],[Date]],"&gt;"&amp;$A$1,AMP5_2[[#All],[Date]],"&lt;"&amp;$A$2),"")</f>
        <v>156.02406249999996</v>
      </c>
      <c r="J2" s="2">
        <f>IFERROR(AVERAGEIFS(AMP5_2[[#All],[Dim 3_1]],AMP5_2[[#All],[Blade Part Number]],$B2,AMP5_2[[#All],[Date]],"&gt;"&amp;$A$1,AMP5_2[[#All],[Date]],"&lt;"&amp;$A$2),"")</f>
        <v>168.72814062499998</v>
      </c>
      <c r="K2" s="2">
        <f>IFERROR(AVERAGEIFS(AMP5_2[[#All],[Dim 3_2]],AMP5_2[[#All],[Blade Part Number]],$B2,AMP5_2[[#All],[Date]],"&gt;"&amp;$A$1,AMP5_2[[#All],[Date]],"&lt;"&amp;$A$2),"")</f>
        <v>168.62156249999998</v>
      </c>
      <c r="L2" s="2">
        <f>IFERROR(AVERAGEIFS(AMP5_2[[#All],[Dim 4_1]],AMP5_2[[#All],[Blade Part Number]],$B2,AMP5_2[[#All],[Date]],"&gt;"&amp;$A$1,AMP5_2[[#All],[Date]],"&lt;"&amp;$A$2),"")</f>
        <v>156.12401562500003</v>
      </c>
      <c r="M2" s="2">
        <f>IFERROR(AVERAGEIFS(AMP5_2[[#All],[Dim 4_2]],AMP5_2[[#All],[Blade Part Number]],$B2,AMP5_2[[#All],[Date]],"&gt;"&amp;$A$1,AMP5_2[[#All],[Date]],"&lt;"&amp;$A$2),"")</f>
        <v>155.98539062500001</v>
      </c>
      <c r="N2" s="2">
        <f>IFERROR(AVERAGEIFS(AMP5_2[[#All],[Dim 5_1]],AMP5_2[[#All],[Blade Part Number]],$B2,AMP5_2[[#All],[Date]],"&gt;"&amp;$A$1,AMP5_2[[#All],[Date]],"&lt;"&amp;$A$2),"")</f>
        <v>27.081031249999995</v>
      </c>
      <c r="O2" s="2">
        <f>IFERROR(AVERAGEIFS(AMP5_2[[#All],[Dim 5_2]],AMP5_2[[#All],[Blade Part Number]],$B2,AMP5_2[[#All],[Date]],"&gt;"&amp;$A$1,AMP5_2[[#All],[Date]],"&lt;"&amp;$A$2),"")</f>
        <v>27.242046875000003</v>
      </c>
      <c r="P2" s="2" t="str">
        <f>IFERROR(AVERAGEIFS(AMP5_2[[#All],[Dim 6]],AMP5_2[[#All],[Blade Part Number]],$B2,AMP5_2[[#All],[Date]],"&gt;"&amp;$A$1,AMP5_2[[#All],[Date]],"&lt;"&amp;$A$2),"")</f>
        <v/>
      </c>
      <c r="Q2" s="2" t="str">
        <f>IFERROR(AVERAGEIFS(AMP5_2[[#All],[Dim 7]],AMP5_2[[#All],[Blade Part Number]],$B2,AMP5_2[[#All],[Date]],"&gt;"&amp;$A$1,AMP5_2[[#All],[Date]],"&lt;"&amp;$A$2),"")</f>
        <v/>
      </c>
      <c r="R2" s="2">
        <f>IFERROR(AVERAGEIFS(AMP5_2[[#All],[Dim 9_1]],AMP5_2[[#All],[Blade Part Number]],$B2,AMP5_2[[#All],[Date]],"&gt;"&amp;$A$1,AMP5_2[[#All],[Date]],"&lt;"&amp;$A$2),"")</f>
        <v>17.251749999999998</v>
      </c>
      <c r="S2" s="2">
        <f>IFERROR(AVERAGEIFS(AMP5_2[[#All],[Dim 9_2]],AMP5_2[[#All],[Blade Part Number]],$B2,AMP5_2[[#All],[Date]],"&gt;"&amp;$A$1,AMP5_2[[#All],[Date]],"&lt;"&amp;$A$2),"")</f>
        <v>17.205749999999998</v>
      </c>
      <c r="T2" s="2">
        <f>IFERROR(AVERAGEIFS(AMP5_2[[#All],[Dim 10_1]],AMP5_2[[#All],[Blade Part Number]],$B2,AMP5_2[[#All],[Date]],"&gt;"&amp;$A$1,AMP5_2[[#All],[Date]],"&lt;"&amp;$A$2),"")</f>
        <v>37.500624999999999</v>
      </c>
      <c r="U2" s="2">
        <f>IFERROR(AVERAGEIFS(AMP5_2[[#All],[Dim 10_2]],AMP5_2[[#All],[Blade Part Number]],$B2,AMP5_2[[#All],[Date]],"&gt;"&amp;$A$1,AMP5_2[[#All],[Date]],"&lt;"&amp;$A$2),"")</f>
        <v>38.551734375000002</v>
      </c>
      <c r="V2" s="2" t="str">
        <f>IFERROR(AVERAGEIFS(AMP5_2[[#All],[Dim 11]],AMP5_2[[#All],[Blade Part Number]],$B2,AMP5_2[[#All],[Date]],"&gt;"&amp;$A$1,AMP5_2[[#All],[Date]],"&lt;"&amp;$A$2),"")</f>
        <v/>
      </c>
      <c r="W2" s="2">
        <f>IFERROR(AVERAGEIFS(AMP5_2[[#All],[Dim 11 Max]],AMP5_2[[#All],[Blade Part Number]],$B2,AMP5_2[[#All],[Date]],"&gt;"&amp;$A$1,AMP5_2[[#All],[Date]],"&lt;"&amp;$A$2),"")</f>
        <v>-4.8765625000000014E-2</v>
      </c>
      <c r="X2" s="2">
        <f>IFERROR(AVERAGEIFS(AMP5_2[[#All],[Dim 11 Min]],AMP5_2[[#All],[Blade Part Number]],$B2,AMP5_2[[#All],[Date]],"&gt;"&amp;$A$1,AMP5_2[[#All],[Date]],"&lt;"&amp;$A$2),"")</f>
        <v>-0.30098437500000008</v>
      </c>
      <c r="Y2" s="2" t="str">
        <f>IFERROR(AVERAGEIFS(AMP5_2[[#All],[Dim 12]],AMP5_2[[#All],[Blade Part Number]],$B2,AMP5_2[[#All],[Date]],"&gt;"&amp;$A$1,AMP5_2[[#All],[Date]],"&lt;"&amp;$A$2),"")</f>
        <v/>
      </c>
      <c r="Z2" s="2">
        <f>IFERROR(AVERAGEIFS(AMP5_2[[#All],[Dim 12 Max]],AMP5_2[[#All],[Blade Part Number]],$B2,AMP5_2[[#All],[Date]],"&gt;"&amp;$A$1,AMP5_2[[#All],[Date]],"&lt;"&amp;$A$2),"")</f>
        <v>3.5187500000000003E-2</v>
      </c>
      <c r="AA2" s="2">
        <f>IFERROR(AVERAGEIFS(AMP5_2[[#All],[Dim 12 Min]],AMP5_2[[#All],[Blade Part Number]],$B2,AMP5_2[[#All],[Date]],"&gt;"&amp;$A$1,AMP5_2[[#All],[Date]],"&lt;"&amp;$A$2),"")</f>
        <v>-0.10548437499999999</v>
      </c>
      <c r="AB2" s="2">
        <f>IFERROR(AVERAGEIFS(AMP5_2[[#All],[T 1]],AMP5_2[[#All],[Blade Part Number]],$B2,AMP5_2[[#All],[Date]],"&gt;"&amp;$A$1,AMP5_2[[#All],[Date]],"&lt;"&amp;$A$2),"")</f>
        <v>-0.18426562499999996</v>
      </c>
      <c r="AC2" s="2">
        <f>IFERROR(AVERAGEIFS(AMP5_2[[#All],[T 2]],AMP5_2[[#All],[Blade Part Number]],$B2,AMP5_2[[#All],[Date]],"&gt;"&amp;$A$1,AMP5_2[[#All],[Date]],"&lt;"&amp;$A$2),"")</f>
        <v>-8.8171874999999983E-2</v>
      </c>
      <c r="AD2" s="2">
        <f>IFERROR(AVERAGEIFS(AMP5_2[[#All],[T 3]],AMP5_2[[#All],[Blade Part Number]],$B2,AMP5_2[[#All],[Date]],"&gt;"&amp;$A$1,AMP5_2[[#All],[Date]],"&lt;"&amp;$A$2),"")</f>
        <v>-0.221453125</v>
      </c>
      <c r="AE2" s="2">
        <f>IFERROR(AVERAGEIFS(AMP5_2[[#All],[T 4]],AMP5_2[[#All],[Blade Part Number]],$B2,AMP5_2[[#All],[Date]],"&gt;"&amp;$A$1,AMP5_2[[#All],[Date]],"&lt;"&amp;$A$2),"")</f>
        <v>-0.15510937500000002</v>
      </c>
      <c r="AF2" s="2">
        <f>IFERROR(AVERAGEIFS(AMP5_2[[#All],[T 5]],AMP5_2[[#All],[Blade Part Number]],$B2,AMP5_2[[#All],[Date]],"&gt;"&amp;$A$1,AMP5_2[[#All],[Date]],"&lt;"&amp;$A$2),"")</f>
        <v>-1.4562499999999992E-2</v>
      </c>
      <c r="AG2" s="2">
        <f>IFERROR(AVERAGEIFS(AMP5_2[[#All],[T 6]],AMP5_2[[#All],[Blade Part Number]],$B2,AMP5_2[[#All],[Date]],"&gt;"&amp;$A$1,AMP5_2[[#All],[Date]],"&lt;"&amp;$A$2),"")</f>
        <v>-7.9765625000000007E-2</v>
      </c>
      <c r="AH2" s="2">
        <f>IFERROR(AVERAGEIFS(AMP5_2[[#All],[T 7]],AMP5_2[[#All],[Blade Part Number]],$B2,AMP5_2[[#All],[Date]],"&gt;"&amp;$A$1,AMP5_2[[#All],[Date]],"&lt;"&amp;$A$2),"")</f>
        <v>-5.9703125000000024E-2</v>
      </c>
      <c r="AI2" s="2">
        <f>IFERROR(AVERAGEIFS(AMP5_2[[#All],[T 8]],AMP5_2[[#All],[Blade Part Number]],$B2,AMP5_2[[#All],[Date]],"&gt;"&amp;$A$1,AMP5_2[[#All],[Date]],"&lt;"&amp;$A$2),"")</f>
        <v>5.3125000000000012E-3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-0.15961538461537828</v>
      </c>
      <c r="G6" s="11">
        <f t="shared" si="0"/>
        <v>-0.2439538461538433</v>
      </c>
      <c r="H6" s="11">
        <f t="shared" si="0"/>
        <v>4.1415384615334006E-2</v>
      </c>
      <c r="I6" s="11">
        <f t="shared" si="0"/>
        <v>-1.7292307692315489E-2</v>
      </c>
      <c r="J6" s="11" t="str">
        <f t="shared" si="0"/>
        <v/>
      </c>
      <c r="K6" s="11" t="str">
        <f t="shared" si="0"/>
        <v/>
      </c>
      <c r="L6" s="11">
        <f t="shared" si="0"/>
        <v>0.13772307692303798</v>
      </c>
      <c r="M6" s="11">
        <f t="shared" si="0"/>
        <v>-0.15884615384612744</v>
      </c>
      <c r="N6" s="11">
        <f t="shared" si="0"/>
        <v>-0.16875384615384093</v>
      </c>
      <c r="O6" s="11">
        <f t="shared" si="0"/>
        <v>4.1384615384629342E-2</v>
      </c>
      <c r="P6" s="11" t="str">
        <f t="shared" si="0"/>
        <v/>
      </c>
      <c r="Q6" s="11" t="str">
        <f t="shared" si="0"/>
        <v/>
      </c>
      <c r="R6" s="11">
        <f t="shared" si="0"/>
        <v>-3.2338461538465424E-2</v>
      </c>
      <c r="S6" s="11">
        <f t="shared" si="0"/>
        <v>-2.8307692307699028E-2</v>
      </c>
      <c r="T6" s="11">
        <f t="shared" si="0"/>
        <v>1.3779846153846051</v>
      </c>
      <c r="U6" s="11">
        <f t="shared" si="0"/>
        <v>1.7344615384615309</v>
      </c>
      <c r="V6" s="11" t="str">
        <f t="shared" si="0"/>
        <v/>
      </c>
      <c r="W6" s="11">
        <f t="shared" si="0"/>
        <v>9.066153846153846E-2</v>
      </c>
      <c r="X6" s="11">
        <f t="shared" si="0"/>
        <v>-7.9092307692307698E-2</v>
      </c>
      <c r="Y6" s="11" t="str">
        <f t="shared" si="0"/>
        <v/>
      </c>
      <c r="Z6" s="11">
        <f t="shared" si="0"/>
        <v>9.8446153846153822E-2</v>
      </c>
      <c r="AA6" s="11">
        <f t="shared" si="0"/>
        <v>-7.0092307692307676E-2</v>
      </c>
      <c r="AB6" s="406">
        <f t="shared" si="0"/>
        <v>-3.118461538461538E-2</v>
      </c>
      <c r="AC6" s="406">
        <f t="shared" si="0"/>
        <v>3.3846153846153938E-4</v>
      </c>
      <c r="AD6" s="407">
        <f t="shared" si="0"/>
        <v>6.8707692307692331E-2</v>
      </c>
      <c r="AE6" s="407">
        <f t="shared" si="0"/>
        <v>-1.104615384615385E-2</v>
      </c>
      <c r="AF6" s="406">
        <f t="shared" si="0"/>
        <v>1.06E-2</v>
      </c>
      <c r="AG6" s="406">
        <f t="shared" si="0"/>
        <v>-4.9753846153846149E-2</v>
      </c>
      <c r="AH6" s="407">
        <f t="shared" si="0"/>
        <v>3.5953846153846156E-2</v>
      </c>
      <c r="AI6" s="407">
        <f t="shared" si="0"/>
        <v>6.0599999999999994E-2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0.16240625000000364</v>
      </c>
      <c r="I7" s="11">
        <f t="shared" si="1"/>
        <v>0.22406249999994543</v>
      </c>
      <c r="J7" s="11">
        <f t="shared" si="1"/>
        <v>2.8140624999991815E-2</v>
      </c>
      <c r="K7" s="11">
        <f t="shared" si="1"/>
        <v>-7.8437500000006821E-2</v>
      </c>
      <c r="L7" s="11">
        <f t="shared" si="1"/>
        <v>0.32401562500001546</v>
      </c>
      <c r="M7" s="11">
        <f t="shared" si="1"/>
        <v>0.18539062499999659</v>
      </c>
      <c r="N7" s="11">
        <f t="shared" si="1"/>
        <v>-0.31896875000000335</v>
      </c>
      <c r="O7" s="11">
        <f t="shared" si="1"/>
        <v>-0.15795312499999525</v>
      </c>
      <c r="P7" s="11" t="str">
        <f t="shared" si="1"/>
        <v/>
      </c>
      <c r="Q7" s="11" t="str">
        <f t="shared" si="1"/>
        <v/>
      </c>
      <c r="R7" s="11">
        <f t="shared" si="1"/>
        <v>1.7499999999976978E-3</v>
      </c>
      <c r="S7" s="11">
        <f t="shared" si="1"/>
        <v>-4.4250000000001677E-2</v>
      </c>
      <c r="T7" s="11">
        <f t="shared" si="1"/>
        <v>5.5006249999999994</v>
      </c>
      <c r="U7" s="11">
        <f t="shared" si="1"/>
        <v>6.5517343750000023</v>
      </c>
      <c r="V7" s="11" t="str">
        <f t="shared" si="1"/>
        <v/>
      </c>
      <c r="W7" s="11">
        <f t="shared" si="1"/>
        <v>-4.8765625000000014E-2</v>
      </c>
      <c r="X7" s="11">
        <f t="shared" si="1"/>
        <v>-0.30098437500000008</v>
      </c>
      <c r="Y7" s="11" t="str">
        <f t="shared" si="1"/>
        <v/>
      </c>
      <c r="Z7" s="11">
        <f t="shared" si="1"/>
        <v>3.5187500000000003E-2</v>
      </c>
      <c r="AA7" s="11">
        <f t="shared" si="1"/>
        <v>-0.10548437499999999</v>
      </c>
      <c r="AB7" s="407">
        <f t="shared" si="1"/>
        <v>-0.18426562499999996</v>
      </c>
      <c r="AC7" s="407">
        <f t="shared" si="1"/>
        <v>-8.8171874999999983E-2</v>
      </c>
      <c r="AD7" s="406">
        <f t="shared" si="1"/>
        <v>-0.221453125</v>
      </c>
      <c r="AE7" s="406">
        <f t="shared" si="1"/>
        <v>-0.15510937500000002</v>
      </c>
      <c r="AF7" s="407">
        <f t="shared" si="1"/>
        <v>-1.4562499999999992E-2</v>
      </c>
      <c r="AG7" s="407">
        <f t="shared" si="1"/>
        <v>-7.9765625000000007E-2</v>
      </c>
      <c r="AH7" s="406">
        <f t="shared" si="1"/>
        <v>-5.9703125000000024E-2</v>
      </c>
      <c r="AI7" s="406">
        <f t="shared" si="1"/>
        <v>5.3125000000000012E-3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1042</v>
      </c>
      <c r="B9" t="s">
        <v>32</v>
      </c>
      <c r="C9" s="25">
        <v>43698.523831018516</v>
      </c>
      <c r="D9" s="741" t="s">
        <v>969</v>
      </c>
      <c r="E9" s="741">
        <f t="array" ref="E9">SUMPRODUCT(IF(AMP5_2[[#This Row],[Dim 1_1]:[T 8]]-$F$4:$AI$4&lt;0,1,0)+IF($F$5:$AI$5-AMP5_2[[#This Row],[Dim 1_1]:[T 8]]&lt;0,1,0),IF(ISNUMBER(AMP5_2[[#This Row],[Dim 1_1]:[T 8]])=TRUE,1,0))</f>
        <v>0</v>
      </c>
      <c r="F9">
        <v>41.39</v>
      </c>
      <c r="G9">
        <v>41.392000000000003</v>
      </c>
      <c r="H9">
        <v>155.755</v>
      </c>
      <c r="I9">
        <v>155.75899999999999</v>
      </c>
      <c r="L9">
        <v>155.83199999999999</v>
      </c>
      <c r="M9">
        <v>155.613</v>
      </c>
      <c r="N9">
        <v>27.335000000000001</v>
      </c>
      <c r="O9">
        <v>27.463999999999999</v>
      </c>
      <c r="R9">
        <v>17.222999999999999</v>
      </c>
      <c r="S9">
        <v>17.29</v>
      </c>
      <c r="T9">
        <v>33.441000000000003</v>
      </c>
      <c r="U9">
        <v>33.762999999999998</v>
      </c>
      <c r="W9">
        <v>8.7999999999999995E-2</v>
      </c>
      <c r="X9">
        <v>-5.2999999999999999E-2</v>
      </c>
      <c r="Z9">
        <v>0.106</v>
      </c>
      <c r="AA9">
        <v>3.3000000000000002E-2</v>
      </c>
      <c r="AB9">
        <v>5.1999999999999998E-2</v>
      </c>
      <c r="AC9">
        <v>8.7999999999999995E-2</v>
      </c>
      <c r="AD9">
        <v>7.2999999999999995E-2</v>
      </c>
      <c r="AE9">
        <v>-5.2999999999999999E-2</v>
      </c>
      <c r="AF9">
        <v>0.106</v>
      </c>
      <c r="AG9">
        <v>5.1999999999999998E-2</v>
      </c>
      <c r="AH9">
        <v>3.3000000000000002E-2</v>
      </c>
      <c r="AI9">
        <v>7.1999999999999995E-2</v>
      </c>
    </row>
    <row r="10" spans="1:35" x14ac:dyDescent="0.25">
      <c r="A10" t="s">
        <v>1043</v>
      </c>
      <c r="B10" t="s">
        <v>31</v>
      </c>
      <c r="C10" s="25">
        <v>43698.525856481479</v>
      </c>
      <c r="D10" s="741" t="s">
        <v>969</v>
      </c>
      <c r="E10" s="741">
        <f t="array" ref="E10">SUMPRODUCT(IF(AMP5_2[[#This Row],[Dim 1_1]:[T 8]]-$F$4:$AI$4&lt;0,1,0)+IF($F$5:$AI$5-AMP5_2[[#This Row],[Dim 1_1]:[T 8]]&lt;0,1,0),IF(ISNUMBER(AMP5_2[[#This Row],[Dim 1_1]:[T 8]])=TRUE,1,0))</f>
        <v>0</v>
      </c>
      <c r="H10">
        <v>155.709</v>
      </c>
      <c r="I10">
        <v>155.72</v>
      </c>
      <c r="J10">
        <v>168.755</v>
      </c>
      <c r="K10">
        <v>168.9</v>
      </c>
      <c r="L10">
        <v>155.911</v>
      </c>
      <c r="M10">
        <v>155.739</v>
      </c>
      <c r="N10">
        <v>27.282</v>
      </c>
      <c r="O10">
        <v>27.488</v>
      </c>
      <c r="R10">
        <v>17.256</v>
      </c>
      <c r="S10">
        <v>17.178999999999998</v>
      </c>
      <c r="T10">
        <v>36.914000000000001</v>
      </c>
      <c r="U10">
        <v>37.036999999999999</v>
      </c>
      <c r="W10">
        <v>5.3999999999999999E-2</v>
      </c>
      <c r="X10">
        <v>-4.4999999999999998E-2</v>
      </c>
      <c r="Z10">
        <v>0.18</v>
      </c>
      <c r="AA10">
        <v>0.06</v>
      </c>
      <c r="AB10">
        <v>-4.4999999999999998E-2</v>
      </c>
      <c r="AC10">
        <v>5.2999999999999999E-2</v>
      </c>
      <c r="AD10">
        <v>3.3000000000000002E-2</v>
      </c>
      <c r="AE10">
        <v>5.3999999999999999E-2</v>
      </c>
      <c r="AF10">
        <v>0.112</v>
      </c>
      <c r="AG10">
        <v>0.06</v>
      </c>
      <c r="AH10">
        <v>0.128</v>
      </c>
      <c r="AI10">
        <v>0.18</v>
      </c>
    </row>
    <row r="11" spans="1:35" x14ac:dyDescent="0.25">
      <c r="A11" t="s">
        <v>1044</v>
      </c>
      <c r="B11" t="s">
        <v>32</v>
      </c>
      <c r="C11" s="25">
        <v>43698.607812499999</v>
      </c>
      <c r="D11" s="741" t="s">
        <v>969</v>
      </c>
      <c r="E11" s="741">
        <f t="array" ref="E11">SUMPRODUCT(IF(AMP5_2[[#This Row],[Dim 1_1]:[T 8]]-$F$4:$AI$4&lt;0,1,0)+IF($F$5:$AI$5-AMP5_2[[#This Row],[Dim 1_1]:[T 8]]&lt;0,1,0),IF(ISNUMBER(AMP5_2[[#This Row],[Dim 1_1]:[T 8]])=TRUE,1,0))</f>
        <v>0</v>
      </c>
      <c r="F11">
        <v>41.271000000000001</v>
      </c>
      <c r="G11">
        <v>41.338999999999999</v>
      </c>
      <c r="H11">
        <v>155.762</v>
      </c>
      <c r="I11">
        <v>155.75700000000001</v>
      </c>
      <c r="L11">
        <v>155.852</v>
      </c>
      <c r="M11">
        <v>155.65100000000001</v>
      </c>
      <c r="N11">
        <v>27.315999999999999</v>
      </c>
      <c r="O11">
        <v>27.445</v>
      </c>
      <c r="R11">
        <v>17.244</v>
      </c>
      <c r="S11">
        <v>17.286000000000001</v>
      </c>
      <c r="T11">
        <v>33.49</v>
      </c>
      <c r="U11">
        <v>33.656999999999996</v>
      </c>
      <c r="W11">
        <v>9.9000000000000005E-2</v>
      </c>
      <c r="X11">
        <v>-8.5000000000000006E-2</v>
      </c>
      <c r="Z11">
        <v>9.6000000000000002E-2</v>
      </c>
      <c r="AA11">
        <v>-1.7000000000000001E-2</v>
      </c>
      <c r="AB11">
        <v>6.7000000000000004E-2</v>
      </c>
      <c r="AC11">
        <v>9.5000000000000001E-2</v>
      </c>
      <c r="AD11">
        <v>9.9000000000000005E-2</v>
      </c>
      <c r="AE11">
        <v>-8.5000000000000006E-2</v>
      </c>
      <c r="AF11">
        <v>9.6000000000000002E-2</v>
      </c>
      <c r="AG11">
        <v>3.2000000000000001E-2</v>
      </c>
      <c r="AH11">
        <v>-1.7000000000000001E-2</v>
      </c>
      <c r="AI11">
        <v>6.5000000000000002E-2</v>
      </c>
    </row>
    <row r="12" spans="1:35" x14ac:dyDescent="0.25">
      <c r="A12" t="s">
        <v>1045</v>
      </c>
      <c r="B12" t="s">
        <v>31</v>
      </c>
      <c r="C12" s="25">
        <v>43698.609884259262</v>
      </c>
      <c r="D12" s="741" t="s">
        <v>969</v>
      </c>
      <c r="E12" s="741">
        <f t="array" ref="E12">SUMPRODUCT(IF(AMP5_2[[#This Row],[Dim 1_1]:[T 8]]-$F$4:$AI$4&lt;0,1,0)+IF($F$5:$AI$5-AMP5_2[[#This Row],[Dim 1_1]:[T 8]]&lt;0,1,0),IF(ISNUMBER(AMP5_2[[#This Row],[Dim 1_1]:[T 8]])=TRUE,1,0))</f>
        <v>0</v>
      </c>
      <c r="H12">
        <v>155.78</v>
      </c>
      <c r="I12">
        <v>155.78899999999999</v>
      </c>
      <c r="J12">
        <v>168.69499999999999</v>
      </c>
      <c r="K12">
        <v>168.74</v>
      </c>
      <c r="L12">
        <v>155.94300000000001</v>
      </c>
      <c r="M12">
        <v>155.755</v>
      </c>
      <c r="N12">
        <v>27.276</v>
      </c>
      <c r="O12">
        <v>27.481999999999999</v>
      </c>
      <c r="R12">
        <v>17.256</v>
      </c>
      <c r="S12">
        <v>17.236999999999998</v>
      </c>
      <c r="T12">
        <v>37.854999999999997</v>
      </c>
      <c r="U12">
        <v>39.151000000000003</v>
      </c>
      <c r="W12">
        <v>-2E-3</v>
      </c>
      <c r="X12">
        <v>-0.14799999999999999</v>
      </c>
      <c r="Z12">
        <v>2.1999999999999999E-2</v>
      </c>
      <c r="AA12">
        <v>-7.9000000000000001E-2</v>
      </c>
      <c r="AB12">
        <v>-0.108</v>
      </c>
      <c r="AC12">
        <v>-2E-3</v>
      </c>
      <c r="AD12">
        <v>-0.14799999999999999</v>
      </c>
      <c r="AE12">
        <v>-9.0999999999999998E-2</v>
      </c>
      <c r="AF12">
        <v>2.1999999999999999E-2</v>
      </c>
      <c r="AG12">
        <v>-4.2000000000000003E-2</v>
      </c>
      <c r="AH12">
        <v>-7.9000000000000001E-2</v>
      </c>
      <c r="AI12">
        <v>-3.7999999999999999E-2</v>
      </c>
    </row>
    <row r="13" spans="1:35" x14ac:dyDescent="0.25">
      <c r="A13" t="s">
        <v>1046</v>
      </c>
      <c r="B13" t="s">
        <v>32</v>
      </c>
      <c r="C13" s="25">
        <v>43698.801400462966</v>
      </c>
      <c r="D13" s="741" t="s">
        <v>969</v>
      </c>
      <c r="E13" s="741">
        <f t="array" ref="E13">SUMPRODUCT(IF(AMP5_2[[#This Row],[Dim 1_1]:[T 8]]-$F$4:$AI$4&lt;0,1,0)+IF($F$5:$AI$5-AMP5_2[[#This Row],[Dim 1_1]:[T 8]]&lt;0,1,0),IF(ISNUMBER(AMP5_2[[#This Row],[Dim 1_1]:[T 8]])=TRUE,1,0))</f>
        <v>0</v>
      </c>
      <c r="F13">
        <v>41.134</v>
      </c>
      <c r="G13">
        <v>41.265999999999998</v>
      </c>
      <c r="H13">
        <v>155.881</v>
      </c>
      <c r="I13">
        <v>155.85300000000001</v>
      </c>
      <c r="L13">
        <v>155.96199999999999</v>
      </c>
      <c r="M13">
        <v>155.732</v>
      </c>
      <c r="N13">
        <v>27.164999999999999</v>
      </c>
      <c r="O13">
        <v>27.314</v>
      </c>
      <c r="R13">
        <v>17.233000000000001</v>
      </c>
      <c r="S13">
        <v>17.206</v>
      </c>
      <c r="T13">
        <v>33.606999999999999</v>
      </c>
      <c r="U13">
        <v>33.337000000000003</v>
      </c>
      <c r="W13">
        <v>8.5999999999999993E-2</v>
      </c>
      <c r="X13">
        <v>-7.5999999999999998E-2</v>
      </c>
      <c r="Z13">
        <v>9.8000000000000004E-2</v>
      </c>
      <c r="AA13">
        <v>-2.1999999999999999E-2</v>
      </c>
      <c r="AB13">
        <v>-7.5999999999999998E-2</v>
      </c>
      <c r="AC13">
        <v>-6.2E-2</v>
      </c>
      <c r="AD13">
        <v>8.5999999999999993E-2</v>
      </c>
      <c r="AE13">
        <v>-3.1E-2</v>
      </c>
      <c r="AF13">
        <v>3.1E-2</v>
      </c>
      <c r="AG13">
        <v>-2.1999999999999999E-2</v>
      </c>
      <c r="AH13">
        <v>2.7E-2</v>
      </c>
      <c r="AI13">
        <v>9.8000000000000004E-2</v>
      </c>
    </row>
    <row r="14" spans="1:35" x14ac:dyDescent="0.25">
      <c r="A14" t="s">
        <v>1047</v>
      </c>
      <c r="B14" t="s">
        <v>31</v>
      </c>
      <c r="C14" s="25">
        <v>43698.803483796299</v>
      </c>
      <c r="D14" s="741" t="s">
        <v>969</v>
      </c>
      <c r="E14" s="741">
        <f t="array" ref="E14">SUMPRODUCT(IF(AMP5_2[[#This Row],[Dim 1_1]:[T 8]]-$F$4:$AI$4&lt;0,1,0)+IF($F$5:$AI$5-AMP5_2[[#This Row],[Dim 1_1]:[T 8]]&lt;0,1,0),IF(ISNUMBER(AMP5_2[[#This Row],[Dim 1_1]:[T 8]])=TRUE,1,0))</f>
        <v>0</v>
      </c>
      <c r="H14">
        <v>155.828</v>
      </c>
      <c r="I14">
        <v>155.80199999999999</v>
      </c>
      <c r="J14">
        <v>168.58699999999999</v>
      </c>
      <c r="K14">
        <v>168.68799999999999</v>
      </c>
      <c r="L14">
        <v>155.97800000000001</v>
      </c>
      <c r="M14">
        <v>155.75899999999999</v>
      </c>
      <c r="N14">
        <v>27.266999999999999</v>
      </c>
      <c r="O14">
        <v>27.475000000000001</v>
      </c>
      <c r="R14">
        <v>17.244</v>
      </c>
      <c r="S14">
        <v>17.245000000000001</v>
      </c>
      <c r="T14">
        <v>34.539000000000001</v>
      </c>
      <c r="U14">
        <v>35.692999999999998</v>
      </c>
      <c r="W14">
        <v>-1.4E-2</v>
      </c>
      <c r="X14">
        <v>-0.124</v>
      </c>
      <c r="Z14">
        <v>-5.1999999999999998E-2</v>
      </c>
      <c r="AA14">
        <v>-0.113</v>
      </c>
      <c r="AB14">
        <v>-0.124</v>
      </c>
      <c r="AC14">
        <v>-1.4E-2</v>
      </c>
      <c r="AD14">
        <v>-8.3000000000000004E-2</v>
      </c>
      <c r="AE14">
        <v>-5.6000000000000001E-2</v>
      </c>
      <c r="AF14">
        <v>-5.1999999999999998E-2</v>
      </c>
      <c r="AG14">
        <v>-0.113</v>
      </c>
      <c r="AH14">
        <v>-8.2000000000000003E-2</v>
      </c>
      <c r="AI14">
        <v>-5.8999999999999997E-2</v>
      </c>
    </row>
    <row r="15" spans="1:35" x14ac:dyDescent="0.25">
      <c r="A15" t="s">
        <v>1048</v>
      </c>
      <c r="B15" t="s">
        <v>32</v>
      </c>
      <c r="C15" s="25">
        <v>43698.822511574072</v>
      </c>
      <c r="D15" s="741" t="s">
        <v>969</v>
      </c>
      <c r="E15" s="741">
        <f t="array" ref="E15">SUMPRODUCT(IF(AMP5_2[[#This Row],[Dim 1_1]:[T 8]]-$F$4:$AI$4&lt;0,1,0)+IF($F$5:$AI$5-AMP5_2[[#This Row],[Dim 1_1]:[T 8]]&lt;0,1,0),IF(ISNUMBER(AMP5_2[[#This Row],[Dim 1_1]:[T 8]])=TRUE,1,0))</f>
        <v>0</v>
      </c>
      <c r="F15">
        <v>41.265999999999998</v>
      </c>
      <c r="G15">
        <v>41.365000000000002</v>
      </c>
      <c r="H15">
        <v>155.83199999999999</v>
      </c>
      <c r="I15">
        <v>155.792</v>
      </c>
      <c r="L15">
        <v>155.94300000000001</v>
      </c>
      <c r="M15">
        <v>155.66300000000001</v>
      </c>
      <c r="N15">
        <v>27.245999999999999</v>
      </c>
      <c r="O15">
        <v>27.448</v>
      </c>
      <c r="R15">
        <v>17.22</v>
      </c>
      <c r="S15">
        <v>17.128</v>
      </c>
      <c r="T15">
        <v>33.606000000000002</v>
      </c>
      <c r="U15">
        <v>33.564999999999998</v>
      </c>
      <c r="W15">
        <v>0.21099999999999999</v>
      </c>
      <c r="X15">
        <v>0.01</v>
      </c>
      <c r="Z15">
        <v>0.11899999999999999</v>
      </c>
      <c r="AA15">
        <v>-9.2999999999999999E-2</v>
      </c>
      <c r="AB15">
        <v>0.01</v>
      </c>
      <c r="AC15">
        <v>3.1E-2</v>
      </c>
      <c r="AD15">
        <v>0.21099999999999999</v>
      </c>
      <c r="AE15">
        <v>9.2999999999999999E-2</v>
      </c>
      <c r="AF15">
        <v>-2.3E-2</v>
      </c>
      <c r="AG15">
        <v>-9.2999999999999999E-2</v>
      </c>
      <c r="AH15">
        <v>7.3999999999999996E-2</v>
      </c>
      <c r="AI15">
        <v>0.11899999999999999</v>
      </c>
    </row>
    <row r="16" spans="1:35" x14ac:dyDescent="0.25">
      <c r="A16" t="s">
        <v>1049</v>
      </c>
      <c r="B16" t="s">
        <v>31</v>
      </c>
      <c r="C16" s="25">
        <v>43698.824641203704</v>
      </c>
      <c r="D16" s="741" t="s">
        <v>969</v>
      </c>
      <c r="E16" s="741">
        <f t="array" ref="E16">SUMPRODUCT(IF(AMP5_2[[#This Row],[Dim 1_1]:[T 8]]-$F$4:$AI$4&lt;0,1,0)+IF($F$5:$AI$5-AMP5_2[[#This Row],[Dim 1_1]:[T 8]]&lt;0,1,0),IF(ISNUMBER(AMP5_2[[#This Row],[Dim 1_1]:[T 8]])=TRUE,1,0))</f>
        <v>0</v>
      </c>
      <c r="H16">
        <v>155.84700000000001</v>
      </c>
      <c r="I16">
        <v>155.84899999999999</v>
      </c>
      <c r="J16">
        <v>168.726</v>
      </c>
      <c r="K16">
        <v>168.73</v>
      </c>
      <c r="L16">
        <v>155.97300000000001</v>
      </c>
      <c r="M16">
        <v>155.80799999999999</v>
      </c>
      <c r="N16">
        <v>27.207000000000001</v>
      </c>
      <c r="O16">
        <v>27.422999999999998</v>
      </c>
      <c r="R16">
        <v>17.271000000000001</v>
      </c>
      <c r="S16">
        <v>17.216000000000001</v>
      </c>
      <c r="T16">
        <v>36.143000000000001</v>
      </c>
      <c r="U16">
        <v>37.268999999999998</v>
      </c>
      <c r="W16">
        <v>-6.0000000000000001E-3</v>
      </c>
      <c r="X16">
        <v>-0.17799999999999999</v>
      </c>
      <c r="Z16">
        <v>0.03</v>
      </c>
      <c r="AA16">
        <v>-0.10299999999999999</v>
      </c>
      <c r="AB16">
        <v>-0.17799999999999999</v>
      </c>
      <c r="AC16">
        <v>-7.0999999999999994E-2</v>
      </c>
      <c r="AD16">
        <v>-0.04</v>
      </c>
      <c r="AE16">
        <v>-6.0000000000000001E-3</v>
      </c>
      <c r="AF16">
        <v>-4.2999999999999997E-2</v>
      </c>
      <c r="AG16">
        <v>-0.10299999999999999</v>
      </c>
      <c r="AH16">
        <v>0.03</v>
      </c>
      <c r="AI16">
        <v>1.9E-2</v>
      </c>
    </row>
    <row r="17" spans="1:35" x14ac:dyDescent="0.25">
      <c r="A17" t="s">
        <v>1050</v>
      </c>
      <c r="B17" t="s">
        <v>32</v>
      </c>
      <c r="C17" s="25">
        <v>43698.873749999999</v>
      </c>
      <c r="D17" s="741" t="s">
        <v>969</v>
      </c>
      <c r="E17" s="741">
        <f t="array" ref="E17">SUMPRODUCT(IF(AMP5_2[[#This Row],[Dim 1_1]:[T 8]]-$F$4:$AI$4&lt;0,1,0)+IF($F$5:$AI$5-AMP5_2[[#This Row],[Dim 1_1]:[T 8]]&lt;0,1,0),IF(ISNUMBER(AMP5_2[[#This Row],[Dim 1_1]:[T 8]])=TRUE,1,0))</f>
        <v>0</v>
      </c>
      <c r="F17">
        <v>41.194000000000003</v>
      </c>
      <c r="G17">
        <v>41.326999999999998</v>
      </c>
      <c r="H17">
        <v>155.84</v>
      </c>
      <c r="I17">
        <v>155.81899999999999</v>
      </c>
      <c r="L17">
        <v>155.92699999999999</v>
      </c>
      <c r="M17">
        <v>155.714</v>
      </c>
      <c r="N17">
        <v>27.236999999999998</v>
      </c>
      <c r="O17">
        <v>27.388999999999999</v>
      </c>
      <c r="R17">
        <v>17.236000000000001</v>
      </c>
      <c r="S17">
        <v>17.184000000000001</v>
      </c>
      <c r="T17">
        <v>33.216000000000001</v>
      </c>
      <c r="U17">
        <v>33.883000000000003</v>
      </c>
      <c r="W17">
        <v>0.26800000000000002</v>
      </c>
      <c r="X17">
        <v>6.0000000000000001E-3</v>
      </c>
      <c r="Z17">
        <v>0.14199999999999999</v>
      </c>
      <c r="AA17">
        <v>0</v>
      </c>
      <c r="AB17">
        <v>6.0000000000000001E-3</v>
      </c>
      <c r="AC17">
        <v>2.8000000000000001E-2</v>
      </c>
      <c r="AD17">
        <v>0.26800000000000002</v>
      </c>
      <c r="AE17">
        <v>0.23699999999999999</v>
      </c>
      <c r="AF17">
        <v>4.5999999999999999E-2</v>
      </c>
      <c r="AG17">
        <v>0</v>
      </c>
      <c r="AH17">
        <v>6.0999999999999999E-2</v>
      </c>
      <c r="AI17">
        <v>0.14199999999999999</v>
      </c>
    </row>
    <row r="18" spans="1:35" x14ac:dyDescent="0.25">
      <c r="A18" t="s">
        <v>1051</v>
      </c>
      <c r="B18" t="s">
        <v>31</v>
      </c>
      <c r="C18" s="25">
        <v>43698.876261574071</v>
      </c>
      <c r="D18" s="741" t="s">
        <v>969</v>
      </c>
      <c r="E18" s="741">
        <f t="array" ref="E18">SUMPRODUCT(IF(AMP5_2[[#This Row],[Dim 1_1]:[T 8]]-$F$4:$AI$4&lt;0,1,0)+IF($F$5:$AI$5-AMP5_2[[#This Row],[Dim 1_1]:[T 8]]&lt;0,1,0),IF(ISNUMBER(AMP5_2[[#This Row],[Dim 1_1]:[T 8]])=TRUE,1,0))</f>
        <v>0</v>
      </c>
      <c r="H18">
        <v>155.84100000000001</v>
      </c>
      <c r="I18">
        <v>155.79599999999999</v>
      </c>
      <c r="J18">
        <v>168.69200000000001</v>
      </c>
      <c r="K18">
        <v>168.76300000000001</v>
      </c>
      <c r="L18">
        <v>155.98400000000001</v>
      </c>
      <c r="M18">
        <v>155.74600000000001</v>
      </c>
      <c r="N18">
        <v>27.242000000000001</v>
      </c>
      <c r="O18">
        <v>27.512</v>
      </c>
      <c r="R18">
        <v>17.236999999999998</v>
      </c>
      <c r="S18">
        <v>17.155000000000001</v>
      </c>
      <c r="T18">
        <v>37.031999999999996</v>
      </c>
      <c r="U18">
        <v>38.055</v>
      </c>
      <c r="W18">
        <v>0.04</v>
      </c>
      <c r="X18">
        <v>-8.7999999999999995E-2</v>
      </c>
      <c r="Z18">
        <v>8.4000000000000005E-2</v>
      </c>
      <c r="AA18">
        <v>-3.1E-2</v>
      </c>
      <c r="AB18">
        <v>-8.7999999999999995E-2</v>
      </c>
      <c r="AC18">
        <v>2.1000000000000001E-2</v>
      </c>
      <c r="AD18">
        <v>0.03</v>
      </c>
      <c r="AE18">
        <v>0.04</v>
      </c>
      <c r="AF18">
        <v>2.9000000000000001E-2</v>
      </c>
      <c r="AG18">
        <v>-3.1E-2</v>
      </c>
      <c r="AH18">
        <v>4.3999999999999997E-2</v>
      </c>
      <c r="AI18">
        <v>8.4000000000000005E-2</v>
      </c>
    </row>
    <row r="19" spans="1:35" x14ac:dyDescent="0.25">
      <c r="A19" t="s">
        <v>1052</v>
      </c>
      <c r="B19" t="s">
        <v>32</v>
      </c>
      <c r="C19" s="25">
        <v>43698.966064814813</v>
      </c>
      <c r="D19" s="741" t="s">
        <v>969</v>
      </c>
      <c r="E19" s="741">
        <f t="array" ref="E19">SUMPRODUCT(IF(AMP5_2[[#This Row],[Dim 1_1]:[T 8]]-$F$4:$AI$4&lt;0,1,0)+IF($F$5:$AI$5-AMP5_2[[#This Row],[Dim 1_1]:[T 8]]&lt;0,1,0),IF(ISNUMBER(AMP5_2[[#This Row],[Dim 1_1]:[T 8]])=TRUE,1,0))</f>
        <v>0</v>
      </c>
      <c r="F19">
        <v>41.313000000000002</v>
      </c>
      <c r="G19">
        <v>41.371000000000002</v>
      </c>
      <c r="H19">
        <v>155.83099999999999</v>
      </c>
      <c r="I19">
        <v>155.82499999999999</v>
      </c>
      <c r="L19">
        <v>155.929</v>
      </c>
      <c r="M19">
        <v>155.679</v>
      </c>
      <c r="N19">
        <v>27.236000000000001</v>
      </c>
      <c r="O19">
        <v>27.388000000000002</v>
      </c>
      <c r="R19">
        <v>17.231000000000002</v>
      </c>
      <c r="S19">
        <v>17.193000000000001</v>
      </c>
      <c r="T19">
        <v>33.253999999999998</v>
      </c>
      <c r="U19">
        <v>33.685000000000002</v>
      </c>
      <c r="W19">
        <v>0.11899999999999999</v>
      </c>
      <c r="X19">
        <v>-2.5999999999999999E-2</v>
      </c>
      <c r="Z19">
        <v>0.107</v>
      </c>
      <c r="AA19">
        <v>-0.02</v>
      </c>
      <c r="AB19">
        <v>-7.0000000000000001E-3</v>
      </c>
      <c r="AC19">
        <v>0.02</v>
      </c>
      <c r="AD19">
        <v>0.11899999999999999</v>
      </c>
      <c r="AE19">
        <v>-2.5999999999999999E-2</v>
      </c>
      <c r="AF19">
        <v>4.3999999999999997E-2</v>
      </c>
      <c r="AG19">
        <v>-0.02</v>
      </c>
      <c r="AH19">
        <v>1.7000000000000001E-2</v>
      </c>
      <c r="AI19">
        <v>0.107</v>
      </c>
    </row>
    <row r="20" spans="1:35" x14ac:dyDescent="0.25">
      <c r="A20" t="s">
        <v>1053</v>
      </c>
      <c r="B20" t="s">
        <v>31</v>
      </c>
      <c r="C20" s="25">
        <v>43698.9684375</v>
      </c>
      <c r="D20" s="741" t="s">
        <v>969</v>
      </c>
      <c r="E20" s="741">
        <f t="array" ref="E20">SUMPRODUCT(IF(AMP5_2[[#This Row],[Dim 1_1]:[T 8]]-$F$4:$AI$4&lt;0,1,0)+IF($F$5:$AI$5-AMP5_2[[#This Row],[Dim 1_1]:[T 8]]&lt;0,1,0),IF(ISNUMBER(AMP5_2[[#This Row],[Dim 1_1]:[T 8]])=TRUE,1,0))</f>
        <v>0</v>
      </c>
      <c r="H20">
        <v>155.81200000000001</v>
      </c>
      <c r="I20">
        <v>155.83099999999999</v>
      </c>
      <c r="J20">
        <v>168.79</v>
      </c>
      <c r="K20">
        <v>168.804</v>
      </c>
      <c r="L20">
        <v>155.989</v>
      </c>
      <c r="M20">
        <v>155.791</v>
      </c>
      <c r="N20">
        <v>27.212</v>
      </c>
      <c r="O20">
        <v>27.434999999999999</v>
      </c>
      <c r="R20">
        <v>17.268000000000001</v>
      </c>
      <c r="S20">
        <v>17.274999999999999</v>
      </c>
      <c r="T20">
        <v>37.098999999999997</v>
      </c>
      <c r="U20">
        <v>37.582000000000001</v>
      </c>
      <c r="W20">
        <v>-1.6E-2</v>
      </c>
      <c r="X20">
        <v>-0.156</v>
      </c>
      <c r="Z20">
        <v>3.5000000000000003E-2</v>
      </c>
      <c r="AA20">
        <v>-5.2999999999999999E-2</v>
      </c>
      <c r="AB20">
        <v>-0.129</v>
      </c>
      <c r="AC20">
        <v>-1.6E-2</v>
      </c>
      <c r="AD20">
        <v>-0.156</v>
      </c>
      <c r="AE20">
        <v>-0.13700000000000001</v>
      </c>
      <c r="AF20">
        <v>3.5000000000000003E-2</v>
      </c>
      <c r="AG20">
        <v>-2.1999999999999999E-2</v>
      </c>
      <c r="AH20">
        <v>-5.2999999999999999E-2</v>
      </c>
      <c r="AI20">
        <v>-3.6999999999999998E-2</v>
      </c>
    </row>
    <row r="21" spans="1:35" x14ac:dyDescent="0.25">
      <c r="A21" t="s">
        <v>1054</v>
      </c>
      <c r="B21" t="s">
        <v>32</v>
      </c>
      <c r="C21" s="25">
        <v>43699.045972222222</v>
      </c>
      <c r="D21" s="741" t="s">
        <v>969</v>
      </c>
      <c r="E21" s="741">
        <f t="array" ref="E21">SUMPRODUCT(IF(AMP5_2[[#This Row],[Dim 1_1]:[T 8]]-$F$4:$AI$4&lt;0,1,0)+IF($F$5:$AI$5-AMP5_2[[#This Row],[Dim 1_1]:[T 8]]&lt;0,1,0),IF(ISNUMBER(AMP5_2[[#This Row],[Dim 1_1]:[T 8]])=TRUE,1,0))</f>
        <v>0</v>
      </c>
      <c r="F21">
        <v>41.225000000000001</v>
      </c>
      <c r="G21">
        <v>41.262</v>
      </c>
      <c r="H21">
        <v>155.82599999999999</v>
      </c>
      <c r="I21">
        <v>155.79300000000001</v>
      </c>
      <c r="L21">
        <v>155.93600000000001</v>
      </c>
      <c r="M21">
        <v>155.64500000000001</v>
      </c>
      <c r="N21">
        <v>27.241</v>
      </c>
      <c r="O21">
        <v>27.434999999999999</v>
      </c>
      <c r="R21">
        <v>17.242000000000001</v>
      </c>
      <c r="S21">
        <v>17.164000000000001</v>
      </c>
      <c r="T21">
        <v>33.307000000000002</v>
      </c>
      <c r="U21">
        <v>33.759</v>
      </c>
      <c r="W21">
        <v>0.13700000000000001</v>
      </c>
      <c r="X21">
        <v>2E-3</v>
      </c>
      <c r="Z21">
        <v>0.19400000000000001</v>
      </c>
      <c r="AA21">
        <v>0.02</v>
      </c>
      <c r="AB21">
        <v>6.0000000000000001E-3</v>
      </c>
      <c r="AC21">
        <v>3.1E-2</v>
      </c>
      <c r="AD21">
        <v>0.13700000000000001</v>
      </c>
      <c r="AE21">
        <v>2E-3</v>
      </c>
      <c r="AF21">
        <v>7.2999999999999995E-2</v>
      </c>
      <c r="AG21">
        <v>0.02</v>
      </c>
      <c r="AH21">
        <v>0.108</v>
      </c>
      <c r="AI21">
        <v>0.19400000000000001</v>
      </c>
    </row>
    <row r="22" spans="1:35" x14ac:dyDescent="0.25">
      <c r="A22" t="s">
        <v>1055</v>
      </c>
      <c r="B22" t="s">
        <v>31</v>
      </c>
      <c r="C22" s="25">
        <v>43699.048344907409</v>
      </c>
      <c r="D22" s="741" t="s">
        <v>969</v>
      </c>
      <c r="E22" s="741">
        <f t="array" ref="E22">SUMPRODUCT(IF(AMP5_2[[#This Row],[Dim 1_1]:[T 8]]-$F$4:$AI$4&lt;0,1,0)+IF($F$5:$AI$5-AMP5_2[[#This Row],[Dim 1_1]:[T 8]]&lt;0,1,0),IF(ISNUMBER(AMP5_2[[#This Row],[Dim 1_1]:[T 8]])=TRUE,1,0))</f>
        <v>0</v>
      </c>
      <c r="H22">
        <v>155.80600000000001</v>
      </c>
      <c r="I22">
        <v>155.81899999999999</v>
      </c>
      <c r="J22">
        <v>168.74700000000001</v>
      </c>
      <c r="K22">
        <v>168.69300000000001</v>
      </c>
      <c r="L22">
        <v>155.99299999999999</v>
      </c>
      <c r="M22">
        <v>155.79300000000001</v>
      </c>
      <c r="N22">
        <v>27.222000000000001</v>
      </c>
      <c r="O22">
        <v>27.443999999999999</v>
      </c>
      <c r="R22">
        <v>17.245999999999999</v>
      </c>
      <c r="S22">
        <v>17.234000000000002</v>
      </c>
      <c r="T22">
        <v>39.340000000000003</v>
      </c>
      <c r="U22">
        <v>39.399000000000001</v>
      </c>
      <c r="W22">
        <v>2.7E-2</v>
      </c>
      <c r="X22">
        <v>-0.14499999999999999</v>
      </c>
      <c r="Z22">
        <v>0.11799999999999999</v>
      </c>
      <c r="AA22">
        <v>1.7999999999999999E-2</v>
      </c>
      <c r="AB22">
        <v>-9.2999999999999999E-2</v>
      </c>
      <c r="AC22">
        <v>2.7E-2</v>
      </c>
      <c r="AD22">
        <v>-0.14499999999999999</v>
      </c>
      <c r="AE22">
        <v>-9.4E-2</v>
      </c>
      <c r="AF22">
        <v>0.11799999999999999</v>
      </c>
      <c r="AG22">
        <v>6.6000000000000003E-2</v>
      </c>
      <c r="AH22">
        <v>1.7999999999999999E-2</v>
      </c>
      <c r="AI22">
        <v>4.1000000000000002E-2</v>
      </c>
    </row>
    <row r="23" spans="1:35" x14ac:dyDescent="0.25">
      <c r="A23" t="s">
        <v>1056</v>
      </c>
      <c r="B23" t="s">
        <v>32</v>
      </c>
      <c r="C23" s="25">
        <v>43699.364444444444</v>
      </c>
      <c r="D23" s="741" t="s">
        <v>969</v>
      </c>
      <c r="E23" s="741">
        <f t="array" ref="E23">SUMPRODUCT(IF(AMP5_2[[#This Row],[Dim 1_1]:[T 8]]-$F$4:$AI$4&lt;0,1,0)+IF($F$5:$AI$5-AMP5_2[[#This Row],[Dim 1_1]:[T 8]]&lt;0,1,0),IF(ISNUMBER(AMP5_2[[#This Row],[Dim 1_1]:[T 8]])=TRUE,1,0))</f>
        <v>0</v>
      </c>
      <c r="F23">
        <v>41.143000000000001</v>
      </c>
      <c r="G23">
        <v>41.281999999999996</v>
      </c>
      <c r="H23">
        <v>155.82499999999999</v>
      </c>
      <c r="I23">
        <v>155.79</v>
      </c>
      <c r="L23">
        <v>155.934</v>
      </c>
      <c r="M23">
        <v>155.65799999999999</v>
      </c>
      <c r="N23">
        <v>27.236000000000001</v>
      </c>
      <c r="O23">
        <v>27.42</v>
      </c>
      <c r="R23">
        <v>17.233000000000001</v>
      </c>
      <c r="S23">
        <v>17.202999999999999</v>
      </c>
      <c r="T23">
        <v>33.319000000000003</v>
      </c>
      <c r="U23">
        <v>34.003999999999998</v>
      </c>
      <c r="W23">
        <v>9.9000000000000005E-2</v>
      </c>
      <c r="X23">
        <v>-3.2000000000000001E-2</v>
      </c>
      <c r="Z23">
        <v>0.16800000000000001</v>
      </c>
      <c r="AA23">
        <v>4.8000000000000001E-2</v>
      </c>
      <c r="AB23">
        <v>1.4999999999999999E-2</v>
      </c>
      <c r="AC23">
        <v>2.8000000000000001E-2</v>
      </c>
      <c r="AD23">
        <v>9.9000000000000005E-2</v>
      </c>
      <c r="AE23">
        <v>-3.2000000000000001E-2</v>
      </c>
      <c r="AF23">
        <v>0.1</v>
      </c>
      <c r="AG23">
        <v>4.8000000000000001E-2</v>
      </c>
      <c r="AH23">
        <v>7.5999999999999998E-2</v>
      </c>
      <c r="AI23">
        <v>0.16800000000000001</v>
      </c>
    </row>
    <row r="24" spans="1:35" x14ac:dyDescent="0.25">
      <c r="A24" t="s">
        <v>1057</v>
      </c>
      <c r="B24" t="s">
        <v>31</v>
      </c>
      <c r="C24" s="25">
        <v>43699.366724537038</v>
      </c>
      <c r="D24" s="741" t="s">
        <v>969</v>
      </c>
      <c r="E24" s="741">
        <f t="array" ref="E24">SUMPRODUCT(IF(AMP5_2[[#This Row],[Dim 1_1]:[T 8]]-$F$4:$AI$4&lt;0,1,0)+IF($F$5:$AI$5-AMP5_2[[#This Row],[Dim 1_1]:[T 8]]&lt;0,1,0),IF(ISNUMBER(AMP5_2[[#This Row],[Dim 1_1]:[T 8]])=TRUE,1,0))</f>
        <v>0</v>
      </c>
      <c r="H24">
        <v>155.851</v>
      </c>
      <c r="I24">
        <v>155.83099999999999</v>
      </c>
      <c r="J24">
        <v>168.61600000000001</v>
      </c>
      <c r="K24">
        <v>168.61</v>
      </c>
      <c r="L24">
        <v>156.01300000000001</v>
      </c>
      <c r="M24">
        <v>155.80600000000001</v>
      </c>
      <c r="N24">
        <v>27.201000000000001</v>
      </c>
      <c r="O24">
        <v>27.451000000000001</v>
      </c>
      <c r="R24">
        <v>17.241</v>
      </c>
      <c r="S24">
        <v>17.221</v>
      </c>
      <c r="T24">
        <v>37.009</v>
      </c>
      <c r="U24">
        <v>38.493000000000002</v>
      </c>
      <c r="W24">
        <v>4.2999999999999997E-2</v>
      </c>
      <c r="X24">
        <v>-9.9000000000000005E-2</v>
      </c>
      <c r="Z24">
        <v>0.13300000000000001</v>
      </c>
      <c r="AA24">
        <v>5.3999999999999999E-2</v>
      </c>
      <c r="AB24">
        <v>-7.1999999999999995E-2</v>
      </c>
      <c r="AC24">
        <v>4.2999999999999997E-2</v>
      </c>
      <c r="AD24">
        <v>-9.9000000000000005E-2</v>
      </c>
      <c r="AE24">
        <v>-6.4000000000000001E-2</v>
      </c>
      <c r="AF24">
        <v>0.13300000000000001</v>
      </c>
      <c r="AG24">
        <v>7.0999999999999994E-2</v>
      </c>
      <c r="AH24">
        <v>5.3999999999999999E-2</v>
      </c>
      <c r="AI24">
        <v>0.06</v>
      </c>
    </row>
    <row r="25" spans="1:35" x14ac:dyDescent="0.25">
      <c r="A25" t="s">
        <v>1058</v>
      </c>
      <c r="B25" t="s">
        <v>32</v>
      </c>
      <c r="C25" s="25">
        <v>43699.441400462965</v>
      </c>
      <c r="D25" s="741" t="s">
        <v>969</v>
      </c>
      <c r="E25" s="741">
        <f t="array" ref="E25">SUMPRODUCT(IF(AMP5_2[[#This Row],[Dim 1_1]:[T 8]]-$F$4:$AI$4&lt;0,1,0)+IF($F$5:$AI$5-AMP5_2[[#This Row],[Dim 1_1]:[T 8]]&lt;0,1,0),IF(ISNUMBER(AMP5_2[[#This Row],[Dim 1_1]:[T 8]])=TRUE,1,0))</f>
        <v>0</v>
      </c>
      <c r="F25">
        <v>41.341999999999999</v>
      </c>
      <c r="G25">
        <v>41.34</v>
      </c>
      <c r="H25">
        <v>155.80500000000001</v>
      </c>
      <c r="I25">
        <v>155.76400000000001</v>
      </c>
      <c r="L25">
        <v>155.88399999999999</v>
      </c>
      <c r="M25">
        <v>155.596</v>
      </c>
      <c r="N25">
        <v>27.297000000000001</v>
      </c>
      <c r="O25">
        <v>27.509</v>
      </c>
      <c r="R25">
        <v>17.234000000000002</v>
      </c>
      <c r="S25">
        <v>17.138000000000002</v>
      </c>
      <c r="T25">
        <v>33.457999999999998</v>
      </c>
      <c r="U25">
        <v>33.896000000000001</v>
      </c>
      <c r="W25">
        <v>0.16</v>
      </c>
      <c r="X25">
        <v>5.8000000000000003E-2</v>
      </c>
      <c r="Z25">
        <v>0.223</v>
      </c>
      <c r="AA25">
        <v>3.5000000000000003E-2</v>
      </c>
      <c r="AB25">
        <v>7.4999999999999997E-2</v>
      </c>
      <c r="AC25">
        <v>0.106</v>
      </c>
      <c r="AD25">
        <v>0.16</v>
      </c>
      <c r="AE25">
        <v>5.8000000000000003E-2</v>
      </c>
      <c r="AF25">
        <v>0.10199999999999999</v>
      </c>
      <c r="AG25">
        <v>3.5000000000000003E-2</v>
      </c>
      <c r="AH25">
        <v>0.104</v>
      </c>
      <c r="AI25">
        <v>0.223</v>
      </c>
    </row>
    <row r="26" spans="1:35" x14ac:dyDescent="0.25">
      <c r="A26" t="s">
        <v>1059</v>
      </c>
      <c r="B26" t="s">
        <v>31</v>
      </c>
      <c r="C26" s="25">
        <v>43699.443761574075</v>
      </c>
      <c r="D26" s="741" t="s">
        <v>969</v>
      </c>
      <c r="E26" s="741">
        <f t="array" ref="E26">SUMPRODUCT(IF(AMP5_2[[#This Row],[Dim 1_1]:[T 8]]-$F$4:$AI$4&lt;0,1,0)+IF($F$5:$AI$5-AMP5_2[[#This Row],[Dim 1_1]:[T 8]]&lt;0,1,0),IF(ISNUMBER(AMP5_2[[#This Row],[Dim 1_1]:[T 8]])=TRUE,1,0))</f>
        <v>0</v>
      </c>
      <c r="H26">
        <v>155.892</v>
      </c>
      <c r="I26">
        <v>155.93199999999999</v>
      </c>
      <c r="J26">
        <v>168.886</v>
      </c>
      <c r="K26">
        <v>168.95099999999999</v>
      </c>
      <c r="L26">
        <v>156.054</v>
      </c>
      <c r="M26">
        <v>155.876</v>
      </c>
      <c r="N26">
        <v>27.134</v>
      </c>
      <c r="O26">
        <v>27.332000000000001</v>
      </c>
      <c r="R26">
        <v>17.245999999999999</v>
      </c>
      <c r="S26">
        <v>17.266999999999999</v>
      </c>
      <c r="T26">
        <v>36.682000000000002</v>
      </c>
      <c r="U26">
        <v>36.981999999999999</v>
      </c>
      <c r="W26">
        <v>0.19800000000000001</v>
      </c>
      <c r="X26">
        <v>-0.188</v>
      </c>
      <c r="Z26">
        <v>8.4000000000000005E-2</v>
      </c>
      <c r="AA26">
        <v>-0.05</v>
      </c>
      <c r="AB26">
        <v>-0.13200000000000001</v>
      </c>
      <c r="AC26">
        <v>1.4999999999999999E-2</v>
      </c>
      <c r="AD26">
        <v>-0.188</v>
      </c>
      <c r="AE26">
        <v>0.19800000000000001</v>
      </c>
      <c r="AF26">
        <v>8.4000000000000005E-2</v>
      </c>
      <c r="AG26">
        <v>1.7000000000000001E-2</v>
      </c>
      <c r="AH26">
        <v>-0.05</v>
      </c>
      <c r="AI26">
        <v>-2.3E-2</v>
      </c>
    </row>
    <row r="27" spans="1:35" x14ac:dyDescent="0.25">
      <c r="A27" t="s">
        <v>1060</v>
      </c>
      <c r="B27" t="s">
        <v>32</v>
      </c>
      <c r="C27" s="25">
        <v>43699.603182870371</v>
      </c>
      <c r="D27" s="741" t="s">
        <v>969</v>
      </c>
      <c r="E27" s="741">
        <f t="array" ref="E27">SUMPRODUCT(IF(AMP5_2[[#This Row],[Dim 1_1]:[T 8]]-$F$4:$AI$4&lt;0,1,0)+IF($F$5:$AI$5-AMP5_2[[#This Row],[Dim 1_1]:[T 8]]&lt;0,1,0),IF(ISNUMBER(AMP5_2[[#This Row],[Dim 1_1]:[T 8]])=TRUE,1,0))</f>
        <v>0</v>
      </c>
      <c r="F27">
        <v>40.799999999999997</v>
      </c>
      <c r="G27">
        <v>40.889000000000003</v>
      </c>
      <c r="H27">
        <v>155.90600000000001</v>
      </c>
      <c r="I27">
        <v>155.85900000000001</v>
      </c>
      <c r="L27">
        <v>155.97499999999999</v>
      </c>
      <c r="M27">
        <v>155.685</v>
      </c>
      <c r="N27">
        <v>27.207000000000001</v>
      </c>
      <c r="O27">
        <v>27.399000000000001</v>
      </c>
      <c r="R27">
        <v>17.228000000000002</v>
      </c>
      <c r="S27">
        <v>17.166</v>
      </c>
      <c r="T27">
        <v>33.305</v>
      </c>
      <c r="U27">
        <v>33.643000000000001</v>
      </c>
      <c r="W27">
        <v>8.4000000000000005E-2</v>
      </c>
      <c r="X27">
        <v>-7.5999999999999998E-2</v>
      </c>
      <c r="Z27">
        <v>7.1999999999999995E-2</v>
      </c>
      <c r="AA27">
        <v>-7.4999999999999997E-2</v>
      </c>
      <c r="AB27">
        <v>-3.6999999999999998E-2</v>
      </c>
      <c r="AC27">
        <v>-5.0000000000000001E-3</v>
      </c>
      <c r="AD27">
        <v>8.4000000000000005E-2</v>
      </c>
      <c r="AE27">
        <v>-7.5999999999999998E-2</v>
      </c>
      <c r="AF27">
        <v>6.0000000000000001E-3</v>
      </c>
      <c r="AG27">
        <v>-7.4999999999999997E-2</v>
      </c>
      <c r="AH27">
        <v>-0.01</v>
      </c>
      <c r="AI27">
        <v>7.1999999999999995E-2</v>
      </c>
    </row>
    <row r="28" spans="1:35" x14ac:dyDescent="0.25">
      <c r="A28" t="s">
        <v>1061</v>
      </c>
      <c r="B28" t="s">
        <v>31</v>
      </c>
      <c r="C28" s="25">
        <v>43699.605219907404</v>
      </c>
      <c r="D28" s="741" t="s">
        <v>969</v>
      </c>
      <c r="E28" s="741">
        <f t="array" ref="E28">SUMPRODUCT(IF(AMP5_2[[#This Row],[Dim 1_1]:[T 8]]-$F$4:$AI$4&lt;0,1,0)+IF($F$5:$AI$5-AMP5_2[[#This Row],[Dim 1_1]:[T 8]]&lt;0,1,0),IF(ISNUMBER(AMP5_2[[#This Row],[Dim 1_1]:[T 8]])=TRUE,1,0))</f>
        <v>0</v>
      </c>
      <c r="H28">
        <v>155.851</v>
      </c>
      <c r="I28">
        <v>155.86000000000001</v>
      </c>
      <c r="J28">
        <v>168.358</v>
      </c>
      <c r="K28">
        <v>168.47300000000001</v>
      </c>
      <c r="L28">
        <v>156.04300000000001</v>
      </c>
      <c r="M28">
        <v>155.892</v>
      </c>
      <c r="N28">
        <v>27.13</v>
      </c>
      <c r="O28">
        <v>27.337</v>
      </c>
      <c r="R28">
        <v>17.266999999999999</v>
      </c>
      <c r="S28">
        <v>17.202000000000002</v>
      </c>
      <c r="T28">
        <v>37.31</v>
      </c>
      <c r="U28">
        <v>39.472000000000001</v>
      </c>
      <c r="W28">
        <v>-1.7999999999999999E-2</v>
      </c>
      <c r="X28">
        <v>-0.128</v>
      </c>
      <c r="Z28">
        <v>0.129</v>
      </c>
      <c r="AA28">
        <v>6.7000000000000004E-2</v>
      </c>
      <c r="AB28">
        <v>-0.128</v>
      </c>
      <c r="AC28">
        <v>-1.7999999999999999E-2</v>
      </c>
      <c r="AD28">
        <v>-9.1999999999999998E-2</v>
      </c>
      <c r="AE28">
        <v>-6.0999999999999999E-2</v>
      </c>
      <c r="AF28">
        <v>0.129</v>
      </c>
      <c r="AG28">
        <v>6.7000000000000004E-2</v>
      </c>
      <c r="AH28">
        <v>7.8E-2</v>
      </c>
      <c r="AI28">
        <v>0.126</v>
      </c>
    </row>
    <row r="29" spans="1:35" x14ac:dyDescent="0.25">
      <c r="A29" t="s">
        <v>1062</v>
      </c>
      <c r="B29" t="s">
        <v>32</v>
      </c>
      <c r="C29" s="25">
        <v>43699.677546296298</v>
      </c>
      <c r="D29" s="741" t="s">
        <v>969</v>
      </c>
      <c r="E29" s="741">
        <f t="array" ref="E29">SUMPRODUCT(IF(AMP5_2[[#This Row],[Dim 1_1]:[T 8]]-$F$4:$AI$4&lt;0,1,0)+IF($F$5:$AI$5-AMP5_2[[#This Row],[Dim 1_1]:[T 8]]&lt;0,1,0),IF(ISNUMBER(AMP5_2[[#This Row],[Dim 1_1]:[T 8]])=TRUE,1,0))</f>
        <v>0</v>
      </c>
      <c r="F29">
        <v>41.335000000000001</v>
      </c>
      <c r="G29">
        <v>41.383000000000003</v>
      </c>
      <c r="H29">
        <v>155.82300000000001</v>
      </c>
      <c r="I29">
        <v>155.75700000000001</v>
      </c>
      <c r="L29">
        <v>155.922</v>
      </c>
      <c r="M29">
        <v>155.601</v>
      </c>
      <c r="N29">
        <v>27.233000000000001</v>
      </c>
      <c r="O29">
        <v>27.452000000000002</v>
      </c>
      <c r="R29">
        <v>17.190000000000001</v>
      </c>
      <c r="S29">
        <v>17.117999999999999</v>
      </c>
      <c r="T29">
        <v>33.152000000000001</v>
      </c>
      <c r="U29">
        <v>33.622</v>
      </c>
      <c r="W29">
        <v>9.4E-2</v>
      </c>
      <c r="X29">
        <v>-7.1999999999999995E-2</v>
      </c>
      <c r="Z29">
        <v>7.8E-2</v>
      </c>
      <c r="AA29">
        <v>-8.5999999999999993E-2</v>
      </c>
      <c r="AB29">
        <v>4.4999999999999998E-2</v>
      </c>
      <c r="AC29">
        <v>6.6000000000000003E-2</v>
      </c>
      <c r="AD29">
        <v>9.4E-2</v>
      </c>
      <c r="AE29">
        <v>-7.1999999999999995E-2</v>
      </c>
      <c r="AF29">
        <v>2.7E-2</v>
      </c>
      <c r="AG29">
        <v>-2.1999999999999999E-2</v>
      </c>
      <c r="AH29">
        <v>-8.5999999999999993E-2</v>
      </c>
      <c r="AI29">
        <v>7.8E-2</v>
      </c>
    </row>
    <row r="30" spans="1:35" x14ac:dyDescent="0.25">
      <c r="A30" t="s">
        <v>1063</v>
      </c>
      <c r="B30" t="s">
        <v>31</v>
      </c>
      <c r="C30" s="25">
        <v>43699.679606481484</v>
      </c>
      <c r="D30" s="741" t="s">
        <v>969</v>
      </c>
      <c r="E30" s="741">
        <f t="array" ref="E30">SUMPRODUCT(IF(AMP5_2[[#This Row],[Dim 1_1]:[T 8]]-$F$4:$AI$4&lt;0,1,0)+IF($F$5:$AI$5-AMP5_2[[#This Row],[Dim 1_1]:[T 8]]&lt;0,1,0),IF(ISNUMBER(AMP5_2[[#This Row],[Dim 1_1]:[T 8]])=TRUE,1,0))</f>
        <v>0</v>
      </c>
      <c r="H30">
        <v>155.94399999999999</v>
      </c>
      <c r="I30">
        <v>155.93700000000001</v>
      </c>
      <c r="J30">
        <v>168.75700000000001</v>
      </c>
      <c r="K30">
        <v>168.84899999999999</v>
      </c>
      <c r="L30">
        <v>156.11699999999999</v>
      </c>
      <c r="M30">
        <v>155.952</v>
      </c>
      <c r="N30">
        <v>27.103999999999999</v>
      </c>
      <c r="O30">
        <v>27.239000000000001</v>
      </c>
      <c r="R30">
        <v>17.260000000000002</v>
      </c>
      <c r="S30">
        <v>17.239000000000001</v>
      </c>
      <c r="T30">
        <v>34.625999999999998</v>
      </c>
      <c r="U30">
        <v>36.884</v>
      </c>
      <c r="W30">
        <v>-8.4000000000000005E-2</v>
      </c>
      <c r="X30">
        <v>-0.28599999999999998</v>
      </c>
      <c r="Z30">
        <v>3.0000000000000001E-3</v>
      </c>
      <c r="AA30">
        <v>-0.111</v>
      </c>
      <c r="AB30">
        <v>-0.19400000000000001</v>
      </c>
      <c r="AC30">
        <v>-8.4000000000000005E-2</v>
      </c>
      <c r="AD30">
        <v>-0.20200000000000001</v>
      </c>
      <c r="AE30">
        <v>-0.28599999999999998</v>
      </c>
      <c r="AF30">
        <v>3.0000000000000001E-3</v>
      </c>
      <c r="AG30">
        <v>-9.1999999999999998E-2</v>
      </c>
      <c r="AH30">
        <v>-7.5999999999999998E-2</v>
      </c>
      <c r="AI30">
        <v>-0.111</v>
      </c>
    </row>
    <row r="31" spans="1:35" x14ac:dyDescent="0.25">
      <c r="A31" t="s">
        <v>1207</v>
      </c>
      <c r="B31" t="s">
        <v>32</v>
      </c>
      <c r="C31" s="25">
        <v>43699.758310185185</v>
      </c>
      <c r="D31" s="741" t="s">
        <v>969</v>
      </c>
      <c r="E31" s="741">
        <f t="array" ref="E31">SUMPRODUCT(IF(AMP5_2[[#This Row],[Dim 1_1]:[T 8]]-$F$4:$AI$4&lt;0,1,0)+IF($F$5:$AI$5-AMP5_2[[#This Row],[Dim 1_1]:[T 8]]&lt;0,1,0),IF(ISNUMBER(AMP5_2[[#This Row],[Dim 1_1]:[T 8]])=TRUE,1,0))</f>
        <v>0</v>
      </c>
      <c r="F31">
        <v>41.103999999999999</v>
      </c>
      <c r="G31">
        <v>41.148000000000003</v>
      </c>
      <c r="H31">
        <v>155.91399999999999</v>
      </c>
      <c r="I31">
        <v>155.851</v>
      </c>
      <c r="L31">
        <v>156.00399999999999</v>
      </c>
      <c r="M31">
        <v>155.685</v>
      </c>
      <c r="N31">
        <v>27.210999999999999</v>
      </c>
      <c r="O31">
        <v>27.416</v>
      </c>
      <c r="R31">
        <v>17.190999999999999</v>
      </c>
      <c r="S31">
        <v>17.108000000000001</v>
      </c>
      <c r="T31">
        <v>32.917000000000002</v>
      </c>
      <c r="U31">
        <v>33.700000000000003</v>
      </c>
      <c r="W31">
        <v>7.2999999999999995E-2</v>
      </c>
      <c r="X31">
        <v>-8.1000000000000003E-2</v>
      </c>
      <c r="Z31">
        <v>0.124</v>
      </c>
      <c r="AA31">
        <v>-1.0999999999999999E-2</v>
      </c>
      <c r="AB31">
        <v>-5.8999999999999997E-2</v>
      </c>
      <c r="AC31">
        <v>-2.5000000000000001E-2</v>
      </c>
      <c r="AD31">
        <v>7.2999999999999995E-2</v>
      </c>
      <c r="AE31">
        <v>-8.1000000000000003E-2</v>
      </c>
      <c r="AF31">
        <v>4.1000000000000002E-2</v>
      </c>
      <c r="AG31">
        <v>-1.0999999999999999E-2</v>
      </c>
      <c r="AH31">
        <v>5.0000000000000001E-3</v>
      </c>
      <c r="AI31">
        <v>0.124</v>
      </c>
    </row>
    <row r="32" spans="1:35" x14ac:dyDescent="0.25">
      <c r="A32" t="s">
        <v>1208</v>
      </c>
      <c r="B32" t="s">
        <v>31</v>
      </c>
      <c r="C32" s="25">
        <v>43699.760312500002</v>
      </c>
      <c r="D32" s="741" t="s">
        <v>969</v>
      </c>
      <c r="E32" s="741">
        <f t="array" ref="E32">SUMPRODUCT(IF(AMP5_2[[#This Row],[Dim 1_1]:[T 8]]-$F$4:$AI$4&lt;0,1,0)+IF($F$5:$AI$5-AMP5_2[[#This Row],[Dim 1_1]:[T 8]]&lt;0,1,0),IF(ISNUMBER(AMP5_2[[#This Row],[Dim 1_1]:[T 8]])=TRUE,1,0))</f>
        <v>0</v>
      </c>
      <c r="H32">
        <v>155.93100000000001</v>
      </c>
      <c r="I32">
        <v>155.86699999999999</v>
      </c>
      <c r="J32">
        <v>168.696</v>
      </c>
      <c r="K32">
        <v>168.32599999999999</v>
      </c>
      <c r="L32">
        <v>156.10400000000001</v>
      </c>
      <c r="M32">
        <v>155.904</v>
      </c>
      <c r="N32">
        <v>27.114999999999998</v>
      </c>
      <c r="O32">
        <v>27.338999999999999</v>
      </c>
      <c r="R32">
        <v>17.251000000000001</v>
      </c>
      <c r="S32">
        <v>17.300999999999998</v>
      </c>
      <c r="T32">
        <v>40.561</v>
      </c>
      <c r="U32">
        <v>41.412999999999997</v>
      </c>
      <c r="W32">
        <v>4.0000000000000001E-3</v>
      </c>
      <c r="X32">
        <v>-0.14699999999999999</v>
      </c>
      <c r="Z32">
        <v>3.1E-2</v>
      </c>
      <c r="AA32">
        <v>-0.03</v>
      </c>
      <c r="AB32">
        <v>-0.1</v>
      </c>
      <c r="AC32">
        <v>4.0000000000000001E-3</v>
      </c>
      <c r="AD32">
        <v>-0.11899999999999999</v>
      </c>
      <c r="AE32">
        <v>-0.14699999999999999</v>
      </c>
      <c r="AF32">
        <v>3.1E-2</v>
      </c>
      <c r="AG32">
        <v>-0.03</v>
      </c>
      <c r="AH32">
        <v>1.6E-2</v>
      </c>
      <c r="AI32">
        <v>-2.3E-2</v>
      </c>
    </row>
    <row r="33" spans="1:35" x14ac:dyDescent="0.25">
      <c r="A33" t="s">
        <v>1209</v>
      </c>
      <c r="B33" t="s">
        <v>32</v>
      </c>
      <c r="C33" s="25">
        <v>43699.837395833332</v>
      </c>
      <c r="D33" s="741" t="s">
        <v>969</v>
      </c>
      <c r="E33" s="741">
        <f t="array" ref="E33">SUMPRODUCT(IF(AMP5_2[[#This Row],[Dim 1_1]:[T 8]]-$F$4:$AI$4&lt;0,1,0)+IF($F$5:$AI$5-AMP5_2[[#This Row],[Dim 1_1]:[T 8]]&lt;0,1,0),IF(ISNUMBER(AMP5_2[[#This Row],[Dim 1_1]:[T 8]])=TRUE,1,0))</f>
        <v>0</v>
      </c>
      <c r="F33">
        <v>41.286999999999999</v>
      </c>
      <c r="G33">
        <v>41.084000000000003</v>
      </c>
      <c r="H33">
        <v>155.85599999999999</v>
      </c>
      <c r="I33">
        <v>155.756</v>
      </c>
      <c r="L33">
        <v>155.983</v>
      </c>
      <c r="M33">
        <v>155.64099999999999</v>
      </c>
      <c r="N33">
        <v>27.231000000000002</v>
      </c>
      <c r="O33">
        <v>27.471</v>
      </c>
      <c r="R33">
        <v>17.167999999999999</v>
      </c>
      <c r="S33">
        <v>17.225999999999999</v>
      </c>
      <c r="T33">
        <v>32.997999999999998</v>
      </c>
      <c r="U33">
        <v>33.534999999999997</v>
      </c>
      <c r="W33">
        <v>2.1999999999999999E-2</v>
      </c>
      <c r="X33">
        <v>-0.24299999999999999</v>
      </c>
      <c r="Z33">
        <v>1.4999999999999999E-2</v>
      </c>
      <c r="AA33">
        <v>-0.17399999999999999</v>
      </c>
      <c r="AB33">
        <v>0</v>
      </c>
      <c r="AC33">
        <v>2.1999999999999999E-2</v>
      </c>
      <c r="AD33">
        <v>-7.4999999999999997E-2</v>
      </c>
      <c r="AE33">
        <v>-0.24299999999999999</v>
      </c>
      <c r="AF33">
        <v>1.4999999999999999E-2</v>
      </c>
      <c r="AG33">
        <v>-4.1000000000000002E-2</v>
      </c>
      <c r="AH33">
        <v>-0.17399999999999999</v>
      </c>
      <c r="AI33">
        <v>-5.5E-2</v>
      </c>
    </row>
    <row r="34" spans="1:35" x14ac:dyDescent="0.25">
      <c r="A34" t="s">
        <v>1210</v>
      </c>
      <c r="B34" t="s">
        <v>31</v>
      </c>
      <c r="C34" s="25">
        <v>43699.839421296296</v>
      </c>
      <c r="D34" s="741" t="s">
        <v>969</v>
      </c>
      <c r="E34" s="741">
        <f t="array" ref="E34">SUMPRODUCT(IF(AMP5_2[[#This Row],[Dim 1_1]:[T 8]]-$F$4:$AI$4&lt;0,1,0)+IF($F$5:$AI$5-AMP5_2[[#This Row],[Dim 1_1]:[T 8]]&lt;0,1,0),IF(ISNUMBER(AMP5_2[[#This Row],[Dim 1_1]:[T 8]])=TRUE,1,0))</f>
        <v>0</v>
      </c>
      <c r="H34">
        <v>155.959</v>
      </c>
      <c r="I34">
        <v>155.97499999999999</v>
      </c>
      <c r="J34">
        <v>168.80799999999999</v>
      </c>
      <c r="K34">
        <v>169.15799999999999</v>
      </c>
      <c r="L34">
        <v>156.09899999999999</v>
      </c>
      <c r="M34">
        <v>155.97300000000001</v>
      </c>
      <c r="N34">
        <v>27.085000000000001</v>
      </c>
      <c r="O34">
        <v>27.236000000000001</v>
      </c>
      <c r="R34">
        <v>17.263999999999999</v>
      </c>
      <c r="S34">
        <v>17.239999999999998</v>
      </c>
      <c r="T34">
        <v>37.503999999999998</v>
      </c>
      <c r="U34">
        <v>38.261000000000003</v>
      </c>
      <c r="W34">
        <v>-0.11600000000000001</v>
      </c>
      <c r="X34">
        <v>-0.26700000000000002</v>
      </c>
      <c r="Z34">
        <v>-0.01</v>
      </c>
      <c r="AA34">
        <v>-8.5999999999999993E-2</v>
      </c>
      <c r="AB34">
        <v>-0.23699999999999999</v>
      </c>
      <c r="AC34">
        <v>-0.11600000000000001</v>
      </c>
      <c r="AD34">
        <v>-0.26700000000000002</v>
      </c>
      <c r="AE34">
        <v>-0.245</v>
      </c>
      <c r="AF34">
        <v>-0.01</v>
      </c>
      <c r="AG34">
        <v>-8.5999999999999993E-2</v>
      </c>
      <c r="AH34">
        <v>-5.1999999999999998E-2</v>
      </c>
      <c r="AI34">
        <v>-7.6999999999999999E-2</v>
      </c>
    </row>
    <row r="35" spans="1:35" x14ac:dyDescent="0.25">
      <c r="A35" t="s">
        <v>1211</v>
      </c>
      <c r="B35" t="s">
        <v>32</v>
      </c>
      <c r="C35" s="25">
        <v>43699.923125000001</v>
      </c>
      <c r="D35" s="741" t="s">
        <v>969</v>
      </c>
      <c r="E35" s="741">
        <f t="array" ref="E35">SUMPRODUCT(IF(AMP5_2[[#This Row],[Dim 1_1]:[T 8]]-$F$4:$AI$4&lt;0,1,0)+IF($F$5:$AI$5-AMP5_2[[#This Row],[Dim 1_1]:[T 8]]&lt;0,1,0),IF(ISNUMBER(AMP5_2[[#This Row],[Dim 1_1]:[T 8]])=TRUE,1,0))</f>
        <v>0</v>
      </c>
      <c r="F35">
        <v>41.185000000000002</v>
      </c>
      <c r="G35">
        <v>41.134</v>
      </c>
      <c r="H35">
        <v>155.923</v>
      </c>
      <c r="I35">
        <v>155.756</v>
      </c>
      <c r="L35">
        <v>156.001</v>
      </c>
      <c r="M35">
        <v>155.578</v>
      </c>
      <c r="N35">
        <v>27.181000000000001</v>
      </c>
      <c r="O35">
        <v>27.497</v>
      </c>
      <c r="R35">
        <v>17.132999999999999</v>
      </c>
      <c r="S35">
        <v>17.193000000000001</v>
      </c>
      <c r="T35">
        <v>33.054000000000002</v>
      </c>
      <c r="U35">
        <v>33.271999999999998</v>
      </c>
      <c r="W35">
        <v>3.7999999999999999E-2</v>
      </c>
      <c r="X35">
        <v>-8.8999999999999996E-2</v>
      </c>
      <c r="Z35">
        <v>1E-3</v>
      </c>
      <c r="AA35">
        <v>-0.126</v>
      </c>
      <c r="AB35">
        <v>4.0000000000000001E-3</v>
      </c>
      <c r="AC35">
        <v>3.7999999999999999E-2</v>
      </c>
      <c r="AD35">
        <v>7.0000000000000001E-3</v>
      </c>
      <c r="AE35">
        <v>-8.8999999999999996E-2</v>
      </c>
      <c r="AF35">
        <v>1E-3</v>
      </c>
      <c r="AG35">
        <v>-6.0999999999999999E-2</v>
      </c>
      <c r="AH35">
        <v>-0.126</v>
      </c>
      <c r="AI35">
        <v>-3.7999999999999999E-2</v>
      </c>
    </row>
    <row r="36" spans="1:35" x14ac:dyDescent="0.25">
      <c r="A36" t="s">
        <v>1212</v>
      </c>
      <c r="B36" t="s">
        <v>31</v>
      </c>
      <c r="C36" s="25">
        <v>43699.925173611111</v>
      </c>
      <c r="D36" s="741" t="s">
        <v>969</v>
      </c>
      <c r="E36" s="741">
        <f t="array" ref="E36">SUMPRODUCT(IF(AMP5_2[[#This Row],[Dim 1_1]:[T 8]]-$F$4:$AI$4&lt;0,1,0)+IF($F$5:$AI$5-AMP5_2[[#This Row],[Dim 1_1]:[T 8]]&lt;0,1,0),IF(ISNUMBER(AMP5_2[[#This Row],[Dim 1_1]:[T 8]])=TRUE,1,0))</f>
        <v>0</v>
      </c>
      <c r="H36">
        <v>155.989</v>
      </c>
      <c r="I36">
        <v>156.04300000000001</v>
      </c>
      <c r="J36">
        <v>168.85400000000001</v>
      </c>
      <c r="K36">
        <v>168.71899999999999</v>
      </c>
      <c r="L36">
        <v>156.21600000000001</v>
      </c>
      <c r="M36">
        <v>156.108</v>
      </c>
      <c r="N36">
        <v>26.975000000000001</v>
      </c>
      <c r="O36">
        <v>27.138999999999999</v>
      </c>
      <c r="R36">
        <v>17.25</v>
      </c>
      <c r="S36">
        <v>17.283000000000001</v>
      </c>
      <c r="T36">
        <v>36.58</v>
      </c>
      <c r="U36">
        <v>36.174999999999997</v>
      </c>
      <c r="W36">
        <v>-0.16200000000000001</v>
      </c>
      <c r="X36">
        <v>-0.29699999999999999</v>
      </c>
      <c r="Z36">
        <v>-2.5999999999999999E-2</v>
      </c>
      <c r="AA36">
        <v>-0.113</v>
      </c>
      <c r="AB36">
        <v>-0.29699999999999999</v>
      </c>
      <c r="AC36">
        <v>-0.16200000000000001</v>
      </c>
      <c r="AD36">
        <v>-0.27100000000000002</v>
      </c>
      <c r="AE36">
        <v>-0.23899999999999999</v>
      </c>
      <c r="AF36">
        <v>-2.5999999999999999E-2</v>
      </c>
      <c r="AG36">
        <v>-0.113</v>
      </c>
      <c r="AH36">
        <v>-0.107</v>
      </c>
      <c r="AI36">
        <v>-5.8999999999999997E-2</v>
      </c>
    </row>
    <row r="37" spans="1:35" x14ac:dyDescent="0.25">
      <c r="A37" t="s">
        <v>1213</v>
      </c>
      <c r="B37" t="s">
        <v>32</v>
      </c>
      <c r="C37" s="25">
        <v>43700.016504629632</v>
      </c>
      <c r="D37" s="741" t="s">
        <v>969</v>
      </c>
      <c r="E37" s="741">
        <f t="array" ref="E37">SUMPRODUCT(IF(AMP5_2[[#This Row],[Dim 1_1]:[T 8]]-$F$4:$AI$4&lt;0,1,0)+IF($F$5:$AI$5-AMP5_2[[#This Row],[Dim 1_1]:[T 8]]&lt;0,1,0),IF(ISNUMBER(AMP5_2[[#This Row],[Dim 1_1]:[T 8]])=TRUE,1,0))</f>
        <v>0</v>
      </c>
      <c r="F37">
        <v>41.101999999999997</v>
      </c>
      <c r="G37">
        <v>40.854999999999997</v>
      </c>
      <c r="H37">
        <v>155.92599999999999</v>
      </c>
      <c r="I37">
        <v>155.84700000000001</v>
      </c>
      <c r="L37">
        <v>156.047</v>
      </c>
      <c r="M37">
        <v>155.744</v>
      </c>
      <c r="N37">
        <v>27.123999999999999</v>
      </c>
      <c r="O37">
        <v>27.317</v>
      </c>
      <c r="R37">
        <v>17.166</v>
      </c>
      <c r="S37">
        <v>17.097999999999999</v>
      </c>
      <c r="T37">
        <v>33.094000000000001</v>
      </c>
      <c r="U37">
        <v>33.529000000000003</v>
      </c>
      <c r="W37">
        <v>5.3999999999999999E-2</v>
      </c>
      <c r="X37">
        <v>-0.13500000000000001</v>
      </c>
      <c r="Z37">
        <v>4.5999999999999999E-2</v>
      </c>
      <c r="AA37">
        <v>-6.9000000000000006E-2</v>
      </c>
      <c r="AB37">
        <v>-0.13500000000000001</v>
      </c>
      <c r="AC37">
        <v>-0.123</v>
      </c>
      <c r="AD37">
        <v>5.3999999999999999E-2</v>
      </c>
      <c r="AE37">
        <v>-4.9000000000000002E-2</v>
      </c>
      <c r="AF37">
        <v>-2.9000000000000001E-2</v>
      </c>
      <c r="AG37">
        <v>-6.9000000000000006E-2</v>
      </c>
      <c r="AH37">
        <v>-5.0000000000000001E-3</v>
      </c>
      <c r="AI37">
        <v>4.5999999999999999E-2</v>
      </c>
    </row>
    <row r="38" spans="1:35" x14ac:dyDescent="0.25">
      <c r="A38" t="s">
        <v>1214</v>
      </c>
      <c r="B38" t="s">
        <v>31</v>
      </c>
      <c r="C38" s="25">
        <v>43700.018576388888</v>
      </c>
      <c r="D38" s="741" t="s">
        <v>969</v>
      </c>
      <c r="E38" s="741">
        <f t="array" ref="E38">SUMPRODUCT(IF(AMP5_2[[#This Row],[Dim 1_1]:[T 8]]-$F$4:$AI$4&lt;0,1,0)+IF($F$5:$AI$5-AMP5_2[[#This Row],[Dim 1_1]:[T 8]]&lt;0,1,0),IF(ISNUMBER(AMP5_2[[#This Row],[Dim 1_1]:[T 8]])=TRUE,1,0))</f>
        <v>0</v>
      </c>
      <c r="H38">
        <v>155.98099999999999</v>
      </c>
      <c r="I38">
        <v>156.03100000000001</v>
      </c>
      <c r="J38">
        <v>168.73</v>
      </c>
      <c r="K38">
        <v>168.553</v>
      </c>
      <c r="L38">
        <v>156.238</v>
      </c>
      <c r="M38">
        <v>156.13399999999999</v>
      </c>
      <c r="N38">
        <v>26.992999999999999</v>
      </c>
      <c r="O38">
        <v>27.17</v>
      </c>
      <c r="R38">
        <v>17.251999999999999</v>
      </c>
      <c r="S38">
        <v>17.27</v>
      </c>
      <c r="T38">
        <v>37.689</v>
      </c>
      <c r="U38">
        <v>38.049999999999997</v>
      </c>
      <c r="W38">
        <v>-0.13700000000000001</v>
      </c>
      <c r="X38">
        <v>-0.32500000000000001</v>
      </c>
      <c r="Z38">
        <v>-6.4000000000000001E-2</v>
      </c>
      <c r="AA38">
        <v>-0.161</v>
      </c>
      <c r="AB38">
        <v>-0.27400000000000002</v>
      </c>
      <c r="AC38">
        <v>-0.13700000000000001</v>
      </c>
      <c r="AD38">
        <v>-0.311</v>
      </c>
      <c r="AE38">
        <v>-0.32500000000000001</v>
      </c>
      <c r="AF38">
        <v>-6.4000000000000001E-2</v>
      </c>
      <c r="AG38">
        <v>-0.161</v>
      </c>
      <c r="AH38">
        <v>-0.10199999999999999</v>
      </c>
      <c r="AI38">
        <v>-0.09</v>
      </c>
    </row>
    <row r="39" spans="1:35" x14ac:dyDescent="0.25">
      <c r="A39" t="s">
        <v>1215</v>
      </c>
      <c r="B39" t="s">
        <v>32</v>
      </c>
      <c r="C39" s="25">
        <v>43700.051365740743</v>
      </c>
      <c r="D39" s="741" t="s">
        <v>969</v>
      </c>
      <c r="E39" s="741">
        <f t="array" ref="E39">SUMPRODUCT(IF(AMP5_2[[#This Row],[Dim 1_1]:[T 8]]-$F$4:$AI$4&lt;0,1,0)+IF($F$5:$AI$5-AMP5_2[[#This Row],[Dim 1_1]:[T 8]]&lt;0,1,0),IF(ISNUMBER(AMP5_2[[#This Row],[Dim 1_1]:[T 8]])=TRUE,1,0))</f>
        <v>0</v>
      </c>
      <c r="F39">
        <v>40.999000000000002</v>
      </c>
      <c r="G39">
        <v>40.831000000000003</v>
      </c>
      <c r="H39">
        <v>155.95699999999999</v>
      </c>
      <c r="I39">
        <v>155.886</v>
      </c>
      <c r="L39">
        <v>156.06299999999999</v>
      </c>
      <c r="M39">
        <v>155.76300000000001</v>
      </c>
      <c r="N39">
        <v>27.12</v>
      </c>
      <c r="O39">
        <v>27.311</v>
      </c>
      <c r="R39">
        <v>17.135999999999999</v>
      </c>
      <c r="S39">
        <v>16.986000000000001</v>
      </c>
      <c r="T39">
        <v>33.075000000000003</v>
      </c>
      <c r="U39">
        <v>33.780999999999999</v>
      </c>
      <c r="W39">
        <v>0.253</v>
      </c>
      <c r="X39">
        <v>-6.8000000000000005E-2</v>
      </c>
      <c r="Z39">
        <v>0.19</v>
      </c>
      <c r="AA39">
        <v>-0.10299999999999999</v>
      </c>
      <c r="AB39">
        <v>-6.8000000000000005E-2</v>
      </c>
      <c r="AC39">
        <v>-4.2000000000000003E-2</v>
      </c>
      <c r="AD39">
        <v>0.253</v>
      </c>
      <c r="AE39">
        <v>0.14799999999999999</v>
      </c>
      <c r="AF39">
        <v>-5.3999999999999999E-2</v>
      </c>
      <c r="AG39">
        <v>-0.10299999999999999</v>
      </c>
      <c r="AH39">
        <v>0.19</v>
      </c>
      <c r="AI39">
        <v>0.14299999999999999</v>
      </c>
    </row>
    <row r="40" spans="1:35" x14ac:dyDescent="0.25">
      <c r="A40" t="s">
        <v>1216</v>
      </c>
      <c r="B40" t="s">
        <v>31</v>
      </c>
      <c r="C40" s="25">
        <v>43700.054710648146</v>
      </c>
      <c r="D40" s="741" t="s">
        <v>969</v>
      </c>
      <c r="E40" s="741">
        <f t="array" ref="E40">SUMPRODUCT(IF(AMP5_2[[#This Row],[Dim 1_1]:[T 8]]-$F$4:$AI$4&lt;0,1,0)+IF($F$5:$AI$5-AMP5_2[[#This Row],[Dim 1_1]:[T 8]]&lt;0,1,0),IF(ISNUMBER(AMP5_2[[#This Row],[Dim 1_1]:[T 8]])=TRUE,1,0))</f>
        <v>0</v>
      </c>
      <c r="H40">
        <v>155.995</v>
      </c>
      <c r="I40">
        <v>156.06</v>
      </c>
      <c r="J40">
        <v>168.71199999999999</v>
      </c>
      <c r="K40">
        <v>168.42599999999999</v>
      </c>
      <c r="L40">
        <v>156.23099999999999</v>
      </c>
      <c r="M40">
        <v>156.10400000000001</v>
      </c>
      <c r="N40">
        <v>26.981999999999999</v>
      </c>
      <c r="O40">
        <v>27.19</v>
      </c>
      <c r="R40">
        <v>17.242000000000001</v>
      </c>
      <c r="S40">
        <v>17.338000000000001</v>
      </c>
      <c r="T40">
        <v>37.414000000000001</v>
      </c>
      <c r="U40">
        <v>39.445</v>
      </c>
      <c r="W40">
        <v>-0.17199999999999999</v>
      </c>
      <c r="X40">
        <v>-0.42399999999999999</v>
      </c>
      <c r="Z40">
        <v>-0.09</v>
      </c>
      <c r="AA40">
        <v>-0.25600000000000001</v>
      </c>
      <c r="AB40">
        <v>-0.30299999999999999</v>
      </c>
      <c r="AC40">
        <v>-0.17199999999999999</v>
      </c>
      <c r="AD40">
        <v>-0.38</v>
      </c>
      <c r="AE40">
        <v>-0.42399999999999999</v>
      </c>
      <c r="AF40">
        <v>-0.09</v>
      </c>
      <c r="AG40">
        <v>-0.20699999999999999</v>
      </c>
      <c r="AH40">
        <v>-0.25600000000000001</v>
      </c>
      <c r="AI40">
        <v>-0.189</v>
      </c>
    </row>
    <row r="41" spans="1:35" x14ac:dyDescent="0.25">
      <c r="A41" t="s">
        <v>1217</v>
      </c>
      <c r="B41" t="s">
        <v>32</v>
      </c>
      <c r="C41" s="25">
        <v>43700.307511574072</v>
      </c>
      <c r="D41" s="741" t="s">
        <v>969</v>
      </c>
      <c r="E41" s="741">
        <f t="array" ref="E41">SUMPRODUCT(IF(AMP5_2[[#This Row],[Dim 1_1]:[T 8]]-$F$4:$AI$4&lt;0,1,0)+IF($F$5:$AI$5-AMP5_2[[#This Row],[Dim 1_1]:[T 8]]&lt;0,1,0),IF(ISNUMBER(AMP5_2[[#This Row],[Dim 1_1]:[T 8]])=TRUE,1,0))</f>
        <v>0</v>
      </c>
      <c r="F41">
        <v>40.981999999999999</v>
      </c>
      <c r="G41">
        <v>40.883000000000003</v>
      </c>
      <c r="H41">
        <v>155.99199999999999</v>
      </c>
      <c r="I41">
        <v>155.92099999999999</v>
      </c>
      <c r="L41">
        <v>156.09100000000001</v>
      </c>
      <c r="M41">
        <v>155.738</v>
      </c>
      <c r="N41">
        <v>27.012</v>
      </c>
      <c r="O41">
        <v>27.297999999999998</v>
      </c>
      <c r="R41">
        <v>17.172000000000001</v>
      </c>
      <c r="S41">
        <v>17</v>
      </c>
      <c r="T41">
        <v>33.119999999999997</v>
      </c>
      <c r="U41">
        <v>33.811999999999998</v>
      </c>
      <c r="W41">
        <v>0.27</v>
      </c>
      <c r="X41">
        <v>-0.124</v>
      </c>
      <c r="Z41">
        <v>0.33200000000000002</v>
      </c>
      <c r="AA41">
        <v>-5.8000000000000003E-2</v>
      </c>
      <c r="AB41">
        <v>-0.124</v>
      </c>
      <c r="AC41">
        <v>-7.5999999999999998E-2</v>
      </c>
      <c r="AD41">
        <v>0.27</v>
      </c>
      <c r="AE41">
        <v>0.26700000000000002</v>
      </c>
      <c r="AF41">
        <v>8.0000000000000002E-3</v>
      </c>
      <c r="AG41">
        <v>-5.8000000000000003E-2</v>
      </c>
      <c r="AH41">
        <v>0.33200000000000002</v>
      </c>
      <c r="AI41">
        <v>0.155</v>
      </c>
    </row>
    <row r="42" spans="1:35" x14ac:dyDescent="0.25">
      <c r="A42" t="s">
        <v>1218</v>
      </c>
      <c r="B42" t="s">
        <v>31</v>
      </c>
      <c r="C42" s="25">
        <v>43700.30972222222</v>
      </c>
      <c r="D42" s="741" t="s">
        <v>969</v>
      </c>
      <c r="E42" s="741">
        <f t="array" ref="E42">SUMPRODUCT(IF(AMP5_2[[#This Row],[Dim 1_1]:[T 8]]-$F$4:$AI$4&lt;0,1,0)+IF($F$5:$AI$5-AMP5_2[[#This Row],[Dim 1_1]:[T 8]]&lt;0,1,0),IF(ISNUMBER(AMP5_2[[#This Row],[Dim 1_1]:[T 8]])=TRUE,1,0))</f>
        <v>0</v>
      </c>
      <c r="H42">
        <v>156.011</v>
      </c>
      <c r="I42">
        <v>156.084</v>
      </c>
      <c r="J42">
        <v>168.69399999999999</v>
      </c>
      <c r="K42">
        <v>168.554</v>
      </c>
      <c r="L42">
        <v>156.22800000000001</v>
      </c>
      <c r="M42">
        <v>156.13200000000001</v>
      </c>
      <c r="N42">
        <v>26.994</v>
      </c>
      <c r="O42">
        <v>27.125</v>
      </c>
      <c r="R42">
        <v>17.265999999999998</v>
      </c>
      <c r="S42">
        <v>17.48</v>
      </c>
      <c r="T42">
        <v>38.103000000000002</v>
      </c>
      <c r="U42">
        <v>38.405999999999999</v>
      </c>
      <c r="W42">
        <v>-0.13200000000000001</v>
      </c>
      <c r="X42">
        <v>-0.51500000000000001</v>
      </c>
      <c r="Z42">
        <v>-5.5E-2</v>
      </c>
      <c r="AA42">
        <v>-0.35</v>
      </c>
      <c r="AB42">
        <v>-0.28100000000000003</v>
      </c>
      <c r="AC42">
        <v>-0.13200000000000001</v>
      </c>
      <c r="AD42">
        <v>-0.51500000000000001</v>
      </c>
      <c r="AE42">
        <v>-0.40799999999999997</v>
      </c>
      <c r="AF42">
        <v>-5.5E-2</v>
      </c>
      <c r="AG42">
        <v>-0.189</v>
      </c>
      <c r="AH42">
        <v>-0.35</v>
      </c>
      <c r="AI42">
        <v>-0.217</v>
      </c>
    </row>
    <row r="43" spans="1:35" x14ac:dyDescent="0.25">
      <c r="A43" t="s">
        <v>1219</v>
      </c>
      <c r="B43" t="s">
        <v>32</v>
      </c>
      <c r="C43" s="25">
        <v>43700.393622685187</v>
      </c>
      <c r="D43" s="741" t="s">
        <v>969</v>
      </c>
      <c r="E43" s="741">
        <f t="array" ref="E43">SUMPRODUCT(IF(AMP5_2[[#This Row],[Dim 1_1]:[T 8]]-$F$4:$AI$4&lt;0,1,0)+IF($F$5:$AI$5-AMP5_2[[#This Row],[Dim 1_1]:[T 8]]&lt;0,1,0),IF(ISNUMBER(AMP5_2[[#This Row],[Dim 1_1]:[T 8]])=TRUE,1,0))</f>
        <v>0</v>
      </c>
      <c r="F43">
        <v>41.176000000000002</v>
      </c>
      <c r="G43">
        <v>41.002000000000002</v>
      </c>
      <c r="H43">
        <v>156.047</v>
      </c>
      <c r="I43">
        <v>155.874</v>
      </c>
      <c r="L43">
        <v>156.238</v>
      </c>
      <c r="M43">
        <v>155.67099999999999</v>
      </c>
      <c r="N43">
        <v>27.001000000000001</v>
      </c>
      <c r="O43">
        <v>27.376999999999999</v>
      </c>
      <c r="R43">
        <v>17.172999999999998</v>
      </c>
      <c r="S43">
        <v>17.292000000000002</v>
      </c>
      <c r="T43">
        <v>32.972000000000001</v>
      </c>
      <c r="U43">
        <v>33.283000000000001</v>
      </c>
      <c r="W43">
        <v>0.13700000000000001</v>
      </c>
      <c r="X43">
        <v>-9.6000000000000002E-2</v>
      </c>
      <c r="Z43">
        <v>-0.125</v>
      </c>
      <c r="AA43">
        <v>-0.38100000000000001</v>
      </c>
      <c r="AB43">
        <v>-9.6000000000000002E-2</v>
      </c>
      <c r="AC43">
        <v>-7.3999999999999996E-2</v>
      </c>
      <c r="AD43">
        <v>6.3E-2</v>
      </c>
      <c r="AE43">
        <v>0.13700000000000001</v>
      </c>
      <c r="AF43">
        <v>-0.222</v>
      </c>
      <c r="AG43">
        <v>-0.26700000000000002</v>
      </c>
      <c r="AH43">
        <v>-0.125</v>
      </c>
      <c r="AI43">
        <v>-0.38100000000000001</v>
      </c>
    </row>
    <row r="44" spans="1:35" x14ac:dyDescent="0.25">
      <c r="A44" t="s">
        <v>1220</v>
      </c>
      <c r="B44" t="s">
        <v>31</v>
      </c>
      <c r="C44" s="25">
        <v>43700.396041666667</v>
      </c>
      <c r="D44" s="741" t="s">
        <v>969</v>
      </c>
      <c r="E44" s="741">
        <f t="array" ref="E44">SUMPRODUCT(IF(AMP5_2[[#This Row],[Dim 1_1]:[T 8]]-$F$4:$AI$4&lt;0,1,0)+IF($F$5:$AI$5-AMP5_2[[#This Row],[Dim 1_1]:[T 8]]&lt;0,1,0),IF(ISNUMBER(AMP5_2[[#This Row],[Dim 1_1]:[T 8]])=TRUE,1,0))</f>
        <v>0</v>
      </c>
      <c r="H44">
        <v>156.00700000000001</v>
      </c>
      <c r="I44">
        <v>156.05699999999999</v>
      </c>
      <c r="J44">
        <v>168.86799999999999</v>
      </c>
      <c r="K44">
        <v>168.5</v>
      </c>
      <c r="L44">
        <v>156.25200000000001</v>
      </c>
      <c r="M44">
        <v>156.255</v>
      </c>
      <c r="N44">
        <v>26.898</v>
      </c>
      <c r="O44">
        <v>26.937999999999999</v>
      </c>
      <c r="R44">
        <v>17.300999999999998</v>
      </c>
      <c r="S44">
        <v>17.227</v>
      </c>
      <c r="T44">
        <v>37.569000000000003</v>
      </c>
      <c r="U44">
        <v>37.713999999999999</v>
      </c>
      <c r="W44">
        <v>0.15</v>
      </c>
      <c r="X44">
        <v>-0.42799999999999999</v>
      </c>
      <c r="Z44">
        <v>0.108</v>
      </c>
      <c r="AA44">
        <v>-0.33500000000000002</v>
      </c>
      <c r="AB44">
        <v>-0.42799999999999999</v>
      </c>
      <c r="AC44">
        <v>-0.26100000000000001</v>
      </c>
      <c r="AD44">
        <v>-0.128</v>
      </c>
      <c r="AE44">
        <v>0.15</v>
      </c>
      <c r="AF44">
        <v>-0.19600000000000001</v>
      </c>
      <c r="AG44">
        <v>-0.33500000000000002</v>
      </c>
      <c r="AH44">
        <v>-0.13200000000000001</v>
      </c>
      <c r="AI44">
        <v>0.108</v>
      </c>
    </row>
    <row r="45" spans="1:35" x14ac:dyDescent="0.25">
      <c r="A45" t="s">
        <v>1221</v>
      </c>
      <c r="B45" t="s">
        <v>32</v>
      </c>
      <c r="C45" s="25">
        <v>43700.498541666668</v>
      </c>
      <c r="D45" s="741" t="s">
        <v>969</v>
      </c>
      <c r="E45" s="741">
        <f t="array" ref="E45">SUMPRODUCT(IF(AMP5_2[[#This Row],[Dim 1_1]:[T 8]]-$F$4:$AI$4&lt;0,1,0)+IF($F$5:$AI$5-AMP5_2[[#This Row],[Dim 1_1]:[T 8]]&lt;0,1,0),IF(ISNUMBER(AMP5_2[[#This Row],[Dim 1_1]:[T 8]])=TRUE,1,0))</f>
        <v>7</v>
      </c>
      <c r="F45">
        <v>41.015999999999998</v>
      </c>
      <c r="G45">
        <v>41.122</v>
      </c>
      <c r="H45">
        <v>156.56800000000001</v>
      </c>
      <c r="I45">
        <v>156.428</v>
      </c>
      <c r="L45">
        <v>156.637</v>
      </c>
      <c r="M45">
        <v>156.42400000000001</v>
      </c>
      <c r="N45">
        <v>26.422999999999998</v>
      </c>
      <c r="O45">
        <v>26.626000000000001</v>
      </c>
      <c r="R45">
        <v>17.263999999999999</v>
      </c>
      <c r="S45">
        <v>16.526</v>
      </c>
      <c r="T45">
        <v>32.857999999999997</v>
      </c>
      <c r="U45">
        <v>34.009</v>
      </c>
      <c r="W45">
        <v>0.86799999999999999</v>
      </c>
      <c r="X45">
        <v>-0.34300000000000003</v>
      </c>
      <c r="Z45">
        <v>0.63800000000000001</v>
      </c>
      <c r="AA45">
        <v>-0.622</v>
      </c>
      <c r="AB45">
        <v>-0.34300000000000003</v>
      </c>
      <c r="AC45">
        <v>-0.247</v>
      </c>
      <c r="AD45">
        <v>0.86799999999999999</v>
      </c>
      <c r="AE45">
        <v>0.66800000000000004</v>
      </c>
      <c r="AF45">
        <v>-0.46300000000000002</v>
      </c>
      <c r="AG45">
        <v>-0.622</v>
      </c>
      <c r="AH45">
        <v>0.63800000000000001</v>
      </c>
      <c r="AI45">
        <v>0.47399999999999998</v>
      </c>
    </row>
    <row r="46" spans="1:35" x14ac:dyDescent="0.25">
      <c r="A46" t="s">
        <v>1222</v>
      </c>
      <c r="B46" t="s">
        <v>31</v>
      </c>
      <c r="C46" s="25">
        <v>43700.501921296294</v>
      </c>
      <c r="D46" s="741" t="s">
        <v>969</v>
      </c>
      <c r="E46" s="741">
        <f t="array" ref="E46">SUMPRODUCT(IF(AMP5_2[[#This Row],[Dim 1_1]:[T 8]]-$F$4:$AI$4&lt;0,1,0)+IF($F$5:$AI$5-AMP5_2[[#This Row],[Dim 1_1]:[T 8]]&lt;0,1,0),IF(ISNUMBER(AMP5_2[[#This Row],[Dim 1_1]:[T 8]])=TRUE,1,0))</f>
        <v>3</v>
      </c>
      <c r="H46">
        <v>156.024</v>
      </c>
      <c r="I46">
        <v>156.124</v>
      </c>
      <c r="J46">
        <v>168.72</v>
      </c>
      <c r="K46">
        <v>168.602</v>
      </c>
      <c r="L46">
        <v>156.20699999999999</v>
      </c>
      <c r="M46">
        <v>156.166</v>
      </c>
      <c r="N46">
        <v>26.908000000000001</v>
      </c>
      <c r="O46">
        <v>27.073</v>
      </c>
      <c r="R46">
        <v>17.515000000000001</v>
      </c>
      <c r="S46">
        <v>17.402000000000001</v>
      </c>
      <c r="T46">
        <v>38.042999999999999</v>
      </c>
      <c r="U46">
        <v>38.819000000000003</v>
      </c>
      <c r="W46">
        <v>0.375</v>
      </c>
      <c r="X46">
        <v>-0.621</v>
      </c>
      <c r="Z46">
        <v>-0.33500000000000002</v>
      </c>
      <c r="AA46">
        <v>-0.95199999999999996</v>
      </c>
      <c r="AB46">
        <v>-0.621</v>
      </c>
      <c r="AC46">
        <v>-0.45100000000000001</v>
      </c>
      <c r="AD46">
        <v>-0.10199999999999999</v>
      </c>
      <c r="AE46">
        <v>0.375</v>
      </c>
      <c r="AF46">
        <v>-0.81699999999999995</v>
      </c>
      <c r="AG46">
        <v>-0.95199999999999996</v>
      </c>
      <c r="AH46">
        <v>-0.33500000000000002</v>
      </c>
      <c r="AI46">
        <v>-0.63</v>
      </c>
    </row>
    <row r="47" spans="1:35" x14ac:dyDescent="0.25">
      <c r="A47" t="s">
        <v>1403</v>
      </c>
      <c r="B47" t="s">
        <v>32</v>
      </c>
      <c r="C47" s="25">
        <v>43700.720231481479</v>
      </c>
      <c r="D47" s="741" t="s">
        <v>969</v>
      </c>
      <c r="E47" s="741">
        <f t="array" ref="E47">SUMPRODUCT(IF(AMP5_2[[#This Row],[Dim 1_1]:[T 8]]-$F$4:$AI$4&lt;0,1,0)+IF($F$5:$AI$5-AMP5_2[[#This Row],[Dim 1_1]:[T 8]]&lt;0,1,0),IF(ISNUMBER(AMP5_2[[#This Row],[Dim 1_1]:[T 8]])=TRUE,1,0))</f>
        <v>0</v>
      </c>
      <c r="F47">
        <v>40.853999999999999</v>
      </c>
      <c r="G47">
        <v>41.484000000000002</v>
      </c>
      <c r="H47">
        <v>155.71</v>
      </c>
      <c r="I47">
        <v>155.67699999999999</v>
      </c>
      <c r="L47">
        <v>155.80000000000001</v>
      </c>
      <c r="M47">
        <v>155.56800000000001</v>
      </c>
      <c r="N47">
        <v>27.356000000000002</v>
      </c>
      <c r="O47">
        <v>27.527000000000001</v>
      </c>
      <c r="R47">
        <v>17.245999999999999</v>
      </c>
      <c r="S47">
        <v>17.268000000000001</v>
      </c>
      <c r="T47">
        <v>33.442</v>
      </c>
      <c r="U47">
        <v>33.829000000000001</v>
      </c>
      <c r="W47">
        <v>0.157</v>
      </c>
      <c r="X47">
        <v>5.8999999999999997E-2</v>
      </c>
      <c r="Z47">
        <v>0.18099999999999999</v>
      </c>
      <c r="AA47">
        <v>0.10100000000000001</v>
      </c>
      <c r="AB47">
        <v>0.11899999999999999</v>
      </c>
      <c r="AC47">
        <v>0.151</v>
      </c>
      <c r="AD47">
        <v>0.157</v>
      </c>
      <c r="AE47">
        <v>5.8999999999999997E-2</v>
      </c>
      <c r="AF47">
        <v>0.17699999999999999</v>
      </c>
      <c r="AG47">
        <v>0.115</v>
      </c>
      <c r="AH47">
        <v>0.10100000000000001</v>
      </c>
      <c r="AI47">
        <v>0.18099999999999999</v>
      </c>
    </row>
    <row r="48" spans="1:35" x14ac:dyDescent="0.25">
      <c r="A48" t="s">
        <v>1404</v>
      </c>
      <c r="B48" t="s">
        <v>31</v>
      </c>
      <c r="C48" s="25">
        <v>43700.721944444442</v>
      </c>
      <c r="D48" s="741" t="s">
        <v>969</v>
      </c>
      <c r="E48" s="741">
        <f t="array" ref="E48">SUMPRODUCT(IF(AMP5_2[[#This Row],[Dim 1_1]:[T 8]]-$F$4:$AI$4&lt;0,1,0)+IF($F$5:$AI$5-AMP5_2[[#This Row],[Dim 1_1]:[T 8]]&lt;0,1,0),IF(ISNUMBER(AMP5_2[[#This Row],[Dim 1_1]:[T 8]])=TRUE,1,0))</f>
        <v>10</v>
      </c>
      <c r="H48">
        <v>156.5</v>
      </c>
      <c r="I48">
        <v>156.554</v>
      </c>
      <c r="J48">
        <v>169.07400000000001</v>
      </c>
      <c r="K48">
        <v>169.751</v>
      </c>
      <c r="L48">
        <v>156.71</v>
      </c>
      <c r="M48">
        <v>156.565</v>
      </c>
      <c r="N48">
        <v>26.521000000000001</v>
      </c>
      <c r="O48">
        <v>26.655000000000001</v>
      </c>
      <c r="R48">
        <v>17.169</v>
      </c>
      <c r="S48">
        <v>17.202999999999999</v>
      </c>
      <c r="T48">
        <v>37.195999999999998</v>
      </c>
      <c r="U48">
        <v>38.789000000000001</v>
      </c>
      <c r="W48">
        <v>-0.53300000000000003</v>
      </c>
      <c r="X48">
        <v>-5.6040000000000001</v>
      </c>
      <c r="Z48">
        <v>0.17399999999999999</v>
      </c>
      <c r="AA48">
        <v>0.125</v>
      </c>
      <c r="AB48">
        <v>-1.157</v>
      </c>
      <c r="AC48">
        <v>-0.53300000000000003</v>
      </c>
      <c r="AD48">
        <v>-5.6040000000000001</v>
      </c>
      <c r="AE48">
        <v>-0.98599999999999999</v>
      </c>
      <c r="AF48">
        <v>0.17399999999999999</v>
      </c>
      <c r="AG48">
        <v>0.125</v>
      </c>
      <c r="AH48">
        <v>0.14399999999999999</v>
      </c>
      <c r="AI48">
        <v>0.16800000000000001</v>
      </c>
    </row>
    <row r="49" spans="1:35" x14ac:dyDescent="0.25">
      <c r="A49" t="s">
        <v>1682</v>
      </c>
      <c r="B49" t="s">
        <v>32</v>
      </c>
      <c r="C49" s="25">
        <v>43703.885983796295</v>
      </c>
      <c r="D49" s="741" t="s">
        <v>969</v>
      </c>
      <c r="E49" s="741">
        <f t="array" ref="E49">SUMPRODUCT(IF(AMP5_2[[#This Row],[Dim 1_1]:[T 8]]-$F$4:$AI$4&lt;0,1,0)+IF($F$5:$AI$5-AMP5_2[[#This Row],[Dim 1_1]:[T 8]]&lt;0,1,0),IF(ISNUMBER(AMP5_2[[#This Row],[Dim 1_1]:[T 8]])=TRUE,1,0))</f>
        <v>1</v>
      </c>
      <c r="F49">
        <v>41.411000000000001</v>
      </c>
      <c r="G49">
        <v>42.957999999999998</v>
      </c>
      <c r="H49">
        <v>155.72399999999999</v>
      </c>
      <c r="I49">
        <v>155.68299999999999</v>
      </c>
      <c r="L49">
        <v>155.80600000000001</v>
      </c>
      <c r="M49">
        <v>155.53299999999999</v>
      </c>
      <c r="N49">
        <v>27.332999999999998</v>
      </c>
      <c r="O49">
        <v>27.518999999999998</v>
      </c>
      <c r="R49">
        <v>17.225999999999999</v>
      </c>
      <c r="S49">
        <v>17.364999999999998</v>
      </c>
      <c r="T49">
        <v>33.655999999999999</v>
      </c>
      <c r="U49">
        <v>33.896000000000001</v>
      </c>
      <c r="W49">
        <v>0.16300000000000001</v>
      </c>
      <c r="X49">
        <v>-5.1999999999999998E-2</v>
      </c>
      <c r="Z49">
        <v>0.184</v>
      </c>
      <c r="AA49">
        <v>2.7E-2</v>
      </c>
      <c r="AB49">
        <v>0.15</v>
      </c>
      <c r="AC49">
        <v>0.16300000000000001</v>
      </c>
      <c r="AD49">
        <v>8.8999999999999996E-2</v>
      </c>
      <c r="AE49">
        <v>-5.1999999999999998E-2</v>
      </c>
      <c r="AF49">
        <v>0.184</v>
      </c>
      <c r="AG49">
        <v>0.155</v>
      </c>
      <c r="AH49">
        <v>2.7E-2</v>
      </c>
      <c r="AI49">
        <v>0.111</v>
      </c>
    </row>
    <row r="50" spans="1:35" x14ac:dyDescent="0.25">
      <c r="A50" t="s">
        <v>1683</v>
      </c>
      <c r="B50" t="s">
        <v>31</v>
      </c>
      <c r="C50" s="25">
        <v>43703.888969907406</v>
      </c>
      <c r="D50" s="741" t="s">
        <v>969</v>
      </c>
      <c r="E50" s="741">
        <f t="array" ref="E50">SUMPRODUCT(IF(AMP5_2[[#This Row],[Dim 1_1]:[T 8]]-$F$4:$AI$4&lt;0,1,0)+IF($F$5:$AI$5-AMP5_2[[#This Row],[Dim 1_1]:[T 8]]&lt;0,1,0),IF(ISNUMBER(AMP5_2[[#This Row],[Dim 1_1]:[T 8]])=TRUE,1,0))</f>
        <v>1</v>
      </c>
      <c r="H50">
        <v>155.85499999999999</v>
      </c>
      <c r="I50">
        <v>155.88300000000001</v>
      </c>
      <c r="J50">
        <v>168.90799999999999</v>
      </c>
      <c r="K50">
        <v>170.446</v>
      </c>
      <c r="L50">
        <v>156.00700000000001</v>
      </c>
      <c r="M50">
        <v>155.852</v>
      </c>
      <c r="N50">
        <v>27.206</v>
      </c>
      <c r="O50">
        <v>27.350999999999999</v>
      </c>
      <c r="R50">
        <v>17.204999999999998</v>
      </c>
      <c r="S50">
        <v>17.125</v>
      </c>
      <c r="T50">
        <v>38.151000000000003</v>
      </c>
      <c r="U50">
        <v>39.097999999999999</v>
      </c>
      <c r="W50">
        <v>5.8000000000000003E-2</v>
      </c>
      <c r="X50">
        <v>-2.5999999999999999E-2</v>
      </c>
      <c r="Z50">
        <v>0.19</v>
      </c>
      <c r="AA50">
        <v>0.126</v>
      </c>
      <c r="AB50">
        <v>-2.5999999999999999E-2</v>
      </c>
      <c r="AC50">
        <v>5.8000000000000003E-2</v>
      </c>
      <c r="AD50">
        <v>2.3E-2</v>
      </c>
      <c r="AE50">
        <v>2.5000000000000001E-2</v>
      </c>
      <c r="AF50">
        <v>0.19</v>
      </c>
      <c r="AG50">
        <v>0.126</v>
      </c>
      <c r="AH50">
        <v>0.13400000000000001</v>
      </c>
      <c r="AI50">
        <v>0.189</v>
      </c>
    </row>
    <row r="51" spans="1:35" x14ac:dyDescent="0.25">
      <c r="A51" t="s">
        <v>1684</v>
      </c>
      <c r="B51" t="s">
        <v>32</v>
      </c>
      <c r="C51" s="25">
        <v>43703.965185185189</v>
      </c>
      <c r="D51" s="741" t="s">
        <v>969</v>
      </c>
      <c r="E51" s="741">
        <f t="array" ref="E51">SUMPRODUCT(IF(AMP5_2[[#This Row],[Dim 1_1]:[T 8]]-$F$4:$AI$4&lt;0,1,0)+IF($F$5:$AI$5-AMP5_2[[#This Row],[Dim 1_1]:[T 8]]&lt;0,1,0),IF(ISNUMBER(AMP5_2[[#This Row],[Dim 1_1]:[T 8]])=TRUE,1,0))</f>
        <v>0</v>
      </c>
      <c r="F51">
        <v>41.174999999999997</v>
      </c>
      <c r="G51">
        <v>41.317999999999998</v>
      </c>
      <c r="H51">
        <v>155.78</v>
      </c>
      <c r="I51">
        <v>155.738</v>
      </c>
      <c r="L51">
        <v>155.88800000000001</v>
      </c>
      <c r="M51">
        <v>155.61600000000001</v>
      </c>
      <c r="N51">
        <v>27.289000000000001</v>
      </c>
      <c r="O51">
        <v>27.474</v>
      </c>
      <c r="R51">
        <v>17.231000000000002</v>
      </c>
      <c r="S51">
        <v>17.245000000000001</v>
      </c>
      <c r="T51">
        <v>33.286999999999999</v>
      </c>
      <c r="U51">
        <v>33.756999999999998</v>
      </c>
      <c r="W51">
        <v>0.113</v>
      </c>
      <c r="X51">
        <v>1.2E-2</v>
      </c>
      <c r="Z51">
        <v>0.14699999999999999</v>
      </c>
      <c r="AA51">
        <v>3.6999999999999998E-2</v>
      </c>
      <c r="AB51">
        <v>1.7999999999999999E-2</v>
      </c>
      <c r="AC51">
        <v>4.5999999999999999E-2</v>
      </c>
      <c r="AD51">
        <v>0.113</v>
      </c>
      <c r="AE51">
        <v>1.2E-2</v>
      </c>
      <c r="AF51">
        <v>9.1999999999999998E-2</v>
      </c>
      <c r="AG51">
        <v>3.6999999999999998E-2</v>
      </c>
      <c r="AH51">
        <v>7.9000000000000001E-2</v>
      </c>
      <c r="AI51">
        <v>0.14699999999999999</v>
      </c>
    </row>
    <row r="52" spans="1:35" x14ac:dyDescent="0.25">
      <c r="A52" t="s">
        <v>1685</v>
      </c>
      <c r="B52" t="s">
        <v>31</v>
      </c>
      <c r="C52" s="25">
        <v>43703.966747685183</v>
      </c>
      <c r="D52" s="741" t="s">
        <v>969</v>
      </c>
      <c r="E52" s="741">
        <f t="array" ref="E52">SUMPRODUCT(IF(AMP5_2[[#This Row],[Dim 1_1]:[T 8]]-$F$4:$AI$4&lt;0,1,0)+IF($F$5:$AI$5-AMP5_2[[#This Row],[Dim 1_1]:[T 8]]&lt;0,1,0),IF(ISNUMBER(AMP5_2[[#This Row],[Dim 1_1]:[T 8]])=TRUE,1,0))</f>
        <v>0</v>
      </c>
      <c r="H52">
        <v>155.95500000000001</v>
      </c>
      <c r="I52">
        <v>155.971</v>
      </c>
      <c r="J52">
        <v>168.791</v>
      </c>
      <c r="K52">
        <v>168.851</v>
      </c>
      <c r="L52">
        <v>156.12799999999999</v>
      </c>
      <c r="M52">
        <v>155.96799999999999</v>
      </c>
      <c r="N52">
        <v>27.106000000000002</v>
      </c>
      <c r="O52">
        <v>27.283999999999999</v>
      </c>
      <c r="R52">
        <v>17.238</v>
      </c>
      <c r="S52">
        <v>17.148</v>
      </c>
      <c r="T52">
        <v>36.271999999999998</v>
      </c>
      <c r="U52">
        <v>38.100999999999999</v>
      </c>
      <c r="W52">
        <v>-3.7999999999999999E-2</v>
      </c>
      <c r="X52">
        <v>-0.13100000000000001</v>
      </c>
      <c r="Z52">
        <v>8.6999999999999994E-2</v>
      </c>
      <c r="AA52">
        <v>0.01</v>
      </c>
      <c r="AB52">
        <v>-0.13100000000000001</v>
      </c>
      <c r="AC52">
        <v>-4.2000000000000003E-2</v>
      </c>
      <c r="AD52">
        <v>-6.8000000000000005E-2</v>
      </c>
      <c r="AE52">
        <v>-3.7999999999999999E-2</v>
      </c>
      <c r="AF52">
        <v>5.7000000000000002E-2</v>
      </c>
      <c r="AG52">
        <v>1.4E-2</v>
      </c>
      <c r="AH52">
        <v>0.01</v>
      </c>
      <c r="AI52">
        <v>8.6999999999999994E-2</v>
      </c>
    </row>
    <row r="53" spans="1:35" x14ac:dyDescent="0.25">
      <c r="A53" t="s">
        <v>1686</v>
      </c>
      <c r="B53" t="s">
        <v>32</v>
      </c>
      <c r="C53" s="25">
        <v>43704.053715277776</v>
      </c>
      <c r="D53" s="741" t="s">
        <v>969</v>
      </c>
      <c r="E53" s="741">
        <f t="array" ref="E53">SUMPRODUCT(IF(AMP5_2[[#This Row],[Dim 1_1]:[T 8]]-$F$4:$AI$4&lt;0,1,0)+IF($F$5:$AI$5-AMP5_2[[#This Row],[Dim 1_1]:[T 8]]&lt;0,1,0),IF(ISNUMBER(AMP5_2[[#This Row],[Dim 1_1]:[T 8]])=TRUE,1,0))</f>
        <v>0</v>
      </c>
      <c r="F53">
        <v>41.075000000000003</v>
      </c>
      <c r="G53">
        <v>41.152000000000001</v>
      </c>
      <c r="H53">
        <v>155.83199999999999</v>
      </c>
      <c r="I53">
        <v>155.79499999999999</v>
      </c>
      <c r="L53">
        <v>155.947</v>
      </c>
      <c r="M53">
        <v>155.69</v>
      </c>
      <c r="N53">
        <v>27.189</v>
      </c>
      <c r="O53">
        <v>27.376999999999999</v>
      </c>
      <c r="R53">
        <v>17.216999999999999</v>
      </c>
      <c r="S53">
        <v>17.271999999999998</v>
      </c>
      <c r="T53">
        <v>33.322000000000003</v>
      </c>
      <c r="U53">
        <v>33.811999999999998</v>
      </c>
      <c r="W53">
        <v>-4.0000000000000001E-3</v>
      </c>
      <c r="X53">
        <v>-0.111</v>
      </c>
      <c r="Z53">
        <v>2.7E-2</v>
      </c>
      <c r="AA53">
        <v>-5.0999999999999997E-2</v>
      </c>
      <c r="AB53">
        <v>-0.10100000000000001</v>
      </c>
      <c r="AC53">
        <v>-7.2999999999999995E-2</v>
      </c>
      <c r="AD53">
        <v>-4.0000000000000001E-3</v>
      </c>
      <c r="AE53">
        <v>-0.111</v>
      </c>
      <c r="AF53">
        <v>1.2999999999999999E-2</v>
      </c>
      <c r="AG53">
        <v>-4.8000000000000001E-2</v>
      </c>
      <c r="AH53">
        <v>-5.0999999999999997E-2</v>
      </c>
      <c r="AI53">
        <v>2.7E-2</v>
      </c>
    </row>
    <row r="54" spans="1:35" x14ac:dyDescent="0.25">
      <c r="A54" t="s">
        <v>1687</v>
      </c>
      <c r="B54" t="s">
        <v>31</v>
      </c>
      <c r="C54" s="25">
        <v>43704.055381944447</v>
      </c>
      <c r="D54" s="741" t="s">
        <v>969</v>
      </c>
      <c r="E54" s="741">
        <f t="array" ref="E54">SUMPRODUCT(IF(AMP5_2[[#This Row],[Dim 1_1]:[T 8]]-$F$4:$AI$4&lt;0,1,0)+IF($F$5:$AI$5-AMP5_2[[#This Row],[Dim 1_1]:[T 8]]&lt;0,1,0),IF(ISNUMBER(AMP5_2[[#This Row],[Dim 1_1]:[T 8]])=TRUE,1,0))</f>
        <v>0</v>
      </c>
      <c r="H54">
        <v>155.988</v>
      </c>
      <c r="I54">
        <v>156.00399999999999</v>
      </c>
      <c r="J54">
        <v>168.71600000000001</v>
      </c>
      <c r="K54">
        <v>168.70599999999999</v>
      </c>
      <c r="L54">
        <v>156.13300000000001</v>
      </c>
      <c r="M54">
        <v>155.976</v>
      </c>
      <c r="N54">
        <v>27.076000000000001</v>
      </c>
      <c r="O54">
        <v>27.256</v>
      </c>
      <c r="R54">
        <v>17.213999999999999</v>
      </c>
      <c r="S54">
        <v>17.148</v>
      </c>
      <c r="T54">
        <v>40.151000000000003</v>
      </c>
      <c r="U54">
        <v>42.180999999999997</v>
      </c>
      <c r="W54">
        <v>-6.7000000000000004E-2</v>
      </c>
      <c r="X54">
        <v>-0.152</v>
      </c>
      <c r="Z54">
        <v>4.7E-2</v>
      </c>
      <c r="AA54">
        <v>-2.4E-2</v>
      </c>
      <c r="AB54">
        <v>-0.152</v>
      </c>
      <c r="AC54">
        <v>-6.7000000000000004E-2</v>
      </c>
      <c r="AD54">
        <v>-0.13600000000000001</v>
      </c>
      <c r="AE54">
        <v>-6.8000000000000005E-2</v>
      </c>
      <c r="AF54">
        <v>4.7E-2</v>
      </c>
      <c r="AG54">
        <v>2E-3</v>
      </c>
      <c r="AH54">
        <v>-2.4E-2</v>
      </c>
      <c r="AI54">
        <v>4.1000000000000002E-2</v>
      </c>
    </row>
    <row r="55" spans="1:35" x14ac:dyDescent="0.25">
      <c r="A55" t="s">
        <v>1688</v>
      </c>
      <c r="B55" t="s">
        <v>32</v>
      </c>
      <c r="C55" s="25">
        <v>43704.334872685184</v>
      </c>
      <c r="D55" s="741" t="s">
        <v>969</v>
      </c>
      <c r="E55" s="741">
        <f t="array" ref="E55">SUMPRODUCT(IF(AMP5_2[[#This Row],[Dim 1_1]:[T 8]]-$F$4:$AI$4&lt;0,1,0)+IF($F$5:$AI$5-AMP5_2[[#This Row],[Dim 1_1]:[T 8]]&lt;0,1,0),IF(ISNUMBER(AMP5_2[[#This Row],[Dim 1_1]:[T 8]])=TRUE,1,0))</f>
        <v>0</v>
      </c>
      <c r="F55">
        <v>41.1</v>
      </c>
      <c r="G55">
        <v>41.097999999999999</v>
      </c>
      <c r="H55">
        <v>155.80600000000001</v>
      </c>
      <c r="I55">
        <v>155.75</v>
      </c>
      <c r="L55">
        <v>155.90799999999999</v>
      </c>
      <c r="M55">
        <v>155.624</v>
      </c>
      <c r="N55">
        <v>27.28</v>
      </c>
      <c r="O55">
        <v>27.466000000000001</v>
      </c>
      <c r="R55">
        <v>17.241</v>
      </c>
      <c r="S55">
        <v>17.222000000000001</v>
      </c>
      <c r="T55">
        <v>33.488</v>
      </c>
      <c r="U55">
        <v>33.906999999999996</v>
      </c>
      <c r="W55">
        <v>5.0999999999999997E-2</v>
      </c>
      <c r="X55">
        <v>-7.0999999999999994E-2</v>
      </c>
      <c r="Z55">
        <v>0.11700000000000001</v>
      </c>
      <c r="AA55">
        <v>4.0000000000000001E-3</v>
      </c>
      <c r="AB55">
        <v>-7.0999999999999994E-2</v>
      </c>
      <c r="AC55">
        <v>6.0000000000000001E-3</v>
      </c>
      <c r="AD55">
        <v>5.0999999999999997E-2</v>
      </c>
      <c r="AE55">
        <v>-1.7999999999999999E-2</v>
      </c>
      <c r="AF55">
        <v>4.9000000000000002E-2</v>
      </c>
      <c r="AG55">
        <v>4.0000000000000001E-3</v>
      </c>
      <c r="AH55">
        <v>0.03</v>
      </c>
      <c r="AI55">
        <v>0.11700000000000001</v>
      </c>
    </row>
    <row r="56" spans="1:35" x14ac:dyDescent="0.25">
      <c r="A56" t="s">
        <v>1689</v>
      </c>
      <c r="B56" t="s">
        <v>31</v>
      </c>
      <c r="C56" s="25">
        <v>43704.33693287037</v>
      </c>
      <c r="D56" s="741" t="s">
        <v>969</v>
      </c>
      <c r="E56" s="741">
        <f t="array" ref="E56">SUMPRODUCT(IF(AMP5_2[[#This Row],[Dim 1_1]:[T 8]]-$F$4:$AI$4&lt;0,1,0)+IF($F$5:$AI$5-AMP5_2[[#This Row],[Dim 1_1]:[T 8]]&lt;0,1,0),IF(ISNUMBER(AMP5_2[[#This Row],[Dim 1_1]:[T 8]])=TRUE,1,0))</f>
        <v>0</v>
      </c>
      <c r="H56">
        <v>155.95599999999999</v>
      </c>
      <c r="I56">
        <v>155.97399999999999</v>
      </c>
      <c r="J56">
        <v>168.636</v>
      </c>
      <c r="K56">
        <v>168.24700000000001</v>
      </c>
      <c r="L56">
        <v>156.077</v>
      </c>
      <c r="M56">
        <v>155.93899999999999</v>
      </c>
      <c r="N56">
        <v>27.097000000000001</v>
      </c>
      <c r="O56">
        <v>27.263999999999999</v>
      </c>
      <c r="R56">
        <v>17.279</v>
      </c>
      <c r="S56">
        <v>17.212</v>
      </c>
      <c r="T56">
        <v>36.588999999999999</v>
      </c>
      <c r="U56">
        <v>36.783000000000001</v>
      </c>
      <c r="W56">
        <v>-3.9E-2</v>
      </c>
      <c r="X56">
        <v>-0.11899999999999999</v>
      </c>
      <c r="Z56">
        <v>6.5000000000000002E-2</v>
      </c>
      <c r="AA56">
        <v>-0.02</v>
      </c>
      <c r="AB56">
        <v>-0.11899999999999999</v>
      </c>
      <c r="AC56">
        <v>-3.9E-2</v>
      </c>
      <c r="AD56">
        <v>-0.10100000000000001</v>
      </c>
      <c r="AE56">
        <v>-4.5999999999999999E-2</v>
      </c>
      <c r="AF56">
        <v>6.5000000000000002E-2</v>
      </c>
      <c r="AG56">
        <v>-0.02</v>
      </c>
      <c r="AH56">
        <v>4.1000000000000002E-2</v>
      </c>
      <c r="AI56">
        <v>1.2999999999999999E-2</v>
      </c>
    </row>
    <row r="57" spans="1:35" x14ac:dyDescent="0.25">
      <c r="A57" t="s">
        <v>1690</v>
      </c>
      <c r="B57" t="s">
        <v>32</v>
      </c>
      <c r="C57" s="25">
        <v>43704.406631944446</v>
      </c>
      <c r="D57" s="741" t="s">
        <v>969</v>
      </c>
      <c r="E57" s="741">
        <f t="array" ref="E57">SUMPRODUCT(IF(AMP5_2[[#This Row],[Dim 1_1]:[T 8]]-$F$4:$AI$4&lt;0,1,0)+IF($F$5:$AI$5-AMP5_2[[#This Row],[Dim 1_1]:[T 8]]&lt;0,1,0),IF(ISNUMBER(AMP5_2[[#This Row],[Dim 1_1]:[T 8]])=TRUE,1,0))</f>
        <v>0</v>
      </c>
      <c r="F57">
        <v>41.206000000000003</v>
      </c>
      <c r="G57">
        <v>41.265000000000001</v>
      </c>
      <c r="H57">
        <v>155.71600000000001</v>
      </c>
      <c r="I57">
        <v>155.69300000000001</v>
      </c>
      <c r="L57">
        <v>155.74600000000001</v>
      </c>
      <c r="M57">
        <v>155.482</v>
      </c>
      <c r="N57">
        <v>27.431999999999999</v>
      </c>
      <c r="O57">
        <v>27.571000000000002</v>
      </c>
      <c r="R57">
        <v>17.248000000000001</v>
      </c>
      <c r="S57">
        <v>17.280999999999999</v>
      </c>
      <c r="T57">
        <v>33.01</v>
      </c>
      <c r="U57">
        <v>33.508000000000003</v>
      </c>
      <c r="W57">
        <v>8.3000000000000004E-2</v>
      </c>
      <c r="X57">
        <v>-0.13</v>
      </c>
      <c r="Z57">
        <v>2.1999999999999999E-2</v>
      </c>
      <c r="AA57">
        <v>-0.16800000000000001</v>
      </c>
      <c r="AB57">
        <v>6.8000000000000005E-2</v>
      </c>
      <c r="AC57">
        <v>8.3000000000000004E-2</v>
      </c>
      <c r="AD57">
        <v>-4.1000000000000002E-2</v>
      </c>
      <c r="AE57">
        <v>-0.13</v>
      </c>
      <c r="AF57">
        <v>2.1999999999999999E-2</v>
      </c>
      <c r="AG57">
        <v>-1.7000000000000001E-2</v>
      </c>
      <c r="AH57">
        <v>-0.16800000000000001</v>
      </c>
      <c r="AI57">
        <v>-7.0000000000000007E-2</v>
      </c>
    </row>
    <row r="58" spans="1:35" x14ac:dyDescent="0.25">
      <c r="A58" t="s">
        <v>1691</v>
      </c>
      <c r="B58" t="s">
        <v>31</v>
      </c>
      <c r="C58" s="25">
        <v>43704.408668981479</v>
      </c>
      <c r="D58" s="741" t="s">
        <v>969</v>
      </c>
      <c r="E58" s="741">
        <f t="array" ref="E58">SUMPRODUCT(IF(AMP5_2[[#This Row],[Dim 1_1]:[T 8]]-$F$4:$AI$4&lt;0,1,0)+IF($F$5:$AI$5-AMP5_2[[#This Row],[Dim 1_1]:[T 8]]&lt;0,1,0),IF(ISNUMBER(AMP5_2[[#This Row],[Dim 1_1]:[T 8]])=TRUE,1,0))</f>
        <v>0</v>
      </c>
      <c r="H58">
        <v>155.89099999999999</v>
      </c>
      <c r="I58">
        <v>155.958</v>
      </c>
      <c r="J58">
        <v>168.78800000000001</v>
      </c>
      <c r="K58">
        <v>168.73500000000001</v>
      </c>
      <c r="L58">
        <v>155.97800000000001</v>
      </c>
      <c r="M58">
        <v>155.911</v>
      </c>
      <c r="N58">
        <v>27.204999999999998</v>
      </c>
      <c r="O58">
        <v>27.308</v>
      </c>
      <c r="R58">
        <v>17.216000000000001</v>
      </c>
      <c r="S58">
        <v>17.209</v>
      </c>
      <c r="T58">
        <v>37.871000000000002</v>
      </c>
      <c r="U58">
        <v>38.357999999999997</v>
      </c>
      <c r="W58">
        <v>0.156</v>
      </c>
      <c r="X58">
        <v>-8.8999999999999996E-2</v>
      </c>
      <c r="Z58">
        <v>0.156</v>
      </c>
      <c r="AA58">
        <v>-4.3999999999999997E-2</v>
      </c>
      <c r="AB58">
        <v>8.2000000000000003E-2</v>
      </c>
      <c r="AC58">
        <v>0.156</v>
      </c>
      <c r="AD58">
        <v>-3.5000000000000003E-2</v>
      </c>
      <c r="AE58">
        <v>-8.8999999999999996E-2</v>
      </c>
      <c r="AF58">
        <v>0.156</v>
      </c>
      <c r="AG58">
        <v>8.4000000000000005E-2</v>
      </c>
      <c r="AH58">
        <v>-4.3999999999999997E-2</v>
      </c>
      <c r="AI58">
        <v>1.9E-2</v>
      </c>
    </row>
    <row r="59" spans="1:35" x14ac:dyDescent="0.25">
      <c r="A59" t="s">
        <v>1692</v>
      </c>
      <c r="B59" t="s">
        <v>32</v>
      </c>
      <c r="C59" s="25">
        <v>43704.510682870372</v>
      </c>
      <c r="D59" s="741" t="s">
        <v>969</v>
      </c>
      <c r="E59" s="741">
        <f t="array" ref="E59">SUMPRODUCT(IF(AMP5_2[[#This Row],[Dim 1_1]:[T 8]]-$F$4:$AI$4&lt;0,1,0)+IF($F$5:$AI$5-AMP5_2[[#This Row],[Dim 1_1]:[T 8]]&lt;0,1,0),IF(ISNUMBER(AMP5_2[[#This Row],[Dim 1_1]:[T 8]])=TRUE,1,0))</f>
        <v>0</v>
      </c>
      <c r="F59">
        <v>41.149000000000001</v>
      </c>
      <c r="G59">
        <v>41.122</v>
      </c>
      <c r="H59">
        <v>155.80199999999999</v>
      </c>
      <c r="I59">
        <v>155.70099999999999</v>
      </c>
      <c r="L59">
        <v>155.84899999999999</v>
      </c>
      <c r="M59">
        <v>155.51499999999999</v>
      </c>
      <c r="N59">
        <v>27.324000000000002</v>
      </c>
      <c r="O59">
        <v>27.579000000000001</v>
      </c>
      <c r="R59">
        <v>17.236000000000001</v>
      </c>
      <c r="S59">
        <v>17.236999999999998</v>
      </c>
      <c r="T59">
        <v>33.444000000000003</v>
      </c>
      <c r="U59">
        <v>33.695</v>
      </c>
      <c r="W59">
        <v>7.2999999999999995E-2</v>
      </c>
      <c r="X59">
        <v>-0.02</v>
      </c>
      <c r="Z59">
        <v>9.7000000000000003E-2</v>
      </c>
      <c r="AA59">
        <v>0</v>
      </c>
      <c r="AB59">
        <v>4.9000000000000002E-2</v>
      </c>
      <c r="AC59">
        <v>7.2999999999999995E-2</v>
      </c>
      <c r="AD59">
        <v>6.3E-2</v>
      </c>
      <c r="AE59">
        <v>-0.02</v>
      </c>
      <c r="AF59">
        <v>0.09</v>
      </c>
      <c r="AG59">
        <v>4.3999999999999997E-2</v>
      </c>
      <c r="AH59">
        <v>0</v>
      </c>
      <c r="AI59">
        <v>9.7000000000000003E-2</v>
      </c>
    </row>
    <row r="60" spans="1:35" x14ac:dyDescent="0.25">
      <c r="A60" t="s">
        <v>1693</v>
      </c>
      <c r="B60" t="s">
        <v>31</v>
      </c>
      <c r="C60" s="25">
        <v>43704.512800925928</v>
      </c>
      <c r="D60" s="741" t="s">
        <v>969</v>
      </c>
      <c r="E60" s="741">
        <f t="array" ref="E60">SUMPRODUCT(IF(AMP5_2[[#This Row],[Dim 1_1]:[T 8]]-$F$4:$AI$4&lt;0,1,0)+IF($F$5:$AI$5-AMP5_2[[#This Row],[Dim 1_1]:[T 8]]&lt;0,1,0),IF(ISNUMBER(AMP5_2[[#This Row],[Dim 1_1]:[T 8]])=TRUE,1,0))</f>
        <v>0</v>
      </c>
      <c r="H60">
        <v>155.965</v>
      </c>
      <c r="I60">
        <v>156.02500000000001</v>
      </c>
      <c r="J60">
        <v>168.72900000000001</v>
      </c>
      <c r="K60">
        <v>168.66200000000001</v>
      </c>
      <c r="L60">
        <v>156.12299999999999</v>
      </c>
      <c r="M60">
        <v>156.018</v>
      </c>
      <c r="N60">
        <v>27.074000000000002</v>
      </c>
      <c r="O60">
        <v>27.167999999999999</v>
      </c>
      <c r="R60">
        <v>17.228999999999999</v>
      </c>
      <c r="S60">
        <v>17.161999999999999</v>
      </c>
      <c r="T60">
        <v>36.862000000000002</v>
      </c>
      <c r="U60">
        <v>37.521999999999998</v>
      </c>
      <c r="W60">
        <v>-0.05</v>
      </c>
      <c r="X60">
        <v>-0.21</v>
      </c>
      <c r="Z60">
        <v>0.11</v>
      </c>
      <c r="AA60">
        <v>-3.7999999999999999E-2</v>
      </c>
      <c r="AB60">
        <v>-0.13400000000000001</v>
      </c>
      <c r="AC60">
        <v>-0.05</v>
      </c>
      <c r="AD60">
        <v>-0.21</v>
      </c>
      <c r="AE60">
        <v>-0.18</v>
      </c>
      <c r="AF60">
        <v>0.11</v>
      </c>
      <c r="AG60">
        <v>4.1000000000000002E-2</v>
      </c>
      <c r="AH60">
        <v>-3.7999999999999999E-2</v>
      </c>
      <c r="AI60">
        <v>0.01</v>
      </c>
    </row>
    <row r="61" spans="1:35" x14ac:dyDescent="0.25">
      <c r="A61" t="s">
        <v>1694</v>
      </c>
      <c r="B61" t="s">
        <v>32</v>
      </c>
      <c r="C61" s="25">
        <v>43704.597800925927</v>
      </c>
      <c r="D61" s="741" t="s">
        <v>969</v>
      </c>
      <c r="E61" s="741">
        <f t="array" ref="E61">SUMPRODUCT(IF(AMP5_2[[#This Row],[Dim 1_1]:[T 8]]-$F$4:$AI$4&lt;0,1,0)+IF($F$5:$AI$5-AMP5_2[[#This Row],[Dim 1_1]:[T 8]]&lt;0,1,0),IF(ISNUMBER(AMP5_2[[#This Row],[Dim 1_1]:[T 8]])=TRUE,1,0))</f>
        <v>0</v>
      </c>
      <c r="F61">
        <v>40.975999999999999</v>
      </c>
      <c r="G61">
        <v>41.002000000000002</v>
      </c>
      <c r="H61">
        <v>155.917</v>
      </c>
      <c r="I61">
        <v>155.84800000000001</v>
      </c>
      <c r="L61">
        <v>156</v>
      </c>
      <c r="M61">
        <v>155.678</v>
      </c>
      <c r="N61">
        <v>27.132999999999999</v>
      </c>
      <c r="O61">
        <v>27.364000000000001</v>
      </c>
      <c r="R61">
        <v>17.216999999999999</v>
      </c>
      <c r="S61">
        <v>17.218</v>
      </c>
      <c r="T61">
        <v>33.130000000000003</v>
      </c>
      <c r="U61">
        <v>33.770000000000003</v>
      </c>
      <c r="W61">
        <v>-4.0000000000000001E-3</v>
      </c>
      <c r="X61">
        <v>-7.5999999999999998E-2</v>
      </c>
      <c r="Z61">
        <v>9.2999999999999999E-2</v>
      </c>
      <c r="AA61">
        <v>5.0000000000000001E-3</v>
      </c>
      <c r="AB61">
        <v>-6.5000000000000002E-2</v>
      </c>
      <c r="AC61">
        <v>-4.9000000000000002E-2</v>
      </c>
      <c r="AD61">
        <v>-4.0000000000000001E-3</v>
      </c>
      <c r="AE61">
        <v>-7.5999999999999998E-2</v>
      </c>
      <c r="AF61">
        <v>6.9000000000000006E-2</v>
      </c>
      <c r="AG61">
        <v>2.8000000000000001E-2</v>
      </c>
      <c r="AH61">
        <v>5.0000000000000001E-3</v>
      </c>
      <c r="AI61">
        <v>9.2999999999999999E-2</v>
      </c>
    </row>
    <row r="62" spans="1:35" x14ac:dyDescent="0.25">
      <c r="A62" t="s">
        <v>1695</v>
      </c>
      <c r="B62" t="s">
        <v>31</v>
      </c>
      <c r="C62" s="25">
        <v>43704.600138888891</v>
      </c>
      <c r="D62" s="741" t="s">
        <v>969</v>
      </c>
      <c r="E62" s="741">
        <f t="array" ref="E62">SUMPRODUCT(IF(AMP5_2[[#This Row],[Dim 1_1]:[T 8]]-$F$4:$AI$4&lt;0,1,0)+IF($F$5:$AI$5-AMP5_2[[#This Row],[Dim 1_1]:[T 8]]&lt;0,1,0),IF(ISNUMBER(AMP5_2[[#This Row],[Dim 1_1]:[T 8]])=TRUE,1,0))</f>
        <v>0</v>
      </c>
      <c r="H62">
        <v>156.06</v>
      </c>
      <c r="I62">
        <v>156.06700000000001</v>
      </c>
      <c r="J62">
        <v>168.73400000000001</v>
      </c>
      <c r="K62">
        <v>168.727</v>
      </c>
      <c r="L62">
        <v>156.21199999999999</v>
      </c>
      <c r="M62">
        <v>156.03399999999999</v>
      </c>
      <c r="N62">
        <v>27.016999999999999</v>
      </c>
      <c r="O62">
        <v>27.161000000000001</v>
      </c>
      <c r="R62">
        <v>17.239000000000001</v>
      </c>
      <c r="S62">
        <v>17.143000000000001</v>
      </c>
      <c r="T62">
        <v>37.844999999999999</v>
      </c>
      <c r="U62">
        <v>38.979999999999997</v>
      </c>
      <c r="W62">
        <v>-8.7999999999999995E-2</v>
      </c>
      <c r="X62">
        <v>-0.17299999999999999</v>
      </c>
      <c r="Z62">
        <v>-1.4999999999999999E-2</v>
      </c>
      <c r="AA62">
        <v>-0.12</v>
      </c>
      <c r="AB62">
        <v>-0.17299999999999999</v>
      </c>
      <c r="AC62">
        <v>-9.2999999999999999E-2</v>
      </c>
      <c r="AD62">
        <v>-0.12</v>
      </c>
      <c r="AE62">
        <v>-8.7999999999999995E-2</v>
      </c>
      <c r="AF62">
        <v>-5.8000000000000003E-2</v>
      </c>
      <c r="AG62">
        <v>-0.12</v>
      </c>
      <c r="AH62">
        <v>-5.1999999999999998E-2</v>
      </c>
      <c r="AI62">
        <v>-1.4999999999999999E-2</v>
      </c>
    </row>
    <row r="63" spans="1:35" x14ac:dyDescent="0.25">
      <c r="A63" t="s">
        <v>1696</v>
      </c>
      <c r="B63" t="s">
        <v>32</v>
      </c>
      <c r="C63" s="25">
        <v>43704.680046296293</v>
      </c>
      <c r="D63" s="741" t="s">
        <v>969</v>
      </c>
      <c r="E63" s="741">
        <f t="array" ref="E63">SUMPRODUCT(IF(AMP5_2[[#This Row],[Dim 1_1]:[T 8]]-$F$4:$AI$4&lt;0,1,0)+IF($F$5:$AI$5-AMP5_2[[#This Row],[Dim 1_1]:[T 8]]&lt;0,1,0),IF(ISNUMBER(AMP5_2[[#This Row],[Dim 1_1]:[T 8]])=TRUE,1,0))</f>
        <v>0</v>
      </c>
      <c r="F63">
        <v>41.12</v>
      </c>
      <c r="G63">
        <v>41.034999999999997</v>
      </c>
      <c r="H63">
        <v>155.88900000000001</v>
      </c>
      <c r="I63">
        <v>155.798</v>
      </c>
      <c r="L63">
        <v>155.96</v>
      </c>
      <c r="M63">
        <v>155.63900000000001</v>
      </c>
      <c r="N63">
        <v>27.181000000000001</v>
      </c>
      <c r="O63">
        <v>27.417999999999999</v>
      </c>
      <c r="R63">
        <v>17.209</v>
      </c>
      <c r="S63">
        <v>17.187000000000001</v>
      </c>
      <c r="T63">
        <v>32.981000000000002</v>
      </c>
      <c r="U63">
        <v>33.838999999999999</v>
      </c>
      <c r="W63">
        <v>4.1000000000000002E-2</v>
      </c>
      <c r="X63">
        <v>-7.1999999999999995E-2</v>
      </c>
      <c r="Z63">
        <v>5.1999999999999998E-2</v>
      </c>
      <c r="AA63">
        <v>-5.3999999999999999E-2</v>
      </c>
      <c r="AB63">
        <v>-7.1999999999999995E-2</v>
      </c>
      <c r="AC63">
        <v>-2.8000000000000001E-2</v>
      </c>
      <c r="AD63">
        <v>4.1000000000000002E-2</v>
      </c>
      <c r="AE63">
        <v>-4.0000000000000001E-3</v>
      </c>
      <c r="AF63">
        <v>3.0000000000000001E-3</v>
      </c>
      <c r="AG63">
        <v>-5.3999999999999999E-2</v>
      </c>
      <c r="AH63">
        <v>-1.7000000000000001E-2</v>
      </c>
      <c r="AI63">
        <v>5.1999999999999998E-2</v>
      </c>
    </row>
    <row r="64" spans="1:35" x14ac:dyDescent="0.25">
      <c r="A64" t="s">
        <v>1697</v>
      </c>
      <c r="B64" t="s">
        <v>31</v>
      </c>
      <c r="C64" s="25">
        <v>43704.681562500002</v>
      </c>
      <c r="D64" s="741" t="s">
        <v>969</v>
      </c>
      <c r="E64" s="741">
        <f t="array" ref="E64">SUMPRODUCT(IF(AMP5_2[[#This Row],[Dim 1_1]:[T 8]]-$F$4:$AI$4&lt;0,1,0)+IF($F$5:$AI$5-AMP5_2[[#This Row],[Dim 1_1]:[T 8]]&lt;0,1,0),IF(ISNUMBER(AMP5_2[[#This Row],[Dim 1_1]:[T 8]])=TRUE,1,0))</f>
        <v>0</v>
      </c>
      <c r="H64">
        <v>156.00700000000001</v>
      </c>
      <c r="I64">
        <v>156.07</v>
      </c>
      <c r="J64">
        <v>168.792</v>
      </c>
      <c r="K64">
        <v>168.673</v>
      </c>
      <c r="L64">
        <v>156.21600000000001</v>
      </c>
      <c r="M64">
        <v>156.08199999999999</v>
      </c>
      <c r="N64">
        <v>27.039000000000001</v>
      </c>
      <c r="O64">
        <v>27.148</v>
      </c>
      <c r="R64">
        <v>17.204000000000001</v>
      </c>
      <c r="S64">
        <v>17.302</v>
      </c>
      <c r="T64">
        <v>39.476999999999997</v>
      </c>
      <c r="U64">
        <v>40.281999999999996</v>
      </c>
      <c r="W64">
        <v>-0.161</v>
      </c>
      <c r="X64">
        <v>-0.26300000000000001</v>
      </c>
      <c r="Z64">
        <v>-6.0000000000000001E-3</v>
      </c>
      <c r="AA64">
        <v>-6.3E-2</v>
      </c>
      <c r="AB64">
        <v>-0.255</v>
      </c>
      <c r="AC64">
        <v>-0.161</v>
      </c>
      <c r="AD64">
        <v>-0.26300000000000001</v>
      </c>
      <c r="AE64">
        <v>-0.25800000000000001</v>
      </c>
      <c r="AF64">
        <v>-0.02</v>
      </c>
      <c r="AG64">
        <v>-4.9000000000000002E-2</v>
      </c>
      <c r="AH64">
        <v>-6.3E-2</v>
      </c>
      <c r="AI64">
        <v>-6.0000000000000001E-3</v>
      </c>
    </row>
    <row r="65" spans="1:35" x14ac:dyDescent="0.25">
      <c r="A65" t="s">
        <v>1698</v>
      </c>
      <c r="B65" t="s">
        <v>32</v>
      </c>
      <c r="C65" s="25">
        <v>43704.770914351851</v>
      </c>
      <c r="D65" s="741" t="s">
        <v>969</v>
      </c>
      <c r="E65" s="741">
        <f t="array" ref="E65">SUMPRODUCT(IF(AMP5_2[[#This Row],[Dim 1_1]:[T 8]]-$F$4:$AI$4&lt;0,1,0)+IF($F$5:$AI$5-AMP5_2[[#This Row],[Dim 1_1]:[T 8]]&lt;0,1,0),IF(ISNUMBER(AMP5_2[[#This Row],[Dim 1_1]:[T 8]])=TRUE,1,0))</f>
        <v>0</v>
      </c>
      <c r="F65">
        <v>41.043999999999997</v>
      </c>
      <c r="G65">
        <v>41.040999999999997</v>
      </c>
      <c r="H65">
        <v>155.82400000000001</v>
      </c>
      <c r="I65">
        <v>155.685</v>
      </c>
      <c r="L65">
        <v>155.892</v>
      </c>
      <c r="M65">
        <v>155.523</v>
      </c>
      <c r="N65">
        <v>27.245999999999999</v>
      </c>
      <c r="O65">
        <v>27.545000000000002</v>
      </c>
      <c r="R65">
        <v>17.207000000000001</v>
      </c>
      <c r="S65">
        <v>17.192</v>
      </c>
      <c r="T65">
        <v>33.4</v>
      </c>
      <c r="U65">
        <v>33.661999999999999</v>
      </c>
      <c r="W65">
        <v>0.151</v>
      </c>
      <c r="X65">
        <v>2.3E-2</v>
      </c>
      <c r="Z65">
        <v>0.156</v>
      </c>
      <c r="AA65">
        <v>5.6000000000000001E-2</v>
      </c>
      <c r="AB65">
        <v>5.8999999999999997E-2</v>
      </c>
      <c r="AC65">
        <v>8.6999999999999994E-2</v>
      </c>
      <c r="AD65">
        <v>0.151</v>
      </c>
      <c r="AE65">
        <v>2.3E-2</v>
      </c>
      <c r="AF65">
        <v>0.11899999999999999</v>
      </c>
      <c r="AG65">
        <v>5.6000000000000001E-2</v>
      </c>
      <c r="AH65">
        <v>5.6000000000000001E-2</v>
      </c>
      <c r="AI65">
        <v>0.156</v>
      </c>
    </row>
    <row r="66" spans="1:35" x14ac:dyDescent="0.25">
      <c r="A66" t="s">
        <v>1699</v>
      </c>
      <c r="B66" t="s">
        <v>31</v>
      </c>
      <c r="C66" s="25">
        <v>43704.772488425922</v>
      </c>
      <c r="D66" s="741" t="s">
        <v>969</v>
      </c>
      <c r="E66" s="741">
        <f t="array" ref="E66">SUMPRODUCT(IF(AMP5_2[[#This Row],[Dim 1_1]:[T 8]]-$F$4:$AI$4&lt;0,1,0)+IF($F$5:$AI$5-AMP5_2[[#This Row],[Dim 1_1]:[T 8]]&lt;0,1,0),IF(ISNUMBER(AMP5_2[[#This Row],[Dim 1_1]:[T 8]])=TRUE,1,0))</f>
        <v>0</v>
      </c>
      <c r="H66">
        <v>155.959</v>
      </c>
      <c r="I66">
        <v>156.03399999999999</v>
      </c>
      <c r="J66">
        <v>168.63800000000001</v>
      </c>
      <c r="K66">
        <v>168.51</v>
      </c>
      <c r="L66">
        <v>156.12299999999999</v>
      </c>
      <c r="M66">
        <v>156.01400000000001</v>
      </c>
      <c r="N66">
        <v>27.091000000000001</v>
      </c>
      <c r="O66">
        <v>27.177</v>
      </c>
      <c r="R66">
        <v>17.204000000000001</v>
      </c>
      <c r="S66">
        <v>17.181000000000001</v>
      </c>
      <c r="T66">
        <v>38.195</v>
      </c>
      <c r="U66">
        <v>40.296999999999997</v>
      </c>
      <c r="W66">
        <v>-5.3999999999999999E-2</v>
      </c>
      <c r="X66">
        <v>-0.21099999999999999</v>
      </c>
      <c r="Z66">
        <v>5.3999999999999999E-2</v>
      </c>
      <c r="AA66">
        <v>-5.8000000000000003E-2</v>
      </c>
      <c r="AB66">
        <v>-0.13</v>
      </c>
      <c r="AC66">
        <v>-5.3999999999999999E-2</v>
      </c>
      <c r="AD66">
        <v>-0.191</v>
      </c>
      <c r="AE66">
        <v>-0.21099999999999999</v>
      </c>
      <c r="AF66">
        <v>5.3999999999999999E-2</v>
      </c>
      <c r="AG66">
        <v>-6.0000000000000001E-3</v>
      </c>
      <c r="AH66">
        <v>-5.8000000000000003E-2</v>
      </c>
      <c r="AI66">
        <v>0.01</v>
      </c>
    </row>
    <row r="67" spans="1:35" x14ac:dyDescent="0.25">
      <c r="A67" t="s">
        <v>1700</v>
      </c>
      <c r="B67" t="s">
        <v>32</v>
      </c>
      <c r="C67" s="25">
        <v>43704.850972222222</v>
      </c>
      <c r="D67" s="741" t="s">
        <v>969</v>
      </c>
      <c r="E67" s="741">
        <f t="array" ref="E67">SUMPRODUCT(IF(AMP5_2[[#This Row],[Dim 1_1]:[T 8]]-$F$4:$AI$4&lt;0,1,0)+IF($F$5:$AI$5-AMP5_2[[#This Row],[Dim 1_1]:[T 8]]&lt;0,1,0),IF(ISNUMBER(AMP5_2[[#This Row],[Dim 1_1]:[T 8]])=TRUE,1,0))</f>
        <v>1</v>
      </c>
      <c r="F67">
        <v>40.844000000000001</v>
      </c>
      <c r="G67">
        <v>40.787999999999997</v>
      </c>
      <c r="H67">
        <v>155.946</v>
      </c>
      <c r="I67">
        <v>155.833</v>
      </c>
      <c r="L67">
        <v>156.065</v>
      </c>
      <c r="M67">
        <v>155.69300000000001</v>
      </c>
      <c r="N67">
        <v>27.065000000000001</v>
      </c>
      <c r="O67">
        <v>27.347999999999999</v>
      </c>
      <c r="R67">
        <v>17.196999999999999</v>
      </c>
      <c r="S67">
        <v>17.097999999999999</v>
      </c>
      <c r="T67">
        <v>33.167000000000002</v>
      </c>
      <c r="U67">
        <v>33.854999999999997</v>
      </c>
      <c r="W67">
        <v>9.2999999999999999E-2</v>
      </c>
      <c r="X67">
        <v>-0.13600000000000001</v>
      </c>
      <c r="Z67">
        <v>0.11899999999999999</v>
      </c>
      <c r="AA67">
        <v>-6.8000000000000005E-2</v>
      </c>
      <c r="AB67">
        <v>-0.13600000000000001</v>
      </c>
      <c r="AC67">
        <v>-0.115</v>
      </c>
      <c r="AD67">
        <v>9.2999999999999999E-2</v>
      </c>
      <c r="AE67">
        <v>1.6E-2</v>
      </c>
      <c r="AF67">
        <v>-1.2E-2</v>
      </c>
      <c r="AG67">
        <v>-6.8000000000000005E-2</v>
      </c>
      <c r="AH67">
        <v>6.5000000000000002E-2</v>
      </c>
      <c r="AI67">
        <v>0.11899999999999999</v>
      </c>
    </row>
    <row r="68" spans="1:35" x14ac:dyDescent="0.25">
      <c r="A68" t="s">
        <v>1701</v>
      </c>
      <c r="B68" t="s">
        <v>31</v>
      </c>
      <c r="C68" s="25">
        <v>43704.852939814817</v>
      </c>
      <c r="D68" s="741" t="s">
        <v>969</v>
      </c>
      <c r="E68" s="741">
        <f t="array" ref="E68">SUMPRODUCT(IF(AMP5_2[[#This Row],[Dim 1_1]:[T 8]]-$F$4:$AI$4&lt;0,1,0)+IF($F$5:$AI$5-AMP5_2[[#This Row],[Dim 1_1]:[T 8]]&lt;0,1,0),IF(ISNUMBER(AMP5_2[[#This Row],[Dim 1_1]:[T 8]])=TRUE,1,0))</f>
        <v>0</v>
      </c>
      <c r="H68">
        <v>156.09</v>
      </c>
      <c r="I68">
        <v>156.12299999999999</v>
      </c>
      <c r="J68">
        <v>168.65</v>
      </c>
      <c r="K68">
        <v>168.685</v>
      </c>
      <c r="L68">
        <v>156.239</v>
      </c>
      <c r="M68">
        <v>156.136</v>
      </c>
      <c r="N68">
        <v>26.997</v>
      </c>
      <c r="O68">
        <v>27.093</v>
      </c>
      <c r="R68">
        <v>17.224</v>
      </c>
      <c r="S68">
        <v>17.195</v>
      </c>
      <c r="T68">
        <v>38.564999999999998</v>
      </c>
      <c r="U68">
        <v>39.430999999999997</v>
      </c>
      <c r="W68">
        <v>-0.17299999999999999</v>
      </c>
      <c r="X68">
        <v>-0.252</v>
      </c>
      <c r="Z68">
        <v>-9.7000000000000003E-2</v>
      </c>
      <c r="AA68">
        <v>-0.16900000000000001</v>
      </c>
      <c r="AB68">
        <v>-0.252</v>
      </c>
      <c r="AC68">
        <v>-0.17299999999999999</v>
      </c>
      <c r="AD68">
        <v>-0.20100000000000001</v>
      </c>
      <c r="AE68">
        <v>-0.22500000000000001</v>
      </c>
      <c r="AF68">
        <v>-0.129</v>
      </c>
      <c r="AG68">
        <v>-0.16900000000000001</v>
      </c>
      <c r="AH68">
        <v>-0.10199999999999999</v>
      </c>
      <c r="AI68">
        <v>-9.7000000000000003E-2</v>
      </c>
    </row>
    <row r="69" spans="1:35" x14ac:dyDescent="0.25">
      <c r="A69" t="s">
        <v>1702</v>
      </c>
      <c r="B69" t="s">
        <v>32</v>
      </c>
      <c r="C69" s="25">
        <v>43704.919502314813</v>
      </c>
      <c r="D69" s="741" t="s">
        <v>969</v>
      </c>
      <c r="E69" s="741">
        <f t="array" ref="E69">SUMPRODUCT(IF(AMP5_2[[#This Row],[Dim 1_1]:[T 8]]-$F$4:$AI$4&lt;0,1,0)+IF($F$5:$AI$5-AMP5_2[[#This Row],[Dim 1_1]:[T 8]]&lt;0,1,0),IF(ISNUMBER(AMP5_2[[#This Row],[Dim 1_1]:[T 8]])=TRUE,1,0))</f>
        <v>0</v>
      </c>
      <c r="F69">
        <v>41.110999999999997</v>
      </c>
      <c r="G69">
        <v>41.015999999999998</v>
      </c>
      <c r="H69">
        <v>155.88300000000001</v>
      </c>
      <c r="I69">
        <v>155.74</v>
      </c>
      <c r="L69">
        <v>155.97</v>
      </c>
      <c r="M69">
        <v>155.56200000000001</v>
      </c>
      <c r="N69">
        <v>27.196000000000002</v>
      </c>
      <c r="O69">
        <v>27.535</v>
      </c>
      <c r="R69">
        <v>17.189</v>
      </c>
      <c r="S69">
        <v>17.132000000000001</v>
      </c>
      <c r="T69">
        <v>33.241</v>
      </c>
      <c r="U69">
        <v>33.610999999999997</v>
      </c>
      <c r="W69">
        <v>0.13500000000000001</v>
      </c>
      <c r="X69">
        <v>-2.1999999999999999E-2</v>
      </c>
      <c r="Z69">
        <v>0.10199999999999999</v>
      </c>
      <c r="AA69">
        <v>-6.9000000000000006E-2</v>
      </c>
      <c r="AB69">
        <v>-2.1999999999999999E-2</v>
      </c>
      <c r="AC69">
        <v>0</v>
      </c>
      <c r="AD69">
        <v>0.13500000000000001</v>
      </c>
      <c r="AE69">
        <v>2.3E-2</v>
      </c>
      <c r="AF69">
        <v>-4.0000000000000001E-3</v>
      </c>
      <c r="AG69">
        <v>-6.9000000000000006E-2</v>
      </c>
      <c r="AH69">
        <v>0.03</v>
      </c>
      <c r="AI69">
        <v>0.10199999999999999</v>
      </c>
    </row>
    <row r="70" spans="1:35" x14ac:dyDescent="0.25">
      <c r="A70" t="s">
        <v>1703</v>
      </c>
      <c r="B70" t="s">
        <v>31</v>
      </c>
      <c r="C70" s="25">
        <v>43704.921064814815</v>
      </c>
      <c r="D70" s="741" t="s">
        <v>969</v>
      </c>
      <c r="E70" s="741">
        <f t="array" ref="E70">SUMPRODUCT(IF(AMP5_2[[#This Row],[Dim 1_1]:[T 8]]-$F$4:$AI$4&lt;0,1,0)+IF($F$5:$AI$5-AMP5_2[[#This Row],[Dim 1_1]:[T 8]]&lt;0,1,0),IF(ISNUMBER(AMP5_2[[#This Row],[Dim 1_1]:[T 8]])=TRUE,1,0))</f>
        <v>0</v>
      </c>
      <c r="H70">
        <v>156.04499999999999</v>
      </c>
      <c r="I70">
        <v>156.137</v>
      </c>
      <c r="J70">
        <v>168.85</v>
      </c>
      <c r="K70">
        <v>168.60599999999999</v>
      </c>
      <c r="L70">
        <v>156.19200000000001</v>
      </c>
      <c r="M70">
        <v>156.107</v>
      </c>
      <c r="N70">
        <v>26.995000000000001</v>
      </c>
      <c r="O70">
        <v>27.084</v>
      </c>
      <c r="R70">
        <v>17.245999999999999</v>
      </c>
      <c r="S70">
        <v>17.212</v>
      </c>
      <c r="T70">
        <v>36.191000000000003</v>
      </c>
      <c r="U70">
        <v>36.44</v>
      </c>
      <c r="W70">
        <v>-0.14799999999999999</v>
      </c>
      <c r="X70">
        <v>-0.25800000000000001</v>
      </c>
      <c r="Z70">
        <v>-2.5999999999999999E-2</v>
      </c>
      <c r="AA70">
        <v>-0.13700000000000001</v>
      </c>
      <c r="AB70">
        <v>-0.23100000000000001</v>
      </c>
      <c r="AC70">
        <v>-0.14799999999999999</v>
      </c>
      <c r="AD70">
        <v>-0.25800000000000001</v>
      </c>
      <c r="AE70">
        <v>-0.23400000000000001</v>
      </c>
      <c r="AF70">
        <v>-2.5999999999999999E-2</v>
      </c>
      <c r="AG70">
        <v>-0.10299999999999999</v>
      </c>
      <c r="AH70">
        <v>-0.13700000000000001</v>
      </c>
      <c r="AI70">
        <v>-8.4000000000000005E-2</v>
      </c>
    </row>
    <row r="71" spans="1:35" x14ac:dyDescent="0.25">
      <c r="A71" t="s">
        <v>1704</v>
      </c>
      <c r="B71" t="s">
        <v>32</v>
      </c>
      <c r="C71" s="25">
        <v>43705.025219907409</v>
      </c>
      <c r="D71" s="741" t="s">
        <v>969</v>
      </c>
      <c r="E71" s="741">
        <f t="array" ref="E71">SUMPRODUCT(IF(AMP5_2[[#This Row],[Dim 1_1]:[T 8]]-$F$4:$AI$4&lt;0,1,0)+IF($F$5:$AI$5-AMP5_2[[#This Row],[Dim 1_1]:[T 8]]&lt;0,1,0),IF(ISNUMBER(AMP5_2[[#This Row],[Dim 1_1]:[T 8]])=TRUE,1,0))</f>
        <v>0</v>
      </c>
      <c r="F71">
        <v>41.2</v>
      </c>
      <c r="G71">
        <v>41.015999999999998</v>
      </c>
      <c r="H71">
        <v>155.80000000000001</v>
      </c>
      <c r="I71">
        <v>155.69</v>
      </c>
      <c r="L71">
        <v>155.887</v>
      </c>
      <c r="M71">
        <v>155.49299999999999</v>
      </c>
      <c r="N71">
        <v>27.259</v>
      </c>
      <c r="O71">
        <v>27.542000000000002</v>
      </c>
      <c r="R71">
        <v>17.227</v>
      </c>
      <c r="S71">
        <v>16.978999999999999</v>
      </c>
      <c r="T71">
        <v>33.35</v>
      </c>
      <c r="U71">
        <v>33.869</v>
      </c>
      <c r="W71">
        <v>0.36799999999999999</v>
      </c>
      <c r="X71">
        <v>7.8E-2</v>
      </c>
      <c r="Z71">
        <v>0.33700000000000002</v>
      </c>
      <c r="AA71">
        <v>-8.9999999999999993E-3</v>
      </c>
      <c r="AB71">
        <v>7.8E-2</v>
      </c>
      <c r="AC71">
        <v>0.12</v>
      </c>
      <c r="AD71">
        <v>0.36799999999999999</v>
      </c>
      <c r="AE71">
        <v>0.309</v>
      </c>
      <c r="AF71">
        <v>3.5000000000000003E-2</v>
      </c>
      <c r="AG71">
        <v>-8.9999999999999993E-3</v>
      </c>
      <c r="AH71">
        <v>0.251</v>
      </c>
      <c r="AI71">
        <v>0.33700000000000002</v>
      </c>
    </row>
    <row r="72" spans="1:35" x14ac:dyDescent="0.25">
      <c r="A72" t="s">
        <v>1705</v>
      </c>
      <c r="B72" t="s">
        <v>31</v>
      </c>
      <c r="C72" s="25">
        <v>43705.026736111111</v>
      </c>
      <c r="D72" s="741" t="s">
        <v>969</v>
      </c>
      <c r="E72" s="741">
        <f t="array" ref="E72">SUMPRODUCT(IF(AMP5_2[[#This Row],[Dim 1_1]:[T 8]]-$F$4:$AI$4&lt;0,1,0)+IF($F$5:$AI$5-AMP5_2[[#This Row],[Dim 1_1]:[T 8]]&lt;0,1,0),IF(ISNUMBER(AMP5_2[[#This Row],[Dim 1_1]:[T 8]])=TRUE,1,0))</f>
        <v>0</v>
      </c>
      <c r="H72">
        <v>156.01499999999999</v>
      </c>
      <c r="I72">
        <v>156.11000000000001</v>
      </c>
      <c r="J72">
        <v>168.874</v>
      </c>
      <c r="K72">
        <v>168.589</v>
      </c>
      <c r="L72">
        <v>156.18799999999999</v>
      </c>
      <c r="M72">
        <v>156.09100000000001</v>
      </c>
      <c r="N72">
        <v>27.021000000000001</v>
      </c>
      <c r="O72">
        <v>27.108000000000001</v>
      </c>
      <c r="R72">
        <v>17.187000000000001</v>
      </c>
      <c r="S72">
        <v>17.242999999999999</v>
      </c>
      <c r="T72">
        <v>38.865000000000002</v>
      </c>
      <c r="U72">
        <v>36.377000000000002</v>
      </c>
      <c r="W72">
        <v>-0.11799999999999999</v>
      </c>
      <c r="X72">
        <v>-0.35799999999999998</v>
      </c>
      <c r="Z72">
        <v>-7.8E-2</v>
      </c>
      <c r="AA72">
        <v>-0.215</v>
      </c>
      <c r="AB72">
        <v>-0.188</v>
      </c>
      <c r="AC72">
        <v>-0.11799999999999999</v>
      </c>
      <c r="AD72">
        <v>-0.29799999999999999</v>
      </c>
      <c r="AE72">
        <v>-0.35799999999999998</v>
      </c>
      <c r="AF72">
        <v>-7.8E-2</v>
      </c>
      <c r="AG72">
        <v>-0.14199999999999999</v>
      </c>
      <c r="AH72">
        <v>-0.215</v>
      </c>
      <c r="AI72">
        <v>-0.16300000000000001</v>
      </c>
    </row>
    <row r="73" spans="1:35" x14ac:dyDescent="0.25">
      <c r="A73" t="s">
        <v>1706</v>
      </c>
      <c r="B73" t="s">
        <v>32</v>
      </c>
      <c r="C73" s="25">
        <v>43705.048842592594</v>
      </c>
      <c r="D73" s="741" t="s">
        <v>969</v>
      </c>
      <c r="E73" s="741">
        <f t="array" ref="E73">SUMPRODUCT(IF(AMP5_2[[#This Row],[Dim 1_1]:[T 8]]-$F$4:$AI$4&lt;0,1,0)+IF($F$5:$AI$5-AMP5_2[[#This Row],[Dim 1_1]:[T 8]]&lt;0,1,0),IF(ISNUMBER(AMP5_2[[#This Row],[Dim 1_1]:[T 8]])=TRUE,1,0))</f>
        <v>0</v>
      </c>
      <c r="F73">
        <v>41.034999999999997</v>
      </c>
      <c r="G73">
        <v>40.872999999999998</v>
      </c>
      <c r="H73">
        <v>155.916</v>
      </c>
      <c r="I73">
        <v>155.81800000000001</v>
      </c>
      <c r="L73">
        <v>156.01</v>
      </c>
      <c r="M73">
        <v>155.67699999999999</v>
      </c>
      <c r="N73">
        <v>27.154</v>
      </c>
      <c r="O73">
        <v>27.399000000000001</v>
      </c>
      <c r="R73">
        <v>17.207999999999998</v>
      </c>
      <c r="S73">
        <v>17.158999999999999</v>
      </c>
      <c r="T73">
        <v>33.530999999999999</v>
      </c>
      <c r="U73">
        <v>33.674999999999997</v>
      </c>
      <c r="W73">
        <v>-7.0000000000000001E-3</v>
      </c>
      <c r="X73">
        <v>-0.188</v>
      </c>
      <c r="Z73">
        <v>-3.2000000000000001E-2</v>
      </c>
      <c r="AA73">
        <v>-0.186</v>
      </c>
      <c r="AB73">
        <v>-0.188</v>
      </c>
      <c r="AC73">
        <v>-0.13800000000000001</v>
      </c>
      <c r="AD73">
        <v>-7.0000000000000001E-3</v>
      </c>
      <c r="AE73">
        <v>-0.107</v>
      </c>
      <c r="AF73">
        <v>-0.11600000000000001</v>
      </c>
      <c r="AG73">
        <v>-0.186</v>
      </c>
      <c r="AH73">
        <v>-7.6999999999999999E-2</v>
      </c>
      <c r="AI73">
        <v>-3.2000000000000001E-2</v>
      </c>
    </row>
    <row r="74" spans="1:35" x14ac:dyDescent="0.25">
      <c r="A74" t="s">
        <v>1707</v>
      </c>
      <c r="B74" t="s">
        <v>31</v>
      </c>
      <c r="C74" s="25">
        <v>43705.051041666666</v>
      </c>
      <c r="D74" s="741" t="s">
        <v>969</v>
      </c>
      <c r="E74" s="741">
        <f t="array" ref="E74">SUMPRODUCT(IF(AMP5_2[[#This Row],[Dim 1_1]:[T 8]]-$F$4:$AI$4&lt;0,1,0)+IF($F$5:$AI$5-AMP5_2[[#This Row],[Dim 1_1]:[T 8]]&lt;0,1,0),IF(ISNUMBER(AMP5_2[[#This Row],[Dim 1_1]:[T 8]])=TRUE,1,0))</f>
        <v>0</v>
      </c>
      <c r="H74">
        <v>156.11799999999999</v>
      </c>
      <c r="I74">
        <v>156.16200000000001</v>
      </c>
      <c r="J74">
        <v>168.768</v>
      </c>
      <c r="K74">
        <v>168.626</v>
      </c>
      <c r="L74">
        <v>156.26</v>
      </c>
      <c r="M74">
        <v>156.172</v>
      </c>
      <c r="N74">
        <v>26.952999999999999</v>
      </c>
      <c r="O74">
        <v>27.039000000000001</v>
      </c>
      <c r="R74">
        <v>17.209</v>
      </c>
      <c r="S74">
        <v>17.161999999999999</v>
      </c>
      <c r="T74">
        <v>37.906999999999996</v>
      </c>
      <c r="U74">
        <v>39.305999999999997</v>
      </c>
      <c r="W74">
        <v>-0.21099999999999999</v>
      </c>
      <c r="X74">
        <v>-0.30499999999999999</v>
      </c>
      <c r="Z74">
        <v>-8.6999999999999994E-2</v>
      </c>
      <c r="AA74">
        <v>-0.16700000000000001</v>
      </c>
      <c r="AB74">
        <v>-0.30499999999999999</v>
      </c>
      <c r="AC74">
        <v>-0.21099999999999999</v>
      </c>
      <c r="AD74">
        <v>-0.248</v>
      </c>
      <c r="AE74">
        <v>-0.28599999999999998</v>
      </c>
      <c r="AF74">
        <v>-9.9000000000000005E-2</v>
      </c>
      <c r="AG74">
        <v>-0.16700000000000001</v>
      </c>
      <c r="AH74">
        <v>-0.12</v>
      </c>
      <c r="AI74">
        <v>-8.6999999999999994E-2</v>
      </c>
    </row>
    <row r="75" spans="1:35" x14ac:dyDescent="0.25">
      <c r="A75" t="s">
        <v>1708</v>
      </c>
      <c r="B75" t="s">
        <v>32</v>
      </c>
      <c r="C75" s="25">
        <v>43705.338206018518</v>
      </c>
      <c r="D75" s="741" t="s">
        <v>969</v>
      </c>
      <c r="E75" s="741">
        <f t="array" ref="E75">SUMPRODUCT(IF(AMP5_2[[#This Row],[Dim 1_1]:[T 8]]-$F$4:$AI$4&lt;0,1,0)+IF($F$5:$AI$5-AMP5_2[[#This Row],[Dim 1_1]:[T 8]]&lt;0,1,0),IF(ISNUMBER(AMP5_2[[#This Row],[Dim 1_1]:[T 8]])=TRUE,1,0))</f>
        <v>1</v>
      </c>
      <c r="F75">
        <v>40.923000000000002</v>
      </c>
      <c r="G75">
        <v>40.683</v>
      </c>
      <c r="H75">
        <v>155.96</v>
      </c>
      <c r="I75">
        <v>155.887</v>
      </c>
      <c r="L75">
        <v>156.029</v>
      </c>
      <c r="M75">
        <v>155.60400000000001</v>
      </c>
      <c r="N75">
        <v>27.17</v>
      </c>
      <c r="O75">
        <v>27.457999999999998</v>
      </c>
      <c r="R75">
        <v>17.245999999999999</v>
      </c>
      <c r="S75">
        <v>17.18</v>
      </c>
      <c r="T75">
        <v>33.453000000000003</v>
      </c>
      <c r="U75">
        <v>33.795999999999999</v>
      </c>
      <c r="W75">
        <v>6.0999999999999999E-2</v>
      </c>
      <c r="X75">
        <v>-0.104</v>
      </c>
      <c r="Z75">
        <v>-8.9999999999999993E-3</v>
      </c>
      <c r="AA75">
        <v>-0.20100000000000001</v>
      </c>
      <c r="AB75">
        <v>-0.104</v>
      </c>
      <c r="AC75">
        <v>-8.8999999999999996E-2</v>
      </c>
      <c r="AD75">
        <v>6.0999999999999999E-2</v>
      </c>
      <c r="AE75">
        <v>-4.7E-2</v>
      </c>
      <c r="AF75">
        <v>-0.13300000000000001</v>
      </c>
      <c r="AG75">
        <v>-0.20100000000000001</v>
      </c>
      <c r="AH75">
        <v>-8.9999999999999993E-3</v>
      </c>
      <c r="AI75">
        <v>-3.5000000000000003E-2</v>
      </c>
    </row>
    <row r="76" spans="1:35" x14ac:dyDescent="0.25">
      <c r="A76" t="s">
        <v>1709</v>
      </c>
      <c r="B76" t="s">
        <v>31</v>
      </c>
      <c r="C76" s="25">
        <v>43705.341273148151</v>
      </c>
      <c r="D76" s="741" t="s">
        <v>969</v>
      </c>
      <c r="E76" s="741">
        <f t="array" ref="E76">SUMPRODUCT(IF(AMP5_2[[#This Row],[Dim 1_1]:[T 8]]-$F$4:$AI$4&lt;0,1,0)+IF($F$5:$AI$5-AMP5_2[[#This Row],[Dim 1_1]:[T 8]]&lt;0,1,0),IF(ISNUMBER(AMP5_2[[#This Row],[Dim 1_1]:[T 8]])=TRUE,1,0))</f>
        <v>0</v>
      </c>
      <c r="H76">
        <v>156.13900000000001</v>
      </c>
      <c r="I76">
        <v>156.21799999999999</v>
      </c>
      <c r="J76">
        <v>168.68100000000001</v>
      </c>
      <c r="K76">
        <v>168.399</v>
      </c>
      <c r="L76">
        <v>156.315</v>
      </c>
      <c r="M76">
        <v>156.24</v>
      </c>
      <c r="N76">
        <v>26.835000000000001</v>
      </c>
      <c r="O76">
        <v>26.931999999999999</v>
      </c>
      <c r="R76">
        <v>17.303999999999998</v>
      </c>
      <c r="S76">
        <v>17.103999999999999</v>
      </c>
      <c r="T76">
        <v>37.026000000000003</v>
      </c>
      <c r="U76">
        <v>38.439</v>
      </c>
      <c r="W76">
        <v>-0.185</v>
      </c>
      <c r="X76">
        <v>-0.34799999999999998</v>
      </c>
      <c r="Z76">
        <v>1.6E-2</v>
      </c>
      <c r="AA76">
        <v>-0.114</v>
      </c>
      <c r="AB76">
        <v>-0.34799999999999998</v>
      </c>
      <c r="AC76">
        <v>-0.22700000000000001</v>
      </c>
      <c r="AD76">
        <v>-0.192</v>
      </c>
      <c r="AE76">
        <v>-0.185</v>
      </c>
      <c r="AF76">
        <v>-5.3999999999999999E-2</v>
      </c>
      <c r="AG76">
        <v>-0.114</v>
      </c>
      <c r="AH76">
        <v>-2.3E-2</v>
      </c>
      <c r="AI76">
        <v>1.6E-2</v>
      </c>
    </row>
    <row r="77" spans="1:35" x14ac:dyDescent="0.25">
      <c r="A77" t="s">
        <v>1710</v>
      </c>
      <c r="B77" t="s">
        <v>32</v>
      </c>
      <c r="C77" s="25">
        <v>43705.422129629631</v>
      </c>
      <c r="D77" s="741" t="s">
        <v>969</v>
      </c>
      <c r="E77" s="741">
        <f t="array" ref="E77">SUMPRODUCT(IF(AMP5_2[[#This Row],[Dim 1_1]:[T 8]]-$F$4:$AI$4&lt;0,1,0)+IF($F$5:$AI$5-AMP5_2[[#This Row],[Dim 1_1]:[T 8]]&lt;0,1,0),IF(ISNUMBER(AMP5_2[[#This Row],[Dim 1_1]:[T 8]])=TRUE,1,0))</f>
        <v>0</v>
      </c>
      <c r="F77">
        <v>41.167000000000002</v>
      </c>
      <c r="G77">
        <v>40.890999999999998</v>
      </c>
      <c r="H77">
        <v>155.827</v>
      </c>
      <c r="I77">
        <v>155.708</v>
      </c>
      <c r="L77">
        <v>155.93100000000001</v>
      </c>
      <c r="M77">
        <v>155.55099999999999</v>
      </c>
      <c r="N77">
        <v>27.233000000000001</v>
      </c>
      <c r="O77">
        <v>27.506</v>
      </c>
      <c r="R77">
        <v>17.178999999999998</v>
      </c>
      <c r="S77">
        <v>17.189</v>
      </c>
      <c r="T77">
        <v>33.429000000000002</v>
      </c>
      <c r="U77">
        <v>33.758000000000003</v>
      </c>
      <c r="W77">
        <v>2.3E-2</v>
      </c>
      <c r="X77">
        <v>-2.1999999999999999E-2</v>
      </c>
      <c r="Z77">
        <v>3.7999999999999999E-2</v>
      </c>
      <c r="AA77">
        <v>-4.2000000000000003E-2</v>
      </c>
      <c r="AB77">
        <v>-1.4E-2</v>
      </c>
      <c r="AC77">
        <v>2.3E-2</v>
      </c>
      <c r="AD77">
        <v>2.1999999999999999E-2</v>
      </c>
      <c r="AE77">
        <v>-2.1999999999999999E-2</v>
      </c>
      <c r="AF77">
        <v>3.7999999999999999E-2</v>
      </c>
      <c r="AG77">
        <v>-2.5000000000000001E-2</v>
      </c>
      <c r="AH77">
        <v>-4.2000000000000003E-2</v>
      </c>
      <c r="AI77">
        <v>2.3E-2</v>
      </c>
    </row>
    <row r="78" spans="1:35" x14ac:dyDescent="0.25">
      <c r="A78" t="s">
        <v>1711</v>
      </c>
      <c r="B78" t="s">
        <v>31</v>
      </c>
      <c r="C78" s="25">
        <v>43705.424270833333</v>
      </c>
      <c r="D78" s="741" t="s">
        <v>969</v>
      </c>
      <c r="E78" s="741">
        <f t="array" ref="E78">SUMPRODUCT(IF(AMP5_2[[#This Row],[Dim 1_1]:[T 8]]-$F$4:$AI$4&lt;0,1,0)+IF($F$5:$AI$5-AMP5_2[[#This Row],[Dim 1_1]:[T 8]]&lt;0,1,0),IF(ISNUMBER(AMP5_2[[#This Row],[Dim 1_1]:[T 8]])=TRUE,1,0))</f>
        <v>0</v>
      </c>
      <c r="H78">
        <v>156.02000000000001</v>
      </c>
      <c r="I78">
        <v>156.102</v>
      </c>
      <c r="J78">
        <v>168.83600000000001</v>
      </c>
      <c r="K78">
        <v>168.55500000000001</v>
      </c>
      <c r="L78">
        <v>156.19800000000001</v>
      </c>
      <c r="M78">
        <v>156.10900000000001</v>
      </c>
      <c r="N78">
        <v>26.998999999999999</v>
      </c>
      <c r="O78">
        <v>27.096</v>
      </c>
      <c r="R78">
        <v>17.265000000000001</v>
      </c>
      <c r="S78">
        <v>17.266999999999999</v>
      </c>
      <c r="T78">
        <v>36.701999999999998</v>
      </c>
      <c r="U78">
        <v>37.393000000000001</v>
      </c>
      <c r="W78">
        <v>-0.105</v>
      </c>
      <c r="X78">
        <v>-0.312</v>
      </c>
      <c r="Z78">
        <v>-4.1000000000000002E-2</v>
      </c>
      <c r="AA78">
        <v>-0.13500000000000001</v>
      </c>
      <c r="AB78">
        <v>-0.192</v>
      </c>
      <c r="AC78">
        <v>-0.105</v>
      </c>
      <c r="AD78">
        <v>-0.28799999999999998</v>
      </c>
      <c r="AE78">
        <v>-0.312</v>
      </c>
      <c r="AF78">
        <v>-4.1000000000000002E-2</v>
      </c>
      <c r="AG78">
        <v>-0.10199999999999999</v>
      </c>
      <c r="AH78">
        <v>-0.13500000000000001</v>
      </c>
      <c r="AI78">
        <v>-9.1999999999999998E-2</v>
      </c>
    </row>
    <row r="79" spans="1:35" x14ac:dyDescent="0.25">
      <c r="A79" t="s">
        <v>1931</v>
      </c>
      <c r="B79" t="s">
        <v>32</v>
      </c>
      <c r="C79" s="25">
        <v>43705.521817129629</v>
      </c>
      <c r="D79" s="741" t="s">
        <v>969</v>
      </c>
      <c r="E79" s="741">
        <f t="array" ref="E79">SUMPRODUCT(IF(AMP5_2[[#This Row],[Dim 1_1]:[T 8]]-$F$4:$AI$4&lt;0,1,0)+IF($F$5:$AI$5-AMP5_2[[#This Row],[Dim 1_1]:[T 8]]&lt;0,1,0),IF(ISNUMBER(AMP5_2[[#This Row],[Dim 1_1]:[T 8]])=TRUE,1,0))</f>
        <v>1</v>
      </c>
      <c r="F79">
        <v>40.950000000000003</v>
      </c>
      <c r="G79">
        <v>40.707000000000001</v>
      </c>
      <c r="H79">
        <v>155.86500000000001</v>
      </c>
      <c r="I79">
        <v>155.72399999999999</v>
      </c>
      <c r="L79">
        <v>155.959</v>
      </c>
      <c r="M79">
        <v>155.56</v>
      </c>
      <c r="N79">
        <v>27.204999999999998</v>
      </c>
      <c r="O79">
        <v>27.501000000000001</v>
      </c>
      <c r="R79">
        <v>17.196999999999999</v>
      </c>
      <c r="S79">
        <v>17.172999999999998</v>
      </c>
      <c r="T79">
        <v>33.395000000000003</v>
      </c>
      <c r="U79">
        <v>33.814</v>
      </c>
      <c r="W79">
        <v>2.9000000000000001E-2</v>
      </c>
      <c r="X79">
        <v>-7.2999999999999995E-2</v>
      </c>
      <c r="Z79">
        <v>2.5000000000000001E-2</v>
      </c>
      <c r="AA79">
        <v>-9.4E-2</v>
      </c>
      <c r="AB79">
        <v>-7.2999999999999995E-2</v>
      </c>
      <c r="AC79">
        <v>-2.8000000000000001E-2</v>
      </c>
      <c r="AD79">
        <v>2.9000000000000001E-2</v>
      </c>
      <c r="AE79">
        <v>-1.7000000000000001E-2</v>
      </c>
      <c r="AF79">
        <v>-8.9999999999999993E-3</v>
      </c>
      <c r="AG79">
        <v>-9.4E-2</v>
      </c>
      <c r="AH79">
        <v>-2.1999999999999999E-2</v>
      </c>
      <c r="AI79">
        <v>2.5000000000000001E-2</v>
      </c>
    </row>
    <row r="80" spans="1:35" x14ac:dyDescent="0.25">
      <c r="A80" t="s">
        <v>1932</v>
      </c>
      <c r="B80" t="s">
        <v>31</v>
      </c>
      <c r="C80" s="25">
        <v>43705.524699074071</v>
      </c>
      <c r="D80" s="741" t="s">
        <v>969</v>
      </c>
      <c r="E80" s="741">
        <f t="array" ref="E80">SUMPRODUCT(IF(AMP5_2[[#This Row],[Dim 1_1]:[T 8]]-$F$4:$AI$4&lt;0,1,0)+IF($F$5:$AI$5-AMP5_2[[#This Row],[Dim 1_1]:[T 8]]&lt;0,1,0),IF(ISNUMBER(AMP5_2[[#This Row],[Dim 1_1]:[T 8]])=TRUE,1,0))</f>
        <v>0</v>
      </c>
      <c r="H80">
        <v>156</v>
      </c>
      <c r="I80">
        <v>156.13499999999999</v>
      </c>
      <c r="J80">
        <v>168.57599999999999</v>
      </c>
      <c r="K80">
        <v>168.273</v>
      </c>
      <c r="L80">
        <v>156.16200000000001</v>
      </c>
      <c r="M80">
        <v>156.1</v>
      </c>
      <c r="N80">
        <v>27.027000000000001</v>
      </c>
      <c r="O80">
        <v>27.097999999999999</v>
      </c>
      <c r="R80">
        <v>17.248999999999999</v>
      </c>
      <c r="S80">
        <v>17.207000000000001</v>
      </c>
      <c r="T80">
        <v>37.139000000000003</v>
      </c>
      <c r="U80">
        <v>38.063000000000002</v>
      </c>
      <c r="W80">
        <v>-9.6000000000000002E-2</v>
      </c>
      <c r="X80">
        <v>-0.311</v>
      </c>
      <c r="Z80">
        <v>0.02</v>
      </c>
      <c r="AA80">
        <v>-0.15</v>
      </c>
      <c r="AB80">
        <v>-0.20100000000000001</v>
      </c>
      <c r="AC80">
        <v>-9.6000000000000002E-2</v>
      </c>
      <c r="AD80">
        <v>-0.248</v>
      </c>
      <c r="AE80">
        <v>-0.311</v>
      </c>
      <c r="AF80">
        <v>0.02</v>
      </c>
      <c r="AG80">
        <v>-0.05</v>
      </c>
      <c r="AH80">
        <v>-0.15</v>
      </c>
      <c r="AI80">
        <v>-4.2000000000000003E-2</v>
      </c>
    </row>
    <row r="81" spans="1:35" x14ac:dyDescent="0.25">
      <c r="A81" t="s">
        <v>1933</v>
      </c>
      <c r="B81" t="s">
        <v>32</v>
      </c>
      <c r="C81" s="25">
        <v>43705.630810185183</v>
      </c>
      <c r="D81" s="741" t="s">
        <v>969</v>
      </c>
      <c r="E81" s="741">
        <f t="array" ref="E81">SUMPRODUCT(IF(AMP5_2[[#This Row],[Dim 1_1]:[T 8]]-$F$4:$AI$4&lt;0,1,0)+IF($F$5:$AI$5-AMP5_2[[#This Row],[Dim 1_1]:[T 8]]&lt;0,1,0),IF(ISNUMBER(AMP5_2[[#This Row],[Dim 1_1]:[T 8]])=TRUE,1,0))</f>
        <v>0</v>
      </c>
      <c r="F81">
        <v>41.024999999999999</v>
      </c>
      <c r="G81">
        <v>40.805</v>
      </c>
      <c r="H81">
        <v>155.77099999999999</v>
      </c>
      <c r="I81">
        <v>155.679</v>
      </c>
      <c r="L81">
        <v>155.96299999999999</v>
      </c>
      <c r="M81">
        <v>155.50299999999999</v>
      </c>
      <c r="N81">
        <v>27.222999999999999</v>
      </c>
      <c r="O81">
        <v>27.513999999999999</v>
      </c>
      <c r="R81">
        <v>17.186</v>
      </c>
      <c r="S81">
        <v>17.004000000000001</v>
      </c>
      <c r="T81">
        <v>33.328000000000003</v>
      </c>
      <c r="U81">
        <v>33.906999999999996</v>
      </c>
      <c r="W81">
        <v>0.1</v>
      </c>
      <c r="X81">
        <v>-0.13200000000000001</v>
      </c>
      <c r="Z81">
        <v>0.254</v>
      </c>
      <c r="AA81">
        <v>-1.2999999999999999E-2</v>
      </c>
      <c r="AB81">
        <v>-0.13200000000000001</v>
      </c>
      <c r="AC81">
        <v>-0.10199999999999999</v>
      </c>
      <c r="AD81">
        <v>8.5999999999999993E-2</v>
      </c>
      <c r="AE81">
        <v>0.1</v>
      </c>
      <c r="AF81">
        <v>4.2999999999999997E-2</v>
      </c>
      <c r="AG81">
        <v>-1.2999999999999999E-2</v>
      </c>
      <c r="AH81">
        <v>0.19400000000000001</v>
      </c>
      <c r="AI81">
        <v>0.254</v>
      </c>
    </row>
    <row r="82" spans="1:35" x14ac:dyDescent="0.25">
      <c r="A82" t="s">
        <v>1934</v>
      </c>
      <c r="B82" t="s">
        <v>31</v>
      </c>
      <c r="C82" s="25">
        <v>43705.632893518516</v>
      </c>
      <c r="D82" s="741" t="s">
        <v>969</v>
      </c>
      <c r="E82" s="741">
        <f t="array" ref="E82">SUMPRODUCT(IF(AMP5_2[[#This Row],[Dim 1_1]:[T 8]]-$F$4:$AI$4&lt;0,1,0)+IF($F$5:$AI$5-AMP5_2[[#This Row],[Dim 1_1]:[T 8]]&lt;0,1,0),IF(ISNUMBER(AMP5_2[[#This Row],[Dim 1_1]:[T 8]])=TRUE,1,0))</f>
        <v>0</v>
      </c>
      <c r="H82">
        <v>156.00399999999999</v>
      </c>
      <c r="I82">
        <v>156.126</v>
      </c>
      <c r="J82">
        <v>168.65299999999999</v>
      </c>
      <c r="K82">
        <v>168.36199999999999</v>
      </c>
      <c r="L82">
        <v>156.13</v>
      </c>
      <c r="M82">
        <v>156.05699999999999</v>
      </c>
      <c r="N82">
        <v>27.050999999999998</v>
      </c>
      <c r="O82">
        <v>27.1</v>
      </c>
      <c r="R82">
        <v>17.373000000000001</v>
      </c>
      <c r="S82">
        <v>17.253</v>
      </c>
      <c r="T82">
        <v>36.634</v>
      </c>
      <c r="U82">
        <v>37.354999999999997</v>
      </c>
      <c r="W82">
        <v>-0.104</v>
      </c>
      <c r="X82">
        <v>-0.29199999999999998</v>
      </c>
      <c r="Z82">
        <v>-8.4000000000000005E-2</v>
      </c>
      <c r="AA82">
        <v>-0.224</v>
      </c>
      <c r="AB82">
        <v>-0.19700000000000001</v>
      </c>
      <c r="AC82">
        <v>-0.104</v>
      </c>
      <c r="AD82">
        <v>-0.20799999999999999</v>
      </c>
      <c r="AE82">
        <v>-0.29199999999999998</v>
      </c>
      <c r="AF82">
        <v>-0.152</v>
      </c>
      <c r="AG82">
        <v>-0.224</v>
      </c>
      <c r="AH82">
        <v>-0.158</v>
      </c>
      <c r="AI82">
        <v>-8.4000000000000005E-2</v>
      </c>
    </row>
    <row r="83" spans="1:35" x14ac:dyDescent="0.25">
      <c r="A83" t="s">
        <v>1935</v>
      </c>
      <c r="B83" t="s">
        <v>32</v>
      </c>
      <c r="C83" s="25">
        <v>43705.720231481479</v>
      </c>
      <c r="D83" s="741" t="s">
        <v>969</v>
      </c>
      <c r="E83" s="741">
        <f t="array" ref="E83">SUMPRODUCT(IF(AMP5_2[[#This Row],[Dim 1_1]:[T 8]]-$F$4:$AI$4&lt;0,1,0)+IF($F$5:$AI$5-AMP5_2[[#This Row],[Dim 1_1]:[T 8]]&lt;0,1,0),IF(ISNUMBER(AMP5_2[[#This Row],[Dim 1_1]:[T 8]])=TRUE,1,0))</f>
        <v>0</v>
      </c>
      <c r="F83">
        <v>40.991</v>
      </c>
      <c r="G83">
        <v>40.808999999999997</v>
      </c>
      <c r="H83">
        <v>155.86000000000001</v>
      </c>
      <c r="I83">
        <v>155.75200000000001</v>
      </c>
      <c r="L83">
        <v>155.97</v>
      </c>
      <c r="M83">
        <v>155.57499999999999</v>
      </c>
      <c r="N83">
        <v>27.193999999999999</v>
      </c>
      <c r="O83">
        <v>27.452999999999999</v>
      </c>
      <c r="R83">
        <v>17.207999999999998</v>
      </c>
      <c r="S83">
        <v>17.245999999999999</v>
      </c>
      <c r="T83">
        <v>33.283999999999999</v>
      </c>
      <c r="U83">
        <v>33.573</v>
      </c>
      <c r="W83">
        <v>7.4999999999999997E-2</v>
      </c>
      <c r="X83">
        <v>-7.0000000000000001E-3</v>
      </c>
      <c r="Z83">
        <v>-0.03</v>
      </c>
      <c r="AA83">
        <v>-8.4000000000000005E-2</v>
      </c>
      <c r="AB83">
        <v>-7.0000000000000001E-3</v>
      </c>
      <c r="AC83">
        <v>0.03</v>
      </c>
      <c r="AD83">
        <v>6.5000000000000002E-2</v>
      </c>
      <c r="AE83">
        <v>7.4999999999999997E-2</v>
      </c>
      <c r="AF83">
        <v>-0.03</v>
      </c>
      <c r="AG83">
        <v>-8.4000000000000005E-2</v>
      </c>
      <c r="AH83">
        <v>-8.2000000000000003E-2</v>
      </c>
      <c r="AI83">
        <v>-4.4999999999999998E-2</v>
      </c>
    </row>
    <row r="84" spans="1:35" x14ac:dyDescent="0.25">
      <c r="A84" t="s">
        <v>1936</v>
      </c>
      <c r="B84" t="s">
        <v>31</v>
      </c>
      <c r="C84" s="25">
        <v>43705.721747685187</v>
      </c>
      <c r="D84" s="741" t="s">
        <v>969</v>
      </c>
      <c r="E84" s="741">
        <f t="array" ref="E84">SUMPRODUCT(IF(AMP5_2[[#This Row],[Dim 1_1]:[T 8]]-$F$4:$AI$4&lt;0,1,0)+IF($F$5:$AI$5-AMP5_2[[#This Row],[Dim 1_1]:[T 8]]&lt;0,1,0),IF(ISNUMBER(AMP5_2[[#This Row],[Dim 1_1]:[T 8]])=TRUE,1,0))</f>
        <v>0</v>
      </c>
      <c r="H84">
        <v>156.04599999999999</v>
      </c>
      <c r="I84">
        <v>156.18700000000001</v>
      </c>
      <c r="J84">
        <v>168.72300000000001</v>
      </c>
      <c r="K84">
        <v>168.381</v>
      </c>
      <c r="L84">
        <v>156.268</v>
      </c>
      <c r="M84">
        <v>156.203</v>
      </c>
      <c r="N84">
        <v>26.949000000000002</v>
      </c>
      <c r="O84">
        <v>27.004000000000001</v>
      </c>
      <c r="R84">
        <v>17.204999999999998</v>
      </c>
      <c r="S84">
        <v>17.143000000000001</v>
      </c>
      <c r="T84">
        <v>37.055</v>
      </c>
      <c r="U84">
        <v>37.493000000000002</v>
      </c>
      <c r="W84">
        <v>-0.18099999999999999</v>
      </c>
      <c r="X84">
        <v>-0.35</v>
      </c>
      <c r="Z84">
        <v>-2.3E-2</v>
      </c>
      <c r="AA84">
        <v>-0.12</v>
      </c>
      <c r="AB84">
        <v>-0.26800000000000002</v>
      </c>
      <c r="AC84">
        <v>-0.18099999999999999</v>
      </c>
      <c r="AD84">
        <v>-0.28199999999999997</v>
      </c>
      <c r="AE84">
        <v>-0.35</v>
      </c>
      <c r="AF84">
        <v>-0.06</v>
      </c>
      <c r="AG84">
        <v>-0.12</v>
      </c>
      <c r="AH84">
        <v>-0.11700000000000001</v>
      </c>
      <c r="AI84">
        <v>-2.3E-2</v>
      </c>
    </row>
    <row r="85" spans="1:35" x14ac:dyDescent="0.25">
      <c r="A85" t="s">
        <v>1937</v>
      </c>
      <c r="B85" t="s">
        <v>32</v>
      </c>
      <c r="C85" s="25">
        <v>43705.823622685188</v>
      </c>
      <c r="D85" s="741" t="s">
        <v>969</v>
      </c>
      <c r="E85" s="741">
        <f t="array" ref="E85">SUMPRODUCT(IF(AMP5_2[[#This Row],[Dim 1_1]:[T 8]]-$F$4:$AI$4&lt;0,1,0)+IF($F$5:$AI$5-AMP5_2[[#This Row],[Dim 1_1]:[T 8]]&lt;0,1,0),IF(ISNUMBER(AMP5_2[[#This Row],[Dim 1_1]:[T 8]])=TRUE,1,0))</f>
        <v>0</v>
      </c>
      <c r="F85">
        <v>41.148000000000003</v>
      </c>
      <c r="G85">
        <v>40.841000000000001</v>
      </c>
      <c r="H85">
        <v>155.88300000000001</v>
      </c>
      <c r="I85">
        <v>155.709</v>
      </c>
      <c r="L85">
        <v>156.006</v>
      </c>
      <c r="M85">
        <v>155.566</v>
      </c>
      <c r="N85">
        <v>27.178999999999998</v>
      </c>
      <c r="O85">
        <v>27.516999999999999</v>
      </c>
      <c r="R85">
        <v>17.192</v>
      </c>
      <c r="S85">
        <v>17.209</v>
      </c>
      <c r="T85">
        <v>33.567999999999998</v>
      </c>
      <c r="U85">
        <v>33.280999999999999</v>
      </c>
      <c r="W85">
        <v>0.107</v>
      </c>
      <c r="X85">
        <v>-2.4E-2</v>
      </c>
      <c r="Z85">
        <v>2.9000000000000001E-2</v>
      </c>
      <c r="AA85">
        <v>-7.2999999999999995E-2</v>
      </c>
      <c r="AB85">
        <v>-2.4E-2</v>
      </c>
      <c r="AC85">
        <v>1.6E-2</v>
      </c>
      <c r="AD85">
        <v>0.10100000000000001</v>
      </c>
      <c r="AE85">
        <v>0.107</v>
      </c>
      <c r="AF85">
        <v>0</v>
      </c>
      <c r="AG85">
        <v>-7.2999999999999995E-2</v>
      </c>
      <c r="AH85">
        <v>2.9000000000000001E-2</v>
      </c>
      <c r="AI85">
        <v>6.0000000000000001E-3</v>
      </c>
    </row>
    <row r="86" spans="1:35" x14ac:dyDescent="0.25">
      <c r="A86" t="s">
        <v>1938</v>
      </c>
      <c r="B86" t="s">
        <v>31</v>
      </c>
      <c r="C86" s="25">
        <v>43705.825127314813</v>
      </c>
      <c r="D86" s="741" t="s">
        <v>969</v>
      </c>
      <c r="E86" s="741">
        <f t="array" ref="E86">SUMPRODUCT(IF(AMP5_2[[#This Row],[Dim 1_1]:[T 8]]-$F$4:$AI$4&lt;0,1,0)+IF($F$5:$AI$5-AMP5_2[[#This Row],[Dim 1_1]:[T 8]]&lt;0,1,0),IF(ISNUMBER(AMP5_2[[#This Row],[Dim 1_1]:[T 8]])=TRUE,1,0))</f>
        <v>0</v>
      </c>
      <c r="H86">
        <v>156.05500000000001</v>
      </c>
      <c r="I86">
        <v>156.22300000000001</v>
      </c>
      <c r="J86">
        <v>168.887</v>
      </c>
      <c r="K86">
        <v>168.518</v>
      </c>
      <c r="L86">
        <v>156.268</v>
      </c>
      <c r="M86">
        <v>156.23500000000001</v>
      </c>
      <c r="N86">
        <v>26.94</v>
      </c>
      <c r="O86">
        <v>27</v>
      </c>
      <c r="R86">
        <v>17.274000000000001</v>
      </c>
      <c r="S86">
        <v>17.172000000000001</v>
      </c>
      <c r="T86">
        <v>37.545000000000002</v>
      </c>
      <c r="U86">
        <v>38.146999999999998</v>
      </c>
      <c r="W86">
        <v>-0.17</v>
      </c>
      <c r="X86">
        <v>-0.314</v>
      </c>
      <c r="Z86">
        <v>2.1999999999999999E-2</v>
      </c>
      <c r="AA86">
        <v>-0.13700000000000001</v>
      </c>
      <c r="AB86">
        <v>-0.26300000000000001</v>
      </c>
      <c r="AC86">
        <v>-0.17</v>
      </c>
      <c r="AD86">
        <v>-0.219</v>
      </c>
      <c r="AE86">
        <v>-0.314</v>
      </c>
      <c r="AF86">
        <v>-7.0000000000000007E-2</v>
      </c>
      <c r="AG86">
        <v>-0.13700000000000001</v>
      </c>
      <c r="AH86">
        <v>-0.12</v>
      </c>
      <c r="AI86">
        <v>2.1999999999999999E-2</v>
      </c>
    </row>
    <row r="87" spans="1:35" x14ac:dyDescent="0.25">
      <c r="A87" t="s">
        <v>1939</v>
      </c>
      <c r="B87" t="s">
        <v>32</v>
      </c>
      <c r="C87" s="25">
        <v>43705.960173611114</v>
      </c>
      <c r="D87" s="741" t="s">
        <v>969</v>
      </c>
      <c r="E87" s="741">
        <f t="array" ref="E87">SUMPRODUCT(IF(AMP5_2[[#This Row],[Dim 1_1]:[T 8]]-$F$4:$AI$4&lt;0,1,0)+IF($F$5:$AI$5-AMP5_2[[#This Row],[Dim 1_1]:[T 8]]&lt;0,1,0),IF(ISNUMBER(AMP5_2[[#This Row],[Dim 1_1]:[T 8]])=TRUE,1,0))</f>
        <v>1</v>
      </c>
      <c r="F87">
        <v>41.067999999999998</v>
      </c>
      <c r="G87">
        <v>40.750999999999998</v>
      </c>
      <c r="H87">
        <v>155.93199999999999</v>
      </c>
      <c r="I87">
        <v>155.80099999999999</v>
      </c>
      <c r="L87">
        <v>156.011</v>
      </c>
      <c r="M87">
        <v>155.643</v>
      </c>
      <c r="N87">
        <v>27.161999999999999</v>
      </c>
      <c r="O87">
        <v>27.437999999999999</v>
      </c>
      <c r="R87">
        <v>17.225999999999999</v>
      </c>
      <c r="S87">
        <v>17.178000000000001</v>
      </c>
      <c r="T87">
        <v>33.192</v>
      </c>
      <c r="U87">
        <v>33.572000000000003</v>
      </c>
      <c r="W87">
        <v>0.20300000000000001</v>
      </c>
      <c r="X87">
        <v>-3.9E-2</v>
      </c>
      <c r="Z87">
        <v>2.1999999999999999E-2</v>
      </c>
      <c r="AA87">
        <v>-0.20200000000000001</v>
      </c>
      <c r="AB87">
        <v>-3.9E-2</v>
      </c>
      <c r="AC87">
        <v>-7.0000000000000001E-3</v>
      </c>
      <c r="AD87">
        <v>0.20300000000000001</v>
      </c>
      <c r="AE87">
        <v>0.17699999999999999</v>
      </c>
      <c r="AF87">
        <v>-0.12</v>
      </c>
      <c r="AG87">
        <v>-0.20200000000000001</v>
      </c>
      <c r="AH87">
        <v>2.1999999999999999E-2</v>
      </c>
      <c r="AI87">
        <v>-5.3999999999999999E-2</v>
      </c>
    </row>
    <row r="88" spans="1:35" x14ac:dyDescent="0.25">
      <c r="A88" t="s">
        <v>1940</v>
      </c>
      <c r="B88" t="s">
        <v>31</v>
      </c>
      <c r="C88" s="25">
        <v>43705.962511574071</v>
      </c>
      <c r="D88" s="741" t="s">
        <v>969</v>
      </c>
      <c r="E88" s="741">
        <f t="array" ref="E88">SUMPRODUCT(IF(AMP5_2[[#This Row],[Dim 1_1]:[T 8]]-$F$4:$AI$4&lt;0,1,0)+IF($F$5:$AI$5-AMP5_2[[#This Row],[Dim 1_1]:[T 8]]&lt;0,1,0),IF(ISNUMBER(AMP5_2[[#This Row],[Dim 1_1]:[T 8]])=TRUE,1,0))</f>
        <v>0</v>
      </c>
      <c r="H88">
        <v>156.07900000000001</v>
      </c>
      <c r="I88">
        <v>156.22300000000001</v>
      </c>
      <c r="J88">
        <v>168.791</v>
      </c>
      <c r="K88">
        <v>168.49100000000001</v>
      </c>
      <c r="L88">
        <v>156.27000000000001</v>
      </c>
      <c r="M88">
        <v>156.20500000000001</v>
      </c>
      <c r="N88">
        <v>26.913</v>
      </c>
      <c r="O88">
        <v>27.004999999999999</v>
      </c>
      <c r="R88">
        <v>17.25</v>
      </c>
      <c r="S88">
        <v>17.170000000000002</v>
      </c>
      <c r="T88">
        <v>38.762</v>
      </c>
      <c r="U88">
        <v>39.823</v>
      </c>
      <c r="W88">
        <v>-0.26500000000000001</v>
      </c>
      <c r="X88">
        <v>-0.378</v>
      </c>
      <c r="Z88">
        <v>-0.06</v>
      </c>
      <c r="AA88">
        <v>-0.252</v>
      </c>
      <c r="AB88">
        <v>-0.35399999999999998</v>
      </c>
      <c r="AC88">
        <v>-0.26500000000000001</v>
      </c>
      <c r="AD88">
        <v>-0.28000000000000003</v>
      </c>
      <c r="AE88">
        <v>-0.378</v>
      </c>
      <c r="AF88">
        <v>-0.184</v>
      </c>
      <c r="AG88">
        <v>-0.252</v>
      </c>
      <c r="AH88">
        <v>-0.188</v>
      </c>
      <c r="AI88">
        <v>-0.06</v>
      </c>
    </row>
    <row r="89" spans="1:35" x14ac:dyDescent="0.25">
      <c r="A89" t="s">
        <v>1941</v>
      </c>
      <c r="B89" t="s">
        <v>32</v>
      </c>
      <c r="C89" s="25">
        <v>43705.998807870368</v>
      </c>
      <c r="D89" s="741" t="s">
        <v>969</v>
      </c>
      <c r="E89" s="741">
        <f t="array" ref="E89">SUMPRODUCT(IF(AMP5_2[[#This Row],[Dim 1_1]:[T 8]]-$F$4:$AI$4&lt;0,1,0)+IF($F$5:$AI$5-AMP5_2[[#This Row],[Dim 1_1]:[T 8]]&lt;0,1,0),IF(ISNUMBER(AMP5_2[[#This Row],[Dim 1_1]:[T 8]])=TRUE,1,0))</f>
        <v>1</v>
      </c>
      <c r="F89">
        <v>41.186999999999998</v>
      </c>
      <c r="G89">
        <v>40.792999999999999</v>
      </c>
      <c r="H89">
        <v>155.68199999999999</v>
      </c>
      <c r="I89">
        <v>155.601</v>
      </c>
      <c r="L89">
        <v>155.76300000000001</v>
      </c>
      <c r="M89">
        <v>155.41200000000001</v>
      </c>
      <c r="N89">
        <v>27.372</v>
      </c>
      <c r="O89">
        <v>27.632999999999999</v>
      </c>
      <c r="R89">
        <v>17.248999999999999</v>
      </c>
      <c r="S89">
        <v>17.28</v>
      </c>
      <c r="T89">
        <v>33.473999999999997</v>
      </c>
      <c r="U89">
        <v>33.712000000000003</v>
      </c>
      <c r="W89">
        <v>0.20100000000000001</v>
      </c>
      <c r="X89">
        <v>0.10299999999999999</v>
      </c>
      <c r="Z89">
        <v>0.11</v>
      </c>
      <c r="AA89">
        <v>4.7E-2</v>
      </c>
      <c r="AB89">
        <v>0.14599999999999999</v>
      </c>
      <c r="AC89">
        <v>0.16400000000000001</v>
      </c>
      <c r="AD89">
        <v>0.20100000000000001</v>
      </c>
      <c r="AE89">
        <v>0.10299999999999999</v>
      </c>
      <c r="AF89">
        <v>0.08</v>
      </c>
      <c r="AG89">
        <v>4.7E-2</v>
      </c>
      <c r="AH89">
        <v>0.107</v>
      </c>
      <c r="AI89">
        <v>0.11</v>
      </c>
    </row>
    <row r="90" spans="1:35" x14ac:dyDescent="0.25">
      <c r="A90" t="s">
        <v>1942</v>
      </c>
      <c r="B90" t="s">
        <v>31</v>
      </c>
      <c r="C90" s="25">
        <v>43706.000798611109</v>
      </c>
      <c r="D90" s="741" t="s">
        <v>969</v>
      </c>
      <c r="E90" s="741">
        <f t="array" ref="E90">SUMPRODUCT(IF(AMP5_2[[#This Row],[Dim 1_1]:[T 8]]-$F$4:$AI$4&lt;0,1,0)+IF($F$5:$AI$5-AMP5_2[[#This Row],[Dim 1_1]:[T 8]]&lt;0,1,0),IF(ISNUMBER(AMP5_2[[#This Row],[Dim 1_1]:[T 8]])=TRUE,1,0))</f>
        <v>0</v>
      </c>
      <c r="H90">
        <v>155.91800000000001</v>
      </c>
      <c r="I90">
        <v>156.017</v>
      </c>
      <c r="J90">
        <v>168.74</v>
      </c>
      <c r="K90">
        <v>168.34100000000001</v>
      </c>
      <c r="L90">
        <v>156.065</v>
      </c>
      <c r="M90">
        <v>156.00399999999999</v>
      </c>
      <c r="N90">
        <v>27.129000000000001</v>
      </c>
      <c r="O90">
        <v>27.207999999999998</v>
      </c>
      <c r="R90">
        <v>17.216999999999999</v>
      </c>
      <c r="S90">
        <v>17.068000000000001</v>
      </c>
      <c r="T90">
        <v>38.365000000000002</v>
      </c>
      <c r="U90">
        <v>39.932000000000002</v>
      </c>
      <c r="W90">
        <v>-7.2999999999999995E-2</v>
      </c>
      <c r="X90">
        <v>-0.14499999999999999</v>
      </c>
      <c r="Z90">
        <v>0.191</v>
      </c>
      <c r="AA90">
        <v>8.4000000000000005E-2</v>
      </c>
      <c r="AB90">
        <v>-0.14499999999999999</v>
      </c>
      <c r="AC90">
        <v>-9.6000000000000002E-2</v>
      </c>
      <c r="AD90">
        <v>-7.2999999999999995E-2</v>
      </c>
      <c r="AE90">
        <v>-0.13100000000000001</v>
      </c>
      <c r="AF90">
        <v>0.122</v>
      </c>
      <c r="AG90">
        <v>8.4000000000000005E-2</v>
      </c>
      <c r="AH90">
        <v>8.8999999999999996E-2</v>
      </c>
      <c r="AI90">
        <v>0.191</v>
      </c>
    </row>
    <row r="91" spans="1:35" x14ac:dyDescent="0.25">
      <c r="A91" t="s">
        <v>1943</v>
      </c>
      <c r="B91" t="s">
        <v>32</v>
      </c>
      <c r="C91" s="25">
        <v>43706.056354166663</v>
      </c>
      <c r="D91" s="741" t="s">
        <v>969</v>
      </c>
      <c r="E91" s="741">
        <f t="array" ref="E91">SUMPRODUCT(IF(AMP5_2[[#This Row],[Dim 1_1]:[T 8]]-$F$4:$AI$4&lt;0,1,0)+IF($F$5:$AI$5-AMP5_2[[#This Row],[Dim 1_1]:[T 8]]&lt;0,1,0),IF(ISNUMBER(AMP5_2[[#This Row],[Dim 1_1]:[T 8]])=TRUE,1,0))</f>
        <v>0</v>
      </c>
      <c r="F91">
        <v>41.389000000000003</v>
      </c>
      <c r="G91">
        <v>41.332999999999998</v>
      </c>
      <c r="H91">
        <v>155.82</v>
      </c>
      <c r="I91">
        <v>155.74100000000001</v>
      </c>
      <c r="L91">
        <v>155.91300000000001</v>
      </c>
      <c r="M91">
        <v>155.60900000000001</v>
      </c>
      <c r="N91">
        <v>27.305</v>
      </c>
      <c r="O91">
        <v>27.498999999999999</v>
      </c>
      <c r="R91">
        <v>17.207999999999998</v>
      </c>
      <c r="S91">
        <v>17.312999999999999</v>
      </c>
      <c r="T91">
        <v>33.313000000000002</v>
      </c>
      <c r="U91">
        <v>33.527000000000001</v>
      </c>
      <c r="W91">
        <v>5.6000000000000001E-2</v>
      </c>
      <c r="X91">
        <v>-1.6E-2</v>
      </c>
      <c r="Z91">
        <v>4.7E-2</v>
      </c>
      <c r="AA91">
        <v>-4.8000000000000001E-2</v>
      </c>
      <c r="AB91">
        <v>4.2000000000000003E-2</v>
      </c>
      <c r="AC91">
        <v>5.6000000000000001E-2</v>
      </c>
      <c r="AD91">
        <v>5.5E-2</v>
      </c>
      <c r="AE91">
        <v>-1.6E-2</v>
      </c>
      <c r="AF91">
        <v>4.7E-2</v>
      </c>
      <c r="AG91">
        <v>-8.9999999999999993E-3</v>
      </c>
      <c r="AH91">
        <v>-4.8000000000000001E-2</v>
      </c>
      <c r="AI91">
        <v>-1.7000000000000001E-2</v>
      </c>
    </row>
    <row r="92" spans="1:35" x14ac:dyDescent="0.25">
      <c r="A92" t="s">
        <v>1944</v>
      </c>
      <c r="B92" t="s">
        <v>31</v>
      </c>
      <c r="C92" s="25">
        <v>43706.057905092595</v>
      </c>
      <c r="D92" s="741" t="s">
        <v>969</v>
      </c>
      <c r="E92" s="741">
        <f t="array" ref="E92">SUMPRODUCT(IF(AMP5_2[[#This Row],[Dim 1_1]:[T 8]]-$F$4:$AI$4&lt;0,1,0)+IF($F$5:$AI$5-AMP5_2[[#This Row],[Dim 1_1]:[T 8]]&lt;0,1,0),IF(ISNUMBER(AMP5_2[[#This Row],[Dim 1_1]:[T 8]])=TRUE,1,0))</f>
        <v>0</v>
      </c>
      <c r="H92">
        <v>156.06</v>
      </c>
      <c r="I92">
        <v>156.07400000000001</v>
      </c>
      <c r="J92">
        <v>169.25299999999999</v>
      </c>
      <c r="K92">
        <v>169.15100000000001</v>
      </c>
      <c r="L92">
        <v>156.19300000000001</v>
      </c>
      <c r="M92">
        <v>156.05699999999999</v>
      </c>
      <c r="N92">
        <v>26.995999999999999</v>
      </c>
      <c r="O92">
        <v>27.152000000000001</v>
      </c>
      <c r="R92">
        <v>17.222000000000001</v>
      </c>
      <c r="S92">
        <v>17.096</v>
      </c>
      <c r="T92">
        <v>34.898000000000003</v>
      </c>
      <c r="U92">
        <v>37.372</v>
      </c>
      <c r="W92">
        <v>-0.13500000000000001</v>
      </c>
      <c r="X92">
        <v>-0.23400000000000001</v>
      </c>
      <c r="Z92">
        <v>0.06</v>
      </c>
      <c r="AA92">
        <v>-5.2999999999999999E-2</v>
      </c>
      <c r="AB92">
        <v>-0.23400000000000001</v>
      </c>
      <c r="AC92">
        <v>-0.191</v>
      </c>
      <c r="AD92">
        <v>-0.154</v>
      </c>
      <c r="AE92">
        <v>-0.13500000000000001</v>
      </c>
      <c r="AF92">
        <v>6.0000000000000001E-3</v>
      </c>
      <c r="AG92">
        <v>-4.3999999999999997E-2</v>
      </c>
      <c r="AH92">
        <v>-5.2999999999999999E-2</v>
      </c>
      <c r="AI92">
        <v>0.06</v>
      </c>
    </row>
    <row r="93" spans="1:35" x14ac:dyDescent="0.25">
      <c r="A93" t="s">
        <v>2220</v>
      </c>
      <c r="B93" t="s">
        <v>32</v>
      </c>
      <c r="C93" s="25">
        <v>43706.358043981483</v>
      </c>
      <c r="D93" s="741" t="s">
        <v>969</v>
      </c>
      <c r="E93" s="741">
        <f t="array" ref="E93">SUMPRODUCT(IF(AMP5_2[[#This Row],[Dim 1_1]:[T 8]]-$F$4:$AI$4&lt;0,1,0)+IF($F$5:$AI$5-AMP5_2[[#This Row],[Dim 1_1]:[T 8]]&lt;0,1,0),IF(ISNUMBER(AMP5_2[[#This Row],[Dim 1_1]:[T 8]])=TRUE,1,0))</f>
        <v>0</v>
      </c>
      <c r="F93">
        <v>41.094999999999999</v>
      </c>
      <c r="G93">
        <v>41.058999999999997</v>
      </c>
      <c r="H93">
        <v>155.69300000000001</v>
      </c>
      <c r="I93">
        <v>155.666</v>
      </c>
      <c r="L93">
        <v>155.80099999999999</v>
      </c>
      <c r="M93">
        <v>155.53399999999999</v>
      </c>
      <c r="N93">
        <v>27.379000000000001</v>
      </c>
      <c r="O93">
        <v>27.541</v>
      </c>
      <c r="R93">
        <v>17.260999999999999</v>
      </c>
      <c r="S93">
        <v>17.542000000000002</v>
      </c>
      <c r="T93">
        <v>33.518000000000001</v>
      </c>
      <c r="U93">
        <v>33.786000000000001</v>
      </c>
      <c r="W93">
        <v>0.11799999999999999</v>
      </c>
      <c r="X93">
        <v>-0.158</v>
      </c>
      <c r="Z93">
        <v>0.1</v>
      </c>
      <c r="AA93">
        <v>-0.13700000000000001</v>
      </c>
      <c r="AB93">
        <v>0.09</v>
      </c>
      <c r="AC93">
        <v>0.11799999999999999</v>
      </c>
      <c r="AD93">
        <v>-5.8000000000000003E-2</v>
      </c>
      <c r="AE93">
        <v>-0.158</v>
      </c>
      <c r="AF93">
        <v>0.1</v>
      </c>
      <c r="AG93">
        <v>6.5000000000000002E-2</v>
      </c>
      <c r="AH93">
        <v>-0.13700000000000001</v>
      </c>
      <c r="AI93">
        <v>-4.0000000000000001E-3</v>
      </c>
    </row>
    <row r="94" spans="1:35" x14ac:dyDescent="0.25">
      <c r="A94" t="s">
        <v>2221</v>
      </c>
      <c r="B94" t="s">
        <v>31</v>
      </c>
      <c r="C94" s="25">
        <v>43706.360127314816</v>
      </c>
      <c r="D94" s="741" t="s">
        <v>969</v>
      </c>
      <c r="E94" s="741">
        <f t="array" ref="E94">SUMPRODUCT(IF(AMP5_2[[#This Row],[Dim 1_1]:[T 8]]-$F$4:$AI$4&lt;0,1,0)+IF($F$5:$AI$5-AMP5_2[[#This Row],[Dim 1_1]:[T 8]]&lt;0,1,0),IF(ISNUMBER(AMP5_2[[#This Row],[Dim 1_1]:[T 8]])=TRUE,1,0))</f>
        <v>0</v>
      </c>
      <c r="H94">
        <v>155.88</v>
      </c>
      <c r="I94">
        <v>155.946</v>
      </c>
      <c r="J94">
        <v>168.542</v>
      </c>
      <c r="K94">
        <v>168.405</v>
      </c>
      <c r="L94">
        <v>155.989</v>
      </c>
      <c r="M94">
        <v>155.78399999999999</v>
      </c>
      <c r="N94">
        <v>27.192</v>
      </c>
      <c r="O94">
        <v>27.41</v>
      </c>
      <c r="R94">
        <v>17.225999999999999</v>
      </c>
      <c r="S94">
        <v>17.114999999999998</v>
      </c>
      <c r="T94">
        <v>39.006999999999998</v>
      </c>
      <c r="U94">
        <v>39.173000000000002</v>
      </c>
      <c r="W94">
        <v>8.9999999999999993E-3</v>
      </c>
      <c r="X94">
        <v>-3.7999999999999999E-2</v>
      </c>
      <c r="Z94">
        <v>0.123</v>
      </c>
      <c r="AA94">
        <v>-0.13200000000000001</v>
      </c>
      <c r="AB94">
        <v>-3.7999999999999999E-2</v>
      </c>
      <c r="AC94">
        <v>8.9999999999999993E-3</v>
      </c>
      <c r="AD94">
        <v>2E-3</v>
      </c>
      <c r="AE94">
        <v>7.0000000000000001E-3</v>
      </c>
      <c r="AF94">
        <v>6.8000000000000005E-2</v>
      </c>
      <c r="AG94">
        <v>1.4E-2</v>
      </c>
      <c r="AH94">
        <v>-0.13200000000000001</v>
      </c>
      <c r="AI94">
        <v>0.123</v>
      </c>
    </row>
    <row r="95" spans="1:35" x14ac:dyDescent="0.25">
      <c r="A95" t="s">
        <v>2222</v>
      </c>
      <c r="B95" t="s">
        <v>32</v>
      </c>
      <c r="C95" s="25">
        <v>43706.466782407406</v>
      </c>
      <c r="D95" s="741" t="s">
        <v>969</v>
      </c>
      <c r="E95" s="741">
        <f t="array" ref="E95">SUMPRODUCT(IF(AMP5_2[[#This Row],[Dim 1_1]:[T 8]]-$F$4:$AI$4&lt;0,1,0)+IF($F$5:$AI$5-AMP5_2[[#This Row],[Dim 1_1]:[T 8]]&lt;0,1,0),IF(ISNUMBER(AMP5_2[[#This Row],[Dim 1_1]:[T 8]])=TRUE,1,0))</f>
        <v>0</v>
      </c>
      <c r="F95">
        <v>41.274000000000001</v>
      </c>
      <c r="G95">
        <v>41.259</v>
      </c>
      <c r="H95">
        <v>155.71100000000001</v>
      </c>
      <c r="I95">
        <v>155.68299999999999</v>
      </c>
      <c r="L95">
        <v>155.815</v>
      </c>
      <c r="M95">
        <v>155.571</v>
      </c>
      <c r="N95">
        <v>27.338000000000001</v>
      </c>
      <c r="O95">
        <v>27.489000000000001</v>
      </c>
      <c r="R95">
        <v>17.251999999999999</v>
      </c>
      <c r="S95">
        <v>17.385999999999999</v>
      </c>
      <c r="T95">
        <v>33.49</v>
      </c>
      <c r="U95">
        <v>33.773000000000003</v>
      </c>
      <c r="W95">
        <v>1.6E-2</v>
      </c>
      <c r="X95">
        <v>-0.23400000000000001</v>
      </c>
      <c r="Z95">
        <v>5.8000000000000003E-2</v>
      </c>
      <c r="AA95">
        <v>-6.0000000000000001E-3</v>
      </c>
      <c r="AB95">
        <v>1E-3</v>
      </c>
      <c r="AC95">
        <v>1.6E-2</v>
      </c>
      <c r="AD95">
        <v>-0.08</v>
      </c>
      <c r="AE95">
        <v>-0.23400000000000001</v>
      </c>
      <c r="AF95">
        <v>5.8000000000000003E-2</v>
      </c>
      <c r="AG95">
        <v>-6.0000000000000001E-3</v>
      </c>
      <c r="AH95">
        <v>1.4999999999999999E-2</v>
      </c>
      <c r="AI95">
        <v>1.6E-2</v>
      </c>
    </row>
    <row r="96" spans="1:35" x14ac:dyDescent="0.25">
      <c r="A96" t="s">
        <v>2223</v>
      </c>
      <c r="B96" t="s">
        <v>31</v>
      </c>
      <c r="C96" s="25">
        <v>43706.468888888892</v>
      </c>
      <c r="D96" s="741" t="s">
        <v>969</v>
      </c>
      <c r="E96" s="741">
        <f t="array" ref="E96">SUMPRODUCT(IF(AMP5_2[[#This Row],[Dim 1_1]:[T 8]]-$F$4:$AI$4&lt;0,1,0)+IF($F$5:$AI$5-AMP5_2[[#This Row],[Dim 1_1]:[T 8]]&lt;0,1,0),IF(ISNUMBER(AMP5_2[[#This Row],[Dim 1_1]:[T 8]])=TRUE,1,0))</f>
        <v>0</v>
      </c>
      <c r="H96">
        <v>155.94800000000001</v>
      </c>
      <c r="I96">
        <v>156.01</v>
      </c>
      <c r="J96">
        <v>168.73599999999999</v>
      </c>
      <c r="K96">
        <v>168.75399999999999</v>
      </c>
      <c r="L96">
        <v>156.05000000000001</v>
      </c>
      <c r="M96">
        <v>155.85400000000001</v>
      </c>
      <c r="N96">
        <v>27.170999999999999</v>
      </c>
      <c r="O96">
        <v>27.364999999999998</v>
      </c>
      <c r="R96">
        <v>17.23</v>
      </c>
      <c r="S96">
        <v>17.131</v>
      </c>
      <c r="T96">
        <v>36.656999999999996</v>
      </c>
      <c r="U96">
        <v>37.811</v>
      </c>
      <c r="W96">
        <v>1.4999999999999999E-2</v>
      </c>
      <c r="X96">
        <v>-7.9000000000000001E-2</v>
      </c>
      <c r="Z96">
        <v>0.14699999999999999</v>
      </c>
      <c r="AA96">
        <v>8.9999999999999993E-3</v>
      </c>
      <c r="AB96">
        <v>-7.9000000000000001E-2</v>
      </c>
      <c r="AC96">
        <v>-3.5000000000000003E-2</v>
      </c>
      <c r="AD96">
        <v>1.4999999999999999E-2</v>
      </c>
      <c r="AE96">
        <v>-8.0000000000000002E-3</v>
      </c>
      <c r="AF96">
        <v>5.5E-2</v>
      </c>
      <c r="AG96">
        <v>8.9999999999999993E-3</v>
      </c>
      <c r="AH96">
        <v>7.3999999999999996E-2</v>
      </c>
      <c r="AI96">
        <v>0.14699999999999999</v>
      </c>
    </row>
    <row r="97" spans="1:35" x14ac:dyDescent="0.25">
      <c r="A97" t="s">
        <v>2372</v>
      </c>
      <c r="B97" t="s">
        <v>32</v>
      </c>
      <c r="C97" s="25">
        <v>43706.589432870373</v>
      </c>
      <c r="D97" s="741" t="s">
        <v>2238</v>
      </c>
      <c r="E97" s="741">
        <f t="array" ref="E97">SUMPRODUCT(IF(AMP5_2[[#This Row],[Dim 1_1]:[T 8]]-$F$4:$AI$4&lt;0,1,0)+IF($F$5:$AI$5-AMP5_2[[#This Row],[Dim 1_1]:[T 8]]&lt;0,1,0),IF(ISNUMBER(AMP5_2[[#This Row],[Dim 1_1]:[T 8]])=TRUE,1,0))</f>
        <v>0</v>
      </c>
      <c r="F97">
        <v>41.216999999999999</v>
      </c>
      <c r="G97">
        <v>41.029000000000003</v>
      </c>
      <c r="H97">
        <v>155.69200000000001</v>
      </c>
      <c r="I97">
        <v>155.64599999999999</v>
      </c>
      <c r="L97">
        <v>155.786</v>
      </c>
      <c r="M97">
        <v>155.54400000000001</v>
      </c>
      <c r="N97">
        <v>27.375</v>
      </c>
      <c r="O97">
        <v>27.594000000000001</v>
      </c>
      <c r="R97">
        <v>17.213000000000001</v>
      </c>
      <c r="S97">
        <v>17.353999999999999</v>
      </c>
      <c r="T97">
        <v>33.511000000000003</v>
      </c>
      <c r="U97">
        <v>33.784999999999997</v>
      </c>
      <c r="W97">
        <v>0.114</v>
      </c>
      <c r="X97">
        <v>-3.5999999999999997E-2</v>
      </c>
      <c r="Z97">
        <v>0.127</v>
      </c>
      <c r="AA97">
        <v>3.5999999999999997E-2</v>
      </c>
      <c r="AB97">
        <v>8.5000000000000006E-2</v>
      </c>
      <c r="AC97">
        <v>0.114</v>
      </c>
      <c r="AD97">
        <v>2.4E-2</v>
      </c>
      <c r="AE97">
        <v>-3.5999999999999997E-2</v>
      </c>
      <c r="AF97">
        <v>0.127</v>
      </c>
      <c r="AG97">
        <v>4.8000000000000001E-2</v>
      </c>
      <c r="AH97">
        <v>3.5999999999999997E-2</v>
      </c>
      <c r="AI97">
        <v>6.6000000000000003E-2</v>
      </c>
    </row>
    <row r="98" spans="1:35" x14ac:dyDescent="0.25">
      <c r="A98" t="s">
        <v>2373</v>
      </c>
      <c r="B98" t="s">
        <v>31</v>
      </c>
      <c r="C98" s="25">
        <v>43706.591539351852</v>
      </c>
      <c r="D98" s="741" t="s">
        <v>2238</v>
      </c>
      <c r="E98" s="741">
        <f t="array" ref="E98">SUMPRODUCT(IF(AMP5_2[[#This Row],[Dim 1_1]:[T 8]]-$F$4:$AI$4&lt;0,1,0)+IF($F$5:$AI$5-AMP5_2[[#This Row],[Dim 1_1]:[T 8]]&lt;0,1,0),IF(ISNUMBER(AMP5_2[[#This Row],[Dim 1_1]:[T 8]])=TRUE,1,0))</f>
        <v>0</v>
      </c>
      <c r="H98">
        <v>155.94900000000001</v>
      </c>
      <c r="I98">
        <v>156.01499999999999</v>
      </c>
      <c r="J98">
        <v>168.70099999999999</v>
      </c>
      <c r="K98">
        <v>168.566</v>
      </c>
      <c r="L98">
        <v>156.06399999999999</v>
      </c>
      <c r="M98">
        <v>155.87899999999999</v>
      </c>
      <c r="N98">
        <v>27.164000000000001</v>
      </c>
      <c r="O98">
        <v>27.349</v>
      </c>
      <c r="R98">
        <v>17.209</v>
      </c>
      <c r="S98">
        <v>17.172999999999998</v>
      </c>
      <c r="T98">
        <v>37.189</v>
      </c>
      <c r="U98">
        <v>38.314</v>
      </c>
      <c r="W98">
        <v>-8.0000000000000002E-3</v>
      </c>
      <c r="X98">
        <v>-8.8999999999999996E-2</v>
      </c>
      <c r="Z98">
        <v>5.6000000000000001E-2</v>
      </c>
      <c r="AA98">
        <v>-0.14899999999999999</v>
      </c>
      <c r="AB98">
        <v>-7.3999999999999996E-2</v>
      </c>
      <c r="AC98">
        <v>-8.0000000000000002E-3</v>
      </c>
      <c r="AD98">
        <v>-0.02</v>
      </c>
      <c r="AE98">
        <v>-8.8999999999999996E-2</v>
      </c>
      <c r="AF98">
        <v>4.2999999999999997E-2</v>
      </c>
      <c r="AG98">
        <v>-1.6E-2</v>
      </c>
      <c r="AH98">
        <v>-0.14899999999999999</v>
      </c>
      <c r="AI98">
        <v>5.6000000000000001E-2</v>
      </c>
    </row>
    <row r="99" spans="1:35" x14ac:dyDescent="0.25">
      <c r="A99" t="s">
        <v>2374</v>
      </c>
      <c r="B99" t="s">
        <v>32</v>
      </c>
      <c r="C99" s="25">
        <v>43706.740868055553</v>
      </c>
      <c r="D99" s="741" t="s">
        <v>2238</v>
      </c>
      <c r="E99" s="741">
        <f t="array" ref="E99">SUMPRODUCT(IF(AMP5_2[[#This Row],[Dim 1_1]:[T 8]]-$F$4:$AI$4&lt;0,1,0)+IF($F$5:$AI$5-AMP5_2[[#This Row],[Dim 1_1]:[T 8]]&lt;0,1,0),IF(ISNUMBER(AMP5_2[[#This Row],[Dim 1_1]:[T 8]])=TRUE,1,0))</f>
        <v>0</v>
      </c>
      <c r="F99">
        <v>40.951999999999998</v>
      </c>
      <c r="G99">
        <v>40.848999999999997</v>
      </c>
      <c r="H99">
        <v>155.83199999999999</v>
      </c>
      <c r="I99">
        <v>155.81100000000001</v>
      </c>
      <c r="L99">
        <v>155.89400000000001</v>
      </c>
      <c r="M99">
        <v>155.65899999999999</v>
      </c>
      <c r="N99">
        <v>27.257000000000001</v>
      </c>
      <c r="O99">
        <v>27.413</v>
      </c>
      <c r="R99">
        <v>17.233000000000001</v>
      </c>
      <c r="S99">
        <v>17.370999999999999</v>
      </c>
      <c r="T99">
        <v>33.551000000000002</v>
      </c>
      <c r="U99">
        <v>33.802999999999997</v>
      </c>
      <c r="W99">
        <v>6.0000000000000001E-3</v>
      </c>
      <c r="X99">
        <v>-0.113</v>
      </c>
      <c r="Z99">
        <v>6.8000000000000005E-2</v>
      </c>
      <c r="AA99">
        <v>-3.2000000000000001E-2</v>
      </c>
      <c r="AB99">
        <v>-1.9E-2</v>
      </c>
      <c r="AC99">
        <v>6.0000000000000001E-3</v>
      </c>
      <c r="AD99">
        <v>-5.1999999999999998E-2</v>
      </c>
      <c r="AE99">
        <v>-0.113</v>
      </c>
      <c r="AF99">
        <v>6.8000000000000005E-2</v>
      </c>
      <c r="AG99">
        <v>1.2999999999999999E-2</v>
      </c>
      <c r="AH99">
        <v>-3.2000000000000001E-2</v>
      </c>
      <c r="AI99">
        <v>1.7000000000000001E-2</v>
      </c>
    </row>
    <row r="100" spans="1:35" x14ac:dyDescent="0.25">
      <c r="A100" t="s">
        <v>2375</v>
      </c>
      <c r="B100" t="s">
        <v>31</v>
      </c>
      <c r="C100" s="25">
        <v>43706.742905092593</v>
      </c>
      <c r="D100" s="741" t="s">
        <v>2238</v>
      </c>
      <c r="E100" s="741">
        <f t="array" ref="E100">SUMPRODUCT(IF(AMP5_2[[#This Row],[Dim 1_1]:[T 8]]-$F$4:$AI$4&lt;0,1,0)+IF($F$5:$AI$5-AMP5_2[[#This Row],[Dim 1_1]:[T 8]]&lt;0,1,0),IF(ISNUMBER(AMP5_2[[#This Row],[Dim 1_1]:[T 8]])=TRUE,1,0))</f>
        <v>0</v>
      </c>
      <c r="H100">
        <v>155.935</v>
      </c>
      <c r="I100">
        <v>156.02500000000001</v>
      </c>
      <c r="J100">
        <v>168.53</v>
      </c>
      <c r="K100">
        <v>168.40600000000001</v>
      </c>
      <c r="L100">
        <v>156.06299999999999</v>
      </c>
      <c r="M100">
        <v>155.904</v>
      </c>
      <c r="N100">
        <v>27.141999999999999</v>
      </c>
      <c r="O100">
        <v>27.315000000000001</v>
      </c>
      <c r="R100">
        <v>17.213999999999999</v>
      </c>
      <c r="S100">
        <v>17.187000000000001</v>
      </c>
      <c r="T100">
        <v>36.265000000000001</v>
      </c>
      <c r="U100">
        <v>39.012</v>
      </c>
      <c r="W100">
        <v>1.6E-2</v>
      </c>
      <c r="X100">
        <v>-0.13800000000000001</v>
      </c>
      <c r="Z100">
        <v>4.7E-2</v>
      </c>
      <c r="AA100">
        <v>-3.5000000000000003E-2</v>
      </c>
      <c r="AB100">
        <v>-4.5999999999999999E-2</v>
      </c>
      <c r="AC100">
        <v>1.6E-2</v>
      </c>
      <c r="AD100">
        <v>-4.3999999999999997E-2</v>
      </c>
      <c r="AE100">
        <v>-0.13800000000000001</v>
      </c>
      <c r="AF100">
        <v>4.7E-2</v>
      </c>
      <c r="AG100">
        <v>-1.6E-2</v>
      </c>
      <c r="AH100">
        <v>-3.5000000000000003E-2</v>
      </c>
      <c r="AI100">
        <v>4.2000000000000003E-2</v>
      </c>
    </row>
    <row r="101" spans="1:35" x14ac:dyDescent="0.25">
      <c r="A101" t="s">
        <v>2376</v>
      </c>
      <c r="B101" t="s">
        <v>32</v>
      </c>
      <c r="C101" s="25">
        <v>43706.823541666665</v>
      </c>
      <c r="D101" s="741" t="s">
        <v>2238</v>
      </c>
      <c r="E101" s="741">
        <f t="array" ref="E101">SUMPRODUCT(IF(AMP5_2[[#This Row],[Dim 1_1]:[T 8]]-$F$4:$AI$4&lt;0,1,0)+IF($F$5:$AI$5-AMP5_2[[#This Row],[Dim 1_1]:[T 8]]&lt;0,1,0),IF(ISNUMBER(AMP5_2[[#This Row],[Dim 1_1]:[T 8]])=TRUE,1,0))</f>
        <v>0</v>
      </c>
      <c r="F101">
        <v>41.241</v>
      </c>
      <c r="G101">
        <v>41.156999999999996</v>
      </c>
      <c r="H101">
        <v>155.71199999999999</v>
      </c>
      <c r="I101">
        <v>155.66800000000001</v>
      </c>
      <c r="L101">
        <v>155.798</v>
      </c>
      <c r="M101">
        <v>155.548</v>
      </c>
      <c r="N101">
        <v>27.375</v>
      </c>
      <c r="O101">
        <v>27.524000000000001</v>
      </c>
      <c r="R101">
        <v>17.245999999999999</v>
      </c>
      <c r="S101">
        <v>17.417999999999999</v>
      </c>
      <c r="T101">
        <v>33.404000000000003</v>
      </c>
      <c r="U101">
        <v>33.99</v>
      </c>
      <c r="W101">
        <v>2.7E-2</v>
      </c>
      <c r="X101">
        <v>-0.151</v>
      </c>
      <c r="Z101">
        <v>6.0999999999999999E-2</v>
      </c>
      <c r="AA101">
        <v>-6.0999999999999999E-2</v>
      </c>
      <c r="AB101">
        <v>2E-3</v>
      </c>
      <c r="AC101">
        <v>2.7E-2</v>
      </c>
      <c r="AD101">
        <v>-8.4000000000000005E-2</v>
      </c>
      <c r="AE101">
        <v>-0.151</v>
      </c>
      <c r="AF101">
        <v>6.0999999999999999E-2</v>
      </c>
      <c r="AG101">
        <v>5.0000000000000001E-3</v>
      </c>
      <c r="AH101">
        <v>-6.0999999999999999E-2</v>
      </c>
      <c r="AI101">
        <v>-1.0999999999999999E-2</v>
      </c>
    </row>
    <row r="102" spans="1:35" x14ac:dyDescent="0.25">
      <c r="A102" t="s">
        <v>2377</v>
      </c>
      <c r="B102" t="s">
        <v>31</v>
      </c>
      <c r="C102" s="25">
        <v>43706.826435185183</v>
      </c>
      <c r="D102" s="741" t="s">
        <v>2238</v>
      </c>
      <c r="E102" s="741">
        <f t="array" ref="E102">SUMPRODUCT(IF(AMP5_2[[#This Row],[Dim 1_1]:[T 8]]-$F$4:$AI$4&lt;0,1,0)+IF($F$5:$AI$5-AMP5_2[[#This Row],[Dim 1_1]:[T 8]]&lt;0,1,0),IF(ISNUMBER(AMP5_2[[#This Row],[Dim 1_1]:[T 8]])=TRUE,1,0))</f>
        <v>0</v>
      </c>
      <c r="H102">
        <v>155.94200000000001</v>
      </c>
      <c r="I102">
        <v>156.03299999999999</v>
      </c>
      <c r="J102">
        <v>168.727</v>
      </c>
      <c r="K102">
        <v>168.518</v>
      </c>
      <c r="L102">
        <v>156.06800000000001</v>
      </c>
      <c r="M102">
        <v>155.887</v>
      </c>
      <c r="N102">
        <v>27.11</v>
      </c>
      <c r="O102">
        <v>27.302</v>
      </c>
      <c r="R102">
        <v>17.239000000000001</v>
      </c>
      <c r="S102">
        <v>17.177</v>
      </c>
      <c r="T102">
        <v>39.033999999999999</v>
      </c>
      <c r="U102">
        <v>39.213000000000001</v>
      </c>
      <c r="W102">
        <v>-2.1000000000000001E-2</v>
      </c>
      <c r="X102">
        <v>-0.14899999999999999</v>
      </c>
      <c r="Z102">
        <v>8.6999999999999994E-2</v>
      </c>
      <c r="AA102">
        <v>-1.4E-2</v>
      </c>
      <c r="AB102">
        <v>-7.8E-2</v>
      </c>
      <c r="AC102">
        <v>-2.1000000000000001E-2</v>
      </c>
      <c r="AD102">
        <v>-6.4000000000000001E-2</v>
      </c>
      <c r="AE102">
        <v>-0.14899999999999999</v>
      </c>
      <c r="AF102">
        <v>8.6999999999999994E-2</v>
      </c>
      <c r="AG102">
        <v>4.1000000000000002E-2</v>
      </c>
      <c r="AH102">
        <v>-1.4E-2</v>
      </c>
      <c r="AI102">
        <v>8.3000000000000004E-2</v>
      </c>
    </row>
    <row r="103" spans="1:35" x14ac:dyDescent="0.25">
      <c r="A103" t="s">
        <v>2378</v>
      </c>
      <c r="B103" t="s">
        <v>32</v>
      </c>
      <c r="C103" s="25">
        <v>43706.933888888889</v>
      </c>
      <c r="D103" s="741" t="s">
        <v>2238</v>
      </c>
      <c r="E103" s="741">
        <f t="array" ref="E103">SUMPRODUCT(IF(AMP5_2[[#This Row],[Dim 1_1]:[T 8]]-$F$4:$AI$4&lt;0,1,0)+IF($F$5:$AI$5-AMP5_2[[#This Row],[Dim 1_1]:[T 8]]&lt;0,1,0),IF(ISNUMBER(AMP5_2[[#This Row],[Dim 1_1]:[T 8]])=TRUE,1,0))</f>
        <v>0</v>
      </c>
      <c r="F103">
        <v>41.377000000000002</v>
      </c>
      <c r="G103">
        <v>41.064</v>
      </c>
      <c r="H103">
        <v>155.696</v>
      </c>
      <c r="I103">
        <v>155.66800000000001</v>
      </c>
      <c r="L103">
        <v>155.78</v>
      </c>
      <c r="M103">
        <v>155.49799999999999</v>
      </c>
      <c r="N103">
        <v>27.376000000000001</v>
      </c>
      <c r="O103">
        <v>27.556000000000001</v>
      </c>
      <c r="R103">
        <v>17.244</v>
      </c>
      <c r="S103">
        <v>17.358000000000001</v>
      </c>
      <c r="T103">
        <v>33.387999999999998</v>
      </c>
      <c r="U103">
        <v>33.767000000000003</v>
      </c>
      <c r="W103">
        <v>0.13800000000000001</v>
      </c>
      <c r="X103">
        <v>-1.4999999999999999E-2</v>
      </c>
      <c r="Z103">
        <v>0.14299999999999999</v>
      </c>
      <c r="AA103">
        <v>6.3E-2</v>
      </c>
      <c r="AB103">
        <v>0.1</v>
      </c>
      <c r="AC103">
        <v>0.13800000000000001</v>
      </c>
      <c r="AD103">
        <v>6.4000000000000001E-2</v>
      </c>
      <c r="AE103">
        <v>-1.4999999999999999E-2</v>
      </c>
      <c r="AF103">
        <v>0.14299999999999999</v>
      </c>
      <c r="AG103">
        <v>6.3E-2</v>
      </c>
      <c r="AH103">
        <v>0.112</v>
      </c>
      <c r="AI103">
        <v>0.105</v>
      </c>
    </row>
    <row r="104" spans="1:35" x14ac:dyDescent="0.25">
      <c r="A104" t="s">
        <v>2379</v>
      </c>
      <c r="B104" t="s">
        <v>31</v>
      </c>
      <c r="C104" s="25">
        <v>43706.936053240737</v>
      </c>
      <c r="D104" s="741" t="s">
        <v>2238</v>
      </c>
      <c r="E104" s="741">
        <f t="array" ref="E104">SUMPRODUCT(IF(AMP5_2[[#This Row],[Dim 1_1]:[T 8]]-$F$4:$AI$4&lt;0,1,0)+IF($F$5:$AI$5-AMP5_2[[#This Row],[Dim 1_1]:[T 8]]&lt;0,1,0),IF(ISNUMBER(AMP5_2[[#This Row],[Dim 1_1]:[T 8]])=TRUE,1,0))</f>
        <v>0</v>
      </c>
      <c r="H104">
        <v>155.90600000000001</v>
      </c>
      <c r="I104">
        <v>156.017</v>
      </c>
      <c r="J104">
        <v>168.81100000000001</v>
      </c>
      <c r="K104">
        <v>168.57400000000001</v>
      </c>
      <c r="L104">
        <v>156.05000000000001</v>
      </c>
      <c r="M104">
        <v>155.87700000000001</v>
      </c>
      <c r="N104">
        <v>27.137</v>
      </c>
      <c r="O104">
        <v>27.315000000000001</v>
      </c>
      <c r="R104">
        <v>17.268999999999998</v>
      </c>
      <c r="S104">
        <v>17.2</v>
      </c>
      <c r="T104">
        <v>37.07</v>
      </c>
      <c r="U104">
        <v>39.232999999999997</v>
      </c>
      <c r="W104">
        <v>-3.5000000000000003E-2</v>
      </c>
      <c r="X104">
        <v>-0.23100000000000001</v>
      </c>
      <c r="Z104">
        <v>3.5999999999999997E-2</v>
      </c>
      <c r="AA104">
        <v>-9.1999999999999998E-2</v>
      </c>
      <c r="AB104">
        <v>-7.8E-2</v>
      </c>
      <c r="AC104">
        <v>-3.5000000000000003E-2</v>
      </c>
      <c r="AD104">
        <v>-0.192</v>
      </c>
      <c r="AE104">
        <v>-0.23100000000000001</v>
      </c>
      <c r="AF104">
        <v>3.5999999999999997E-2</v>
      </c>
      <c r="AG104">
        <v>-2.4E-2</v>
      </c>
      <c r="AH104">
        <v>-9.1999999999999998E-2</v>
      </c>
      <c r="AI104">
        <v>2E-3</v>
      </c>
    </row>
    <row r="105" spans="1:35" x14ac:dyDescent="0.25">
      <c r="A105" t="s">
        <v>2380</v>
      </c>
      <c r="B105" t="s">
        <v>32</v>
      </c>
      <c r="C105" s="25">
        <v>43706.990787037037</v>
      </c>
      <c r="D105" s="741" t="s">
        <v>2238</v>
      </c>
      <c r="E105" s="741">
        <f t="array" ref="E105">SUMPRODUCT(IF(AMP5_2[[#This Row],[Dim 1_1]:[T 8]]-$F$4:$AI$4&lt;0,1,0)+IF($F$5:$AI$5-AMP5_2[[#This Row],[Dim 1_1]:[T 8]]&lt;0,1,0),IF(ISNUMBER(AMP5_2[[#This Row],[Dim 1_1]:[T 8]])=TRUE,1,0))</f>
        <v>0</v>
      </c>
      <c r="F105">
        <v>41.215000000000003</v>
      </c>
      <c r="G105">
        <v>41.072000000000003</v>
      </c>
      <c r="H105">
        <v>155.768</v>
      </c>
      <c r="I105">
        <v>155.732</v>
      </c>
      <c r="L105">
        <v>155.83600000000001</v>
      </c>
      <c r="M105">
        <v>155.56200000000001</v>
      </c>
      <c r="N105">
        <v>27.364999999999998</v>
      </c>
      <c r="O105">
        <v>27.547999999999998</v>
      </c>
      <c r="R105">
        <v>17.241</v>
      </c>
      <c r="S105">
        <v>17.291</v>
      </c>
      <c r="T105">
        <v>33.500999999999998</v>
      </c>
      <c r="U105">
        <v>33.713999999999999</v>
      </c>
      <c r="W105">
        <v>9.5000000000000001E-2</v>
      </c>
      <c r="X105">
        <v>2.3E-2</v>
      </c>
      <c r="Z105">
        <v>6.4000000000000001E-2</v>
      </c>
      <c r="AA105">
        <v>-6.5000000000000002E-2</v>
      </c>
      <c r="AB105">
        <v>4.2000000000000003E-2</v>
      </c>
      <c r="AC105">
        <v>6.6000000000000003E-2</v>
      </c>
      <c r="AD105">
        <v>9.5000000000000001E-2</v>
      </c>
      <c r="AE105">
        <v>2.3E-2</v>
      </c>
      <c r="AF105">
        <v>-1E-3</v>
      </c>
      <c r="AG105">
        <v>-6.5000000000000002E-2</v>
      </c>
      <c r="AH105">
        <v>5.8999999999999997E-2</v>
      </c>
      <c r="AI105">
        <v>6.4000000000000001E-2</v>
      </c>
    </row>
    <row r="106" spans="1:35" x14ac:dyDescent="0.25">
      <c r="A106" t="s">
        <v>2381</v>
      </c>
      <c r="B106" t="s">
        <v>31</v>
      </c>
      <c r="C106" s="25">
        <v>43706.992835648147</v>
      </c>
      <c r="D106" s="741" t="s">
        <v>2238</v>
      </c>
      <c r="E106" s="741">
        <f t="array" ref="E106">SUMPRODUCT(IF(AMP5_2[[#This Row],[Dim 1_1]:[T 8]]-$F$4:$AI$4&lt;0,1,0)+IF($F$5:$AI$5-AMP5_2[[#This Row],[Dim 1_1]:[T 8]]&lt;0,1,0),IF(ISNUMBER(AMP5_2[[#This Row],[Dim 1_1]:[T 8]])=TRUE,1,0))</f>
        <v>0</v>
      </c>
      <c r="H106">
        <v>156</v>
      </c>
      <c r="I106">
        <v>156.12799999999999</v>
      </c>
      <c r="J106">
        <v>168.79</v>
      </c>
      <c r="K106">
        <v>168.607</v>
      </c>
      <c r="L106">
        <v>156.15199999999999</v>
      </c>
      <c r="M106">
        <v>156.01300000000001</v>
      </c>
      <c r="N106">
        <v>27.021999999999998</v>
      </c>
      <c r="O106">
        <v>27.187999999999999</v>
      </c>
      <c r="R106">
        <v>17.244</v>
      </c>
      <c r="S106">
        <v>17.146000000000001</v>
      </c>
      <c r="T106">
        <v>40.973999999999997</v>
      </c>
      <c r="U106">
        <v>41.685000000000002</v>
      </c>
      <c r="W106">
        <v>-0.106</v>
      </c>
      <c r="X106">
        <v>-0.23100000000000001</v>
      </c>
      <c r="Z106">
        <v>-5.0000000000000001E-3</v>
      </c>
      <c r="AA106">
        <v>-0.13200000000000001</v>
      </c>
      <c r="AB106">
        <v>-0.18099999999999999</v>
      </c>
      <c r="AC106">
        <v>-0.13300000000000001</v>
      </c>
      <c r="AD106">
        <v>-0.106</v>
      </c>
      <c r="AE106">
        <v>-0.23100000000000001</v>
      </c>
      <c r="AF106">
        <v>-4.8000000000000001E-2</v>
      </c>
      <c r="AG106">
        <v>-0.104</v>
      </c>
      <c r="AH106">
        <v>-0.13200000000000001</v>
      </c>
      <c r="AI106">
        <v>-5.0000000000000001E-3</v>
      </c>
    </row>
    <row r="107" spans="1:35" x14ac:dyDescent="0.25">
      <c r="A107" t="s">
        <v>2382</v>
      </c>
      <c r="B107" t="s">
        <v>32</v>
      </c>
      <c r="C107" s="25">
        <v>43707.033599537041</v>
      </c>
      <c r="D107" s="741" t="s">
        <v>2238</v>
      </c>
      <c r="E107" s="741">
        <f t="array" ref="E107">SUMPRODUCT(IF(AMP5_2[[#This Row],[Dim 1_1]:[T 8]]-$F$4:$AI$4&lt;0,1,0)+IF($F$5:$AI$5-AMP5_2[[#This Row],[Dim 1_1]:[T 8]]&lt;0,1,0),IF(ISNUMBER(AMP5_2[[#This Row],[Dim 1_1]:[T 8]])=TRUE,1,0))</f>
        <v>0</v>
      </c>
      <c r="F107">
        <v>41.011000000000003</v>
      </c>
      <c r="G107">
        <v>40.811</v>
      </c>
      <c r="H107">
        <v>155.81899999999999</v>
      </c>
      <c r="I107">
        <v>155.82900000000001</v>
      </c>
      <c r="L107">
        <v>155.90799999999999</v>
      </c>
      <c r="M107">
        <v>155.678</v>
      </c>
      <c r="N107">
        <v>27.295999999999999</v>
      </c>
      <c r="O107">
        <v>27.433</v>
      </c>
      <c r="R107">
        <v>17.245000000000001</v>
      </c>
      <c r="S107">
        <v>17.315000000000001</v>
      </c>
      <c r="T107">
        <v>33.158000000000001</v>
      </c>
      <c r="U107">
        <v>33.835999999999999</v>
      </c>
      <c r="W107">
        <v>-2.9000000000000001E-2</v>
      </c>
      <c r="X107">
        <v>-0.105</v>
      </c>
      <c r="Z107">
        <v>-5.7000000000000002E-2</v>
      </c>
      <c r="AA107">
        <v>-0.155</v>
      </c>
      <c r="AB107">
        <v>-0.105</v>
      </c>
      <c r="AC107">
        <v>-7.8E-2</v>
      </c>
      <c r="AD107">
        <v>-2.9000000000000001E-2</v>
      </c>
      <c r="AE107">
        <v>-9.1999999999999998E-2</v>
      </c>
      <c r="AF107">
        <v>-0.115</v>
      </c>
      <c r="AG107">
        <v>-0.155</v>
      </c>
      <c r="AH107">
        <v>-5.7000000000000002E-2</v>
      </c>
      <c r="AI107">
        <v>-5.8000000000000003E-2</v>
      </c>
    </row>
    <row r="108" spans="1:35" x14ac:dyDescent="0.25">
      <c r="A108" t="s">
        <v>2383</v>
      </c>
      <c r="B108" t="s">
        <v>31</v>
      </c>
      <c r="C108" s="25">
        <v>43707.035636574074</v>
      </c>
      <c r="D108" s="741" t="s">
        <v>2238</v>
      </c>
      <c r="E108" s="741">
        <f t="array" ref="E108">SUMPRODUCT(IF(AMP5_2[[#This Row],[Dim 1_1]:[T 8]]-$F$4:$AI$4&lt;0,1,0)+IF($F$5:$AI$5-AMP5_2[[#This Row],[Dim 1_1]:[T 8]]&lt;0,1,0),IF(ISNUMBER(AMP5_2[[#This Row],[Dim 1_1]:[T 8]])=TRUE,1,0))</f>
        <v>0</v>
      </c>
      <c r="H108">
        <v>156.06700000000001</v>
      </c>
      <c r="I108">
        <v>156.15299999999999</v>
      </c>
      <c r="J108">
        <v>168.60300000000001</v>
      </c>
      <c r="K108">
        <v>168.505</v>
      </c>
      <c r="L108">
        <v>156.22</v>
      </c>
      <c r="M108">
        <v>156.07300000000001</v>
      </c>
      <c r="N108">
        <v>27.053999999999998</v>
      </c>
      <c r="O108">
        <v>27.231000000000002</v>
      </c>
      <c r="R108">
        <v>17.222000000000001</v>
      </c>
      <c r="S108">
        <v>17.109000000000002</v>
      </c>
      <c r="T108">
        <v>36.149000000000001</v>
      </c>
      <c r="U108">
        <v>37.579000000000001</v>
      </c>
      <c r="W108">
        <v>-0.21</v>
      </c>
      <c r="X108">
        <v>-0.27700000000000002</v>
      </c>
      <c r="Z108">
        <v>-0.123</v>
      </c>
      <c r="AA108">
        <v>-0.249</v>
      </c>
      <c r="AB108">
        <v>-0.27700000000000002</v>
      </c>
      <c r="AC108">
        <v>-0.21</v>
      </c>
      <c r="AD108">
        <v>-0.23100000000000001</v>
      </c>
      <c r="AE108">
        <v>-0.246</v>
      </c>
      <c r="AF108">
        <v>-0.182</v>
      </c>
      <c r="AG108">
        <v>-0.249</v>
      </c>
      <c r="AH108">
        <v>-0.188</v>
      </c>
      <c r="AI108">
        <v>-0.123</v>
      </c>
    </row>
    <row r="109" spans="1:35" x14ac:dyDescent="0.25">
      <c r="A109" t="s">
        <v>2384</v>
      </c>
      <c r="B109" t="s">
        <v>32</v>
      </c>
      <c r="C109" s="25">
        <v>43707.34646990741</v>
      </c>
      <c r="D109" s="741" t="s">
        <v>2238</v>
      </c>
      <c r="E109" s="741">
        <f t="array" ref="E109">SUMPRODUCT(IF(AMP5_2[[#This Row],[Dim 1_1]:[T 8]]-$F$4:$AI$4&lt;0,1,0)+IF($F$5:$AI$5-AMP5_2[[#This Row],[Dim 1_1]:[T 8]]&lt;0,1,0),IF(ISNUMBER(AMP5_2[[#This Row],[Dim 1_1]:[T 8]])=TRUE,1,0))</f>
        <v>1</v>
      </c>
      <c r="F109">
        <v>40.981000000000002</v>
      </c>
      <c r="G109">
        <v>40.741</v>
      </c>
      <c r="H109">
        <v>155.85499999999999</v>
      </c>
      <c r="I109">
        <v>155.84800000000001</v>
      </c>
      <c r="L109">
        <v>155.947</v>
      </c>
      <c r="M109">
        <v>155.71600000000001</v>
      </c>
      <c r="N109">
        <v>27.236999999999998</v>
      </c>
      <c r="O109">
        <v>27.366</v>
      </c>
      <c r="R109">
        <v>17.247</v>
      </c>
      <c r="S109">
        <v>17.324000000000002</v>
      </c>
      <c r="T109">
        <v>33.506999999999998</v>
      </c>
      <c r="U109">
        <v>33.863999999999997</v>
      </c>
      <c r="W109">
        <v>-4.0000000000000001E-3</v>
      </c>
      <c r="X109">
        <v>-9.2999999999999999E-2</v>
      </c>
      <c r="Z109">
        <v>1.4E-2</v>
      </c>
      <c r="AA109">
        <v>-8.7999999999999995E-2</v>
      </c>
      <c r="AB109">
        <v>-9.2999999999999999E-2</v>
      </c>
      <c r="AC109">
        <v>-0.03</v>
      </c>
      <c r="AD109">
        <v>-4.0000000000000001E-3</v>
      </c>
      <c r="AE109">
        <v>-6.8000000000000005E-2</v>
      </c>
      <c r="AF109">
        <v>-4.3999999999999997E-2</v>
      </c>
      <c r="AG109">
        <v>-8.7999999999999995E-2</v>
      </c>
      <c r="AH109">
        <v>1.4E-2</v>
      </c>
      <c r="AI109">
        <v>1.2999999999999999E-2</v>
      </c>
    </row>
    <row r="110" spans="1:35" x14ac:dyDescent="0.25">
      <c r="A110" t="s">
        <v>2385</v>
      </c>
      <c r="B110" t="s">
        <v>31</v>
      </c>
      <c r="C110" s="25">
        <v>43707.350081018521</v>
      </c>
      <c r="D110" s="741" t="s">
        <v>2238</v>
      </c>
      <c r="E110" s="741">
        <f t="array" ref="E110">SUMPRODUCT(IF(AMP5_2[[#This Row],[Dim 1_1]:[T 8]]-$F$4:$AI$4&lt;0,1,0)+IF($F$5:$AI$5-AMP5_2[[#This Row],[Dim 1_1]:[T 8]]&lt;0,1,0),IF(ISNUMBER(AMP5_2[[#This Row],[Dim 1_1]:[T 8]])=TRUE,1,0))</f>
        <v>0</v>
      </c>
      <c r="H110">
        <v>156.04400000000001</v>
      </c>
      <c r="I110">
        <v>156.16499999999999</v>
      </c>
      <c r="J110">
        <v>168.624</v>
      </c>
      <c r="K110">
        <v>168.45500000000001</v>
      </c>
      <c r="L110">
        <v>156.16499999999999</v>
      </c>
      <c r="M110">
        <v>155.982</v>
      </c>
      <c r="N110">
        <v>27.029</v>
      </c>
      <c r="O110">
        <v>27.224</v>
      </c>
      <c r="R110">
        <v>17.238</v>
      </c>
      <c r="S110">
        <v>17.11</v>
      </c>
      <c r="T110">
        <v>36.296999999999997</v>
      </c>
      <c r="U110">
        <v>37.853999999999999</v>
      </c>
      <c r="W110">
        <v>-0.104</v>
      </c>
      <c r="X110">
        <v>-0.23599999999999999</v>
      </c>
      <c r="Z110">
        <v>-4.3999999999999997E-2</v>
      </c>
      <c r="AA110">
        <v>-0.218</v>
      </c>
      <c r="AB110">
        <v>-0.23599999999999999</v>
      </c>
      <c r="AC110">
        <v>-0.185</v>
      </c>
      <c r="AD110">
        <v>-0.104</v>
      </c>
      <c r="AE110">
        <v>-0.16300000000000001</v>
      </c>
      <c r="AF110">
        <v>-0.151</v>
      </c>
      <c r="AG110">
        <v>-0.218</v>
      </c>
      <c r="AH110">
        <v>-0.14499999999999999</v>
      </c>
      <c r="AI110">
        <v>-4.3999999999999997E-2</v>
      </c>
    </row>
    <row r="111" spans="1:35" x14ac:dyDescent="0.25">
      <c r="A111" t="s">
        <v>2526</v>
      </c>
      <c r="B111" t="s">
        <v>32</v>
      </c>
      <c r="C111" s="25">
        <v>43707.486145833333</v>
      </c>
      <c r="D111" s="741" t="s">
        <v>2238</v>
      </c>
      <c r="E111" s="741">
        <f t="array" ref="E111">SUMPRODUCT(IF(AMP5_2[[#This Row],[Dim 1_1]:[T 8]]-$F$4:$AI$4&lt;0,1,0)+IF($F$5:$AI$5-AMP5_2[[#This Row],[Dim 1_1]:[T 8]]&lt;0,1,0),IF(ISNUMBER(AMP5_2[[#This Row],[Dim 1_1]:[T 8]])=TRUE,1,0))</f>
        <v>0</v>
      </c>
      <c r="F111">
        <v>41.249000000000002</v>
      </c>
      <c r="G111">
        <v>40.853999999999999</v>
      </c>
      <c r="H111">
        <v>155.732</v>
      </c>
      <c r="I111">
        <v>155.69900000000001</v>
      </c>
      <c r="L111">
        <v>155.804</v>
      </c>
      <c r="M111">
        <v>155.52000000000001</v>
      </c>
      <c r="N111">
        <v>27.372</v>
      </c>
      <c r="O111">
        <v>27.555</v>
      </c>
      <c r="R111">
        <v>17.244</v>
      </c>
      <c r="S111">
        <v>17.356000000000002</v>
      </c>
      <c r="T111">
        <v>33.581000000000003</v>
      </c>
      <c r="U111">
        <v>33.799999999999997</v>
      </c>
      <c r="W111">
        <v>9.1999999999999998E-2</v>
      </c>
      <c r="X111">
        <v>5.0000000000000001E-3</v>
      </c>
      <c r="Z111">
        <v>8.4000000000000005E-2</v>
      </c>
      <c r="AA111">
        <v>2.3E-2</v>
      </c>
      <c r="AB111">
        <v>5.7000000000000002E-2</v>
      </c>
      <c r="AC111">
        <v>9.1999999999999998E-2</v>
      </c>
      <c r="AD111">
        <v>1.4999999999999999E-2</v>
      </c>
      <c r="AE111">
        <v>5.0000000000000001E-3</v>
      </c>
      <c r="AF111">
        <v>8.4000000000000005E-2</v>
      </c>
      <c r="AG111">
        <v>2.3E-2</v>
      </c>
      <c r="AH111">
        <v>4.5999999999999999E-2</v>
      </c>
      <c r="AI111">
        <v>6.6000000000000003E-2</v>
      </c>
    </row>
    <row r="112" spans="1:35" x14ac:dyDescent="0.25">
      <c r="A112" t="s">
        <v>2527</v>
      </c>
      <c r="B112" t="s">
        <v>31</v>
      </c>
      <c r="C112" s="25">
        <v>43707.488877314812</v>
      </c>
      <c r="D112" s="741" t="s">
        <v>2238</v>
      </c>
      <c r="E112" s="741">
        <f t="array" ref="E112">SUMPRODUCT(IF(AMP5_2[[#This Row],[Dim 1_1]:[T 8]]-$F$4:$AI$4&lt;0,1,0)+IF($F$5:$AI$5-AMP5_2[[#This Row],[Dim 1_1]:[T 8]]&lt;0,1,0),IF(ISNUMBER(AMP5_2[[#This Row],[Dim 1_1]:[T 8]])=TRUE,1,0))</f>
        <v>0</v>
      </c>
      <c r="H112">
        <v>155.911</v>
      </c>
      <c r="I112">
        <v>156.08000000000001</v>
      </c>
      <c r="J112">
        <v>168.75899999999999</v>
      </c>
      <c r="K112">
        <v>168.44</v>
      </c>
      <c r="L112">
        <v>156.08199999999999</v>
      </c>
      <c r="M112">
        <v>155.95500000000001</v>
      </c>
      <c r="N112">
        <v>27.126000000000001</v>
      </c>
      <c r="O112">
        <v>27.257000000000001</v>
      </c>
      <c r="R112">
        <v>17.241</v>
      </c>
      <c r="S112">
        <v>17.187000000000001</v>
      </c>
      <c r="T112">
        <v>38.179000000000002</v>
      </c>
      <c r="U112">
        <v>39.034999999999997</v>
      </c>
      <c r="W112">
        <v>-0.04</v>
      </c>
      <c r="X112">
        <v>-0.26600000000000001</v>
      </c>
      <c r="Z112">
        <v>3.6999999999999998E-2</v>
      </c>
      <c r="AA112">
        <v>-9.0999999999999998E-2</v>
      </c>
      <c r="AB112">
        <v>-9.2999999999999999E-2</v>
      </c>
      <c r="AC112">
        <v>-0.04</v>
      </c>
      <c r="AD112">
        <v>-0.13800000000000001</v>
      </c>
      <c r="AE112">
        <v>-0.26600000000000001</v>
      </c>
      <c r="AF112">
        <v>3.5000000000000003E-2</v>
      </c>
      <c r="AG112">
        <v>-1.4999999999999999E-2</v>
      </c>
      <c r="AH112">
        <v>-9.0999999999999998E-2</v>
      </c>
      <c r="AI112">
        <v>3.6999999999999998E-2</v>
      </c>
    </row>
    <row r="113" spans="1:35" x14ac:dyDescent="0.25">
      <c r="A113" t="s">
        <v>2528</v>
      </c>
      <c r="B113" t="s">
        <v>32</v>
      </c>
      <c r="C113" s="25">
        <v>43707.603993055556</v>
      </c>
      <c r="D113" s="741" t="s">
        <v>2238</v>
      </c>
      <c r="E113" s="741">
        <f t="array" ref="E113">SUMPRODUCT(IF(AMP5_2[[#This Row],[Dim 1_1]:[T 8]]-$F$4:$AI$4&lt;0,1,0)+IF($F$5:$AI$5-AMP5_2[[#This Row],[Dim 1_1]:[T 8]]&lt;0,1,0),IF(ISNUMBER(AMP5_2[[#This Row],[Dim 1_1]:[T 8]])=TRUE,1,0))</f>
        <v>0</v>
      </c>
      <c r="F113">
        <v>41.287999999999997</v>
      </c>
      <c r="G113">
        <v>41.012</v>
      </c>
      <c r="H113">
        <v>155.80699999999999</v>
      </c>
      <c r="I113">
        <v>155.77500000000001</v>
      </c>
      <c r="L113">
        <v>155.935</v>
      </c>
      <c r="M113">
        <v>155.68700000000001</v>
      </c>
      <c r="N113">
        <v>27.181999999999999</v>
      </c>
      <c r="O113">
        <v>27.375</v>
      </c>
      <c r="R113">
        <v>17.206</v>
      </c>
      <c r="S113">
        <v>17.234000000000002</v>
      </c>
      <c r="T113">
        <v>33.271000000000001</v>
      </c>
      <c r="U113">
        <v>33.902999999999999</v>
      </c>
      <c r="W113">
        <v>-4.8000000000000001E-2</v>
      </c>
      <c r="X113">
        <v>-0.191</v>
      </c>
      <c r="Z113">
        <v>0.11700000000000001</v>
      </c>
      <c r="AA113">
        <v>-0.113</v>
      </c>
      <c r="AB113">
        <v>-0.191</v>
      </c>
      <c r="AC113">
        <v>-0.156</v>
      </c>
      <c r="AD113">
        <v>-4.8000000000000001E-2</v>
      </c>
      <c r="AE113">
        <v>-8.8999999999999996E-2</v>
      </c>
      <c r="AF113">
        <v>-0.05</v>
      </c>
      <c r="AG113">
        <v>-0.113</v>
      </c>
      <c r="AH113">
        <v>0.11700000000000001</v>
      </c>
      <c r="AI113">
        <v>8.7999999999999995E-2</v>
      </c>
    </row>
    <row r="114" spans="1:35" x14ac:dyDescent="0.25">
      <c r="A114" t="s">
        <v>2529</v>
      </c>
      <c r="B114" t="s">
        <v>31</v>
      </c>
      <c r="C114" s="25">
        <v>43707.607256944444</v>
      </c>
      <c r="D114" s="741" t="s">
        <v>2238</v>
      </c>
      <c r="E114" s="741">
        <f t="array" ref="E114">SUMPRODUCT(IF(AMP5_2[[#This Row],[Dim 1_1]:[T 8]]-$F$4:$AI$4&lt;0,1,0)+IF($F$5:$AI$5-AMP5_2[[#This Row],[Dim 1_1]:[T 8]]&lt;0,1,0),IF(ISNUMBER(AMP5_2[[#This Row],[Dim 1_1]:[T 8]])=TRUE,1,0))</f>
        <v>0</v>
      </c>
      <c r="H114">
        <v>156.14400000000001</v>
      </c>
      <c r="I114">
        <v>156.18</v>
      </c>
      <c r="J114">
        <v>168.821</v>
      </c>
      <c r="K114">
        <v>168.76400000000001</v>
      </c>
      <c r="L114">
        <v>156.19999999999999</v>
      </c>
      <c r="M114">
        <v>156.00700000000001</v>
      </c>
      <c r="N114">
        <v>27.033000000000001</v>
      </c>
      <c r="O114">
        <v>27.228999999999999</v>
      </c>
      <c r="R114">
        <v>17.254999999999999</v>
      </c>
      <c r="S114">
        <v>17.13</v>
      </c>
      <c r="T114">
        <v>35.085000000000001</v>
      </c>
      <c r="U114">
        <v>37.302</v>
      </c>
      <c r="W114">
        <v>-0.109</v>
      </c>
      <c r="X114">
        <v>-0.23100000000000001</v>
      </c>
      <c r="Z114">
        <v>-0.03</v>
      </c>
      <c r="AA114">
        <v>-0.14699999999999999</v>
      </c>
      <c r="AB114">
        <v>-0.17100000000000001</v>
      </c>
      <c r="AC114">
        <v>-0.109</v>
      </c>
      <c r="AD114">
        <v>-0.13500000000000001</v>
      </c>
      <c r="AE114">
        <v>-0.23100000000000001</v>
      </c>
      <c r="AF114">
        <v>-8.5000000000000006E-2</v>
      </c>
      <c r="AG114">
        <v>-0.14699999999999999</v>
      </c>
      <c r="AH114">
        <v>-7.5999999999999998E-2</v>
      </c>
      <c r="AI114">
        <v>-0.03</v>
      </c>
    </row>
    <row r="115" spans="1:35" x14ac:dyDescent="0.25">
      <c r="A115" t="s">
        <v>2530</v>
      </c>
      <c r="B115" t="s">
        <v>32</v>
      </c>
      <c r="C115" s="25">
        <v>43707.655358796299</v>
      </c>
      <c r="D115" s="741" t="s">
        <v>2238</v>
      </c>
      <c r="E115" s="741">
        <f t="array" ref="E115">SUMPRODUCT(IF(AMP5_2[[#This Row],[Dim 1_1]:[T 8]]-$F$4:$AI$4&lt;0,1,0)+IF($F$5:$AI$5-AMP5_2[[#This Row],[Dim 1_1]:[T 8]]&lt;0,1,0),IF(ISNUMBER(AMP5_2[[#This Row],[Dim 1_1]:[T 8]])=TRUE,1,0))</f>
        <v>0</v>
      </c>
      <c r="F115">
        <v>41.128999999999998</v>
      </c>
      <c r="G115">
        <v>40.898000000000003</v>
      </c>
      <c r="H115">
        <v>155.816</v>
      </c>
      <c r="I115">
        <v>155.762</v>
      </c>
      <c r="L115">
        <v>155.929</v>
      </c>
      <c r="M115">
        <v>155.64400000000001</v>
      </c>
      <c r="N115">
        <v>27.251000000000001</v>
      </c>
      <c r="O115">
        <v>27.445</v>
      </c>
      <c r="R115">
        <v>17.25</v>
      </c>
      <c r="S115">
        <v>17.3</v>
      </c>
      <c r="T115">
        <v>33.94</v>
      </c>
      <c r="U115">
        <v>33.286000000000001</v>
      </c>
      <c r="W115">
        <v>3.1E-2</v>
      </c>
      <c r="X115">
        <v>-8.5000000000000006E-2</v>
      </c>
      <c r="Z115">
        <v>2.4E-2</v>
      </c>
      <c r="AA115">
        <v>-0.112</v>
      </c>
      <c r="AB115">
        <v>-6.7000000000000004E-2</v>
      </c>
      <c r="AC115">
        <v>-6.5000000000000002E-2</v>
      </c>
      <c r="AD115">
        <v>3.1E-2</v>
      </c>
      <c r="AE115">
        <v>-8.5000000000000006E-2</v>
      </c>
      <c r="AF115">
        <v>-0.03</v>
      </c>
      <c r="AG115">
        <v>-0.112</v>
      </c>
      <c r="AH115">
        <v>2.4E-2</v>
      </c>
      <c r="AI115">
        <v>1.4E-2</v>
      </c>
    </row>
    <row r="116" spans="1:35" x14ac:dyDescent="0.25">
      <c r="A116" t="s">
        <v>2531</v>
      </c>
      <c r="B116" t="s">
        <v>31</v>
      </c>
      <c r="C116" s="25">
        <v>43707.657592592594</v>
      </c>
      <c r="D116" s="741" t="s">
        <v>2238</v>
      </c>
      <c r="E116" s="741">
        <f t="array" ref="E116">SUMPRODUCT(IF(AMP5_2[[#This Row],[Dim 1_1]:[T 8]]-$F$4:$AI$4&lt;0,1,0)+IF($F$5:$AI$5-AMP5_2[[#This Row],[Dim 1_1]:[T 8]]&lt;0,1,0),IF(ISNUMBER(AMP5_2[[#This Row],[Dim 1_1]:[T 8]])=TRUE,1,0))</f>
        <v>0</v>
      </c>
      <c r="H116">
        <v>156.124</v>
      </c>
      <c r="I116">
        <v>156.196</v>
      </c>
      <c r="J116">
        <v>168.74799999999999</v>
      </c>
      <c r="K116">
        <v>168.47900000000001</v>
      </c>
      <c r="L116">
        <v>156.22900000000001</v>
      </c>
      <c r="M116">
        <v>156.095</v>
      </c>
      <c r="N116">
        <v>26.966000000000001</v>
      </c>
      <c r="O116">
        <v>27.134</v>
      </c>
      <c r="R116">
        <v>17.236999999999998</v>
      </c>
      <c r="S116">
        <v>17.117000000000001</v>
      </c>
      <c r="T116">
        <v>35.619</v>
      </c>
      <c r="U116">
        <v>38.357999999999997</v>
      </c>
      <c r="W116">
        <v>-0.127</v>
      </c>
      <c r="X116">
        <v>-0.20200000000000001</v>
      </c>
      <c r="Z116">
        <v>-1.4999999999999999E-2</v>
      </c>
      <c r="AA116">
        <v>-0.14699999999999999</v>
      </c>
      <c r="AB116">
        <v>-0.20100000000000001</v>
      </c>
      <c r="AC116">
        <v>-0.13700000000000001</v>
      </c>
      <c r="AD116">
        <v>-0.127</v>
      </c>
      <c r="AE116">
        <v>-0.20200000000000001</v>
      </c>
      <c r="AF116">
        <v>-8.8999999999999996E-2</v>
      </c>
      <c r="AG116">
        <v>-0.14699999999999999</v>
      </c>
      <c r="AH116">
        <v>-7.2999999999999995E-2</v>
      </c>
      <c r="AI116">
        <v>-1.4999999999999999E-2</v>
      </c>
    </row>
    <row r="117" spans="1:35" x14ac:dyDescent="0.25">
      <c r="A117" t="s">
        <v>2532</v>
      </c>
      <c r="B117" t="s">
        <v>32</v>
      </c>
      <c r="C117" s="25">
        <v>43707.681840277779</v>
      </c>
      <c r="D117" s="741" t="s">
        <v>2238</v>
      </c>
      <c r="E117" s="741">
        <f t="array" ref="E117">SUMPRODUCT(IF(AMP5_2[[#This Row],[Dim 1_1]:[T 8]]-$F$4:$AI$4&lt;0,1,0)+IF($F$5:$AI$5-AMP5_2[[#This Row],[Dim 1_1]:[T 8]]&lt;0,1,0),IF(ISNUMBER(AMP5_2[[#This Row],[Dim 1_1]:[T 8]])=TRUE,1,0))</f>
        <v>0</v>
      </c>
      <c r="F117">
        <v>41.170999999999999</v>
      </c>
      <c r="G117">
        <v>40.941000000000003</v>
      </c>
      <c r="H117">
        <v>155.78399999999999</v>
      </c>
      <c r="I117">
        <v>155.745</v>
      </c>
      <c r="L117">
        <v>155.91200000000001</v>
      </c>
      <c r="M117">
        <v>155.66900000000001</v>
      </c>
      <c r="N117">
        <v>27.321999999999999</v>
      </c>
      <c r="O117">
        <v>27.518999999999998</v>
      </c>
      <c r="R117">
        <v>17.189</v>
      </c>
      <c r="S117">
        <v>17.280999999999999</v>
      </c>
      <c r="T117">
        <v>33.633000000000003</v>
      </c>
      <c r="U117">
        <v>33.405999999999999</v>
      </c>
      <c r="W117">
        <v>1.0999999999999999E-2</v>
      </c>
      <c r="X117">
        <v>-6.7000000000000004E-2</v>
      </c>
      <c r="Z117">
        <v>-8.9999999999999993E-3</v>
      </c>
      <c r="AA117">
        <v>-0.108</v>
      </c>
      <c r="AB117">
        <v>-3.9E-2</v>
      </c>
      <c r="AC117">
        <v>-2E-3</v>
      </c>
      <c r="AD117">
        <v>1.0999999999999999E-2</v>
      </c>
      <c r="AE117">
        <v>-6.7000000000000004E-2</v>
      </c>
      <c r="AF117">
        <v>-3.5000000000000003E-2</v>
      </c>
      <c r="AG117">
        <v>-0.108</v>
      </c>
      <c r="AH117">
        <v>-8.9999999999999993E-3</v>
      </c>
      <c r="AI117">
        <v>-2.4E-2</v>
      </c>
    </row>
    <row r="118" spans="1:35" x14ac:dyDescent="0.25">
      <c r="A118" t="s">
        <v>2533</v>
      </c>
      <c r="B118" t="s">
        <v>31</v>
      </c>
      <c r="C118" s="25">
        <v>43707.684317129628</v>
      </c>
      <c r="D118" s="741" t="s">
        <v>2238</v>
      </c>
      <c r="E118" s="741">
        <f t="array" ref="E118">SUMPRODUCT(IF(AMP5_2[[#This Row],[Dim 1_1]:[T 8]]-$F$4:$AI$4&lt;0,1,0)+IF($F$5:$AI$5-AMP5_2[[#This Row],[Dim 1_1]:[T 8]]&lt;0,1,0),IF(ISNUMBER(AMP5_2[[#This Row],[Dim 1_1]:[T 8]])=TRUE,1,0))</f>
        <v>0</v>
      </c>
      <c r="H118">
        <v>155.99700000000001</v>
      </c>
      <c r="I118">
        <v>156.18299999999999</v>
      </c>
      <c r="J118">
        <v>168.75399999999999</v>
      </c>
      <c r="K118">
        <v>168.499</v>
      </c>
      <c r="L118">
        <v>156.18</v>
      </c>
      <c r="M118">
        <v>156.07499999999999</v>
      </c>
      <c r="N118">
        <v>27.003</v>
      </c>
      <c r="O118">
        <v>27.169</v>
      </c>
      <c r="R118">
        <v>17.248999999999999</v>
      </c>
      <c r="S118">
        <v>17.175000000000001</v>
      </c>
      <c r="T118">
        <v>41.078000000000003</v>
      </c>
      <c r="U118">
        <v>42.063000000000002</v>
      </c>
      <c r="W118">
        <v>-0.13200000000000001</v>
      </c>
      <c r="X118">
        <v>-0.3</v>
      </c>
      <c r="Z118">
        <v>-0.106</v>
      </c>
      <c r="AA118">
        <v>-0.21099999999999999</v>
      </c>
      <c r="AB118">
        <v>-0.189</v>
      </c>
      <c r="AC118">
        <v>-0.13200000000000001</v>
      </c>
      <c r="AD118">
        <v>-0.192</v>
      </c>
      <c r="AE118">
        <v>-0.3</v>
      </c>
      <c r="AF118">
        <v>-0.127</v>
      </c>
      <c r="AG118">
        <v>-0.19500000000000001</v>
      </c>
      <c r="AH118">
        <v>-0.21099999999999999</v>
      </c>
      <c r="AI118">
        <v>-0.106</v>
      </c>
    </row>
    <row r="119" spans="1:35" x14ac:dyDescent="0.25">
      <c r="A119" t="s">
        <v>2534</v>
      </c>
      <c r="B119" t="s">
        <v>32</v>
      </c>
      <c r="C119" s="25">
        <v>43708.320798611108</v>
      </c>
      <c r="D119" s="741" t="s">
        <v>2238</v>
      </c>
      <c r="E119" s="741">
        <f t="array" ref="E119">SUMPRODUCT(IF(AMP5_2[[#This Row],[Dim 1_1]:[T 8]]-$F$4:$AI$4&lt;0,1,0)+IF($F$5:$AI$5-AMP5_2[[#This Row],[Dim 1_1]:[T 8]]&lt;0,1,0),IF(ISNUMBER(AMP5_2[[#This Row],[Dim 1_1]:[T 8]])=TRUE,1,0))</f>
        <v>1</v>
      </c>
      <c r="F119">
        <v>40.936</v>
      </c>
      <c r="G119">
        <v>40.652999999999999</v>
      </c>
      <c r="H119">
        <v>155.84200000000001</v>
      </c>
      <c r="I119">
        <v>155.81</v>
      </c>
      <c r="L119">
        <v>155.92500000000001</v>
      </c>
      <c r="M119">
        <v>155.66499999999999</v>
      </c>
      <c r="N119">
        <v>27.224</v>
      </c>
      <c r="O119">
        <v>27.385000000000002</v>
      </c>
      <c r="R119">
        <v>17.234000000000002</v>
      </c>
      <c r="S119">
        <v>17.341999999999999</v>
      </c>
      <c r="T119">
        <v>33.875999999999998</v>
      </c>
      <c r="U119">
        <v>33.837000000000003</v>
      </c>
      <c r="W119">
        <v>-6.6000000000000003E-2</v>
      </c>
      <c r="X119">
        <v>-0.151</v>
      </c>
      <c r="Z119">
        <v>4.8000000000000001E-2</v>
      </c>
      <c r="AA119">
        <v>-7.0000000000000007E-2</v>
      </c>
      <c r="AB119">
        <v>-0.114</v>
      </c>
      <c r="AC119">
        <v>-7.5999999999999998E-2</v>
      </c>
      <c r="AD119">
        <v>-6.6000000000000003E-2</v>
      </c>
      <c r="AE119">
        <v>-0.151</v>
      </c>
      <c r="AF119">
        <v>5.0000000000000001E-3</v>
      </c>
      <c r="AG119">
        <v>-7.0000000000000007E-2</v>
      </c>
      <c r="AH119">
        <v>4.8000000000000001E-2</v>
      </c>
      <c r="AI119">
        <v>7.0000000000000001E-3</v>
      </c>
    </row>
    <row r="120" spans="1:35" x14ac:dyDescent="0.25">
      <c r="A120" t="s">
        <v>2535</v>
      </c>
      <c r="B120" t="s">
        <v>31</v>
      </c>
      <c r="C120" s="25">
        <v>43708.323761574073</v>
      </c>
      <c r="D120" s="741" t="s">
        <v>2238</v>
      </c>
      <c r="E120" s="741">
        <f t="array" ref="E120">SUMPRODUCT(IF(AMP5_2[[#This Row],[Dim 1_1]:[T 8]]-$F$4:$AI$4&lt;0,1,0)+IF($F$5:$AI$5-AMP5_2[[#This Row],[Dim 1_1]:[T 8]]&lt;0,1,0),IF(ISNUMBER(AMP5_2[[#This Row],[Dim 1_1]:[T 8]])=TRUE,1,0))</f>
        <v>0</v>
      </c>
      <c r="H120">
        <v>156.03399999999999</v>
      </c>
      <c r="I120">
        <v>156.17400000000001</v>
      </c>
      <c r="J120">
        <v>168.554</v>
      </c>
      <c r="K120">
        <v>168.29400000000001</v>
      </c>
      <c r="L120">
        <v>156.21799999999999</v>
      </c>
      <c r="M120">
        <v>156.05199999999999</v>
      </c>
      <c r="N120">
        <v>26.994</v>
      </c>
      <c r="O120">
        <v>27.184999999999999</v>
      </c>
      <c r="R120">
        <v>17.260999999999999</v>
      </c>
      <c r="S120">
        <v>17.146000000000001</v>
      </c>
      <c r="T120">
        <v>38.561999999999998</v>
      </c>
      <c r="U120">
        <v>39.503</v>
      </c>
      <c r="W120">
        <v>-8.4000000000000005E-2</v>
      </c>
      <c r="X120">
        <v>-0.16300000000000001</v>
      </c>
      <c r="Z120">
        <v>7.6999999999999999E-2</v>
      </c>
      <c r="AA120">
        <v>-0.08</v>
      </c>
      <c r="AB120">
        <v>-0.154</v>
      </c>
      <c r="AC120">
        <v>-8.4000000000000005E-2</v>
      </c>
      <c r="AD120">
        <v>-9.8000000000000004E-2</v>
      </c>
      <c r="AE120">
        <v>-0.16300000000000001</v>
      </c>
      <c r="AF120">
        <v>-3.0000000000000001E-3</v>
      </c>
      <c r="AG120">
        <v>-0.08</v>
      </c>
      <c r="AH120">
        <v>-0.02</v>
      </c>
      <c r="AI120">
        <v>7.6999999999999999E-2</v>
      </c>
    </row>
    <row r="121" spans="1:35" x14ac:dyDescent="0.25">
      <c r="A121" t="s">
        <v>2536</v>
      </c>
      <c r="B121" t="s">
        <v>32</v>
      </c>
      <c r="C121" s="25">
        <v>43708.428657407407</v>
      </c>
      <c r="D121" s="741" t="s">
        <v>2238</v>
      </c>
      <c r="E121" s="741">
        <f t="array" ref="E121">SUMPRODUCT(IF(AMP5_2[[#This Row],[Dim 1_1]:[T 8]]-$F$4:$AI$4&lt;0,1,0)+IF($F$5:$AI$5-AMP5_2[[#This Row],[Dim 1_1]:[T 8]]&lt;0,1,0),IF(ISNUMBER(AMP5_2[[#This Row],[Dim 1_1]:[T 8]])=TRUE,1,0))</f>
        <v>0</v>
      </c>
      <c r="F121">
        <v>41.146999999999998</v>
      </c>
      <c r="G121">
        <v>40.814</v>
      </c>
      <c r="H121">
        <v>155.74799999999999</v>
      </c>
      <c r="I121">
        <v>155.77199999999999</v>
      </c>
      <c r="L121">
        <v>155.86000000000001</v>
      </c>
      <c r="M121">
        <v>155.589</v>
      </c>
      <c r="N121">
        <v>27.292000000000002</v>
      </c>
      <c r="O121">
        <v>27.48</v>
      </c>
      <c r="R121">
        <v>17.184000000000001</v>
      </c>
      <c r="S121">
        <v>17.314</v>
      </c>
      <c r="T121">
        <v>33.334000000000003</v>
      </c>
      <c r="U121">
        <v>34.061999999999998</v>
      </c>
      <c r="W121">
        <v>-3.7999999999999999E-2</v>
      </c>
      <c r="X121">
        <v>-6.4000000000000001E-2</v>
      </c>
      <c r="Z121">
        <v>-1.4999999999999999E-2</v>
      </c>
      <c r="AA121">
        <v>-7.2999999999999995E-2</v>
      </c>
      <c r="AB121">
        <v>-6.4000000000000001E-2</v>
      </c>
      <c r="AC121">
        <v>-4.4999999999999998E-2</v>
      </c>
      <c r="AD121">
        <v>-3.7999999999999999E-2</v>
      </c>
      <c r="AE121">
        <v>-4.4999999999999998E-2</v>
      </c>
      <c r="AF121">
        <v>-2.4E-2</v>
      </c>
      <c r="AG121">
        <v>-7.2999999999999995E-2</v>
      </c>
      <c r="AH121">
        <v>-1.4999999999999999E-2</v>
      </c>
      <c r="AI121">
        <v>-1.4999999999999999E-2</v>
      </c>
    </row>
    <row r="122" spans="1:35" x14ac:dyDescent="0.25">
      <c r="A122" t="s">
        <v>2537</v>
      </c>
      <c r="B122" t="s">
        <v>31</v>
      </c>
      <c r="C122" s="25">
        <v>43708.430856481478</v>
      </c>
      <c r="D122" s="741" t="s">
        <v>2238</v>
      </c>
      <c r="E122" s="741">
        <f t="array" ref="E122">SUMPRODUCT(IF(AMP5_2[[#This Row],[Dim 1_1]:[T 8]]-$F$4:$AI$4&lt;0,1,0)+IF($F$5:$AI$5-AMP5_2[[#This Row],[Dim 1_1]:[T 8]]&lt;0,1,0),IF(ISNUMBER(AMP5_2[[#This Row],[Dim 1_1]:[T 8]])=TRUE,1,0))</f>
        <v>0</v>
      </c>
      <c r="H122">
        <v>156.04900000000001</v>
      </c>
      <c r="I122">
        <v>156.16999999999999</v>
      </c>
      <c r="J122">
        <v>168.71199999999999</v>
      </c>
      <c r="K122">
        <v>168.47399999999999</v>
      </c>
      <c r="L122">
        <v>156.21</v>
      </c>
      <c r="M122">
        <v>156.06100000000001</v>
      </c>
      <c r="N122">
        <v>26.992000000000001</v>
      </c>
      <c r="O122">
        <v>27.14</v>
      </c>
      <c r="R122">
        <v>17.234000000000002</v>
      </c>
      <c r="S122">
        <v>17.169</v>
      </c>
      <c r="T122">
        <v>37.558999999999997</v>
      </c>
      <c r="U122">
        <v>38.667999999999999</v>
      </c>
      <c r="W122">
        <v>-0.09</v>
      </c>
      <c r="X122">
        <v>-0.317</v>
      </c>
      <c r="Z122">
        <v>1E-3</v>
      </c>
      <c r="AA122">
        <v>-9.5000000000000001E-2</v>
      </c>
      <c r="AB122">
        <v>-0.16200000000000001</v>
      </c>
      <c r="AC122">
        <v>-0.09</v>
      </c>
      <c r="AD122">
        <v>-0.18</v>
      </c>
      <c r="AE122">
        <v>-0.317</v>
      </c>
      <c r="AF122">
        <v>-4.0000000000000001E-3</v>
      </c>
      <c r="AG122">
        <v>-9.5000000000000001E-2</v>
      </c>
      <c r="AH122">
        <v>-8.1000000000000003E-2</v>
      </c>
      <c r="AI122">
        <v>1E-3</v>
      </c>
    </row>
    <row r="123" spans="1:35" x14ac:dyDescent="0.25">
      <c r="A123" t="s">
        <v>2538</v>
      </c>
      <c r="B123" t="s">
        <v>32</v>
      </c>
      <c r="C123" s="25">
        <v>43708.477395833332</v>
      </c>
      <c r="D123" s="741" t="s">
        <v>2238</v>
      </c>
      <c r="E123" s="741">
        <f t="array" ref="E123">SUMPRODUCT(IF(AMP5_2[[#This Row],[Dim 1_1]:[T 8]]-$F$4:$AI$4&lt;0,1,0)+IF($F$5:$AI$5-AMP5_2[[#This Row],[Dim 1_1]:[T 8]]&lt;0,1,0),IF(ISNUMBER(AMP5_2[[#This Row],[Dim 1_1]:[T 8]])=TRUE,1,0))</f>
        <v>1</v>
      </c>
      <c r="F123">
        <v>41.046999999999997</v>
      </c>
      <c r="G123">
        <v>40.707999999999998</v>
      </c>
      <c r="H123">
        <v>155.82</v>
      </c>
      <c r="I123">
        <v>155.785</v>
      </c>
      <c r="L123">
        <v>155.94300000000001</v>
      </c>
      <c r="M123">
        <v>155.65700000000001</v>
      </c>
      <c r="N123">
        <v>27.236999999999998</v>
      </c>
      <c r="O123">
        <v>27.411999999999999</v>
      </c>
      <c r="R123">
        <v>17.210999999999999</v>
      </c>
      <c r="S123">
        <v>17.286999999999999</v>
      </c>
      <c r="T123">
        <v>33.694000000000003</v>
      </c>
      <c r="U123">
        <v>33.606999999999999</v>
      </c>
      <c r="W123">
        <v>1.0999999999999999E-2</v>
      </c>
      <c r="X123">
        <v>-8.6999999999999994E-2</v>
      </c>
      <c r="Z123">
        <v>4.8000000000000001E-2</v>
      </c>
      <c r="AA123">
        <v>-8.8999999999999996E-2</v>
      </c>
      <c r="AB123">
        <v>-8.6999999999999994E-2</v>
      </c>
      <c r="AC123">
        <v>-5.1999999999999998E-2</v>
      </c>
      <c r="AD123">
        <v>1.0999999999999999E-2</v>
      </c>
      <c r="AE123">
        <v>-3.3000000000000002E-2</v>
      </c>
      <c r="AF123">
        <v>-2.5999999999999999E-2</v>
      </c>
      <c r="AG123">
        <v>-8.8999999999999996E-2</v>
      </c>
      <c r="AH123">
        <v>4.8000000000000001E-2</v>
      </c>
      <c r="AI123">
        <v>-5.0000000000000001E-3</v>
      </c>
    </row>
    <row r="124" spans="1:35" x14ac:dyDescent="0.25">
      <c r="A124" t="s">
        <v>2539</v>
      </c>
      <c r="B124" t="s">
        <v>31</v>
      </c>
      <c r="C124" s="25">
        <v>43708.481481481482</v>
      </c>
      <c r="D124" s="741" t="s">
        <v>2238</v>
      </c>
      <c r="E124" s="741">
        <f t="array" ref="E124">SUMPRODUCT(IF(AMP5_2[[#This Row],[Dim 1_1]:[T 8]]-$F$4:$AI$4&lt;0,1,0)+IF($F$5:$AI$5-AMP5_2[[#This Row],[Dim 1_1]:[T 8]]&lt;0,1,0),IF(ISNUMBER(AMP5_2[[#This Row],[Dim 1_1]:[T 8]])=TRUE,1,0))</f>
        <v>0</v>
      </c>
      <c r="H124">
        <v>156.10499999999999</v>
      </c>
      <c r="I124">
        <v>156.28100000000001</v>
      </c>
      <c r="J124">
        <v>168.69399999999999</v>
      </c>
      <c r="K124">
        <v>168.489</v>
      </c>
      <c r="L124">
        <v>156.22900000000001</v>
      </c>
      <c r="M124">
        <v>156.14699999999999</v>
      </c>
      <c r="N124">
        <v>26.959</v>
      </c>
      <c r="O124">
        <v>27.071000000000002</v>
      </c>
      <c r="R124">
        <v>17.257999999999999</v>
      </c>
      <c r="S124">
        <v>17.222000000000001</v>
      </c>
      <c r="T124">
        <v>36.911999999999999</v>
      </c>
      <c r="U124">
        <v>37.569000000000003</v>
      </c>
      <c r="W124">
        <v>-0.13900000000000001</v>
      </c>
      <c r="X124">
        <v>-0.34599999999999997</v>
      </c>
      <c r="Z124">
        <v>-4.2000000000000003E-2</v>
      </c>
      <c r="AA124">
        <v>-0.158</v>
      </c>
      <c r="AB124">
        <v>-0.20599999999999999</v>
      </c>
      <c r="AC124">
        <v>-0.13900000000000001</v>
      </c>
      <c r="AD124">
        <v>-0.23499999999999999</v>
      </c>
      <c r="AE124">
        <v>-0.34599999999999997</v>
      </c>
      <c r="AF124">
        <v>-4.2000000000000003E-2</v>
      </c>
      <c r="AG124">
        <v>-0.123</v>
      </c>
      <c r="AH124">
        <v>-0.158</v>
      </c>
      <c r="AI124">
        <v>-4.9000000000000002E-2</v>
      </c>
    </row>
    <row r="125" spans="1:35" x14ac:dyDescent="0.25">
      <c r="A125" t="s">
        <v>2540</v>
      </c>
      <c r="B125" t="s">
        <v>32</v>
      </c>
      <c r="C125" s="25">
        <v>43708.599004629628</v>
      </c>
      <c r="D125" s="741" t="s">
        <v>2238</v>
      </c>
      <c r="E125" s="741">
        <f t="array" ref="E125">SUMPRODUCT(IF(AMP5_2[[#This Row],[Dim 1_1]:[T 8]]-$F$4:$AI$4&lt;0,1,0)+IF($F$5:$AI$5-AMP5_2[[#This Row],[Dim 1_1]:[T 8]]&lt;0,1,0),IF(ISNUMBER(AMP5_2[[#This Row],[Dim 1_1]:[T 8]])=TRUE,1,0))</f>
        <v>1</v>
      </c>
      <c r="F125">
        <v>41.018000000000001</v>
      </c>
      <c r="G125">
        <v>40.716999999999999</v>
      </c>
      <c r="H125">
        <v>155.89500000000001</v>
      </c>
      <c r="I125">
        <v>155.76400000000001</v>
      </c>
      <c r="L125">
        <v>156.00200000000001</v>
      </c>
      <c r="M125">
        <v>155.691</v>
      </c>
      <c r="N125">
        <v>27.172999999999998</v>
      </c>
      <c r="O125">
        <v>27.38</v>
      </c>
      <c r="R125">
        <v>17.202000000000002</v>
      </c>
      <c r="S125">
        <v>17.323</v>
      </c>
      <c r="T125">
        <v>33.32</v>
      </c>
      <c r="U125">
        <v>33.683</v>
      </c>
      <c r="W125">
        <v>-4.1000000000000002E-2</v>
      </c>
      <c r="X125">
        <v>-0.128</v>
      </c>
      <c r="Z125">
        <v>2.5000000000000001E-2</v>
      </c>
      <c r="AA125">
        <v>-0.16500000000000001</v>
      </c>
      <c r="AB125">
        <v>-0.128</v>
      </c>
      <c r="AC125">
        <v>-8.2000000000000003E-2</v>
      </c>
      <c r="AD125">
        <v>-4.1000000000000002E-2</v>
      </c>
      <c r="AE125">
        <v>-6.9000000000000006E-2</v>
      </c>
      <c r="AF125">
        <v>-7.0999999999999994E-2</v>
      </c>
      <c r="AG125">
        <v>-0.16500000000000001</v>
      </c>
      <c r="AH125">
        <v>2.5000000000000001E-2</v>
      </c>
      <c r="AI125">
        <v>-8.8999999999999996E-2</v>
      </c>
    </row>
    <row r="126" spans="1:35" x14ac:dyDescent="0.25">
      <c r="A126" t="s">
        <v>2541</v>
      </c>
      <c r="B126" t="s">
        <v>31</v>
      </c>
      <c r="C126" s="25">
        <v>43708.601886574077</v>
      </c>
      <c r="D126" s="741" t="s">
        <v>2238</v>
      </c>
      <c r="E126" s="741">
        <f t="array" ref="E126">SUMPRODUCT(IF(AMP5_2[[#This Row],[Dim 1_1]:[T 8]]-$F$4:$AI$4&lt;0,1,0)+IF($F$5:$AI$5-AMP5_2[[#This Row],[Dim 1_1]:[T 8]]&lt;0,1,0),IF(ISNUMBER(AMP5_2[[#This Row],[Dim 1_1]:[T 8]])=TRUE,1,0))</f>
        <v>0</v>
      </c>
      <c r="H126">
        <v>156.126</v>
      </c>
      <c r="I126">
        <v>156.25</v>
      </c>
      <c r="J126">
        <v>168.73</v>
      </c>
      <c r="K126">
        <v>168.08799999999999</v>
      </c>
      <c r="L126">
        <v>156.26900000000001</v>
      </c>
      <c r="M126">
        <v>156.12700000000001</v>
      </c>
      <c r="N126">
        <v>26.908000000000001</v>
      </c>
      <c r="O126">
        <v>27.079000000000001</v>
      </c>
      <c r="R126">
        <v>17.260000000000002</v>
      </c>
      <c r="S126">
        <v>17.241</v>
      </c>
      <c r="T126">
        <v>38.655999999999999</v>
      </c>
      <c r="U126">
        <v>39.652000000000001</v>
      </c>
      <c r="W126">
        <v>-0.2</v>
      </c>
      <c r="X126">
        <v>-0.33600000000000002</v>
      </c>
      <c r="Z126">
        <v>-8.7999999999999995E-2</v>
      </c>
      <c r="AA126">
        <v>-0.22</v>
      </c>
      <c r="AB126">
        <v>-0.24199999999999999</v>
      </c>
      <c r="AC126">
        <v>-0.2</v>
      </c>
      <c r="AD126">
        <v>-0.22600000000000001</v>
      </c>
      <c r="AE126">
        <v>-0.33600000000000002</v>
      </c>
      <c r="AF126">
        <v>-0.14399999999999999</v>
      </c>
      <c r="AG126">
        <v>-0.22</v>
      </c>
      <c r="AH126">
        <v>-0.14799999999999999</v>
      </c>
      <c r="AI126">
        <v>-8.7999999999999995E-2</v>
      </c>
    </row>
    <row r="127" spans="1:35" x14ac:dyDescent="0.25">
      <c r="A127" t="s">
        <v>2542</v>
      </c>
      <c r="B127" t="s">
        <v>32</v>
      </c>
      <c r="C127" s="25">
        <v>43708.646180555559</v>
      </c>
      <c r="D127" s="741" t="s">
        <v>2238</v>
      </c>
      <c r="E127" s="741">
        <f t="array" ref="E127">SUMPRODUCT(IF(AMP5_2[[#This Row],[Dim 1_1]:[T 8]]-$F$4:$AI$4&lt;0,1,0)+IF($F$5:$AI$5-AMP5_2[[#This Row],[Dim 1_1]:[T 8]]&lt;0,1,0),IF(ISNUMBER(AMP5_2[[#This Row],[Dim 1_1]:[T 8]])=TRUE,1,0))</f>
        <v>1</v>
      </c>
      <c r="F127">
        <v>41.003</v>
      </c>
      <c r="G127">
        <v>40.680999999999997</v>
      </c>
      <c r="H127">
        <v>155.87299999999999</v>
      </c>
      <c r="I127">
        <v>155.77500000000001</v>
      </c>
      <c r="L127">
        <v>156.11699999999999</v>
      </c>
      <c r="M127">
        <v>155.79599999999999</v>
      </c>
      <c r="N127">
        <v>27.123000000000001</v>
      </c>
      <c r="O127">
        <v>27.364000000000001</v>
      </c>
      <c r="R127">
        <v>17.204000000000001</v>
      </c>
      <c r="S127">
        <v>17.196000000000002</v>
      </c>
      <c r="T127">
        <v>33.465000000000003</v>
      </c>
      <c r="U127">
        <v>33.734999999999999</v>
      </c>
      <c r="W127">
        <v>-0.505</v>
      </c>
      <c r="X127">
        <v>-0.68400000000000005</v>
      </c>
      <c r="Z127">
        <v>3.5999999999999997E-2</v>
      </c>
      <c r="AA127">
        <v>-0.20599999999999999</v>
      </c>
      <c r="AB127">
        <v>-0.68400000000000005</v>
      </c>
      <c r="AC127">
        <v>-0.61399999999999999</v>
      </c>
      <c r="AD127">
        <v>-0.505</v>
      </c>
      <c r="AE127">
        <v>-0.505</v>
      </c>
      <c r="AF127">
        <v>-0.15</v>
      </c>
      <c r="AG127">
        <v>-0.20599999999999999</v>
      </c>
      <c r="AH127">
        <v>3.5999999999999997E-2</v>
      </c>
      <c r="AI127">
        <v>-1.9E-2</v>
      </c>
    </row>
    <row r="128" spans="1:35" x14ac:dyDescent="0.25">
      <c r="A128" t="s">
        <v>2543</v>
      </c>
      <c r="B128" t="s">
        <v>31</v>
      </c>
      <c r="C128" s="25">
        <v>43708.649039351854</v>
      </c>
      <c r="D128" s="741" t="s">
        <v>2238</v>
      </c>
      <c r="E128" s="741">
        <f t="array" ref="E128">SUMPRODUCT(IF(AMP5_2[[#This Row],[Dim 1_1]:[T 8]]-$F$4:$AI$4&lt;0,1,0)+IF($F$5:$AI$5-AMP5_2[[#This Row],[Dim 1_1]:[T 8]]&lt;0,1,0),IF(ISNUMBER(AMP5_2[[#This Row],[Dim 1_1]:[T 8]])=TRUE,1,0))</f>
        <v>0</v>
      </c>
      <c r="H128">
        <v>156.25</v>
      </c>
      <c r="I128">
        <v>156.40199999999999</v>
      </c>
      <c r="J128">
        <v>168.691</v>
      </c>
      <c r="K128">
        <v>168.33099999999999</v>
      </c>
      <c r="L128">
        <v>156.446</v>
      </c>
      <c r="M128">
        <v>156.37299999999999</v>
      </c>
      <c r="N128">
        <v>26.867999999999999</v>
      </c>
      <c r="O128">
        <v>26.954999999999998</v>
      </c>
      <c r="R128">
        <v>17.27</v>
      </c>
      <c r="S128">
        <v>17.331</v>
      </c>
      <c r="T128">
        <v>37.5</v>
      </c>
      <c r="U128">
        <v>39.786999999999999</v>
      </c>
      <c r="W128">
        <v>-8.1000000000000003E-2</v>
      </c>
      <c r="X128">
        <v>-0.28699999999999998</v>
      </c>
      <c r="Z128">
        <v>0.35499999999999998</v>
      </c>
      <c r="AA128">
        <v>0.183</v>
      </c>
      <c r="AB128">
        <v>-0.18</v>
      </c>
      <c r="AC128">
        <v>-8.1000000000000003E-2</v>
      </c>
      <c r="AD128">
        <v>-0.23300000000000001</v>
      </c>
      <c r="AE128">
        <v>-0.28699999999999998</v>
      </c>
      <c r="AF128">
        <v>0.30599999999999999</v>
      </c>
      <c r="AG128">
        <v>0.252</v>
      </c>
      <c r="AH128">
        <v>0.183</v>
      </c>
      <c r="AI128">
        <v>0.35499999999999998</v>
      </c>
    </row>
    <row r="129" spans="1:35" x14ac:dyDescent="0.25">
      <c r="A129" t="s">
        <v>2620</v>
      </c>
      <c r="B129" t="s">
        <v>32</v>
      </c>
      <c r="C129" s="25">
        <v>43711.430462962962</v>
      </c>
      <c r="D129" s="741" t="s">
        <v>2238</v>
      </c>
      <c r="E129" s="741">
        <f t="array" ref="E129">SUMPRODUCT(IF(AMP5_2[[#This Row],[Dim 1_1]:[T 8]]-$F$4:$AI$4&lt;0,1,0)+IF($F$5:$AI$5-AMP5_2[[#This Row],[Dim 1_1]:[T 8]]&lt;0,1,0),IF(ISNUMBER(AMP5_2[[#This Row],[Dim 1_1]:[T 8]])=TRUE,1,0))</f>
        <v>2</v>
      </c>
      <c r="F129">
        <v>40.765000000000001</v>
      </c>
      <c r="G129">
        <v>40.429000000000002</v>
      </c>
      <c r="H129">
        <v>156.01400000000001</v>
      </c>
      <c r="I129">
        <v>155.977</v>
      </c>
      <c r="L129">
        <v>156.12200000000001</v>
      </c>
      <c r="M129">
        <v>155.87899999999999</v>
      </c>
      <c r="N129">
        <v>27.004999999999999</v>
      </c>
      <c r="O129">
        <v>27.260999999999999</v>
      </c>
      <c r="R129">
        <v>17.193000000000001</v>
      </c>
      <c r="S129">
        <v>17.198</v>
      </c>
      <c r="T129">
        <v>33.796999999999997</v>
      </c>
      <c r="U129">
        <v>34.058</v>
      </c>
      <c r="W129">
        <v>-2.4E-2</v>
      </c>
      <c r="X129">
        <v>-0.16800000000000001</v>
      </c>
      <c r="Z129">
        <v>0.22500000000000001</v>
      </c>
      <c r="AA129">
        <v>-0.17199999999999999</v>
      </c>
      <c r="AB129">
        <v>-0.16800000000000001</v>
      </c>
      <c r="AC129">
        <v>-0.112</v>
      </c>
      <c r="AD129">
        <v>-2.4E-2</v>
      </c>
      <c r="AE129">
        <v>-3.4000000000000002E-2</v>
      </c>
      <c r="AF129">
        <v>-8.5000000000000006E-2</v>
      </c>
      <c r="AG129">
        <v>-0.17199999999999999</v>
      </c>
      <c r="AH129">
        <v>0.22500000000000001</v>
      </c>
      <c r="AI129">
        <v>-2.8000000000000001E-2</v>
      </c>
    </row>
    <row r="130" spans="1:35" x14ac:dyDescent="0.25">
      <c r="A130" t="s">
        <v>2620</v>
      </c>
      <c r="B130" t="s">
        <v>32</v>
      </c>
      <c r="C130" s="25">
        <v>43711.437199074076</v>
      </c>
      <c r="D130" s="741" t="s">
        <v>2238</v>
      </c>
      <c r="E130" s="741">
        <f t="array" ref="E130">SUMPRODUCT(IF(AMP5_2[[#This Row],[Dim 1_1]:[T 8]]-$F$4:$AI$4&lt;0,1,0)+IF($F$5:$AI$5-AMP5_2[[#This Row],[Dim 1_1]:[T 8]]&lt;0,1,0),IF(ISNUMBER(AMP5_2[[#This Row],[Dim 1_1]:[T 8]])=TRUE,1,0))</f>
        <v>2</v>
      </c>
      <c r="F130">
        <v>40.762</v>
      </c>
      <c r="G130">
        <v>40.423000000000002</v>
      </c>
      <c r="H130">
        <v>156.01400000000001</v>
      </c>
      <c r="I130">
        <v>155.97800000000001</v>
      </c>
      <c r="L130">
        <v>156.126</v>
      </c>
      <c r="M130">
        <v>155.88499999999999</v>
      </c>
      <c r="N130">
        <v>27</v>
      </c>
      <c r="O130">
        <v>27.254999999999999</v>
      </c>
      <c r="R130">
        <v>17.190000000000001</v>
      </c>
      <c r="S130">
        <v>17.195</v>
      </c>
      <c r="T130">
        <v>33.796999999999997</v>
      </c>
      <c r="U130">
        <v>34.061999999999998</v>
      </c>
      <c r="W130">
        <v>-2.4E-2</v>
      </c>
      <c r="X130">
        <v>-0.17199999999999999</v>
      </c>
      <c r="Z130">
        <v>0.22600000000000001</v>
      </c>
      <c r="AA130">
        <v>-0.17299999999999999</v>
      </c>
      <c r="AB130">
        <v>-0.17199999999999999</v>
      </c>
      <c r="AC130">
        <v>-0.115</v>
      </c>
      <c r="AD130">
        <v>-2.4E-2</v>
      </c>
      <c r="AE130">
        <v>-3.4000000000000002E-2</v>
      </c>
      <c r="AF130">
        <v>-8.5999999999999993E-2</v>
      </c>
      <c r="AG130">
        <v>-0.17299999999999999</v>
      </c>
      <c r="AH130">
        <v>0.22600000000000001</v>
      </c>
      <c r="AI130">
        <v>-2.5000000000000001E-2</v>
      </c>
    </row>
    <row r="131" spans="1:35" x14ac:dyDescent="0.25">
      <c r="A131" t="s">
        <v>2621</v>
      </c>
      <c r="B131" t="s">
        <v>31</v>
      </c>
      <c r="C131" s="25">
        <v>43711.439432870371</v>
      </c>
      <c r="D131" s="741" t="s">
        <v>2238</v>
      </c>
      <c r="E131" s="741">
        <f t="array" ref="E131">SUMPRODUCT(IF(AMP5_2[[#This Row],[Dim 1_1]:[T 8]]-$F$4:$AI$4&lt;0,1,0)+IF($F$5:$AI$5-AMP5_2[[#This Row],[Dim 1_1]:[T 8]]&lt;0,1,0),IF(ISNUMBER(AMP5_2[[#This Row],[Dim 1_1]:[T 8]])=TRUE,1,0))</f>
        <v>0</v>
      </c>
      <c r="H131">
        <v>155.93700000000001</v>
      </c>
      <c r="I131">
        <v>155.96</v>
      </c>
      <c r="J131">
        <v>168.298</v>
      </c>
      <c r="K131">
        <v>168.148</v>
      </c>
      <c r="L131">
        <v>156.13999999999999</v>
      </c>
      <c r="M131">
        <v>156.00399999999999</v>
      </c>
      <c r="N131">
        <v>27.117000000000001</v>
      </c>
      <c r="O131">
        <v>27.347000000000001</v>
      </c>
      <c r="R131">
        <v>17.399000000000001</v>
      </c>
      <c r="S131">
        <v>17.116</v>
      </c>
      <c r="T131">
        <v>34.298999999999999</v>
      </c>
      <c r="U131">
        <v>36.466000000000001</v>
      </c>
      <c r="W131">
        <v>0.311</v>
      </c>
      <c r="X131">
        <v>-0.215</v>
      </c>
      <c r="Z131">
        <v>0.26800000000000002</v>
      </c>
      <c r="AA131">
        <v>-0.39300000000000002</v>
      </c>
      <c r="AB131">
        <v>-0.215</v>
      </c>
      <c r="AC131">
        <v>-0.15</v>
      </c>
      <c r="AD131">
        <v>0.29699999999999999</v>
      </c>
      <c r="AE131">
        <v>0.311</v>
      </c>
      <c r="AF131">
        <v>-0.39300000000000002</v>
      </c>
      <c r="AG131">
        <v>-0.373</v>
      </c>
      <c r="AH131">
        <v>7.0000000000000007E-2</v>
      </c>
      <c r="AI131">
        <v>0.26800000000000002</v>
      </c>
    </row>
    <row r="132" spans="1:35" x14ac:dyDescent="0.25">
      <c r="A132" t="s">
        <v>2736</v>
      </c>
      <c r="B132" t="s">
        <v>32</v>
      </c>
      <c r="C132" s="25">
        <v>43711.533854166664</v>
      </c>
      <c r="D132" s="741" t="s">
        <v>2238</v>
      </c>
      <c r="E132" s="741">
        <f t="array" ref="E132">SUMPRODUCT(IF(AMP5_2[[#This Row],[Dim 1_1]:[T 8]]-$F$4:$AI$4&lt;0,1,0)+IF($F$5:$AI$5-AMP5_2[[#This Row],[Dim 1_1]:[T 8]]&lt;0,1,0),IF(ISNUMBER(AMP5_2[[#This Row],[Dim 1_1]:[T 8]])=TRUE,1,0))</f>
        <v>0</v>
      </c>
      <c r="F132">
        <v>41.487000000000002</v>
      </c>
      <c r="G132">
        <v>41.167000000000002</v>
      </c>
      <c r="H132">
        <v>155.67099999999999</v>
      </c>
      <c r="I132">
        <v>155.74199999999999</v>
      </c>
      <c r="L132">
        <v>155.71899999999999</v>
      </c>
      <c r="M132">
        <v>155.624</v>
      </c>
      <c r="N132">
        <v>27.483000000000001</v>
      </c>
      <c r="O132">
        <v>27.574999999999999</v>
      </c>
      <c r="R132">
        <v>17.262</v>
      </c>
      <c r="S132">
        <v>17.321999999999999</v>
      </c>
      <c r="T132">
        <v>33.744999999999997</v>
      </c>
      <c r="U132">
        <v>33.756</v>
      </c>
      <c r="W132">
        <v>0.24099999999999999</v>
      </c>
      <c r="X132">
        <v>3.4000000000000002E-2</v>
      </c>
      <c r="Z132">
        <v>0.14299999999999999</v>
      </c>
      <c r="AA132">
        <v>4.3999999999999997E-2</v>
      </c>
      <c r="AB132">
        <v>0.216</v>
      </c>
      <c r="AC132">
        <v>0.24099999999999999</v>
      </c>
      <c r="AD132">
        <v>0.124</v>
      </c>
      <c r="AE132">
        <v>3.4000000000000002E-2</v>
      </c>
      <c r="AF132">
        <v>0.127</v>
      </c>
      <c r="AG132">
        <v>0.1</v>
      </c>
      <c r="AH132">
        <v>4.3999999999999997E-2</v>
      </c>
      <c r="AI132">
        <v>0.14299999999999999</v>
      </c>
    </row>
    <row r="133" spans="1:35" x14ac:dyDescent="0.25">
      <c r="A133" t="s">
        <v>2737</v>
      </c>
      <c r="B133" t="s">
        <v>31</v>
      </c>
      <c r="C133" s="25">
        <v>43711.53597222222</v>
      </c>
      <c r="D133" s="741" t="s">
        <v>2238</v>
      </c>
      <c r="E133" s="741">
        <f t="array" ref="E133">SUMPRODUCT(IF(AMP5_2[[#This Row],[Dim 1_1]:[T 8]]-$F$4:$AI$4&lt;0,1,0)+IF($F$5:$AI$5-AMP5_2[[#This Row],[Dim 1_1]:[T 8]]&lt;0,1,0),IF(ISNUMBER(AMP5_2[[#This Row],[Dim 1_1]:[T 8]])=TRUE,1,0))</f>
        <v>0</v>
      </c>
      <c r="H133">
        <v>155.477</v>
      </c>
      <c r="I133">
        <v>155.40199999999999</v>
      </c>
      <c r="J133">
        <v>168.495</v>
      </c>
      <c r="K133">
        <v>168.172</v>
      </c>
      <c r="L133">
        <v>155.61199999999999</v>
      </c>
      <c r="M133">
        <v>155.32599999999999</v>
      </c>
      <c r="N133">
        <v>27.596</v>
      </c>
      <c r="O133">
        <v>27.95</v>
      </c>
      <c r="R133">
        <v>17.271999999999998</v>
      </c>
      <c r="S133">
        <v>17.329000000000001</v>
      </c>
      <c r="T133">
        <v>36.997</v>
      </c>
      <c r="U133">
        <v>37.485999999999997</v>
      </c>
      <c r="W133">
        <v>0.28799999999999998</v>
      </c>
      <c r="X133">
        <v>0.17</v>
      </c>
      <c r="Z133">
        <v>0.21199999999999999</v>
      </c>
      <c r="AA133">
        <v>0.11700000000000001</v>
      </c>
      <c r="AB133">
        <v>0.17</v>
      </c>
      <c r="AC133">
        <v>0.22800000000000001</v>
      </c>
      <c r="AD133">
        <v>0.26700000000000002</v>
      </c>
      <c r="AE133">
        <v>0.28799999999999998</v>
      </c>
      <c r="AF133">
        <v>0.16500000000000001</v>
      </c>
      <c r="AG133">
        <v>0.11700000000000001</v>
      </c>
      <c r="AH133">
        <v>0.13500000000000001</v>
      </c>
      <c r="AI133">
        <v>0.21199999999999999</v>
      </c>
    </row>
    <row r="134" spans="1:35" x14ac:dyDescent="0.25">
      <c r="A134" t="s">
        <v>2738</v>
      </c>
      <c r="B134" t="s">
        <v>32</v>
      </c>
      <c r="C134" s="25">
        <v>43711.676192129627</v>
      </c>
      <c r="D134" s="741" t="s">
        <v>2238</v>
      </c>
      <c r="E134" s="741">
        <f t="array" ref="E134">SUMPRODUCT(IF(AMP5_2[[#This Row],[Dim 1_1]:[T 8]]-$F$4:$AI$4&lt;0,1,0)+IF($F$5:$AI$5-AMP5_2[[#This Row],[Dim 1_1]:[T 8]]&lt;0,1,0),IF(ISNUMBER(AMP5_2[[#This Row],[Dim 1_1]:[T 8]])=TRUE,1,0))</f>
        <v>0</v>
      </c>
      <c r="F134">
        <v>41.713000000000001</v>
      </c>
      <c r="G134">
        <v>41.646000000000001</v>
      </c>
      <c r="H134">
        <v>155.63900000000001</v>
      </c>
      <c r="I134">
        <v>155.709</v>
      </c>
      <c r="L134">
        <v>155.70500000000001</v>
      </c>
      <c r="M134">
        <v>155.55600000000001</v>
      </c>
      <c r="N134">
        <v>27.495000000000001</v>
      </c>
      <c r="O134">
        <v>27.613</v>
      </c>
      <c r="R134">
        <v>17.236999999999998</v>
      </c>
      <c r="S134">
        <v>17.318000000000001</v>
      </c>
      <c r="T134">
        <v>33.590000000000003</v>
      </c>
      <c r="U134">
        <v>33.920999999999999</v>
      </c>
      <c r="W134">
        <v>0.26400000000000001</v>
      </c>
      <c r="X134">
        <v>6.2E-2</v>
      </c>
      <c r="Z134">
        <v>0.114</v>
      </c>
      <c r="AA134">
        <v>-1.4E-2</v>
      </c>
      <c r="AB134">
        <v>0.24</v>
      </c>
      <c r="AC134">
        <v>0.26400000000000001</v>
      </c>
      <c r="AD134">
        <v>9.2999999999999999E-2</v>
      </c>
      <c r="AE134">
        <v>6.2E-2</v>
      </c>
      <c r="AF134">
        <v>0.114</v>
      </c>
      <c r="AG134">
        <v>6.4000000000000001E-2</v>
      </c>
      <c r="AH134">
        <v>-1.4E-2</v>
      </c>
      <c r="AI134">
        <v>6.5000000000000002E-2</v>
      </c>
    </row>
    <row r="135" spans="1:35" x14ac:dyDescent="0.25">
      <c r="A135" t="s">
        <v>2739</v>
      </c>
      <c r="B135" t="s">
        <v>31</v>
      </c>
      <c r="C135" s="25">
        <v>43711.678229166668</v>
      </c>
      <c r="D135" s="741" t="s">
        <v>2238</v>
      </c>
      <c r="E135" s="741">
        <f t="array" ref="E135">SUMPRODUCT(IF(AMP5_2[[#This Row],[Dim 1_1]:[T 8]]-$F$4:$AI$4&lt;0,1,0)+IF($F$5:$AI$5-AMP5_2[[#This Row],[Dim 1_1]:[T 8]]&lt;0,1,0),IF(ISNUMBER(AMP5_2[[#This Row],[Dim 1_1]:[T 8]])=TRUE,1,0))</f>
        <v>0</v>
      </c>
      <c r="H135">
        <v>155.42699999999999</v>
      </c>
      <c r="I135">
        <v>155.45400000000001</v>
      </c>
      <c r="J135">
        <v>168.71899999999999</v>
      </c>
      <c r="K135">
        <v>168.7</v>
      </c>
      <c r="L135">
        <v>155.59200000000001</v>
      </c>
      <c r="M135">
        <v>155.38499999999999</v>
      </c>
      <c r="N135">
        <v>27.611999999999998</v>
      </c>
      <c r="O135">
        <v>27.893999999999998</v>
      </c>
      <c r="R135">
        <v>17.276</v>
      </c>
      <c r="S135">
        <v>17.242000000000001</v>
      </c>
      <c r="T135">
        <v>38.176000000000002</v>
      </c>
      <c r="U135">
        <v>39.572000000000003</v>
      </c>
      <c r="W135">
        <v>0.26900000000000002</v>
      </c>
      <c r="X135">
        <v>0.126</v>
      </c>
      <c r="Z135">
        <v>0.16700000000000001</v>
      </c>
      <c r="AA135">
        <v>8.2000000000000003E-2</v>
      </c>
      <c r="AB135">
        <v>0.126</v>
      </c>
      <c r="AC135">
        <v>0.20300000000000001</v>
      </c>
      <c r="AD135">
        <v>0.20300000000000001</v>
      </c>
      <c r="AE135">
        <v>0.26900000000000002</v>
      </c>
      <c r="AF135">
        <v>0.124</v>
      </c>
      <c r="AG135">
        <v>8.2000000000000003E-2</v>
      </c>
      <c r="AH135">
        <v>0.104</v>
      </c>
      <c r="AI135">
        <v>0.16700000000000001</v>
      </c>
    </row>
    <row r="136" spans="1:35" x14ac:dyDescent="0.25">
      <c r="A136" t="s">
        <v>2740</v>
      </c>
      <c r="B136" t="s">
        <v>32</v>
      </c>
      <c r="C136" s="25">
        <v>43711.755543981482</v>
      </c>
      <c r="D136" s="741" t="s">
        <v>2238</v>
      </c>
      <c r="E136" s="741">
        <f t="array" ref="E136">SUMPRODUCT(IF(AMP5_2[[#This Row],[Dim 1_1]:[T 8]]-$F$4:$AI$4&lt;0,1,0)+IF($F$5:$AI$5-AMP5_2[[#This Row],[Dim 1_1]:[T 8]]&lt;0,1,0),IF(ISNUMBER(AMP5_2[[#This Row],[Dim 1_1]:[T 8]])=TRUE,1,0))</f>
        <v>0</v>
      </c>
      <c r="F136">
        <v>41.634999999999998</v>
      </c>
      <c r="G136">
        <v>41.603000000000002</v>
      </c>
      <c r="H136">
        <v>155.845</v>
      </c>
      <c r="I136">
        <v>155.89400000000001</v>
      </c>
      <c r="L136">
        <v>155.85499999999999</v>
      </c>
      <c r="M136">
        <v>155.70599999999999</v>
      </c>
      <c r="N136">
        <v>27.341999999999999</v>
      </c>
      <c r="O136">
        <v>27.448</v>
      </c>
      <c r="R136">
        <v>17.253</v>
      </c>
      <c r="S136">
        <v>17.253</v>
      </c>
      <c r="T136">
        <v>33.369999999999997</v>
      </c>
      <c r="U136">
        <v>33.945999999999998</v>
      </c>
      <c r="W136">
        <v>0.08</v>
      </c>
      <c r="X136">
        <v>-0.02</v>
      </c>
      <c r="Z136">
        <v>4.2999999999999997E-2</v>
      </c>
      <c r="AA136">
        <v>-7.6999999999999999E-2</v>
      </c>
      <c r="AB136">
        <v>5.5E-2</v>
      </c>
      <c r="AC136">
        <v>7.9000000000000001E-2</v>
      </c>
      <c r="AD136">
        <v>0.08</v>
      </c>
      <c r="AE136">
        <v>-0.02</v>
      </c>
      <c r="AF136">
        <v>-2.3E-2</v>
      </c>
      <c r="AG136">
        <v>-7.6999999999999999E-2</v>
      </c>
      <c r="AH136">
        <v>-1.4999999999999999E-2</v>
      </c>
      <c r="AI136">
        <v>4.2999999999999997E-2</v>
      </c>
    </row>
    <row r="137" spans="1:35" x14ac:dyDescent="0.25">
      <c r="A137" t="s">
        <v>2741</v>
      </c>
      <c r="B137" t="s">
        <v>31</v>
      </c>
      <c r="C137" s="25">
        <v>43711.759733796294</v>
      </c>
      <c r="D137" s="741" t="s">
        <v>2238</v>
      </c>
      <c r="E137" s="741">
        <f t="array" ref="E137">SUMPRODUCT(IF(AMP5_2[[#This Row],[Dim 1_1]:[T 8]]-$F$4:$AI$4&lt;0,1,0)+IF($F$5:$AI$5-AMP5_2[[#This Row],[Dim 1_1]:[T 8]]&lt;0,1,0),IF(ISNUMBER(AMP5_2[[#This Row],[Dim 1_1]:[T 8]])=TRUE,1,0))</f>
        <v>0</v>
      </c>
      <c r="H137">
        <v>155.559</v>
      </c>
      <c r="I137">
        <v>155.53200000000001</v>
      </c>
      <c r="J137">
        <v>168.78299999999999</v>
      </c>
      <c r="K137">
        <v>168.78800000000001</v>
      </c>
      <c r="L137">
        <v>155.68100000000001</v>
      </c>
      <c r="M137">
        <v>155.43700000000001</v>
      </c>
      <c r="N137">
        <v>27.527000000000001</v>
      </c>
      <c r="O137">
        <v>27.863</v>
      </c>
      <c r="R137">
        <v>17.254000000000001</v>
      </c>
      <c r="S137">
        <v>17.279</v>
      </c>
      <c r="T137">
        <v>40.500999999999998</v>
      </c>
      <c r="U137">
        <v>41.713999999999999</v>
      </c>
      <c r="W137">
        <v>0.20499999999999999</v>
      </c>
      <c r="X137">
        <v>1.6E-2</v>
      </c>
      <c r="Z137">
        <v>9.1999999999999998E-2</v>
      </c>
      <c r="AA137">
        <v>-0.06</v>
      </c>
      <c r="AB137">
        <v>1.6E-2</v>
      </c>
      <c r="AC137">
        <v>7.2999999999999995E-2</v>
      </c>
      <c r="AD137">
        <v>0.20499999999999999</v>
      </c>
      <c r="AE137">
        <v>0.11700000000000001</v>
      </c>
      <c r="AF137">
        <v>-3.0000000000000001E-3</v>
      </c>
      <c r="AG137">
        <v>-0.06</v>
      </c>
      <c r="AH137">
        <v>4.2999999999999997E-2</v>
      </c>
      <c r="AI137">
        <v>9.1999999999999998E-2</v>
      </c>
    </row>
    <row r="138" spans="1:35" x14ac:dyDescent="0.25">
      <c r="D138" s="25"/>
      <c r="E138" s="740"/>
    </row>
    <row r="139" spans="1:35" x14ac:dyDescent="0.25">
      <c r="D139" s="25"/>
    </row>
    <row r="140" spans="1:35" x14ac:dyDescent="0.25">
      <c r="D140" s="25"/>
    </row>
    <row r="141" spans="1:35" x14ac:dyDescent="0.25">
      <c r="D141" s="25"/>
    </row>
    <row r="142" spans="1:35" x14ac:dyDescent="0.25">
      <c r="D142" s="25"/>
    </row>
    <row r="143" spans="1:35" x14ac:dyDescent="0.25">
      <c r="D143" s="25"/>
    </row>
    <row r="144" spans="1:35" x14ac:dyDescent="0.25">
      <c r="D144" s="25"/>
    </row>
    <row r="145" spans="4:4" x14ac:dyDescent="0.25">
      <c r="D145" s="25"/>
    </row>
    <row r="146" spans="4:4" x14ac:dyDescent="0.25">
      <c r="D146" s="25"/>
    </row>
    <row r="147" spans="4:4" x14ac:dyDescent="0.25">
      <c r="D147" s="25"/>
    </row>
    <row r="148" spans="4:4" x14ac:dyDescent="0.25">
      <c r="D148" s="25"/>
    </row>
    <row r="149" spans="4:4" x14ac:dyDescent="0.25">
      <c r="D149" s="25"/>
    </row>
    <row r="150" spans="4:4" x14ac:dyDescent="0.25">
      <c r="D150" s="25"/>
    </row>
    <row r="151" spans="4:4" x14ac:dyDescent="0.25">
      <c r="D151" s="25"/>
    </row>
    <row r="152" spans="4:4" x14ac:dyDescent="0.25">
      <c r="D152" s="25"/>
    </row>
    <row r="153" spans="4:4" x14ac:dyDescent="0.25">
      <c r="D153" s="25"/>
    </row>
    <row r="154" spans="4:4" x14ac:dyDescent="0.25">
      <c r="D154" s="25"/>
    </row>
    <row r="155" spans="4:4" x14ac:dyDescent="0.25">
      <c r="D155" s="25"/>
    </row>
    <row r="156" spans="4:4" x14ac:dyDescent="0.25">
      <c r="D156" s="25"/>
    </row>
    <row r="157" spans="4:4" x14ac:dyDescent="0.25">
      <c r="D157" s="25"/>
    </row>
    <row r="158" spans="4:4" x14ac:dyDescent="0.25">
      <c r="D158" s="25"/>
    </row>
    <row r="159" spans="4:4" x14ac:dyDescent="0.25">
      <c r="D159" s="25"/>
    </row>
    <row r="160" spans="4:4" x14ac:dyDescent="0.25">
      <c r="D160" s="25"/>
    </row>
    <row r="161" spans="4:4" x14ac:dyDescent="0.25">
      <c r="D161" s="25"/>
    </row>
    <row r="162" spans="4:4" x14ac:dyDescent="0.25">
      <c r="D162" s="25"/>
    </row>
    <row r="163" spans="4:4" x14ac:dyDescent="0.25">
      <c r="D163" s="25"/>
    </row>
    <row r="164" spans="4:4" x14ac:dyDescent="0.25">
      <c r="D164" s="25"/>
    </row>
    <row r="165" spans="4:4" x14ac:dyDescent="0.25">
      <c r="D165" s="25"/>
    </row>
    <row r="166" spans="4:4" x14ac:dyDescent="0.25">
      <c r="D166" s="25"/>
    </row>
    <row r="167" spans="4:4" x14ac:dyDescent="0.25">
      <c r="D167" s="25"/>
    </row>
    <row r="168" spans="4:4" x14ac:dyDescent="0.25">
      <c r="D168" s="25"/>
    </row>
    <row r="169" spans="4:4" x14ac:dyDescent="0.25">
      <c r="D169" s="25"/>
    </row>
    <row r="170" spans="4:4" x14ac:dyDescent="0.25">
      <c r="D170" s="25"/>
    </row>
    <row r="171" spans="4:4" x14ac:dyDescent="0.25">
      <c r="D171" s="25"/>
    </row>
    <row r="172" spans="4:4" x14ac:dyDescent="0.25">
      <c r="D172" s="25"/>
    </row>
    <row r="173" spans="4:4" x14ac:dyDescent="0.25">
      <c r="D173" s="25"/>
    </row>
    <row r="174" spans="4:4" x14ac:dyDescent="0.25">
      <c r="D174" s="25"/>
    </row>
    <row r="175" spans="4:4" x14ac:dyDescent="0.25">
      <c r="D175" s="25"/>
    </row>
    <row r="176" spans="4:4" x14ac:dyDescent="0.25">
      <c r="D176" s="25"/>
    </row>
    <row r="177" spans="4:4" x14ac:dyDescent="0.25">
      <c r="D177" s="25"/>
    </row>
    <row r="178" spans="4:4" x14ac:dyDescent="0.25">
      <c r="D178" s="25"/>
    </row>
    <row r="179" spans="4:4" x14ac:dyDescent="0.25">
      <c r="D179" s="25"/>
    </row>
    <row r="180" spans="4:4" x14ac:dyDescent="0.25">
      <c r="D180" s="25"/>
    </row>
    <row r="181" spans="4:4" x14ac:dyDescent="0.25">
      <c r="D181" s="25"/>
    </row>
    <row r="182" spans="4:4" x14ac:dyDescent="0.25">
      <c r="D182" s="25"/>
    </row>
    <row r="183" spans="4:4" x14ac:dyDescent="0.25">
      <c r="D183" s="25"/>
    </row>
    <row r="184" spans="4:4" x14ac:dyDescent="0.25">
      <c r="D184" s="25"/>
    </row>
    <row r="185" spans="4:4" x14ac:dyDescent="0.25">
      <c r="D185" s="25"/>
    </row>
    <row r="186" spans="4:4" x14ac:dyDescent="0.25">
      <c r="D186" s="25"/>
    </row>
    <row r="187" spans="4:4" x14ac:dyDescent="0.25">
      <c r="D187" s="25"/>
    </row>
    <row r="188" spans="4:4" x14ac:dyDescent="0.25">
      <c r="D188" s="25"/>
    </row>
    <row r="189" spans="4:4" x14ac:dyDescent="0.25">
      <c r="D189" s="25"/>
    </row>
    <row r="190" spans="4:4" x14ac:dyDescent="0.25">
      <c r="D190" s="25"/>
    </row>
    <row r="191" spans="4:4" x14ac:dyDescent="0.25">
      <c r="D191" s="25"/>
    </row>
    <row r="192" spans="4:4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</sheetData>
  <mergeCells count="1">
    <mergeCell ref="E1:E2"/>
  </mergeCells>
  <conditionalFormatting sqref="AJ8:XFD8 B10:D17 B19:D137">
    <cfRule type="notContainsBlanks" priority="19" stopIfTrue="1">
      <formula>LEN(TRIM(B8))&gt;0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99" priority="10"/>
  </conditionalFormatting>
  <conditionalFormatting sqref="F6:S7 V6:AI7">
    <cfRule type="cellIs" dxfId="98" priority="5" stopIfTrue="1" operator="notBetween">
      <formula>0.35</formula>
      <formula>-0.35</formula>
    </cfRule>
    <cfRule type="cellIs" dxfId="97" priority="6" operator="notBetween">
      <formula>0.2</formula>
      <formula>-0.2</formula>
    </cfRule>
  </conditionalFormatting>
  <conditionalFormatting sqref="E1 E3:E1048576">
    <cfRule type="cellIs" dxfId="96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T6:U7">
    <cfRule type="cellIs" dxfId="95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94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">
    <pageSetUpPr fitToPage="1"/>
  </sheetPr>
  <dimension ref="A1:CK117"/>
  <sheetViews>
    <sheetView zoomScale="70" zoomScaleNormal="70" workbookViewId="0">
      <selection activeCell="H39" sqref="H39:J39"/>
    </sheetView>
  </sheetViews>
  <sheetFormatPr defaultRowHeight="15" x14ac:dyDescent="0.25"/>
  <cols>
    <col min="1" max="2" width="6.7109375" customWidth="1"/>
    <col min="3" max="4" width="5.7109375" customWidth="1"/>
    <col min="5" max="5" width="5.7109375" bestFit="1" customWidth="1"/>
    <col min="6" max="8" width="5.7109375" customWidth="1"/>
    <col min="9" max="9" width="15" customWidth="1"/>
    <col min="10" max="10" width="5.7109375" customWidth="1"/>
    <col min="11" max="12" width="6.28515625" customWidth="1"/>
    <col min="13" max="14" width="4.28515625" customWidth="1"/>
    <col min="15" max="16" width="4.7109375" customWidth="1"/>
    <col min="17" max="18" width="1.7109375" customWidth="1"/>
    <col min="19" max="20" width="6.28515625" customWidth="1"/>
    <col min="21" max="21" width="4.7109375" customWidth="1"/>
    <col min="22" max="22" width="3.42578125" customWidth="1"/>
    <col min="23" max="24" width="6.28515625" customWidth="1"/>
    <col min="25" max="26" width="1.7109375" customWidth="1"/>
    <col min="27" max="27" width="5.7109375" customWidth="1"/>
    <col min="28" max="29" width="6.28515625" customWidth="1"/>
    <col min="30" max="31" width="1.7109375" customWidth="1"/>
    <col min="32" max="33" width="6.28515625" customWidth="1"/>
    <col min="34" max="35" width="1.7109375" customWidth="1"/>
    <col min="36" max="37" width="4.7109375" customWidth="1"/>
    <col min="38" max="40" width="1.7109375" customWidth="1"/>
    <col min="41" max="42" width="6.28515625" customWidth="1"/>
    <col min="43" max="43" width="5.42578125" bestFit="1" customWidth="1"/>
    <col min="44" max="45" width="6.28515625" customWidth="1"/>
    <col min="46" max="47" width="5.7109375" customWidth="1"/>
    <col min="48" max="48" width="2.7109375" customWidth="1"/>
    <col min="49" max="49" width="6.7109375" customWidth="1"/>
    <col min="50" max="50" width="14.7109375" bestFit="1" customWidth="1"/>
    <col min="51" max="64" width="7" customWidth="1"/>
    <col min="65" max="65" width="8.5703125" bestFit="1" customWidth="1"/>
    <col min="66" max="66" width="8.42578125" bestFit="1" customWidth="1"/>
    <col min="67" max="67" width="8.28515625" bestFit="1" customWidth="1"/>
    <col min="68" max="68" width="2.5703125" customWidth="1"/>
    <col min="69" max="69" width="13" style="13" customWidth="1"/>
    <col min="70" max="70" width="9.140625" bestFit="1" customWidth="1"/>
    <col min="71" max="71" width="11.28515625" bestFit="1" customWidth="1"/>
    <col min="72" max="72" width="10.5703125" bestFit="1" customWidth="1"/>
    <col min="73" max="73" width="8.7109375" bestFit="1" customWidth="1"/>
    <col min="74" max="74" width="2.7109375" customWidth="1"/>
    <col min="75" max="75" width="8.7109375" bestFit="1" customWidth="1"/>
    <col min="76" max="76" width="5.7109375" customWidth="1"/>
    <col min="77" max="77" width="7.7109375" bestFit="1" customWidth="1"/>
    <col min="78" max="78" width="2.7109375" customWidth="1"/>
    <col min="79" max="81" width="7.7109375" customWidth="1"/>
    <col min="82" max="82" width="2.7109375" customWidth="1"/>
    <col min="83" max="85" width="7.7109375" customWidth="1"/>
    <col min="86" max="86" width="1.7109375" customWidth="1"/>
  </cols>
  <sheetData>
    <row r="1" spans="1:89" ht="36" x14ac:dyDescent="0.55000000000000004">
      <c r="A1" s="991" t="s">
        <v>184</v>
      </c>
      <c r="B1" s="991"/>
      <c r="C1" s="991"/>
      <c r="D1" s="991"/>
      <c r="E1" s="991"/>
      <c r="F1" s="991"/>
      <c r="G1" s="991"/>
      <c r="H1" s="991"/>
      <c r="I1" s="991"/>
      <c r="J1" s="991"/>
      <c r="K1" s="991"/>
      <c r="L1" s="387"/>
      <c r="M1" s="387"/>
      <c r="N1" s="387"/>
      <c r="O1" s="387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958" t="s">
        <v>267</v>
      </c>
      <c r="AG1" s="958"/>
      <c r="AH1" s="958"/>
      <c r="AI1" s="958"/>
      <c r="AJ1" s="958"/>
      <c r="AK1" s="958"/>
      <c r="AL1" s="958"/>
      <c r="AM1" s="958"/>
      <c r="AN1" s="958"/>
      <c r="AO1" s="958"/>
      <c r="AP1" s="432" t="s">
        <v>93</v>
      </c>
      <c r="AQ1" s="432" t="s">
        <v>149</v>
      </c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427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</row>
    <row r="2" spans="1:89" x14ac:dyDescent="0.25">
      <c r="A2" s="881" t="s">
        <v>105</v>
      </c>
      <c r="B2" s="881"/>
      <c r="C2" s="883" t="s">
        <v>242</v>
      </c>
      <c r="D2" s="783"/>
      <c r="E2" s="884"/>
      <c r="F2" s="883" t="s">
        <v>155</v>
      </c>
      <c r="G2" s="783"/>
      <c r="H2" s="884"/>
      <c r="I2" s="953" t="s">
        <v>182</v>
      </c>
      <c r="J2" s="954"/>
      <c r="K2" s="955"/>
      <c r="L2" s="953" t="s">
        <v>183</v>
      </c>
      <c r="M2" s="954"/>
      <c r="N2" s="955"/>
      <c r="O2" s="1001" t="s">
        <v>209</v>
      </c>
      <c r="P2" s="1001"/>
      <c r="Q2" s="1001"/>
      <c r="R2" s="1001"/>
      <c r="S2" s="881" t="s">
        <v>287</v>
      </c>
      <c r="T2" s="881"/>
      <c r="U2" s="881"/>
      <c r="V2" s="881" t="s">
        <v>246</v>
      </c>
      <c r="W2" s="881"/>
      <c r="X2" s="881"/>
      <c r="Y2" s="881"/>
      <c r="Z2" s="881" t="s">
        <v>228</v>
      </c>
      <c r="AA2" s="881"/>
      <c r="AB2" s="881"/>
      <c r="AC2" s="881"/>
      <c r="AD2" s="29"/>
      <c r="AE2" s="29"/>
      <c r="AF2" s="972" t="s">
        <v>250</v>
      </c>
      <c r="AG2" s="972"/>
      <c r="AH2" s="972" t="s">
        <v>251</v>
      </c>
      <c r="AI2" s="972"/>
      <c r="AJ2" s="972"/>
      <c r="AK2" s="972"/>
      <c r="AL2" s="959" t="s">
        <v>252</v>
      </c>
      <c r="AM2" s="959"/>
      <c r="AN2" s="959"/>
      <c r="AO2" s="959"/>
      <c r="AP2" s="659">
        <f>-$BB$79</f>
        <v>-0.2</v>
      </c>
      <c r="AQ2" s="659">
        <f>-$BI$79</f>
        <v>-0.2</v>
      </c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427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</row>
    <row r="3" spans="1:89" x14ac:dyDescent="0.25">
      <c r="A3" s="883" t="s">
        <v>239</v>
      </c>
      <c r="B3" s="884"/>
      <c r="C3" s="953" t="s">
        <v>233</v>
      </c>
      <c r="D3" s="954"/>
      <c r="E3" s="955"/>
      <c r="F3" s="974" t="s">
        <v>243</v>
      </c>
      <c r="G3" s="975"/>
      <c r="H3" s="976"/>
      <c r="I3" s="974">
        <f>COUNTIFS('AA-4'!6:7,"&lt;.35",'AA-4'!6:7,"&gt;=.2")+COUNTIFS('AA-4'!6:7,"&gt;-.35",'AA-4'!6:7,"&lt;=-.2")</f>
        <v>0</v>
      </c>
      <c r="J3" s="975"/>
      <c r="K3" s="976"/>
      <c r="L3" s="974">
        <f>COUNTIFS('AA-4'!6:7,"&gt;=.35")+COUNTIFS('AA-4'!6:7,"&lt;=-.35")-COUNTIFS('AA-4'!T6:U7,"&gt;1")</f>
        <v>0</v>
      </c>
      <c r="M3" s="975"/>
      <c r="N3" s="976"/>
      <c r="O3" s="977">
        <f>IFERROR(INDEX(OffsetHistory[CreateDate],MATCH(F3,OffsetHistory[30_Fixtures.Nomenclature],0)),0)</f>
        <v>43599.646817129629</v>
      </c>
      <c r="P3" s="977"/>
      <c r="Q3" s="977"/>
      <c r="R3" s="977"/>
      <c r="S3" s="973">
        <f>COUNTIFS(AA_4[Date],"&gt;"&amp;O3)</f>
        <v>0</v>
      </c>
      <c r="T3" s="973"/>
      <c r="U3" s="973"/>
      <c r="V3" s="986">
        <f>INDEX(Counters!$C$2:$C$9,MATCH(C3,Counters!$A$2:$A$9,0))</f>
        <v>24</v>
      </c>
      <c r="W3" s="987"/>
      <c r="X3" s="987"/>
      <c r="Y3" s="988"/>
      <c r="Z3" s="986">
        <f>INDEX(Counters!$D$2:$D$9,MATCH(C3,Counters!$A$2:$A$9,0))</f>
        <v>111</v>
      </c>
      <c r="AA3" s="987"/>
      <c r="AB3" s="987"/>
      <c r="AC3" s="988"/>
      <c r="AD3" s="29"/>
      <c r="AE3" s="29"/>
      <c r="AF3" s="972"/>
      <c r="AG3" s="972"/>
      <c r="AH3" s="972"/>
      <c r="AI3" s="972"/>
      <c r="AJ3" s="972"/>
      <c r="AK3" s="972"/>
      <c r="AL3" s="959" t="s">
        <v>253</v>
      </c>
      <c r="AM3" s="959"/>
      <c r="AN3" s="959"/>
      <c r="AO3" s="959"/>
      <c r="AP3" s="659">
        <f>-$BC$79</f>
        <v>-0.2</v>
      </c>
      <c r="AQ3" s="659">
        <f>-$BJ$79</f>
        <v>-0.2</v>
      </c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427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</row>
    <row r="4" spans="1:89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434"/>
      <c r="P4" s="434"/>
      <c r="Q4" s="434"/>
      <c r="R4" s="434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972"/>
      <c r="AG4" s="972"/>
      <c r="AH4" s="960" t="s">
        <v>254</v>
      </c>
      <c r="AI4" s="961"/>
      <c r="AJ4" s="961"/>
      <c r="AK4" s="962"/>
      <c r="AL4" s="959" t="s">
        <v>253</v>
      </c>
      <c r="AM4" s="959"/>
      <c r="AN4" s="959"/>
      <c r="AO4" s="959"/>
      <c r="AP4" s="659">
        <f>$BB$32</f>
        <v>-0.1</v>
      </c>
      <c r="AQ4" s="659">
        <f>$BJ$32</f>
        <v>-0.2</v>
      </c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427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</row>
    <row r="5" spans="1:89" x14ac:dyDescent="0.25">
      <c r="A5" s="796" t="s">
        <v>278</v>
      </c>
      <c r="B5" s="796"/>
      <c r="C5" s="813" t="s">
        <v>200</v>
      </c>
      <c r="D5" s="950"/>
      <c r="E5" s="951"/>
      <c r="F5" s="953" t="s">
        <v>273</v>
      </c>
      <c r="G5" s="954" t="s">
        <v>158</v>
      </c>
      <c r="H5" s="955" t="s">
        <v>158</v>
      </c>
      <c r="I5" s="953">
        <f>COUNTIFS('AMP1-2'!6:7,"&lt;.35",'AMP1-2'!6:7,"&gt;=.2")+COUNTIFS('AMP1-2'!6:7,"&gt;-.35",'AMP1-2'!6:7,"&lt;=-.2")</f>
        <v>8</v>
      </c>
      <c r="J5" s="954"/>
      <c r="K5" s="955"/>
      <c r="L5" s="953">
        <f>COUNTIFS('AMP1-2'!6:7,"&gt;=.35")+COUNTIFS('AMP1-2'!6:7,"&lt;=-.35")-COUNTIFS('AMP1-2'!T6:U7,"&gt;1")</f>
        <v>5</v>
      </c>
      <c r="M5" s="954"/>
      <c r="N5" s="955"/>
      <c r="O5" s="956">
        <f>IFERROR(INDEX(OffsetHistory[CreateDate],MATCH(F5,OffsetHistory[30_Fixtures.Nomenclature],0)),0)</f>
        <v>43557.232256944444</v>
      </c>
      <c r="P5" s="956"/>
      <c r="Q5" s="956"/>
      <c r="R5" s="956"/>
      <c r="S5" s="881">
        <f>COUNTIFS(AMP1_2[Date],"&gt;"&amp;O5)</f>
        <v>99</v>
      </c>
      <c r="T5" s="881"/>
      <c r="U5" s="881"/>
      <c r="V5" s="796">
        <f>INDEX(Counters!$C$2:$C$9,MATCH(C5,Counters!$A$2:$A$9,0))</f>
        <v>24</v>
      </c>
      <c r="W5" s="796"/>
      <c r="X5" s="796"/>
      <c r="Y5" s="796"/>
      <c r="Z5" s="796">
        <f>INDEX(Counters!$D$2:$D$9,MATCH(C5,Counters!$A$2:$A$9,0))</f>
        <v>850</v>
      </c>
      <c r="AA5" s="796"/>
      <c r="AB5" s="796"/>
      <c r="AC5" s="796"/>
      <c r="AD5" s="29"/>
      <c r="AE5" s="29"/>
      <c r="AF5" s="972"/>
      <c r="AG5" s="972"/>
      <c r="AH5" s="960" t="s">
        <v>255</v>
      </c>
      <c r="AI5" s="961"/>
      <c r="AJ5" s="961"/>
      <c r="AK5" s="962"/>
      <c r="AL5" s="959" t="s">
        <v>252</v>
      </c>
      <c r="AM5" s="959"/>
      <c r="AN5" s="959"/>
      <c r="AO5" s="959"/>
      <c r="AP5" s="659">
        <f>$BA$32</f>
        <v>0</v>
      </c>
      <c r="AQ5" s="659">
        <f>$BI$32</f>
        <v>0</v>
      </c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427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</row>
    <row r="6" spans="1:89" x14ac:dyDescent="0.25">
      <c r="A6" s="796"/>
      <c r="B6" s="796"/>
      <c r="C6" s="978"/>
      <c r="D6" s="772"/>
      <c r="E6" s="979"/>
      <c r="F6" s="953" t="s">
        <v>272</v>
      </c>
      <c r="G6" s="954" t="s">
        <v>158</v>
      </c>
      <c r="H6" s="955" t="s">
        <v>158</v>
      </c>
      <c r="I6" s="953">
        <f>COUNTIFS('AMP1-6'!6:7,"&lt;.35",'AMP1-6'!6:7,"&gt;=.2")+COUNTIFS('AMP1-6'!6:7,"&gt;-.35",'AMP1-6'!6:7,"&lt;=-.2")</f>
        <v>13</v>
      </c>
      <c r="J6" s="954"/>
      <c r="K6" s="955"/>
      <c r="L6" s="953">
        <f>COUNTIFS('AMP1-6'!6:7,"&gt;=.35")+COUNTIFS('AMP1-6'!6:7,"&lt;=-.35")-COUNTIFS('AMP1-6'!T6:U7,"&gt;1")</f>
        <v>3</v>
      </c>
      <c r="M6" s="954"/>
      <c r="N6" s="955"/>
      <c r="O6" s="956">
        <f>IFERROR(INDEX(OffsetHistory[CreateDate],MATCH(F6,OffsetHistory[30_Fixtures.Nomenclature],0)),0)</f>
        <v>43628.430706018517</v>
      </c>
      <c r="P6" s="956"/>
      <c r="Q6" s="956"/>
      <c r="R6" s="956"/>
      <c r="S6" s="881">
        <f>COUNTIFS(AMP1_6[Date],"&gt;"&amp;O6)</f>
        <v>98</v>
      </c>
      <c r="T6" s="881"/>
      <c r="U6" s="881"/>
      <c r="V6" s="796"/>
      <c r="W6" s="796"/>
      <c r="X6" s="796"/>
      <c r="Y6" s="796"/>
      <c r="Z6" s="796"/>
      <c r="AA6" s="796"/>
      <c r="AB6" s="796"/>
      <c r="AC6" s="796"/>
      <c r="AD6" s="29"/>
      <c r="AE6" s="29"/>
      <c r="AF6" s="972"/>
      <c r="AG6" s="972"/>
      <c r="AH6" s="963" t="s">
        <v>256</v>
      </c>
      <c r="AI6" s="964"/>
      <c r="AJ6" s="964"/>
      <c r="AK6" s="965"/>
      <c r="AL6" s="959" t="s">
        <v>257</v>
      </c>
      <c r="AM6" s="959"/>
      <c r="AN6" s="959"/>
      <c r="AO6" s="959"/>
      <c r="AP6" s="659">
        <f>$AZ$32</f>
        <v>0.1</v>
      </c>
      <c r="AQ6" s="659">
        <f>$BH$32</f>
        <v>0</v>
      </c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427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</row>
    <row r="7" spans="1:89" x14ac:dyDescent="0.25">
      <c r="A7" s="796"/>
      <c r="B7" s="796"/>
      <c r="C7" s="814"/>
      <c r="D7" s="785"/>
      <c r="E7" s="952"/>
      <c r="F7" s="953" t="s">
        <v>274</v>
      </c>
      <c r="G7" s="954" t="s">
        <v>158</v>
      </c>
      <c r="H7" s="955" t="s">
        <v>158</v>
      </c>
      <c r="I7" s="953">
        <f>COUNTIFS('AMP1-8'!6:7,"&lt;.35",'AMP1-8'!6:7,"&gt;=.2")+COUNTIFS('AMP1-8'!6:7,"&gt;-.35",'AMP1-8'!6:7,"&lt;=-.2")</f>
        <v>5</v>
      </c>
      <c r="J7" s="954"/>
      <c r="K7" s="955"/>
      <c r="L7" s="953">
        <f>COUNTIFS('AMP1-8'!6:7,"&gt;=.35")+COUNTIFS('AMP1-8'!6:7,"&lt;=-.35")-COUNTIFS('AMP1-8'!T6:U7,"&gt;1")</f>
        <v>2</v>
      </c>
      <c r="M7" s="954"/>
      <c r="N7" s="955"/>
      <c r="O7" s="956">
        <f>IFERROR(INDEX(OffsetHistory[CreateDate],MATCH(F7,OffsetHistory[30_Fixtures.Nomenclature],0)),0)</f>
        <v>43545.255659722221</v>
      </c>
      <c r="P7" s="956"/>
      <c r="Q7" s="956"/>
      <c r="R7" s="956"/>
      <c r="S7" s="881">
        <f>COUNTIFS(AMP1_8[Date],"&gt;"&amp;O7)</f>
        <v>82</v>
      </c>
      <c r="T7" s="881"/>
      <c r="U7" s="881"/>
      <c r="V7" s="796"/>
      <c r="W7" s="796"/>
      <c r="X7" s="796"/>
      <c r="Y7" s="796"/>
      <c r="Z7" s="796"/>
      <c r="AA7" s="796"/>
      <c r="AB7" s="796"/>
      <c r="AC7" s="796"/>
      <c r="AD7" s="29"/>
      <c r="AE7" s="29"/>
      <c r="AF7" s="972" t="s">
        <v>258</v>
      </c>
      <c r="AG7" s="972"/>
      <c r="AH7" s="966" t="s">
        <v>251</v>
      </c>
      <c r="AI7" s="967"/>
      <c r="AJ7" s="967"/>
      <c r="AK7" s="968"/>
      <c r="AL7" s="959" t="s">
        <v>259</v>
      </c>
      <c r="AM7" s="959"/>
      <c r="AN7" s="959"/>
      <c r="AO7" s="959"/>
      <c r="AP7" s="659">
        <f>-$BE$79</f>
        <v>0.2</v>
      </c>
      <c r="AQ7" s="659">
        <f>-$BL$79</f>
        <v>0.2</v>
      </c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427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</row>
    <row r="8" spans="1:89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434"/>
      <c r="P8" s="434"/>
      <c r="Q8" s="434"/>
      <c r="R8" s="434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972"/>
      <c r="AG8" s="972"/>
      <c r="AH8" s="969"/>
      <c r="AI8" s="970"/>
      <c r="AJ8" s="970"/>
      <c r="AK8" s="971"/>
      <c r="AL8" s="959" t="s">
        <v>260</v>
      </c>
      <c r="AM8" s="959"/>
      <c r="AN8" s="959"/>
      <c r="AO8" s="959"/>
      <c r="AP8" s="659">
        <f>-$BD$79</f>
        <v>0.1</v>
      </c>
      <c r="AQ8" s="659">
        <f>-$BK$79</f>
        <v>0</v>
      </c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427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</row>
    <row r="9" spans="1:89" x14ac:dyDescent="0.25">
      <c r="A9" s="796" t="s">
        <v>279</v>
      </c>
      <c r="B9" s="796"/>
      <c r="C9" s="813" t="s">
        <v>196</v>
      </c>
      <c r="D9" s="950"/>
      <c r="E9" s="951"/>
      <c r="F9" s="974" t="s">
        <v>275</v>
      </c>
      <c r="G9" s="975" t="s">
        <v>159</v>
      </c>
      <c r="H9" s="976" t="s">
        <v>159</v>
      </c>
      <c r="I9" s="974"/>
      <c r="J9" s="975"/>
      <c r="K9" s="976"/>
      <c r="L9" s="974"/>
      <c r="M9" s="975"/>
      <c r="N9" s="976"/>
      <c r="O9" s="977">
        <f>IFERROR(INDEX(OffsetHistory[CreateDate],MATCH(F9,OffsetHistory[30_Fixtures.Nomenclature],0)),0)</f>
        <v>43705.646435185183</v>
      </c>
      <c r="P9" s="977"/>
      <c r="Q9" s="977"/>
      <c r="R9" s="977"/>
      <c r="S9" s="973"/>
      <c r="T9" s="973"/>
      <c r="U9" s="973"/>
      <c r="V9" s="796">
        <f>INDEX(Counters!$C$2:$C$9,MATCH(C9,Counters!$A$2:$A$9,0))</f>
        <v>0</v>
      </c>
      <c r="W9" s="796"/>
      <c r="X9" s="796"/>
      <c r="Y9" s="796"/>
      <c r="Z9" s="796">
        <f>INDEX(Counters!$D$2:$D$9,MATCH(C9,Counters!$A$2:$A$9,0))</f>
        <v>0</v>
      </c>
      <c r="AA9" s="796"/>
      <c r="AB9" s="796"/>
      <c r="AC9" s="796"/>
      <c r="AD9" s="29"/>
      <c r="AE9" s="29"/>
      <c r="AF9" s="972"/>
      <c r="AG9" s="972"/>
      <c r="AH9" s="963" t="s">
        <v>254</v>
      </c>
      <c r="AI9" s="964"/>
      <c r="AJ9" s="964"/>
      <c r="AK9" s="965"/>
      <c r="AL9" s="959" t="s">
        <v>259</v>
      </c>
      <c r="AM9" s="959"/>
      <c r="AN9" s="959"/>
      <c r="AO9" s="959"/>
      <c r="AP9" s="659">
        <f>$BD$32</f>
        <v>0</v>
      </c>
      <c r="AQ9" s="659">
        <f>$BL$32</f>
        <v>0.1</v>
      </c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427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</row>
    <row r="10" spans="1:89" x14ac:dyDescent="0.25">
      <c r="A10" s="796"/>
      <c r="B10" s="796"/>
      <c r="C10" s="978"/>
      <c r="D10" s="772"/>
      <c r="E10" s="979"/>
      <c r="F10" s="953" t="s">
        <v>268</v>
      </c>
      <c r="G10" s="954" t="s">
        <v>159</v>
      </c>
      <c r="H10" s="955" t="s">
        <v>159</v>
      </c>
      <c r="I10" s="953">
        <f>COUNTIFS('AMP2-6'!6:7,"&lt;.35",'AMP2-6'!6:7,"&gt;=.2")+COUNTIFS('AMP2-6'!6:7,"&gt;-.35",'AMP2-6'!6:7,"&lt;=-.2")</f>
        <v>6</v>
      </c>
      <c r="J10" s="954"/>
      <c r="K10" s="955"/>
      <c r="L10" s="953">
        <f>COUNTIFS('AMP2-6'!6:7,"&gt;=.35")+COUNTIFS('AMP2-6'!6:7,"&lt;=-.35")-COUNTIFS('AMP2-6'!T6:U7,"&gt;1")</f>
        <v>5</v>
      </c>
      <c r="M10" s="954"/>
      <c r="N10" s="955"/>
      <c r="O10" s="956">
        <f>IFERROR(INDEX(OffsetHistory[CreateDate],MATCH(F10,OffsetHistory[30_Fixtures.Nomenclature],0)),0)</f>
        <v>43678.270532407405</v>
      </c>
      <c r="P10" s="956"/>
      <c r="Q10" s="956"/>
      <c r="R10" s="956"/>
      <c r="S10" s="881">
        <f>COUNTIFS(AMP2_6[Date],"&gt;"&amp;O10)</f>
        <v>28</v>
      </c>
      <c r="T10" s="881"/>
      <c r="U10" s="881"/>
      <c r="V10" s="796"/>
      <c r="W10" s="796"/>
      <c r="X10" s="796"/>
      <c r="Y10" s="796"/>
      <c r="Z10" s="796"/>
      <c r="AA10" s="796"/>
      <c r="AB10" s="796"/>
      <c r="AC10" s="796"/>
      <c r="AD10" s="29"/>
      <c r="AE10" s="29"/>
      <c r="AF10" s="972"/>
      <c r="AG10" s="972"/>
      <c r="AH10" s="963" t="s">
        <v>255</v>
      </c>
      <c r="AI10" s="964"/>
      <c r="AJ10" s="964"/>
      <c r="AK10" s="965"/>
      <c r="AL10" s="959" t="s">
        <v>260</v>
      </c>
      <c r="AM10" s="959"/>
      <c r="AN10" s="959"/>
      <c r="AO10" s="959"/>
      <c r="AP10" s="659">
        <f>$BC$32</f>
        <v>0.1</v>
      </c>
      <c r="AQ10" s="659">
        <f>$BK$32</f>
        <v>0.1</v>
      </c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427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</row>
    <row r="11" spans="1:89" x14ac:dyDescent="0.25">
      <c r="A11" s="796"/>
      <c r="B11" s="796"/>
      <c r="C11" s="814"/>
      <c r="D11" s="785"/>
      <c r="E11" s="952"/>
      <c r="F11" s="953" t="s">
        <v>269</v>
      </c>
      <c r="G11" s="954" t="s">
        <v>160</v>
      </c>
      <c r="H11" s="955" t="s">
        <v>160</v>
      </c>
      <c r="I11" s="953">
        <f>COUNTIFS('AMP2-8'!6:7,"&lt;.35",'AMP2-8'!6:7,"&gt;=.2")+COUNTIFS('AMP2-8'!6:7,"&gt;-.35",'AMP2-8'!6:7,"&lt;=-.2")</f>
        <v>0</v>
      </c>
      <c r="J11" s="954"/>
      <c r="K11" s="955"/>
      <c r="L11" s="953">
        <f>COUNTIFS('AMP2-8'!6:7,"&gt;=.35")+COUNTIFS('AMP2-8'!6:7,"&lt;=-.35")-COUNTIFS('AMP2-8'!T6:U7,"&gt;1")</f>
        <v>0</v>
      </c>
      <c r="M11" s="954"/>
      <c r="N11" s="955"/>
      <c r="O11" s="956">
        <f>IFERROR(INDEX(OffsetHistory[CreateDate],MATCH(F11,OffsetHistory[30_Fixtures.Nomenclature],0)),0)</f>
        <v>43471.437962962962</v>
      </c>
      <c r="P11" s="956"/>
      <c r="Q11" s="956"/>
      <c r="R11" s="956"/>
      <c r="S11" s="881">
        <f>COUNTIFS(AMP2_8[Date],"&gt;"&amp;O11)</f>
        <v>0</v>
      </c>
      <c r="T11" s="881"/>
      <c r="U11" s="881"/>
      <c r="V11" s="796"/>
      <c r="W11" s="796"/>
      <c r="X11" s="796"/>
      <c r="Y11" s="796"/>
      <c r="Z11" s="796"/>
      <c r="AA11" s="796"/>
      <c r="AB11" s="796"/>
      <c r="AC11" s="796"/>
      <c r="AD11" s="29"/>
      <c r="AE11" s="29"/>
      <c r="AF11" s="972"/>
      <c r="AG11" s="972"/>
      <c r="AH11" s="963" t="s">
        <v>261</v>
      </c>
      <c r="AI11" s="964"/>
      <c r="AJ11" s="964"/>
      <c r="AK11" s="965"/>
      <c r="AL11" s="959" t="s">
        <v>257</v>
      </c>
      <c r="AM11" s="959"/>
      <c r="AN11" s="959"/>
      <c r="AO11" s="959"/>
      <c r="AP11" s="659">
        <f>$AY$32</f>
        <v>0</v>
      </c>
      <c r="AQ11" s="659">
        <f>$BG$32</f>
        <v>-0.2</v>
      </c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427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</row>
    <row r="12" spans="1:89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434"/>
      <c r="P12" s="434"/>
      <c r="Q12" s="434"/>
      <c r="R12" s="434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972" t="s">
        <v>262</v>
      </c>
      <c r="AG12" s="972"/>
      <c r="AH12" s="963" t="s">
        <v>254</v>
      </c>
      <c r="AI12" s="964"/>
      <c r="AJ12" s="964"/>
      <c r="AK12" s="964"/>
      <c r="AL12" s="964"/>
      <c r="AM12" s="964"/>
      <c r="AN12" s="964"/>
      <c r="AO12" s="965"/>
      <c r="AP12" s="659">
        <f>-$AY$79</f>
        <v>0.1</v>
      </c>
      <c r="AQ12" s="659">
        <f>-$BF$79</f>
        <v>0.1</v>
      </c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427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</row>
    <row r="13" spans="1:89" x14ac:dyDescent="0.25">
      <c r="A13" s="796" t="s">
        <v>280</v>
      </c>
      <c r="B13" s="796"/>
      <c r="C13" s="813" t="s">
        <v>245</v>
      </c>
      <c r="D13" s="950"/>
      <c r="E13" s="951"/>
      <c r="F13" s="953" t="s">
        <v>282</v>
      </c>
      <c r="G13" s="954" t="s">
        <v>157</v>
      </c>
      <c r="H13" s="955" t="s">
        <v>157</v>
      </c>
      <c r="I13" s="953">
        <f>COUNTIFS('AMP3-2'!6:7,"&lt;.35",'AMP3-2'!6:7,"&gt;=.2")+COUNTIFS('AMP3-2'!6:7,"&gt;-.35",'AMP3-2'!6:7,"&lt;=-.2")</f>
        <v>1</v>
      </c>
      <c r="J13" s="954"/>
      <c r="K13" s="955"/>
      <c r="L13" s="953">
        <f>COUNTIFS('AMP3-2'!6:7,"&gt;=.35")+COUNTIFS('AMP3-2'!6:7,"&lt;=-.35")-COUNTIFS('AMP3-2'!T6:U7,"&gt;1")</f>
        <v>0</v>
      </c>
      <c r="M13" s="954"/>
      <c r="N13" s="955"/>
      <c r="O13" s="956">
        <f>IFERROR(INDEX(OffsetHistory[CreateDate],MATCH(F13,OffsetHistory[30_Fixtures.Nomenclature],0)),0)</f>
        <v>43700.56181712963</v>
      </c>
      <c r="P13" s="956"/>
      <c r="Q13" s="956"/>
      <c r="R13" s="956"/>
      <c r="S13" s="881">
        <f>COUNTIFS(AMP3_2[Date],"&gt;"&amp;O13)</f>
        <v>129</v>
      </c>
      <c r="T13" s="881"/>
      <c r="U13" s="881"/>
      <c r="V13" s="813">
        <f>INDEX(Counters!$C$2:$C$9,MATCH(C13,Counters!$A$2:$A$9,0))</f>
        <v>18</v>
      </c>
      <c r="W13" s="950"/>
      <c r="X13" s="950"/>
      <c r="Y13" s="951"/>
      <c r="Z13" s="813">
        <f>INDEX(Counters!$D$2:$D$9,MATCH(C13,Counters!$A$2:$A$9,0))</f>
        <v>1032</v>
      </c>
      <c r="AA13" s="950"/>
      <c r="AB13" s="950"/>
      <c r="AC13" s="951"/>
      <c r="AD13" s="29"/>
      <c r="AE13" s="29"/>
      <c r="AF13" s="972"/>
      <c r="AG13" s="972"/>
      <c r="AH13" s="963" t="s">
        <v>263</v>
      </c>
      <c r="AI13" s="964"/>
      <c r="AJ13" s="964"/>
      <c r="AK13" s="964"/>
      <c r="AL13" s="964"/>
      <c r="AM13" s="964"/>
      <c r="AN13" s="964"/>
      <c r="AO13" s="965"/>
      <c r="AP13" s="659">
        <f>$BE$32</f>
        <v>0</v>
      </c>
      <c r="AQ13" s="659">
        <f>$BM$32</f>
        <v>-0.2</v>
      </c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427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</row>
    <row r="14" spans="1:89" x14ac:dyDescent="0.25">
      <c r="A14" s="796"/>
      <c r="B14" s="796"/>
      <c r="C14" s="814"/>
      <c r="D14" s="785"/>
      <c r="E14" s="952"/>
      <c r="F14" s="953" t="s">
        <v>283</v>
      </c>
      <c r="G14" s="954" t="s">
        <v>157</v>
      </c>
      <c r="H14" s="955" t="s">
        <v>157</v>
      </c>
      <c r="I14" s="953">
        <f>COUNTIFS('AMP3-4'!6:7,"&lt;.35",'AMP3-4'!6:7,"&gt;=.2")+COUNTIFS('AMP3-4'!6:7,"&gt;-.35",'AMP3-4'!6:7,"&lt;=-.2")</f>
        <v>3</v>
      </c>
      <c r="J14" s="954"/>
      <c r="K14" s="955"/>
      <c r="L14" s="953">
        <f>COUNTIFS('AMP3-4'!6:7,"&gt;=.35")+COUNTIFS('AMP3-4'!6:7,"&lt;=-.35")-COUNTIFS('AMP3-4'!T6:U7,"&gt;1")</f>
        <v>0</v>
      </c>
      <c r="M14" s="954"/>
      <c r="N14" s="955"/>
      <c r="O14" s="956">
        <f>IFERROR(INDEX(OffsetHistory[CreateDate],MATCH(F14,OffsetHistory[30_Fixtures.Nomenclature],0)),0)</f>
        <v>43700.562951388885</v>
      </c>
      <c r="P14" s="956"/>
      <c r="Q14" s="956"/>
      <c r="R14" s="956"/>
      <c r="S14" s="881">
        <f>COUNTIFS(AMP3_4[Date],"&gt;"&amp;O14)</f>
        <v>128</v>
      </c>
      <c r="T14" s="881"/>
      <c r="U14" s="881"/>
      <c r="V14" s="814"/>
      <c r="W14" s="785"/>
      <c r="X14" s="785"/>
      <c r="Y14" s="952"/>
      <c r="Z14" s="814"/>
      <c r="AA14" s="785"/>
      <c r="AB14" s="785"/>
      <c r="AC14" s="952"/>
      <c r="AD14" s="29"/>
      <c r="AE14" s="29"/>
      <c r="AF14" s="972"/>
      <c r="AG14" s="972"/>
      <c r="AH14" s="963" t="s">
        <v>264</v>
      </c>
      <c r="AI14" s="964"/>
      <c r="AJ14" s="964"/>
      <c r="AK14" s="964"/>
      <c r="AL14" s="964"/>
      <c r="AM14" s="964"/>
      <c r="AN14" s="964"/>
      <c r="AO14" s="965"/>
      <c r="AP14" s="659">
        <f>-$AZ$79</f>
        <v>0</v>
      </c>
      <c r="AQ14" s="659">
        <f>-$BG$79</f>
        <v>0</v>
      </c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427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</row>
    <row r="15" spans="1:89" x14ac:dyDescent="0.25">
      <c r="A15" s="296"/>
      <c r="B15" s="296"/>
      <c r="C15" s="425"/>
      <c r="D15" s="425"/>
      <c r="E15" s="425"/>
      <c r="F15" s="296"/>
      <c r="G15" s="296"/>
      <c r="H15" s="296"/>
      <c r="I15" s="296"/>
      <c r="J15" s="296"/>
      <c r="K15" s="296"/>
      <c r="L15" s="296"/>
      <c r="M15" s="296"/>
      <c r="N15" s="296"/>
      <c r="O15" s="435"/>
      <c r="P15" s="435"/>
      <c r="Q15" s="435"/>
      <c r="R15" s="435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972"/>
      <c r="AG15" s="972"/>
      <c r="AH15" s="963" t="s">
        <v>265</v>
      </c>
      <c r="AI15" s="964"/>
      <c r="AJ15" s="964"/>
      <c r="AK15" s="964"/>
      <c r="AL15" s="964"/>
      <c r="AM15" s="964"/>
      <c r="AN15" s="964"/>
      <c r="AO15" s="965"/>
      <c r="AP15" s="659">
        <f>$BF$32</f>
        <v>0</v>
      </c>
      <c r="AQ15" s="659">
        <f>$BN$32</f>
        <v>-0.2</v>
      </c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427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</row>
    <row r="16" spans="1:89" x14ac:dyDescent="0.25">
      <c r="A16" s="796" t="s">
        <v>241</v>
      </c>
      <c r="B16" s="796"/>
      <c r="C16" s="813" t="s">
        <v>226</v>
      </c>
      <c r="D16" s="950"/>
      <c r="E16" s="951"/>
      <c r="F16" s="974" t="s">
        <v>238</v>
      </c>
      <c r="G16" s="975" t="s">
        <v>161</v>
      </c>
      <c r="H16" s="976" t="s">
        <v>161</v>
      </c>
      <c r="I16" s="974">
        <f>COUNTIFS('AMP4-2'!6:7,"&lt;.35",'AMP4-2'!6:7,"&gt;=.2")+COUNTIFS('AMP4-2'!6:7,"&gt;-.35",'AMP4-2'!6:7,"&lt;=-.2")</f>
        <v>0</v>
      </c>
      <c r="J16" s="975"/>
      <c r="K16" s="976"/>
      <c r="L16" s="974">
        <f>COUNTIFS('AMP4-2'!6:7,"&gt;=.35")+COUNTIFS('AMP4-2'!6:7,"&lt;=-.35")-COUNTIFS('AMP4-2'!T6:U7,"&gt;1")</f>
        <v>0</v>
      </c>
      <c r="M16" s="975"/>
      <c r="N16" s="976"/>
      <c r="O16" s="977">
        <f>IFERROR(INDEX(OffsetHistory[CreateDate],MATCH(F16,OffsetHistory[30_Fixtures.Nomenclature],0)),0)</f>
        <v>43703.282743055555</v>
      </c>
      <c r="P16" s="977"/>
      <c r="Q16" s="977"/>
      <c r="R16" s="977"/>
      <c r="S16" s="973">
        <f>COUNTIFS(AMP4_2[Date],"&gt;"&amp;O16)</f>
        <v>118</v>
      </c>
      <c r="T16" s="973"/>
      <c r="U16" s="973"/>
      <c r="V16" s="813">
        <f>INDEX(Counters!$C$2:$C$9,MATCH(C16,Counters!$A$2:$A$9,0))</f>
        <v>16</v>
      </c>
      <c r="W16" s="950"/>
      <c r="X16" s="950"/>
      <c r="Y16" s="951"/>
      <c r="Z16" s="813">
        <f>INDEX(Counters!$D$2:$D$9,MATCH(C16,Counters!$A$2:$A$9,0))</f>
        <v>720</v>
      </c>
      <c r="AA16" s="950"/>
      <c r="AB16" s="950"/>
      <c r="AC16" s="951"/>
      <c r="AD16" s="29"/>
      <c r="AE16" s="29"/>
      <c r="AF16" s="972"/>
      <c r="AG16" s="972"/>
      <c r="AH16" s="963" t="s">
        <v>266</v>
      </c>
      <c r="AI16" s="964"/>
      <c r="AJ16" s="964"/>
      <c r="AK16" s="964"/>
      <c r="AL16" s="964"/>
      <c r="AM16" s="964"/>
      <c r="AN16" s="964"/>
      <c r="AO16" s="965"/>
      <c r="AP16" s="659">
        <f>-$BA$79</f>
        <v>0</v>
      </c>
      <c r="AQ16" s="659">
        <f>-$BH$79</f>
        <v>0</v>
      </c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427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</row>
    <row r="17" spans="1:89" x14ac:dyDescent="0.25">
      <c r="A17" s="796"/>
      <c r="B17" s="796"/>
      <c r="C17" s="814"/>
      <c r="D17" s="785"/>
      <c r="E17" s="952"/>
      <c r="F17" s="953" t="s">
        <v>237</v>
      </c>
      <c r="G17" s="954" t="s">
        <v>161</v>
      </c>
      <c r="H17" s="955" t="s">
        <v>161</v>
      </c>
      <c r="I17" s="953">
        <f>COUNTIFS('AMP4-4'!6:7,"&lt;.35",'AMP4-4'!6:7,"&gt;=.2")+COUNTIFS('AMP4-4'!6:7,"&gt;-.35",'AMP4-4'!6:7,"&lt;=-.2")</f>
        <v>2</v>
      </c>
      <c r="J17" s="954"/>
      <c r="K17" s="955"/>
      <c r="L17" s="953">
        <f>COUNTIFS('AMP4-4'!6:7,"&gt;=.35")+COUNTIFS('AMP4-4'!6:7,"&lt;=-.35")-COUNTIFS('AMP4-4'!T6:U7,"&gt;1")</f>
        <v>0</v>
      </c>
      <c r="M17" s="954"/>
      <c r="N17" s="955"/>
      <c r="O17" s="956">
        <v>43621.625</v>
      </c>
      <c r="P17" s="956"/>
      <c r="Q17" s="956"/>
      <c r="R17" s="956"/>
      <c r="S17" s="881">
        <f>COUNTIFS(AMP4_4[Date],"&gt;"&amp;O17)</f>
        <v>168</v>
      </c>
      <c r="T17" s="881"/>
      <c r="U17" s="881"/>
      <c r="V17" s="814"/>
      <c r="W17" s="785"/>
      <c r="X17" s="785"/>
      <c r="Y17" s="952"/>
      <c r="Z17" s="814"/>
      <c r="AA17" s="785"/>
      <c r="AB17" s="785"/>
      <c r="AC17" s="952"/>
      <c r="AD17" s="29"/>
      <c r="AE17" s="29"/>
      <c r="AF17" s="881" t="s">
        <v>297</v>
      </c>
      <c r="AG17" s="881"/>
      <c r="AH17" s="881"/>
      <c r="AI17" s="881"/>
      <c r="AJ17" s="881"/>
      <c r="AK17" s="881"/>
      <c r="AL17" s="881"/>
      <c r="AM17" s="881"/>
      <c r="AN17" s="881"/>
      <c r="AO17" s="881"/>
      <c r="AP17" s="659">
        <f>'Offset Solver'!$F$36</f>
        <v>0</v>
      </c>
      <c r="AQ17" s="659">
        <f>'Offset Solver'!$F$36</f>
        <v>0</v>
      </c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427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</row>
    <row r="18" spans="1:89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434"/>
      <c r="P18" s="434"/>
      <c r="Q18" s="434"/>
      <c r="R18" s="434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881" t="s">
        <v>296</v>
      </c>
      <c r="AG18" s="881"/>
      <c r="AH18" s="881"/>
      <c r="AI18" s="881"/>
      <c r="AJ18" s="881"/>
      <c r="AK18" s="881"/>
      <c r="AL18" s="881"/>
      <c r="AM18" s="881"/>
      <c r="AN18" s="881"/>
      <c r="AO18" s="881"/>
      <c r="AP18" s="659">
        <f>-'Offset Solver'!$F$35</f>
        <v>0</v>
      </c>
      <c r="AQ18" s="659">
        <f>-'Offset Solver'!$F$35</f>
        <v>0</v>
      </c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427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</row>
    <row r="19" spans="1:89" ht="15" customHeight="1" x14ac:dyDescent="0.25">
      <c r="A19" s="796" t="s">
        <v>240</v>
      </c>
      <c r="B19" s="796"/>
      <c r="C19" s="813" t="s">
        <v>193</v>
      </c>
      <c r="D19" s="950"/>
      <c r="E19" s="951"/>
      <c r="F19" s="1050" t="s">
        <v>235</v>
      </c>
      <c r="G19" s="1051" t="s">
        <v>161</v>
      </c>
      <c r="H19" s="1052" t="s">
        <v>161</v>
      </c>
      <c r="I19" s="953">
        <f>COUNTIFS('AMP5-2'!6:7,"&lt;.35",'AMP5-2'!6:7,"&gt;=.2")+COUNTIFS('AMP5-2'!6:7,"&gt;-.35",'AMP5-2'!6:7,"&lt;=-.2")</f>
        <v>6</v>
      </c>
      <c r="J19" s="954"/>
      <c r="K19" s="955"/>
      <c r="L19" s="953">
        <f>COUNTIFS('AMP5-2'!6:7,"&gt;=.35")+COUNTIFS('AMP5-2'!6:7,"&lt;=-.35")-COUNTIFS('AMP5-2'!T6:U7,"&gt;1")</f>
        <v>0</v>
      </c>
      <c r="M19" s="954"/>
      <c r="N19" s="955"/>
      <c r="O19" s="956">
        <f>IFERROR(INDEX(OffsetHistory[CreateDate],MATCH(F19,OffsetHistory[30_Fixtures.Nomenclature],0)),0)</f>
        <v>43711.254386574074</v>
      </c>
      <c r="P19" s="956"/>
      <c r="Q19" s="956"/>
      <c r="R19" s="956"/>
      <c r="S19" s="881">
        <f>COUNTIFS(AMP5_2[Date],"&gt;"&amp;O19)</f>
        <v>9</v>
      </c>
      <c r="T19" s="881"/>
      <c r="U19" s="881"/>
      <c r="V19" s="813">
        <f>INDEX(Counters!$C$2:$C$9,MATCH(C19,Counters!$A$2:$A$9,0))</f>
        <v>8</v>
      </c>
      <c r="W19" s="950"/>
      <c r="X19" s="950"/>
      <c r="Y19" s="951"/>
      <c r="Z19" s="813">
        <f>INDEX(Counters!$D$2:$D$9,MATCH(C19,Counters!$A$2:$A$9,0))</f>
        <v>91</v>
      </c>
      <c r="AA19" s="950"/>
      <c r="AB19" s="950"/>
      <c r="AC19" s="951"/>
      <c r="AD19" s="29"/>
      <c r="AE19" s="29"/>
      <c r="AF19" s="881" t="s">
        <v>295</v>
      </c>
      <c r="AG19" s="881"/>
      <c r="AH19" s="881"/>
      <c r="AI19" s="881"/>
      <c r="AJ19" s="881"/>
      <c r="AK19" s="881"/>
      <c r="AL19" s="881"/>
      <c r="AM19" s="881"/>
      <c r="AN19" s="881"/>
      <c r="AO19" s="881"/>
      <c r="AP19" s="659">
        <f>'Offset Solver'!$F$36</f>
        <v>0</v>
      </c>
      <c r="AQ19" s="659">
        <f>'Offset Solver'!$F$36</f>
        <v>0</v>
      </c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427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</row>
    <row r="20" spans="1:89" ht="15" customHeight="1" x14ac:dyDescent="0.25">
      <c r="A20" s="796"/>
      <c r="B20" s="796"/>
      <c r="C20" s="814"/>
      <c r="D20" s="785"/>
      <c r="E20" s="952"/>
      <c r="F20" s="974" t="s">
        <v>236</v>
      </c>
      <c r="G20" s="975" t="s">
        <v>161</v>
      </c>
      <c r="H20" s="976" t="s">
        <v>161</v>
      </c>
      <c r="I20" s="974">
        <f>COUNTIFS('AMP5-4'!6:7,"&lt;.35",'AMP5-4'!6:7,"&gt;=.2")+COUNTIFS('AMP5-4'!6:7,"&gt;-.35",'AMP5-4'!6:7,"&lt;=-.2")</f>
        <v>3</v>
      </c>
      <c r="J20" s="975"/>
      <c r="K20" s="976"/>
      <c r="L20" s="974">
        <f>COUNTIFS('AMP5-4'!6:7,"&gt;=.35")+COUNTIFS('AMP5-4'!6:7,"&lt;=-.35")-COUNTIFS('AMP5-4'!T6:U7,"&gt;1")</f>
        <v>1</v>
      </c>
      <c r="M20" s="975"/>
      <c r="N20" s="976"/>
      <c r="O20" s="977">
        <f>IFERROR(INDEX(OffsetHistory[CreateDate],MATCH(F20,OffsetHistory[30_Fixtures.Nomenclature],0)),0)</f>
        <v>43706.244490740741</v>
      </c>
      <c r="P20" s="977"/>
      <c r="Q20" s="977"/>
      <c r="R20" s="977"/>
      <c r="S20" s="957">
        <f>COUNTIFS(AMP5_4[Date],"&gt;"&amp;O20)</f>
        <v>46</v>
      </c>
      <c r="T20" s="957"/>
      <c r="U20" s="957"/>
      <c r="V20" s="814"/>
      <c r="W20" s="785"/>
      <c r="X20" s="785"/>
      <c r="Y20" s="952"/>
      <c r="Z20" s="814"/>
      <c r="AA20" s="785"/>
      <c r="AB20" s="785"/>
      <c r="AC20" s="952"/>
      <c r="AD20" s="29"/>
      <c r="AE20" s="29"/>
      <c r="AF20" s="881" t="s">
        <v>294</v>
      </c>
      <c r="AG20" s="881"/>
      <c r="AH20" s="881"/>
      <c r="AI20" s="881"/>
      <c r="AJ20" s="881"/>
      <c r="AK20" s="881"/>
      <c r="AL20" s="881"/>
      <c r="AM20" s="881"/>
      <c r="AN20" s="881"/>
      <c r="AO20" s="881"/>
      <c r="AP20" s="659">
        <f>-'Offset Solver'!$F$35</f>
        <v>0</v>
      </c>
      <c r="AQ20" s="659">
        <f>-'Offset Solver'!$F$35</f>
        <v>0</v>
      </c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427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</row>
    <row r="21" spans="1:89" ht="15" customHeight="1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434"/>
      <c r="P21" s="434"/>
      <c r="Q21" s="434"/>
      <c r="R21" s="434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427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</row>
    <row r="22" spans="1:89" ht="15" customHeight="1" x14ac:dyDescent="0.25">
      <c r="A22" s="796" t="s">
        <v>281</v>
      </c>
      <c r="B22" s="796"/>
      <c r="C22" s="813" t="s">
        <v>190</v>
      </c>
      <c r="D22" s="950"/>
      <c r="E22" s="951"/>
      <c r="F22" s="953" t="s">
        <v>284</v>
      </c>
      <c r="G22" s="954" t="s">
        <v>157</v>
      </c>
      <c r="H22" s="955" t="s">
        <v>157</v>
      </c>
      <c r="I22" s="953">
        <f>COUNTIFS('AMP6-2'!15:16,"&lt;.35",'AMP6-2'!15:16,"&gt;=.2")+COUNTIFS('AMP6-2'!15:16,"&gt;-.35",'AMP6-2'!15:16,"&lt;=-.2")</f>
        <v>6</v>
      </c>
      <c r="J22" s="954"/>
      <c r="K22" s="955"/>
      <c r="L22" s="953" t="e">
        <f>COUNTIFS('AMP6-2'!15:16,"&gt;=.35")+COUNTIFS('AMP6-2'!15:16,"&lt;=-.35")-COUNTIFS('AMP6-2'!#REF!,"&gt;1")</f>
        <v>#REF!</v>
      </c>
      <c r="M22" s="954"/>
      <c r="N22" s="955"/>
      <c r="O22" s="956">
        <f>IFERROR(INDEX(OffsetHistory[CreateDate],MATCH(F22,OffsetHistory[30_Fixtures.Nomenclature],0)),0)</f>
        <v>43711.255972222221</v>
      </c>
      <c r="P22" s="956"/>
      <c r="Q22" s="956"/>
      <c r="R22" s="956"/>
      <c r="S22" s="881">
        <f>COUNTIFS(AMP6_2[Date],"&gt;"&amp;O22)</f>
        <v>12</v>
      </c>
      <c r="T22" s="881"/>
      <c r="U22" s="881"/>
      <c r="V22" s="813">
        <f>INDEX(Counters!$C$2:$C$9,MATCH(C22,Counters!$A$2:$A$9,0))</f>
        <v>2</v>
      </c>
      <c r="W22" s="950"/>
      <c r="X22" s="950"/>
      <c r="Y22" s="951"/>
      <c r="Z22" s="813">
        <f>INDEX(Counters!$D$2:$D$9,MATCH(C22,Counters!$A$2:$A$9,0))</f>
        <v>462</v>
      </c>
      <c r="AA22" s="950"/>
      <c r="AB22" s="950"/>
      <c r="AC22" s="951"/>
      <c r="AD22" s="29"/>
      <c r="AE22" s="29"/>
      <c r="AF22" s="608">
        <v>5</v>
      </c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437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</row>
    <row r="23" spans="1:89" ht="15" customHeight="1" x14ac:dyDescent="0.25">
      <c r="A23" s="796"/>
      <c r="B23" s="796"/>
      <c r="C23" s="814"/>
      <c r="D23" s="785"/>
      <c r="E23" s="952"/>
      <c r="F23" s="953" t="s">
        <v>285</v>
      </c>
      <c r="G23" s="954" t="s">
        <v>157</v>
      </c>
      <c r="H23" s="955" t="s">
        <v>157</v>
      </c>
      <c r="I23" s="953">
        <f>COUNTIFS('AMP6-4'!15:16,"&lt;.35",'AMP6-4'!15:16,"&gt;=.2")+COUNTIFS('AMP6-4'!15:16,"&gt;-.35",'AMP6-4'!15:16,"&lt;=-.2")</f>
        <v>15</v>
      </c>
      <c r="J23" s="954"/>
      <c r="K23" s="955"/>
      <c r="L23" s="953" t="e">
        <f>COUNTIFS('AMP6-4'!15:16,"&gt;=.35")+COUNTIFS('AMP6-4'!15:16,"&lt;=-.35")-COUNTIFS('AMP6-4'!#REF!,"&gt;1")</f>
        <v>#REF!</v>
      </c>
      <c r="M23" s="954"/>
      <c r="N23" s="955"/>
      <c r="O23" s="956">
        <f>IFERROR(INDEX(OffsetHistory[CreateDate],MATCH(F23,OffsetHistory[30_Fixtures.Nomenclature],0)),0)</f>
        <v>43706.246365740742</v>
      </c>
      <c r="P23" s="956"/>
      <c r="Q23" s="956"/>
      <c r="R23" s="956"/>
      <c r="S23" s="881">
        <f>COUNTIFS(AMP6_4[Date],"&gt;"&amp;O23)</f>
        <v>22</v>
      </c>
      <c r="T23" s="881"/>
      <c r="U23" s="881"/>
      <c r="V23" s="814"/>
      <c r="W23" s="785"/>
      <c r="X23" s="785"/>
      <c r="Y23" s="952"/>
      <c r="Z23" s="814"/>
      <c r="AA23" s="785"/>
      <c r="AB23" s="785"/>
      <c r="AC23" s="952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437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</row>
    <row r="24" spans="1:89" ht="15" customHeight="1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434"/>
      <c r="P24" s="434"/>
      <c r="Q24" s="434"/>
      <c r="R24" s="434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437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</row>
    <row r="25" spans="1:89" ht="15" customHeight="1" x14ac:dyDescent="0.25">
      <c r="A25" s="796" t="s">
        <v>247</v>
      </c>
      <c r="B25" s="796"/>
      <c r="C25" s="813" t="s">
        <v>207</v>
      </c>
      <c r="D25" s="950"/>
      <c r="E25" s="951"/>
      <c r="F25" s="953" t="s">
        <v>248</v>
      </c>
      <c r="G25" s="954" t="s">
        <v>221</v>
      </c>
      <c r="H25" s="955" t="s">
        <v>221</v>
      </c>
      <c r="I25" s="953">
        <f>COUNTIFS('AMP7-6'!6:7,"&lt;.35",'AMP7-6'!6:7,"&gt;=.2")+COUNTIFS('AMP7-6'!6:7,"&gt;-.35",'AMP7-6'!6:7,"&lt;=-.2")</f>
        <v>13</v>
      </c>
      <c r="J25" s="954"/>
      <c r="K25" s="955"/>
      <c r="L25" s="953">
        <f>COUNTIFS('AMP7-6'!6:7,"&gt;=.35")+COUNTIFS('AMP7-6'!6:7,"&lt;=-.35")-COUNTIFS('AMP7-6'!T6:U7,"&gt;1")</f>
        <v>3</v>
      </c>
      <c r="M25" s="954"/>
      <c r="N25" s="955"/>
      <c r="O25" s="956">
        <f>IFERROR(INDEX(OffsetHistory[CreateDate],MATCH(F25,OffsetHistory[30_Fixtures.Nomenclature],0)),0)</f>
        <v>43633.276064814818</v>
      </c>
      <c r="P25" s="956"/>
      <c r="Q25" s="956"/>
      <c r="R25" s="956"/>
      <c r="S25" s="881">
        <f>COUNTIFS(AMP7_6[Date],"&gt;"&amp;O25)</f>
        <v>130</v>
      </c>
      <c r="T25" s="881"/>
      <c r="U25" s="881"/>
      <c r="V25" s="813">
        <f>INDEX(Counters!$C$2:$C$9,MATCH(C25,Counters!$A$2:$A$9,0))</f>
        <v>34</v>
      </c>
      <c r="W25" s="950"/>
      <c r="X25" s="950"/>
      <c r="Y25" s="951"/>
      <c r="Z25" s="813">
        <f>INDEX(Counters!$D$2:$D$9,MATCH(C25,Counters!$A$2:$A$9,0))</f>
        <v>605</v>
      </c>
      <c r="AA25" s="950"/>
      <c r="AB25" s="950"/>
      <c r="AC25" s="951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427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</row>
    <row r="26" spans="1:89" ht="15" customHeight="1" x14ac:dyDescent="0.25">
      <c r="A26" s="796"/>
      <c r="B26" s="796"/>
      <c r="C26" s="814"/>
      <c r="D26" s="785"/>
      <c r="E26" s="952"/>
      <c r="F26" s="953" t="s">
        <v>249</v>
      </c>
      <c r="G26" s="954" t="s">
        <v>221</v>
      </c>
      <c r="H26" s="955" t="s">
        <v>221</v>
      </c>
      <c r="I26" s="953">
        <f>COUNTIFS('AMP7-8'!6:7,"&lt;.35",'AMP7-8'!6:7,"&gt;=.2")+COUNTIFS('AMP7-8'!6:7,"&gt;-.35",'AMP7-8'!6:7,"&lt;=-.2")</f>
        <v>9</v>
      </c>
      <c r="J26" s="954"/>
      <c r="K26" s="955"/>
      <c r="L26" s="953">
        <f>COUNTIFS('AMP7-8'!6:7,"&gt;=.35")+COUNTIFS('AMP7-8'!6:7,"&lt;=-.35")-COUNTIFS('AMP7-8'!T6:U7,"&gt;1")</f>
        <v>3</v>
      </c>
      <c r="M26" s="954"/>
      <c r="N26" s="955"/>
      <c r="O26" s="956">
        <f>IFERROR(INDEX(OffsetHistory[CreateDate],MATCH(F26,OffsetHistory[30_Fixtures.Nomenclature],0)),0)</f>
        <v>43705.466631944444</v>
      </c>
      <c r="P26" s="956"/>
      <c r="Q26" s="956"/>
      <c r="R26" s="956"/>
      <c r="S26" s="881">
        <f>COUNTIFS(AMP7_8[Date],"&gt;"&amp;O26)</f>
        <v>52</v>
      </c>
      <c r="T26" s="881"/>
      <c r="U26" s="881"/>
      <c r="V26" s="814"/>
      <c r="W26" s="785"/>
      <c r="X26" s="785"/>
      <c r="Y26" s="952"/>
      <c r="Z26" s="814"/>
      <c r="AA26" s="785"/>
      <c r="AB26" s="785"/>
      <c r="AC26" s="952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427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</row>
    <row r="27" spans="1:89" ht="15.75" thickBot="1" x14ac:dyDescent="0.3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427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</row>
    <row r="28" spans="1:89" ht="15.75" customHeight="1" thickTop="1" thickBot="1" x14ac:dyDescent="0.3">
      <c r="A28" s="982" t="s">
        <v>94</v>
      </c>
      <c r="B28" s="983"/>
      <c r="C28" s="983"/>
      <c r="D28" s="983"/>
      <c r="E28" s="1053" t="str">
        <f>INDEX(Machine[Nomenclature],MATCH(INDEX(Settings!E3:E10,Settings!E2)&amp;"_"&amp;INDEX(Settings!I3:I6,Settings!I2),Machine[Combined],0))</f>
        <v>AMP6-4</v>
      </c>
      <c r="F28" s="776"/>
      <c r="G28" s="776"/>
      <c r="H28" s="776"/>
      <c r="I28" s="945" t="str">
        <f>INDEX(Machine[SQL Fixture],MATCH(E28,Machine[Nomenclature],0))</f>
        <v>Fixture4</v>
      </c>
      <c r="J28" s="946"/>
      <c r="K28" s="411"/>
      <c r="L28" s="411"/>
      <c r="M28" s="989" t="s">
        <v>32</v>
      </c>
      <c r="N28" s="989"/>
      <c r="O28" s="989"/>
      <c r="P28" s="989"/>
      <c r="Q28" s="989"/>
      <c r="R28" s="989"/>
      <c r="S28" s="989"/>
      <c r="T28" s="989"/>
      <c r="U28" s="989"/>
      <c r="V28" s="989"/>
      <c r="W28" s="989"/>
      <c r="X28" s="989"/>
      <c r="Y28" s="412"/>
      <c r="Z28" s="412"/>
      <c r="AA28" s="1115" t="s">
        <v>31</v>
      </c>
      <c r="AB28" s="1115"/>
      <c r="AC28" s="1115"/>
      <c r="AD28" s="1115"/>
      <c r="AE28" s="1115"/>
      <c r="AF28" s="1115"/>
      <c r="AG28" s="1115"/>
      <c r="AH28" s="1115"/>
      <c r="AI28" s="1115"/>
      <c r="AJ28" s="1115"/>
      <c r="AK28" s="1115"/>
      <c r="AL28" s="413"/>
      <c r="AM28" s="414"/>
      <c r="AN28" s="415"/>
      <c r="AO28" s="415"/>
      <c r="AP28" s="415"/>
      <c r="AQ28" s="415"/>
      <c r="AR28" s="415"/>
      <c r="AS28" s="415"/>
      <c r="AT28" s="415"/>
      <c r="AU28" s="416"/>
      <c r="AV28" s="388"/>
      <c r="AW28" s="388"/>
      <c r="AX28" s="388"/>
      <c r="AY28" s="388"/>
      <c r="AZ28" s="388"/>
      <c r="BA28" s="388"/>
      <c r="BB28" s="389"/>
      <c r="BC28" s="389"/>
      <c r="BD28" s="389"/>
      <c r="BE28" s="388"/>
      <c r="BF28" s="388"/>
      <c r="BG28" s="388"/>
      <c r="BH28" s="388"/>
      <c r="BI28" s="388"/>
      <c r="BJ28" s="388"/>
      <c r="BK28" s="388"/>
      <c r="BL28" s="388"/>
      <c r="BM28" s="388"/>
      <c r="BN28" s="388"/>
      <c r="BO28" s="388"/>
      <c r="BP28" s="388"/>
      <c r="BQ28" s="389"/>
      <c r="BR28" s="388"/>
      <c r="BS28" s="388"/>
      <c r="BT28" s="388"/>
      <c r="BU28" s="388"/>
      <c r="BV28" s="388"/>
      <c r="BW28" s="388"/>
      <c r="BX28" s="388"/>
      <c r="BY28" s="388"/>
      <c r="BZ28" s="388"/>
      <c r="CA28" s="388"/>
      <c r="CB28" s="388"/>
      <c r="CC28" s="388"/>
      <c r="CD28" s="388"/>
      <c r="CE28" s="388"/>
      <c r="CF28" s="388"/>
      <c r="CG28" s="388"/>
      <c r="CH28" s="388"/>
    </row>
    <row r="29" spans="1:89" ht="15.75" customHeight="1" x14ac:dyDescent="0.25">
      <c r="A29" s="984" t="s">
        <v>223</v>
      </c>
      <c r="B29" s="985"/>
      <c r="C29" s="985"/>
      <c r="D29" s="985"/>
      <c r="E29" s="964" t="b">
        <f>INDEX(Settings!D3:D5,Settings!D2)</f>
        <v>0</v>
      </c>
      <c r="F29" s="964"/>
      <c r="G29" s="964"/>
      <c r="H29" s="964"/>
      <c r="I29" s="943" t="s">
        <v>475</v>
      </c>
      <c r="J29" s="944"/>
      <c r="K29" s="29"/>
      <c r="L29" s="29"/>
      <c r="M29" s="990"/>
      <c r="N29" s="990"/>
      <c r="O29" s="990"/>
      <c r="P29" s="990"/>
      <c r="Q29" s="990"/>
      <c r="R29" s="990"/>
      <c r="S29" s="990"/>
      <c r="T29" s="990"/>
      <c r="U29" s="990"/>
      <c r="V29" s="990"/>
      <c r="W29" s="990"/>
      <c r="X29" s="990"/>
      <c r="Y29" s="292"/>
      <c r="Z29" s="292"/>
      <c r="AA29" s="1116"/>
      <c r="AB29" s="1116"/>
      <c r="AC29" s="1116"/>
      <c r="AD29" s="1116"/>
      <c r="AE29" s="1116"/>
      <c r="AF29" s="1116"/>
      <c r="AG29" s="1116"/>
      <c r="AH29" s="1116"/>
      <c r="AI29" s="1116"/>
      <c r="AJ29" s="1116"/>
      <c r="AK29" s="1116"/>
      <c r="AL29" s="390"/>
      <c r="AM29" s="917" t="str">
        <f ca="1">TEXT(TODAY(),"mm/dd/yyyy")</f>
        <v>09/04/2019</v>
      </c>
      <c r="AN29" s="917"/>
      <c r="AO29" s="917"/>
      <c r="AP29" s="917"/>
      <c r="AQ29" s="917"/>
      <c r="AR29" s="919" t="str">
        <f>INDEX(Machine[Machine],MATCH(E28,Machine[Nomenclature],0))</f>
        <v>WJM_M500_2</v>
      </c>
      <c r="AS29" s="919"/>
      <c r="AT29" s="919"/>
      <c r="AU29" s="1119"/>
      <c r="AV29" s="52"/>
      <c r="AW29" s="29"/>
      <c r="AX29" s="29"/>
      <c r="AY29" s="980" t="s">
        <v>103</v>
      </c>
      <c r="AZ29" s="776"/>
      <c r="BA29" s="776"/>
      <c r="BB29" s="776"/>
      <c r="BC29" s="776"/>
      <c r="BD29" s="776"/>
      <c r="BE29" s="776"/>
      <c r="BF29" s="776"/>
      <c r="BG29" s="766" t="s">
        <v>101</v>
      </c>
      <c r="BH29" s="767"/>
      <c r="BI29" s="767"/>
      <c r="BJ29" s="767"/>
      <c r="BK29" s="767"/>
      <c r="BL29" s="767"/>
      <c r="BM29" s="767"/>
      <c r="BN29" s="981"/>
      <c r="BO29" s="29"/>
      <c r="BP29" s="29"/>
      <c r="BQ29" s="427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52"/>
    </row>
    <row r="30" spans="1:89" ht="15.75" customHeight="1" x14ac:dyDescent="0.25">
      <c r="A30" s="997" t="s">
        <v>141</v>
      </c>
      <c r="B30" s="998"/>
      <c r="C30" s="998"/>
      <c r="D30" s="998"/>
      <c r="E30" s="1054">
        <f>IF(E29=TRUE,IFERROR(INDEX(O3:O26,MATCH(E28,F3:F26,0)),0),IF(E29="Manual",'Front Page'!D22,0))</f>
        <v>0</v>
      </c>
      <c r="F30" s="1055"/>
      <c r="G30" s="1055"/>
      <c r="H30" s="1055"/>
      <c r="I30" s="161" t="s">
        <v>32</v>
      </c>
      <c r="J30" s="329">
        <f>'Current Values'!D42</f>
        <v>26</v>
      </c>
      <c r="K30" s="528"/>
      <c r="L30" s="29"/>
      <c r="M30" s="29"/>
      <c r="N30" s="29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  <c r="AG30" s="292"/>
      <c r="AH30" s="292"/>
      <c r="AI30" s="292"/>
      <c r="AJ30" s="292"/>
      <c r="AK30" s="292"/>
      <c r="AL30" s="292"/>
      <c r="AM30" s="917"/>
      <c r="AN30" s="917"/>
      <c r="AO30" s="917"/>
      <c r="AP30" s="917"/>
      <c r="AQ30" s="917"/>
      <c r="AR30" s="919"/>
      <c r="AS30" s="919"/>
      <c r="AT30" s="919"/>
      <c r="AU30" s="1119"/>
      <c r="AV30" s="52"/>
      <c r="AW30" s="29"/>
      <c r="AX30" s="322" t="s">
        <v>91</v>
      </c>
      <c r="AY30" s="324" t="s">
        <v>122</v>
      </c>
      <c r="AZ30" s="325" t="s">
        <v>121</v>
      </c>
      <c r="BA30" s="325" t="s">
        <v>123</v>
      </c>
      <c r="BB30" s="325" t="s">
        <v>124</v>
      </c>
      <c r="BC30" s="325" t="s">
        <v>125</v>
      </c>
      <c r="BD30" s="325" t="s">
        <v>126</v>
      </c>
      <c r="BE30" s="326" t="s">
        <v>127</v>
      </c>
      <c r="BF30" s="327" t="s">
        <v>128</v>
      </c>
      <c r="BG30" s="328" t="s">
        <v>122</v>
      </c>
      <c r="BH30" s="325" t="s">
        <v>121</v>
      </c>
      <c r="BI30" s="325" t="s">
        <v>123</v>
      </c>
      <c r="BJ30" s="325" t="s">
        <v>124</v>
      </c>
      <c r="BK30" s="325" t="s">
        <v>125</v>
      </c>
      <c r="BL30" s="325" t="s">
        <v>126</v>
      </c>
      <c r="BM30" s="325" t="s">
        <v>127</v>
      </c>
      <c r="BN30" s="329" t="s">
        <v>128</v>
      </c>
      <c r="BO30" s="29"/>
      <c r="BP30" s="29"/>
      <c r="BQ30" s="427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52"/>
    </row>
    <row r="31" spans="1:89" ht="15.75" customHeight="1" thickBot="1" x14ac:dyDescent="0.3">
      <c r="A31" s="999" t="s">
        <v>142</v>
      </c>
      <c r="B31" s="1000"/>
      <c r="C31" s="1000"/>
      <c r="D31" s="1000"/>
      <c r="E31" s="995">
        <v>73050</v>
      </c>
      <c r="F31" s="996"/>
      <c r="G31" s="996"/>
      <c r="H31" s="996"/>
      <c r="I31" s="158" t="s">
        <v>31</v>
      </c>
      <c r="J31" s="612">
        <f>'Current Values'!D43</f>
        <v>26</v>
      </c>
      <c r="K31" s="528"/>
      <c r="L31" s="29"/>
      <c r="M31" s="29"/>
      <c r="N31" s="29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  <c r="AG31" s="292"/>
      <c r="AH31" s="292"/>
      <c r="AI31" s="292"/>
      <c r="AJ31" s="292"/>
      <c r="AK31" s="292"/>
      <c r="AL31" s="292"/>
      <c r="AM31" s="292"/>
      <c r="AN31" s="917" t="str">
        <f>INDEX(Machine[Name],MATCH(E28,Machine[Nomenclature],0))</f>
        <v>AMP 6</v>
      </c>
      <c r="AO31" s="917"/>
      <c r="AP31" s="917"/>
      <c r="AQ31" s="917"/>
      <c r="AR31" s="917" t="str">
        <f>INDEX(Machine[Fixture],MATCH(E28,Machine[Nomenclature],0))</f>
        <v>Fixture 3/4</v>
      </c>
      <c r="AS31" s="917"/>
      <c r="AT31" s="917"/>
      <c r="AU31" s="1167"/>
      <c r="AV31" s="52"/>
      <c r="AW31" s="29"/>
      <c r="AX31" s="322" t="s">
        <v>87</v>
      </c>
      <c r="AY31" s="330">
        <v>0</v>
      </c>
      <c r="AZ31" s="331">
        <v>1</v>
      </c>
      <c r="BA31" s="331">
        <v>0</v>
      </c>
      <c r="BB31" s="331">
        <v>-1</v>
      </c>
      <c r="BC31" s="331">
        <v>1</v>
      </c>
      <c r="BD31" s="331">
        <v>0</v>
      </c>
      <c r="BE31" s="331">
        <v>0</v>
      </c>
      <c r="BF31" s="332">
        <v>0</v>
      </c>
      <c r="BG31" s="330">
        <v>-2</v>
      </c>
      <c r="BH31" s="331">
        <v>0</v>
      </c>
      <c r="BI31" s="331">
        <v>0</v>
      </c>
      <c r="BJ31" s="331">
        <v>-2</v>
      </c>
      <c r="BK31" s="331">
        <v>1</v>
      </c>
      <c r="BL31" s="331">
        <v>1</v>
      </c>
      <c r="BM31" s="331">
        <v>-2</v>
      </c>
      <c r="BN31" s="333">
        <v>-2</v>
      </c>
      <c r="BO31" s="29"/>
      <c r="BP31" s="29"/>
      <c r="BQ31" s="427"/>
      <c r="BR31" s="881" t="s">
        <v>104</v>
      </c>
      <c r="BS31" s="881"/>
      <c r="BT31" s="334">
        <f>AVERAGE(AY32:BN32)</f>
        <v>-3.125E-2</v>
      </c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52"/>
    </row>
    <row r="32" spans="1:89" ht="15.75" customHeight="1" thickBot="1" x14ac:dyDescent="0.3">
      <c r="A32" s="335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1120" t="s">
        <v>107</v>
      </c>
      <c r="O32" s="1121"/>
      <c r="P32" s="1121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  <c r="AG32" s="292"/>
      <c r="AH32" s="292"/>
      <c r="AI32" s="292"/>
      <c r="AJ32" s="1123" t="s">
        <v>106</v>
      </c>
      <c r="AK32" s="1124"/>
      <c r="AL32" s="1125"/>
      <c r="AM32" s="292"/>
      <c r="AN32" s="917"/>
      <c r="AO32" s="917"/>
      <c r="AP32" s="917"/>
      <c r="AQ32" s="917"/>
      <c r="AR32" s="917"/>
      <c r="AS32" s="917"/>
      <c r="AT32" s="917"/>
      <c r="AU32" s="1167"/>
      <c r="AV32" s="52"/>
      <c r="AW32" s="29"/>
      <c r="AX32" s="322" t="s">
        <v>85</v>
      </c>
      <c r="AY32" s="216">
        <f t="shared" ref="AY32:BN32" si="0">AY31*$D$41</f>
        <v>0</v>
      </c>
      <c r="AZ32" s="215">
        <f t="shared" si="0"/>
        <v>0.1</v>
      </c>
      <c r="BA32" s="215">
        <f t="shared" si="0"/>
        <v>0</v>
      </c>
      <c r="BB32" s="215">
        <f t="shared" si="0"/>
        <v>-0.1</v>
      </c>
      <c r="BC32" s="215">
        <f t="shared" si="0"/>
        <v>0.1</v>
      </c>
      <c r="BD32" s="215">
        <f t="shared" si="0"/>
        <v>0</v>
      </c>
      <c r="BE32" s="215">
        <f t="shared" si="0"/>
        <v>0</v>
      </c>
      <c r="BF32" s="228">
        <f t="shared" si="0"/>
        <v>0</v>
      </c>
      <c r="BG32" s="216">
        <f t="shared" si="0"/>
        <v>-0.2</v>
      </c>
      <c r="BH32" s="215">
        <f t="shared" si="0"/>
        <v>0</v>
      </c>
      <c r="BI32" s="215">
        <f t="shared" si="0"/>
        <v>0</v>
      </c>
      <c r="BJ32" s="215">
        <f t="shared" si="0"/>
        <v>-0.2</v>
      </c>
      <c r="BK32" s="215">
        <f t="shared" si="0"/>
        <v>0.1</v>
      </c>
      <c r="BL32" s="215">
        <f t="shared" si="0"/>
        <v>0.1</v>
      </c>
      <c r="BM32" s="215">
        <f t="shared" si="0"/>
        <v>-0.2</v>
      </c>
      <c r="BN32" s="214">
        <f t="shared" si="0"/>
        <v>-0.2</v>
      </c>
      <c r="BO32" s="29"/>
      <c r="BP32" s="29"/>
      <c r="BQ32" s="427"/>
      <c r="BR32" s="881" t="s">
        <v>84</v>
      </c>
      <c r="BS32" s="881"/>
      <c r="BT32" s="382">
        <f>SQRT(SUMPRODUCT(BT35:BT50,BT35:BT50))</f>
        <v>0.30248966924511328</v>
      </c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52"/>
    </row>
    <row r="33" spans="1:86" ht="15.75" customHeight="1" thickBot="1" x14ac:dyDescent="0.3">
      <c r="A33" s="1096" t="s">
        <v>92</v>
      </c>
      <c r="B33" s="1097"/>
      <c r="C33" s="1097"/>
      <c r="D33" s="1097"/>
      <c r="E33" s="1097"/>
      <c r="F33" s="1097"/>
      <c r="G33" s="1098"/>
      <c r="H33" s="29"/>
      <c r="I33" s="29"/>
      <c r="J33" s="29"/>
      <c r="K33" s="29"/>
      <c r="L33" s="29"/>
      <c r="M33" s="29"/>
      <c r="N33" s="1121"/>
      <c r="O33" s="1121"/>
      <c r="P33" s="1121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  <c r="AG33" s="292"/>
      <c r="AH33" s="292"/>
      <c r="AI33" s="292"/>
      <c r="AJ33" s="1126"/>
      <c r="AK33" s="1127"/>
      <c r="AL33" s="1128"/>
      <c r="AM33" s="292"/>
      <c r="AN33" s="292"/>
      <c r="AO33" s="292"/>
      <c r="AP33" s="292"/>
      <c r="AQ33" s="29"/>
      <c r="AR33" s="29"/>
      <c r="AS33" s="29"/>
      <c r="AT33" s="29"/>
      <c r="AU33" s="337"/>
      <c r="AV33" s="52"/>
      <c r="AW33" s="29"/>
      <c r="AX33" s="29"/>
      <c r="AY33" s="301"/>
      <c r="AZ33" s="296"/>
      <c r="BA33" s="296"/>
      <c r="BB33" s="296"/>
      <c r="BC33" s="296"/>
      <c r="BD33" s="296"/>
      <c r="BE33" s="296"/>
      <c r="BF33" s="296"/>
      <c r="BG33" s="301"/>
      <c r="BH33" s="296"/>
      <c r="BI33" s="296"/>
      <c r="BJ33" s="296"/>
      <c r="BK33" s="296"/>
      <c r="BL33" s="296"/>
      <c r="BM33" s="296"/>
      <c r="BN33" s="303"/>
      <c r="BO33" s="29"/>
      <c r="BP33" s="29"/>
      <c r="BQ33" s="427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20"/>
      <c r="CC33" s="29"/>
      <c r="CD33" s="29"/>
      <c r="CE33" s="29"/>
      <c r="CF33" s="29"/>
      <c r="CG33" s="29"/>
      <c r="CH33" s="52"/>
    </row>
    <row r="34" spans="1:86" ht="15.75" customHeight="1" thickBot="1" x14ac:dyDescent="0.3">
      <c r="A34" s="1105" t="s">
        <v>90</v>
      </c>
      <c r="B34" s="1106"/>
      <c r="C34" s="1106"/>
      <c r="D34" s="1106" t="s">
        <v>89</v>
      </c>
      <c r="E34" s="1106"/>
      <c r="F34" s="1106" t="s">
        <v>88</v>
      </c>
      <c r="G34" s="1107"/>
      <c r="H34" s="29"/>
      <c r="I34" s="29"/>
      <c r="J34" s="29"/>
      <c r="K34" s="29"/>
      <c r="L34" s="29"/>
      <c r="M34" s="29"/>
      <c r="N34" s="1122" t="str">
        <f>IF(AZ32&gt;0,"↑ "&amp;AZ32,IF(AZ32&lt;0,"↓ "&amp;-AZ32,0))</f>
        <v>↑ 0.1</v>
      </c>
      <c r="O34" s="1122"/>
      <c r="P34" s="1122"/>
      <c r="Q34" s="992" t="s">
        <v>212</v>
      </c>
      <c r="R34" s="993"/>
      <c r="S34" s="993"/>
      <c r="T34" s="993"/>
      <c r="U34" s="993"/>
      <c r="V34" s="993"/>
      <c r="W34" s="993"/>
      <c r="X34" s="993"/>
      <c r="Y34" s="993"/>
      <c r="Z34" s="292"/>
      <c r="AA34" s="292"/>
      <c r="AB34" s="292"/>
      <c r="AC34" s="292"/>
      <c r="AD34" s="292"/>
      <c r="AE34" s="292"/>
      <c r="AF34" s="292"/>
      <c r="AG34" s="292"/>
      <c r="AH34" s="292"/>
      <c r="AI34" s="292"/>
      <c r="AJ34" s="1122">
        <f>IF(AY32&gt;0,"↑ "&amp;AY32,IF(AY32&lt;0,"↓ "&amp;-AY32,0))</f>
        <v>0</v>
      </c>
      <c r="AK34" s="1122"/>
      <c r="AL34" s="1122"/>
      <c r="AM34" s="292"/>
      <c r="AN34" s="292"/>
      <c r="AO34" s="292"/>
      <c r="AP34" s="292"/>
      <c r="AQ34" s="29"/>
      <c r="AR34" s="29"/>
      <c r="AS34" s="29"/>
      <c r="AT34" s="29"/>
      <c r="AU34" s="337"/>
      <c r="AV34" s="52"/>
      <c r="AW34" s="29"/>
      <c r="AX34" s="323" t="s">
        <v>81</v>
      </c>
      <c r="AY34" s="335"/>
      <c r="AZ34" s="29"/>
      <c r="BA34" s="29"/>
      <c r="BB34" s="336"/>
      <c r="BC34" s="336"/>
      <c r="BD34" s="336"/>
      <c r="BE34" s="29"/>
      <c r="BF34" s="29"/>
      <c r="BG34" s="335"/>
      <c r="BH34" s="29"/>
      <c r="BI34" s="29"/>
      <c r="BJ34" s="29"/>
      <c r="BK34" s="29"/>
      <c r="BL34" s="29"/>
      <c r="BM34" s="29"/>
      <c r="BN34" s="337"/>
      <c r="BO34" s="338" t="s">
        <v>80</v>
      </c>
      <c r="BP34" s="339"/>
      <c r="BQ34" s="429"/>
      <c r="BR34" s="212" t="s">
        <v>79</v>
      </c>
      <c r="BS34" s="211" t="s">
        <v>78</v>
      </c>
      <c r="BT34" s="211" t="s">
        <v>77</v>
      </c>
      <c r="BU34" s="210" t="s">
        <v>37</v>
      </c>
      <c r="BV34" s="29"/>
      <c r="BW34" s="1013" t="s">
        <v>76</v>
      </c>
      <c r="BX34" s="1014"/>
      <c r="BY34" s="1015"/>
      <c r="BZ34" s="29"/>
      <c r="CA34" s="1008" t="s">
        <v>180</v>
      </c>
      <c r="CB34" s="1009"/>
      <c r="CC34" s="1010"/>
      <c r="CD34" s="386"/>
      <c r="CE34" s="1008" t="s">
        <v>181</v>
      </c>
      <c r="CF34" s="1009"/>
      <c r="CG34" s="1010"/>
      <c r="CH34" s="52"/>
    </row>
    <row r="35" spans="1:86" ht="15.75" customHeight="1" thickBot="1" x14ac:dyDescent="0.3">
      <c r="A35" s="947" t="s">
        <v>288</v>
      </c>
      <c r="B35" s="948"/>
      <c r="C35" s="949"/>
      <c r="D35" s="1049" t="b">
        <v>0</v>
      </c>
      <c r="E35" s="1049"/>
      <c r="F35" s="1047">
        <v>0</v>
      </c>
      <c r="G35" s="1048"/>
      <c r="H35" s="29"/>
      <c r="I35" s="29"/>
      <c r="J35" s="29"/>
      <c r="K35" s="29"/>
      <c r="L35" s="29"/>
      <c r="M35" s="220"/>
      <c r="N35" s="1002">
        <f>IF(BH32&gt;0,"↑ "&amp;BH32,IF(BH32&lt;0,"↓ "&amp;-BH32,0))</f>
        <v>0</v>
      </c>
      <c r="O35" s="1002"/>
      <c r="P35" s="1002"/>
      <c r="Q35" s="994"/>
      <c r="R35" s="993"/>
      <c r="S35" s="993"/>
      <c r="T35" s="993"/>
      <c r="U35" s="993"/>
      <c r="V35" s="993"/>
      <c r="W35" s="993"/>
      <c r="X35" s="993"/>
      <c r="Y35" s="993"/>
      <c r="Z35" s="292"/>
      <c r="AA35" s="292"/>
      <c r="AB35" s="292"/>
      <c r="AC35" s="292"/>
      <c r="AD35" s="292"/>
      <c r="AE35" s="292"/>
      <c r="AF35" s="292"/>
      <c r="AG35" s="292"/>
      <c r="AH35" s="292"/>
      <c r="AI35" s="292"/>
      <c r="AJ35" s="1129" t="str">
        <f>IF(BG32&gt;0,"↑ "&amp;BG32,IF(BG32&lt;0,"↓ "&amp;-BG32,0))</f>
        <v>↓ 0.2</v>
      </c>
      <c r="AK35" s="1130"/>
      <c r="AL35" s="1131"/>
      <c r="AM35" s="292"/>
      <c r="AN35" s="292"/>
      <c r="AO35" s="292"/>
      <c r="AP35" s="292"/>
      <c r="AQ35" s="29"/>
      <c r="AR35" s="29"/>
      <c r="AS35" s="29"/>
      <c r="AT35" s="29"/>
      <c r="AU35" s="337"/>
      <c r="AV35" s="52"/>
      <c r="AW35" s="1016" t="s">
        <v>103</v>
      </c>
      <c r="AX35" s="250" t="s">
        <v>162</v>
      </c>
      <c r="AY35" s="248"/>
      <c r="AZ35" s="172">
        <v>1</v>
      </c>
      <c r="BA35" s="172">
        <v>-1</v>
      </c>
      <c r="BB35" s="172"/>
      <c r="BC35" s="172"/>
      <c r="BD35" s="172"/>
      <c r="BE35" s="172"/>
      <c r="BF35" s="208"/>
      <c r="BG35" s="209"/>
      <c r="BH35" s="208"/>
      <c r="BI35" s="208"/>
      <c r="BJ35" s="208"/>
      <c r="BK35" s="208"/>
      <c r="BL35" s="208"/>
      <c r="BM35" s="208"/>
      <c r="BN35" s="171"/>
      <c r="BO35" s="340">
        <f t="shared" ref="BO35:BO71" si="1">SUMPRODUCT(AY35:BN35,$AY$32:$BN$32)</f>
        <v>0.1</v>
      </c>
      <c r="BP35" s="29"/>
      <c r="BQ35" s="427" t="str">
        <f>AX35</f>
        <v>-1 Dim 1_1</v>
      </c>
      <c r="BR35" s="290">
        <f>$C$65</f>
        <v>41.17</v>
      </c>
      <c r="BS35" s="184">
        <f t="shared" ref="BS35:BS50" si="2">BR35+BO35</f>
        <v>41.27</v>
      </c>
      <c r="BT35" s="183">
        <f t="shared" ref="BT35:BT50" si="3">-(BU35-BS35)</f>
        <v>-2.9999999999994031E-2</v>
      </c>
      <c r="BU35" s="162">
        <v>41.3</v>
      </c>
      <c r="BV35" s="29"/>
      <c r="BW35" s="191">
        <f t="shared" ref="BW35:BW51" si="4">$BT35</f>
        <v>-2.9999999999994031E-2</v>
      </c>
      <c r="BX35" s="78" t="s">
        <v>178</v>
      </c>
      <c r="BY35" s="316">
        <v>-0.505</v>
      </c>
      <c r="BZ35" s="29"/>
      <c r="CA35" s="29"/>
      <c r="CB35" s="29"/>
      <c r="CC35" s="29"/>
      <c r="CD35" s="29"/>
      <c r="CE35" s="191">
        <f t="shared" ref="CE35:CE51" si="5">$BT35</f>
        <v>-2.9999999999994031E-2</v>
      </c>
      <c r="CF35" s="78" t="s">
        <v>179</v>
      </c>
      <c r="CG35" s="316">
        <v>0.505</v>
      </c>
      <c r="CH35" s="52"/>
    </row>
    <row r="36" spans="1:86" ht="15.75" customHeight="1" thickTop="1" x14ac:dyDescent="0.25">
      <c r="A36" s="947" t="s">
        <v>289</v>
      </c>
      <c r="B36" s="948"/>
      <c r="C36" s="949"/>
      <c r="D36" s="1049" t="b">
        <v>0</v>
      </c>
      <c r="E36" s="1049"/>
      <c r="F36" s="1047">
        <v>0</v>
      </c>
      <c r="G36" s="1048"/>
      <c r="H36" s="29"/>
      <c r="I36" s="29"/>
      <c r="J36" s="29"/>
      <c r="K36" s="189"/>
      <c r="L36" s="188"/>
      <c r="M36" s="32"/>
      <c r="N36" s="42"/>
      <c r="O36" s="42"/>
      <c r="P36" s="42"/>
      <c r="Q36" s="145"/>
      <c r="R36" s="292"/>
      <c r="S36" s="292"/>
      <c r="T36" s="292"/>
      <c r="U36" s="292"/>
      <c r="V36" s="292"/>
      <c r="W36" s="1040" t="s">
        <v>116</v>
      </c>
      <c r="X36" s="1041"/>
      <c r="Y36" s="292"/>
      <c r="Z36" s="292"/>
      <c r="AA36" s="145"/>
      <c r="AB36" s="145"/>
      <c r="AC36" s="145"/>
      <c r="AD36" s="145"/>
      <c r="AE36" s="145"/>
      <c r="AF36" s="145"/>
      <c r="AG36" s="145"/>
      <c r="AH36" s="145"/>
      <c r="AI36" s="145"/>
      <c r="AJ36" s="145"/>
      <c r="AK36" s="145"/>
      <c r="AL36" s="145"/>
      <c r="AM36" s="128"/>
      <c r="AN36" s="128"/>
      <c r="AO36" s="128"/>
      <c r="AP36" s="128"/>
      <c r="AQ36" s="128"/>
      <c r="AR36" s="127"/>
      <c r="AS36" s="213"/>
      <c r="AT36" s="29"/>
      <c r="AU36" s="337"/>
      <c r="AV36" s="52"/>
      <c r="AW36" s="1017"/>
      <c r="AX36" s="226" t="s">
        <v>163</v>
      </c>
      <c r="AY36" s="224"/>
      <c r="AZ36" s="14"/>
      <c r="BA36" s="14">
        <v>1</v>
      </c>
      <c r="BB36" s="14">
        <v>-1</v>
      </c>
      <c r="BC36" s="14"/>
      <c r="BD36" s="14"/>
      <c r="BE36" s="14"/>
      <c r="BF36" s="229"/>
      <c r="BG36" s="201"/>
      <c r="BH36" s="229"/>
      <c r="BI36" s="229"/>
      <c r="BJ36" s="229"/>
      <c r="BK36" s="229"/>
      <c r="BL36" s="229"/>
      <c r="BM36" s="229"/>
      <c r="BN36" s="162"/>
      <c r="BO36" s="341">
        <f t="shared" si="1"/>
        <v>0.1</v>
      </c>
      <c r="BP36" s="29"/>
      <c r="BQ36" s="427" t="str">
        <f t="shared" ref="BQ36:BQ50" si="6">AX36</f>
        <v>-1 Dim 2_1</v>
      </c>
      <c r="BR36" s="291">
        <f>$C$67</f>
        <v>155.68</v>
      </c>
      <c r="BS36" s="184">
        <f t="shared" si="2"/>
        <v>155.78</v>
      </c>
      <c r="BT36" s="183">
        <f t="shared" si="3"/>
        <v>-2.0000000000010232E-2</v>
      </c>
      <c r="BU36" s="162">
        <v>155.80000000000001</v>
      </c>
      <c r="BV36" s="29"/>
      <c r="BW36" s="182">
        <f t="shared" si="4"/>
        <v>-2.0000000000010232E-2</v>
      </c>
      <c r="BX36" s="160" t="s">
        <v>178</v>
      </c>
      <c r="BY36" s="317">
        <v>-0.505</v>
      </c>
      <c r="BZ36" s="29"/>
      <c r="CA36" s="29"/>
      <c r="CB36" s="29"/>
      <c r="CC36" s="29"/>
      <c r="CD36" s="29"/>
      <c r="CE36" s="182">
        <f t="shared" si="5"/>
        <v>-2.0000000000010232E-2</v>
      </c>
      <c r="CF36" s="160" t="s">
        <v>179</v>
      </c>
      <c r="CG36" s="317">
        <v>0.505</v>
      </c>
      <c r="CH36" s="52"/>
    </row>
    <row r="37" spans="1:86" ht="15.75" customHeight="1" thickBot="1" x14ac:dyDescent="0.3">
      <c r="A37" s="1137" t="s">
        <v>63</v>
      </c>
      <c r="B37" s="1108"/>
      <c r="C37" s="1108"/>
      <c r="D37" s="1108">
        <f>INDEX(Settings!K3:K5,Settings!K2)</f>
        <v>0.2</v>
      </c>
      <c r="E37" s="1108"/>
      <c r="F37" s="1108"/>
      <c r="G37" s="1109"/>
      <c r="H37" s="724"/>
      <c r="I37" s="29"/>
      <c r="J37" s="29"/>
      <c r="K37" s="36"/>
      <c r="L37" s="29"/>
      <c r="M37" s="29"/>
      <c r="N37" s="42"/>
      <c r="O37" s="42"/>
      <c r="P37" s="42"/>
      <c r="Q37" s="42"/>
      <c r="R37" s="292"/>
      <c r="S37" s="351"/>
      <c r="T37" s="292"/>
      <c r="U37" s="292"/>
      <c r="V37" s="292"/>
      <c r="W37" s="1132"/>
      <c r="X37" s="1133"/>
      <c r="Y37" s="292"/>
      <c r="Z37" s="292"/>
      <c r="AA37" s="42"/>
      <c r="AB37" s="46"/>
      <c r="AC37" s="46"/>
      <c r="AD37" s="42"/>
      <c r="AE37" s="42"/>
      <c r="AF37" s="42"/>
      <c r="AG37" s="42"/>
      <c r="AH37" s="42"/>
      <c r="AI37" s="42"/>
      <c r="AJ37" s="46"/>
      <c r="AK37" s="46"/>
      <c r="AL37" s="42"/>
      <c r="AM37" s="292"/>
      <c r="AN37" s="110"/>
      <c r="AO37" s="29"/>
      <c r="AP37" s="29"/>
      <c r="AQ37" s="29"/>
      <c r="AR37" s="170"/>
      <c r="AS37" s="29"/>
      <c r="AT37" s="29"/>
      <c r="AU37" s="337"/>
      <c r="AV37" s="52"/>
      <c r="AW37" s="1017"/>
      <c r="AX37" s="226" t="s">
        <v>164</v>
      </c>
      <c r="AY37" s="253"/>
      <c r="AZ37" s="14"/>
      <c r="BA37" s="186">
        <v>1</v>
      </c>
      <c r="BB37" s="186"/>
      <c r="BC37" s="186"/>
      <c r="BD37" s="186"/>
      <c r="BE37" s="186"/>
      <c r="BF37" s="202">
        <v>-1</v>
      </c>
      <c r="BG37" s="203"/>
      <c r="BH37" s="202"/>
      <c r="BI37" s="202"/>
      <c r="BJ37" s="202"/>
      <c r="BK37" s="202"/>
      <c r="BL37" s="202"/>
      <c r="BM37" s="202"/>
      <c r="BN37" s="185"/>
      <c r="BO37" s="341">
        <f t="shared" si="1"/>
        <v>0</v>
      </c>
      <c r="BP37" s="29"/>
      <c r="BQ37" s="427" t="str">
        <f t="shared" si="6"/>
        <v>-1 Dim 4_1</v>
      </c>
      <c r="BR37" s="291">
        <f>$C$71</f>
        <v>155.85</v>
      </c>
      <c r="BS37" s="184">
        <f t="shared" si="2"/>
        <v>155.85</v>
      </c>
      <c r="BT37" s="183">
        <f t="shared" si="3"/>
        <v>4.9999999999982947E-2</v>
      </c>
      <c r="BU37" s="162">
        <v>155.80000000000001</v>
      </c>
      <c r="BV37" s="29"/>
      <c r="BW37" s="182">
        <f t="shared" si="4"/>
        <v>4.9999999999982947E-2</v>
      </c>
      <c r="BX37" s="160" t="s">
        <v>178</v>
      </c>
      <c r="BY37" s="317">
        <v>-0.505</v>
      </c>
      <c r="BZ37" s="29"/>
      <c r="CA37" s="29"/>
      <c r="CB37" s="29"/>
      <c r="CC37" s="29"/>
      <c r="CD37" s="29"/>
      <c r="CE37" s="182">
        <f t="shared" si="5"/>
        <v>4.9999999999982947E-2</v>
      </c>
      <c r="CF37" s="160" t="s">
        <v>179</v>
      </c>
      <c r="CG37" s="317">
        <v>0.505</v>
      </c>
      <c r="CH37" s="52"/>
    </row>
    <row r="38" spans="1:86" ht="15.75" customHeight="1" thickTop="1" x14ac:dyDescent="0.3">
      <c r="A38" s="1110" t="s">
        <v>83</v>
      </c>
      <c r="B38" s="1111"/>
      <c r="C38" s="1111"/>
      <c r="D38" s="1114" t="s">
        <v>123</v>
      </c>
      <c r="E38" s="1111"/>
      <c r="F38" s="1112">
        <v>0</v>
      </c>
      <c r="G38" s="1113"/>
      <c r="H38" s="1099" t="str">
        <f>IF(ABS(BT31)&gt;0.1,"← FIX THIS",IF(F38&lt;&gt;0,"WARNING: NOT ZERO",""))</f>
        <v/>
      </c>
      <c r="I38" s="1100"/>
      <c r="J38" s="1100"/>
      <c r="K38" s="36"/>
      <c r="L38" s="29"/>
      <c r="M38" s="29"/>
      <c r="N38" s="42"/>
      <c r="O38" s="42"/>
      <c r="P38" s="42"/>
      <c r="Q38" s="42"/>
      <c r="R38" s="145"/>
      <c r="S38" s="207"/>
      <c r="T38" s="206"/>
      <c r="U38" s="145"/>
      <c r="V38" s="144"/>
      <c r="W38" s="1046">
        <f>IF(BE32&gt;0,"↑ "&amp;BE32,IF(BE32&lt;0,"↓ "&amp;-BE32,0))</f>
        <v>0</v>
      </c>
      <c r="X38" s="1046"/>
      <c r="Y38" s="144"/>
      <c r="Z38" s="144"/>
      <c r="AA38" s="144"/>
      <c r="AB38" s="205"/>
      <c r="AC38" s="204"/>
      <c r="AD38" s="144"/>
      <c r="AE38" s="42"/>
      <c r="AF38" s="42"/>
      <c r="AG38" s="408"/>
      <c r="AH38" s="408"/>
      <c r="AI38" s="408"/>
      <c r="AJ38" s="1117" t="s">
        <v>112</v>
      </c>
      <c r="AK38" s="1118"/>
      <c r="AL38" s="408"/>
      <c r="AM38" s="128"/>
      <c r="AN38" s="29"/>
      <c r="AO38" s="131"/>
      <c r="AP38" s="130"/>
      <c r="AQ38" s="29"/>
      <c r="AR38" s="170"/>
      <c r="AS38" s="29"/>
      <c r="AT38" s="29"/>
      <c r="AU38" s="337"/>
      <c r="AV38" s="52"/>
      <c r="AW38" s="1017"/>
      <c r="AX38" s="226" t="s">
        <v>165</v>
      </c>
      <c r="AY38" s="224"/>
      <c r="AZ38" s="14"/>
      <c r="BA38" s="14">
        <v>-1</v>
      </c>
      <c r="BB38" s="14"/>
      <c r="BC38" s="14"/>
      <c r="BD38" s="14"/>
      <c r="BE38" s="14">
        <v>1</v>
      </c>
      <c r="BF38" s="229"/>
      <c r="BG38" s="201"/>
      <c r="BH38" s="229"/>
      <c r="BI38" s="229"/>
      <c r="BJ38" s="229"/>
      <c r="BK38" s="229"/>
      <c r="BL38" s="229"/>
      <c r="BM38" s="229"/>
      <c r="BN38" s="162"/>
      <c r="BO38" s="341">
        <f t="shared" si="1"/>
        <v>0</v>
      </c>
      <c r="BP38" s="29"/>
      <c r="BQ38" s="427" t="str">
        <f t="shared" si="6"/>
        <v>-1 Dim 5_1</v>
      </c>
      <c r="BR38" s="291">
        <f>$C$73</f>
        <v>27.35</v>
      </c>
      <c r="BS38" s="184">
        <f t="shared" si="2"/>
        <v>27.35</v>
      </c>
      <c r="BT38" s="183">
        <f t="shared" si="3"/>
        <v>-4.9999999999997158E-2</v>
      </c>
      <c r="BU38" s="162">
        <v>27.4</v>
      </c>
      <c r="BV38" s="29"/>
      <c r="BW38" s="182">
        <f t="shared" si="4"/>
        <v>-4.9999999999997158E-2</v>
      </c>
      <c r="BX38" s="160" t="s">
        <v>178</v>
      </c>
      <c r="BY38" s="317">
        <v>-0.505</v>
      </c>
      <c r="BZ38" s="29"/>
      <c r="CA38" s="29"/>
      <c r="CB38" s="29"/>
      <c r="CC38" s="29"/>
      <c r="CD38" s="29"/>
      <c r="CE38" s="182">
        <f t="shared" si="5"/>
        <v>-4.9999999999997158E-2</v>
      </c>
      <c r="CF38" s="160" t="s">
        <v>179</v>
      </c>
      <c r="CG38" s="317">
        <v>0.505</v>
      </c>
      <c r="CH38" s="52"/>
    </row>
    <row r="39" spans="1:86" ht="15.75" customHeight="1" x14ac:dyDescent="0.3">
      <c r="A39" s="1144" t="s">
        <v>83</v>
      </c>
      <c r="B39" s="1094"/>
      <c r="C39" s="1094"/>
      <c r="D39" s="1138" t="s">
        <v>130</v>
      </c>
      <c r="E39" s="1094"/>
      <c r="F39" s="1094">
        <v>0</v>
      </c>
      <c r="G39" s="1095"/>
      <c r="H39" s="1099" t="str">
        <f>IF(ABS(BT77)&gt;0.1,"← FIX THIS",IF(F39&lt;&gt;0,"WARNING: NOT ZERO",""))</f>
        <v/>
      </c>
      <c r="I39" s="1100"/>
      <c r="J39" s="1100"/>
      <c r="K39" s="1063" t="s">
        <v>102</v>
      </c>
      <c r="L39" s="1064"/>
      <c r="M39" s="29"/>
      <c r="N39" s="42"/>
      <c r="O39" s="42"/>
      <c r="P39" s="42"/>
      <c r="Q39" s="42"/>
      <c r="R39" s="42"/>
      <c r="S39" s="42"/>
      <c r="T39" s="43"/>
      <c r="U39" s="42"/>
      <c r="V39" s="292"/>
      <c r="W39" s="1044" t="str">
        <f>IF(BM32&gt;0,"↑ "&amp;BM32,IF(BM32&lt;0,"↓ "&amp;-BM32,0))</f>
        <v>↓ 0.2</v>
      </c>
      <c r="X39" s="1045"/>
      <c r="Y39" s="292"/>
      <c r="Z39" s="292"/>
      <c r="AA39" s="29"/>
      <c r="AB39" s="170"/>
      <c r="AC39" s="123"/>
      <c r="AD39" s="29"/>
      <c r="AE39" s="42"/>
      <c r="AF39" s="42"/>
      <c r="AG39" s="292"/>
      <c r="AH39" s="292"/>
      <c r="AI39" s="292"/>
      <c r="AJ39" s="882"/>
      <c r="AK39" s="882"/>
      <c r="AL39" s="292"/>
      <c r="AM39" s="292"/>
      <c r="AN39" s="29"/>
      <c r="AO39" s="29"/>
      <c r="AP39" s="123"/>
      <c r="AQ39" s="29"/>
      <c r="AR39" s="170"/>
      <c r="AS39" s="29"/>
      <c r="AT39" s="29"/>
      <c r="AU39" s="337"/>
      <c r="AV39" s="52"/>
      <c r="AW39" s="1017"/>
      <c r="AX39" s="226" t="s">
        <v>166</v>
      </c>
      <c r="AY39" s="224"/>
      <c r="AZ39" s="14"/>
      <c r="BA39" s="14"/>
      <c r="BB39" s="14"/>
      <c r="BC39" s="14">
        <v>-1</v>
      </c>
      <c r="BD39" s="14">
        <v>1</v>
      </c>
      <c r="BE39" s="14"/>
      <c r="BF39" s="229"/>
      <c r="BG39" s="201"/>
      <c r="BH39" s="229"/>
      <c r="BI39" s="229"/>
      <c r="BJ39" s="229"/>
      <c r="BK39" s="229"/>
      <c r="BL39" s="229"/>
      <c r="BM39" s="229"/>
      <c r="BN39" s="162"/>
      <c r="BO39" s="341">
        <f t="shared" si="1"/>
        <v>-0.1</v>
      </c>
      <c r="BP39" s="29"/>
      <c r="BQ39" s="427" t="str">
        <f t="shared" si="6"/>
        <v>-2 Dim 2_1</v>
      </c>
      <c r="BR39" s="352">
        <f>$E$67</f>
        <v>155.87</v>
      </c>
      <c r="BS39" s="184">
        <f t="shared" si="2"/>
        <v>155.77000000000001</v>
      </c>
      <c r="BT39" s="183">
        <f t="shared" si="3"/>
        <v>-3.0000000000001137E-2</v>
      </c>
      <c r="BU39" s="162">
        <v>155.80000000000001</v>
      </c>
      <c r="BV39" s="29"/>
      <c r="BW39" s="182">
        <f t="shared" si="4"/>
        <v>-3.0000000000001137E-2</v>
      </c>
      <c r="BX39" s="160" t="s">
        <v>178</v>
      </c>
      <c r="BY39" s="317">
        <v>-0.505</v>
      </c>
      <c r="BZ39" s="29"/>
      <c r="CA39" s="29"/>
      <c r="CB39" s="29"/>
      <c r="CC39" s="29"/>
      <c r="CD39" s="29"/>
      <c r="CE39" s="182">
        <f t="shared" si="5"/>
        <v>-3.0000000000001137E-2</v>
      </c>
      <c r="CF39" s="160" t="s">
        <v>179</v>
      </c>
      <c r="CG39" s="317">
        <v>0.505</v>
      </c>
      <c r="CH39" s="52"/>
    </row>
    <row r="40" spans="1:86" ht="15.75" customHeight="1" x14ac:dyDescent="0.25">
      <c r="A40" s="1139" t="s">
        <v>82</v>
      </c>
      <c r="B40" s="1140"/>
      <c r="C40" s="1140"/>
      <c r="D40" s="1140">
        <v>2</v>
      </c>
      <c r="E40" s="1140"/>
      <c r="F40" s="1140"/>
      <c r="G40" s="1141"/>
      <c r="H40" s="29"/>
      <c r="I40" s="29"/>
      <c r="J40" s="29"/>
      <c r="K40" s="963" t="str">
        <f>BU35&amp;" ±"&amp;CG35</f>
        <v>41.3 ±0.505</v>
      </c>
      <c r="L40" s="965"/>
      <c r="M40" s="29"/>
      <c r="N40" s="42"/>
      <c r="O40" s="42"/>
      <c r="P40" s="42"/>
      <c r="Q40" s="42"/>
      <c r="R40" s="42"/>
      <c r="S40" s="1063" t="s">
        <v>96</v>
      </c>
      <c r="T40" s="1064"/>
      <c r="U40" s="42"/>
      <c r="V40" s="292"/>
      <c r="W40" s="29"/>
      <c r="X40" s="29"/>
      <c r="Y40" s="29"/>
      <c r="Z40" s="29"/>
      <c r="AA40" s="29"/>
      <c r="AB40" s="170"/>
      <c r="AC40" s="123"/>
      <c r="AD40" s="29"/>
      <c r="AE40" s="42"/>
      <c r="AF40" s="42"/>
      <c r="AG40" s="292"/>
      <c r="AH40" s="292"/>
      <c r="AI40" s="292"/>
      <c r="AJ40" s="1044">
        <f>IF(BD32&gt;0,"↑ "&amp;BD32,IF(BD32&lt;0,"↓ "&amp;-BD32,0))</f>
        <v>0</v>
      </c>
      <c r="AK40" s="1045"/>
      <c r="AL40" s="292"/>
      <c r="AM40" s="292"/>
      <c r="AN40" s="29"/>
      <c r="AO40" s="29"/>
      <c r="AP40" s="123"/>
      <c r="AQ40" s="29"/>
      <c r="AR40" s="170"/>
      <c r="AS40" s="29"/>
      <c r="AT40" s="29"/>
      <c r="AU40" s="337"/>
      <c r="AV40" s="52"/>
      <c r="AW40" s="1017"/>
      <c r="AX40" s="226" t="s">
        <v>167</v>
      </c>
      <c r="AY40" s="224">
        <v>1</v>
      </c>
      <c r="AZ40" s="14"/>
      <c r="BA40" s="14"/>
      <c r="BB40" s="14"/>
      <c r="BC40" s="14">
        <v>-1</v>
      </c>
      <c r="BD40" s="14"/>
      <c r="BE40" s="14"/>
      <c r="BF40" s="229"/>
      <c r="BG40" s="201"/>
      <c r="BH40" s="229"/>
      <c r="BI40" s="229"/>
      <c r="BJ40" s="229"/>
      <c r="BK40" s="229"/>
      <c r="BL40" s="229"/>
      <c r="BM40" s="229"/>
      <c r="BN40" s="162"/>
      <c r="BO40" s="341">
        <f t="shared" si="1"/>
        <v>-0.1</v>
      </c>
      <c r="BP40" s="29"/>
      <c r="BQ40" s="427" t="str">
        <f t="shared" si="6"/>
        <v>-2 Dim 3_1</v>
      </c>
      <c r="BR40" s="352">
        <f>$E$69</f>
        <v>168.84</v>
      </c>
      <c r="BS40" s="184">
        <f t="shared" si="2"/>
        <v>168.74</v>
      </c>
      <c r="BT40" s="183">
        <f t="shared" si="3"/>
        <v>4.0000000000020464E-2</v>
      </c>
      <c r="BU40" s="162">
        <v>168.7</v>
      </c>
      <c r="BV40" s="29"/>
      <c r="BW40" s="182">
        <f t="shared" si="4"/>
        <v>4.0000000000020464E-2</v>
      </c>
      <c r="BX40" s="160" t="s">
        <v>178</v>
      </c>
      <c r="BY40" s="317">
        <v>-0.505</v>
      </c>
      <c r="BZ40" s="29"/>
      <c r="CA40" s="29"/>
      <c r="CB40" s="29"/>
      <c r="CC40" s="29"/>
      <c r="CD40" s="29"/>
      <c r="CE40" s="182">
        <f t="shared" si="5"/>
        <v>4.0000000000020464E-2</v>
      </c>
      <c r="CF40" s="160" t="s">
        <v>179</v>
      </c>
      <c r="CG40" s="317">
        <v>0.505</v>
      </c>
      <c r="CH40" s="52"/>
    </row>
    <row r="41" spans="1:86" ht="15.75" customHeight="1" x14ac:dyDescent="0.25">
      <c r="A41" s="1142" t="s">
        <v>75</v>
      </c>
      <c r="B41" s="1101"/>
      <c r="C41" s="1101"/>
      <c r="D41" s="1101">
        <f>INDEX(Settings!L3:L4,Settings!L2)</f>
        <v>0.1</v>
      </c>
      <c r="E41" s="1101"/>
      <c r="F41" s="1101"/>
      <c r="G41" s="1102"/>
      <c r="H41" s="29"/>
      <c r="I41" s="29"/>
      <c r="J41" s="29"/>
      <c r="K41" s="1056">
        <f>C65</f>
        <v>41.17</v>
      </c>
      <c r="L41" s="1057"/>
      <c r="M41" s="29"/>
      <c r="N41" s="42"/>
      <c r="O41" s="42"/>
      <c r="P41" s="42"/>
      <c r="Q41" s="42"/>
      <c r="R41" s="42"/>
      <c r="S41" s="963" t="str">
        <f>BU38&amp;" ±"&amp;CG38</f>
        <v>27.4 ±0.505</v>
      </c>
      <c r="T41" s="965"/>
      <c r="U41" s="42"/>
      <c r="V41" s="292"/>
      <c r="W41" s="29"/>
      <c r="X41" s="29"/>
      <c r="Y41" s="29"/>
      <c r="Z41" s="29"/>
      <c r="AA41" s="29"/>
      <c r="AB41" s="170"/>
      <c r="AC41" s="123"/>
      <c r="AD41" s="29"/>
      <c r="AE41" s="42"/>
      <c r="AF41" s="42"/>
      <c r="AG41" s="292"/>
      <c r="AH41" s="292"/>
      <c r="AI41" s="292"/>
      <c r="AJ41" s="1044" t="str">
        <f>IF(BL32&gt;0,"↑ "&amp;BL32,IF(BL32&lt;0,"↓ "&amp;-BL32,0))</f>
        <v>↑ 0.1</v>
      </c>
      <c r="AK41" s="1045"/>
      <c r="AL41" s="292"/>
      <c r="AM41" s="292"/>
      <c r="AN41" s="29"/>
      <c r="AO41" s="29"/>
      <c r="AP41" s="123"/>
      <c r="AQ41" s="29"/>
      <c r="AR41" s="170"/>
      <c r="AS41" s="29"/>
      <c r="AT41" s="29"/>
      <c r="AU41" s="337"/>
      <c r="AV41" s="52"/>
      <c r="AW41" s="1017"/>
      <c r="AX41" s="226" t="s">
        <v>168</v>
      </c>
      <c r="AY41" s="224"/>
      <c r="AZ41" s="14"/>
      <c r="BA41" s="14"/>
      <c r="BB41" s="14"/>
      <c r="BC41" s="14">
        <v>-1</v>
      </c>
      <c r="BD41" s="14"/>
      <c r="BE41" s="14">
        <v>1</v>
      </c>
      <c r="BF41" s="229"/>
      <c r="BG41" s="201"/>
      <c r="BH41" s="229"/>
      <c r="BI41" s="229"/>
      <c r="BJ41" s="229"/>
      <c r="BK41" s="229"/>
      <c r="BL41" s="229"/>
      <c r="BM41" s="229"/>
      <c r="BN41" s="162"/>
      <c r="BO41" s="341">
        <f t="shared" si="1"/>
        <v>-0.1</v>
      </c>
      <c r="BP41" s="29"/>
      <c r="BQ41" s="427" t="str">
        <f t="shared" si="6"/>
        <v>-2 Dim 4_1</v>
      </c>
      <c r="BR41" s="352">
        <f>$E$71</f>
        <v>156.03</v>
      </c>
      <c r="BS41" s="184">
        <f t="shared" si="2"/>
        <v>155.93</v>
      </c>
      <c r="BT41" s="183">
        <f t="shared" si="3"/>
        <v>0.12999999999999545</v>
      </c>
      <c r="BU41" s="162">
        <v>155.80000000000001</v>
      </c>
      <c r="BV41" s="29"/>
      <c r="BW41" s="182">
        <f t="shared" si="4"/>
        <v>0.12999999999999545</v>
      </c>
      <c r="BX41" s="160" t="s">
        <v>178</v>
      </c>
      <c r="BY41" s="317">
        <v>-0.505</v>
      </c>
      <c r="BZ41" s="29"/>
      <c r="CA41" s="29"/>
      <c r="CB41" s="29"/>
      <c r="CC41" s="29"/>
      <c r="CD41" s="29"/>
      <c r="CE41" s="182">
        <f t="shared" si="5"/>
        <v>0.12999999999999545</v>
      </c>
      <c r="CF41" s="160" t="s">
        <v>179</v>
      </c>
      <c r="CG41" s="317">
        <v>0.505</v>
      </c>
      <c r="CH41" s="52"/>
    </row>
    <row r="42" spans="1:86" ht="15.75" customHeight="1" thickBot="1" x14ac:dyDescent="0.3">
      <c r="A42" s="1143"/>
      <c r="B42" s="1103"/>
      <c r="C42" s="1103"/>
      <c r="D42" s="1103"/>
      <c r="E42" s="1103"/>
      <c r="F42" s="1103"/>
      <c r="G42" s="1104"/>
      <c r="H42" s="29"/>
      <c r="I42" s="29"/>
      <c r="J42" s="29"/>
      <c r="K42" s="1056">
        <f>C66</f>
        <v>41.34</v>
      </c>
      <c r="L42" s="1057"/>
      <c r="M42" s="29"/>
      <c r="N42" s="42"/>
      <c r="O42" s="42"/>
      <c r="P42" s="42"/>
      <c r="Q42" s="42"/>
      <c r="R42" s="42"/>
      <c r="S42" s="1056">
        <f>C73</f>
        <v>27.35</v>
      </c>
      <c r="T42" s="1057"/>
      <c r="U42" s="42"/>
      <c r="V42" s="292"/>
      <c r="W42" s="29"/>
      <c r="X42" s="29"/>
      <c r="Y42" s="29"/>
      <c r="Z42" s="29"/>
      <c r="AA42" s="29"/>
      <c r="AB42" s="170"/>
      <c r="AC42" s="123"/>
      <c r="AD42" s="29"/>
      <c r="AE42" s="42"/>
      <c r="AF42" s="42"/>
      <c r="AG42" s="1060"/>
      <c r="AH42" s="1060"/>
      <c r="AJ42" s="29"/>
      <c r="AK42" s="29"/>
      <c r="AL42" s="29"/>
      <c r="AM42" s="29"/>
      <c r="AN42" s="29"/>
      <c r="AO42" s="29"/>
      <c r="AP42" s="123"/>
      <c r="AQ42" s="29"/>
      <c r="AR42" s="170"/>
      <c r="AS42" s="29"/>
      <c r="AT42" s="29"/>
      <c r="AU42" s="337"/>
      <c r="AV42" s="52"/>
      <c r="AW42" s="1018"/>
      <c r="AX42" s="227" t="s">
        <v>169</v>
      </c>
      <c r="AY42" s="225"/>
      <c r="AZ42" s="159"/>
      <c r="BA42" s="159"/>
      <c r="BB42" s="159"/>
      <c r="BC42" s="159">
        <v>1</v>
      </c>
      <c r="BD42" s="159"/>
      <c r="BE42" s="159"/>
      <c r="BF42" s="151">
        <v>-1</v>
      </c>
      <c r="BG42" s="199"/>
      <c r="BH42" s="198"/>
      <c r="BI42" s="198"/>
      <c r="BJ42" s="198"/>
      <c r="BK42" s="198"/>
      <c r="BL42" s="198"/>
      <c r="BM42" s="198"/>
      <c r="BN42" s="178"/>
      <c r="BO42" s="342">
        <f t="shared" si="1"/>
        <v>0.1</v>
      </c>
      <c r="BP42" s="29"/>
      <c r="BQ42" s="427" t="str">
        <f t="shared" si="6"/>
        <v>-2 Dim 5_1</v>
      </c>
      <c r="BR42" s="352">
        <f>$E$73</f>
        <v>27.18</v>
      </c>
      <c r="BS42" s="197">
        <f t="shared" si="2"/>
        <v>27.28</v>
      </c>
      <c r="BT42" s="196">
        <f t="shared" si="3"/>
        <v>-0.11999999999999744</v>
      </c>
      <c r="BU42" s="178">
        <v>27.4</v>
      </c>
      <c r="BV42" s="29"/>
      <c r="BW42" s="182">
        <f t="shared" si="4"/>
        <v>-0.11999999999999744</v>
      </c>
      <c r="BX42" s="160" t="s">
        <v>178</v>
      </c>
      <c r="BY42" s="317">
        <v>-0.505</v>
      </c>
      <c r="BZ42" s="29"/>
      <c r="CA42" s="29"/>
      <c r="CB42" s="29"/>
      <c r="CC42" s="29"/>
      <c r="CD42" s="29"/>
      <c r="CE42" s="182">
        <f t="shared" si="5"/>
        <v>-0.11999999999999744</v>
      </c>
      <c r="CF42" s="160" t="s">
        <v>179</v>
      </c>
      <c r="CG42" s="317">
        <v>0.505</v>
      </c>
      <c r="CH42" s="52"/>
    </row>
    <row r="43" spans="1:86" ht="15.75" customHeight="1" thickBot="1" x14ac:dyDescent="0.3">
      <c r="A43" s="335"/>
      <c r="B43" s="29"/>
      <c r="C43" s="29"/>
      <c r="D43" s="29"/>
      <c r="E43" s="29"/>
      <c r="F43" s="29"/>
      <c r="G43" s="336"/>
      <c r="H43" s="336"/>
      <c r="I43" s="336"/>
      <c r="J43" s="336"/>
      <c r="K43" s="36"/>
      <c r="L43" s="29"/>
      <c r="M43" s="29"/>
      <c r="N43" s="42"/>
      <c r="O43" s="42"/>
      <c r="P43" s="42"/>
      <c r="Q43" s="42"/>
      <c r="R43" s="42"/>
      <c r="S43" s="1056">
        <f>C74</f>
        <v>27.58</v>
      </c>
      <c r="T43" s="1057"/>
      <c r="U43" s="42"/>
      <c r="V43" s="292"/>
      <c r="W43" s="29"/>
      <c r="X43" s="29"/>
      <c r="Y43" s="29"/>
      <c r="Z43" s="29"/>
      <c r="AA43" s="29"/>
      <c r="AB43" s="170"/>
      <c r="AC43" s="123"/>
      <c r="AD43" s="29"/>
      <c r="AE43" s="42"/>
      <c r="AF43" s="42"/>
      <c r="AG43" s="1060"/>
      <c r="AH43" s="1060"/>
      <c r="AI43" s="336"/>
      <c r="AJ43" s="29"/>
      <c r="AK43" s="29"/>
      <c r="AL43" s="29"/>
      <c r="AM43" s="29"/>
      <c r="AN43" s="29"/>
      <c r="AO43" s="29"/>
      <c r="AP43" s="123"/>
      <c r="AQ43" s="29"/>
      <c r="AR43" s="170"/>
      <c r="AS43" s="29"/>
      <c r="AT43" s="29"/>
      <c r="AU43" s="337"/>
      <c r="AV43" s="52"/>
      <c r="AW43" s="1019" t="s">
        <v>101</v>
      </c>
      <c r="AX43" s="250" t="s">
        <v>170</v>
      </c>
      <c r="AY43" s="248"/>
      <c r="AZ43" s="172"/>
      <c r="BA43" s="172">
        <v>-1</v>
      </c>
      <c r="BB43" s="172"/>
      <c r="BC43" s="172"/>
      <c r="BD43" s="172"/>
      <c r="BE43" s="172"/>
      <c r="BF43" s="208"/>
      <c r="BG43" s="169"/>
      <c r="BH43" s="172">
        <v>1</v>
      </c>
      <c r="BI43" s="172"/>
      <c r="BJ43" s="172"/>
      <c r="BK43" s="172"/>
      <c r="BL43" s="172"/>
      <c r="BM43" s="172"/>
      <c r="BN43" s="171"/>
      <c r="BO43" s="340">
        <f t="shared" si="1"/>
        <v>0</v>
      </c>
      <c r="BP43" s="29"/>
      <c r="BQ43" s="427" t="str">
        <f t="shared" si="6"/>
        <v>-1 Dim 1_2</v>
      </c>
      <c r="BR43" s="290">
        <f>$C$66</f>
        <v>41.34</v>
      </c>
      <c r="BS43" s="194">
        <f t="shared" si="2"/>
        <v>41.34</v>
      </c>
      <c r="BT43" s="193">
        <f t="shared" si="3"/>
        <v>4.0000000000006253E-2</v>
      </c>
      <c r="BU43" s="171">
        <v>41.3</v>
      </c>
      <c r="BV43" s="29"/>
      <c r="BW43" s="191">
        <f t="shared" si="4"/>
        <v>4.0000000000006253E-2</v>
      </c>
      <c r="BX43" s="168" t="s">
        <v>178</v>
      </c>
      <c r="BY43" s="316">
        <v>-0.505</v>
      </c>
      <c r="BZ43" s="29"/>
      <c r="CA43" s="29"/>
      <c r="CB43" s="29"/>
      <c r="CC43" s="29"/>
      <c r="CD43" s="29"/>
      <c r="CE43" s="191">
        <f t="shared" si="5"/>
        <v>4.0000000000006253E-2</v>
      </c>
      <c r="CF43" s="168" t="s">
        <v>179</v>
      </c>
      <c r="CG43" s="316">
        <v>0.505</v>
      </c>
      <c r="CH43" s="52"/>
    </row>
    <row r="44" spans="1:86" ht="15.75" customHeight="1" x14ac:dyDescent="0.25">
      <c r="A44" s="1145" t="s">
        <v>214</v>
      </c>
      <c r="B44" s="1146"/>
      <c r="C44" s="1146"/>
      <c r="D44" s="1146"/>
      <c r="E44" s="1146"/>
      <c r="F44" s="1146"/>
      <c r="G44" s="1146"/>
      <c r="H44" s="1147"/>
      <c r="I44" s="336"/>
      <c r="J44" s="336"/>
      <c r="K44" s="36"/>
      <c r="L44" s="29"/>
      <c r="M44" s="29"/>
      <c r="N44" s="42"/>
      <c r="O44" s="1134" t="s">
        <v>108</v>
      </c>
      <c r="P44" s="1135"/>
      <c r="Q44" s="42"/>
      <c r="R44" s="42"/>
      <c r="S44" s="200"/>
      <c r="T44" s="43"/>
      <c r="U44" s="42"/>
      <c r="V44" s="292"/>
      <c r="W44" s="29"/>
      <c r="X44" s="29"/>
      <c r="Y44" s="29"/>
      <c r="Z44" s="29"/>
      <c r="AA44" s="29"/>
      <c r="AB44" s="170"/>
      <c r="AC44" s="123"/>
      <c r="AD44" s="29"/>
      <c r="AE44" s="42"/>
      <c r="AF44" s="42"/>
      <c r="AG44" s="1060"/>
      <c r="AH44" s="1060"/>
      <c r="AI44" s="336"/>
      <c r="AJ44" s="29"/>
      <c r="AK44" s="29"/>
      <c r="AL44" s="29"/>
      <c r="AM44" s="29"/>
      <c r="AN44" s="29"/>
      <c r="AO44" s="29"/>
      <c r="AP44" s="123"/>
      <c r="AQ44" s="29"/>
      <c r="AR44" s="170"/>
      <c r="AS44" s="29"/>
      <c r="AT44" s="29"/>
      <c r="AU44" s="337"/>
      <c r="AV44" s="52"/>
      <c r="AW44" s="1020"/>
      <c r="AX44" s="226" t="s">
        <v>171</v>
      </c>
      <c r="AY44" s="224"/>
      <c r="AZ44" s="14"/>
      <c r="BA44" s="14">
        <v>1</v>
      </c>
      <c r="BB44" s="14"/>
      <c r="BC44" s="14"/>
      <c r="BD44" s="14"/>
      <c r="BE44" s="14"/>
      <c r="BF44" s="229"/>
      <c r="BG44" s="161"/>
      <c r="BH44" s="14"/>
      <c r="BI44" s="14"/>
      <c r="BJ44" s="14">
        <v>-1</v>
      </c>
      <c r="BK44" s="14"/>
      <c r="BL44" s="14"/>
      <c r="BM44" s="14"/>
      <c r="BN44" s="162"/>
      <c r="BO44" s="341">
        <f t="shared" si="1"/>
        <v>0.2</v>
      </c>
      <c r="BP44" s="29"/>
      <c r="BQ44" s="427" t="str">
        <f t="shared" si="6"/>
        <v>-1 Dim 2_2</v>
      </c>
      <c r="BR44" s="291">
        <f>$C$68</f>
        <v>155.44999999999999</v>
      </c>
      <c r="BS44" s="184">
        <f t="shared" si="2"/>
        <v>155.64999999999998</v>
      </c>
      <c r="BT44" s="183">
        <f t="shared" si="3"/>
        <v>-0.15000000000003411</v>
      </c>
      <c r="BU44" s="162">
        <v>155.80000000000001</v>
      </c>
      <c r="BV44" s="29"/>
      <c r="BW44" s="182">
        <f t="shared" si="4"/>
        <v>-0.15000000000003411</v>
      </c>
      <c r="BX44" s="160" t="s">
        <v>178</v>
      </c>
      <c r="BY44" s="317">
        <v>-0.505</v>
      </c>
      <c r="BZ44" s="29"/>
      <c r="CA44" s="29"/>
      <c r="CB44" s="29"/>
      <c r="CC44" s="29"/>
      <c r="CD44" s="29"/>
      <c r="CE44" s="182">
        <f t="shared" si="5"/>
        <v>-0.15000000000003411</v>
      </c>
      <c r="CF44" s="160" t="s">
        <v>179</v>
      </c>
      <c r="CG44" s="317">
        <v>0.505</v>
      </c>
      <c r="CH44" s="52"/>
    </row>
    <row r="45" spans="1:86" ht="15.75" customHeight="1" thickBot="1" x14ac:dyDescent="0.3">
      <c r="A45" s="1089" t="s">
        <v>213</v>
      </c>
      <c r="B45" s="1066"/>
      <c r="C45" s="1066"/>
      <c r="D45" s="1066"/>
      <c r="E45" s="1066"/>
      <c r="F45" s="1066"/>
      <c r="G45" s="1066"/>
      <c r="H45" s="1090"/>
      <c r="I45" s="336"/>
      <c r="J45" s="336"/>
      <c r="K45" s="154"/>
      <c r="L45" s="35"/>
      <c r="M45" s="33"/>
      <c r="N45" s="42"/>
      <c r="O45" s="1136"/>
      <c r="P45" s="1136"/>
      <c r="Q45" s="42"/>
      <c r="R45" s="42"/>
      <c r="S45" s="350"/>
      <c r="T45" s="195"/>
      <c r="U45" s="42"/>
      <c r="V45" s="292"/>
      <c r="W45" s="29"/>
      <c r="X45" s="29"/>
      <c r="Y45" s="29"/>
      <c r="Z45" s="29"/>
      <c r="AA45" s="29"/>
      <c r="AB45" s="170"/>
      <c r="AC45" s="123"/>
      <c r="AD45" s="29"/>
      <c r="AE45" s="42"/>
      <c r="AF45" s="42"/>
      <c r="AG45" s="1060"/>
      <c r="AH45" s="1060"/>
      <c r="AI45" s="336"/>
      <c r="AJ45" s="29"/>
      <c r="AK45" s="29"/>
      <c r="AL45" s="29"/>
      <c r="AM45" s="29"/>
      <c r="AN45" s="29"/>
      <c r="AO45" s="29"/>
      <c r="AP45" s="123"/>
      <c r="AQ45" s="29"/>
      <c r="AR45" s="170"/>
      <c r="AS45" s="29"/>
      <c r="AT45" s="29"/>
      <c r="AU45" s="337"/>
      <c r="AV45" s="52"/>
      <c r="AW45" s="1020"/>
      <c r="AX45" s="226" t="s">
        <v>172</v>
      </c>
      <c r="AY45" s="224"/>
      <c r="AZ45" s="14"/>
      <c r="BA45" s="186">
        <v>1</v>
      </c>
      <c r="BB45" s="14"/>
      <c r="BC45" s="14"/>
      <c r="BD45" s="14"/>
      <c r="BE45" s="14"/>
      <c r="BF45" s="229"/>
      <c r="BG45" s="187"/>
      <c r="BH45" s="14"/>
      <c r="BI45" s="186"/>
      <c r="BJ45" s="186"/>
      <c r="BK45" s="186"/>
      <c r="BL45" s="186"/>
      <c r="BM45" s="186"/>
      <c r="BN45" s="185">
        <v>-1</v>
      </c>
      <c r="BO45" s="341">
        <f t="shared" si="1"/>
        <v>0.2</v>
      </c>
      <c r="BP45" s="29"/>
      <c r="BQ45" s="427" t="str">
        <f t="shared" si="6"/>
        <v>-1 Dim 4_2</v>
      </c>
      <c r="BR45" s="291">
        <f>$C$72</f>
        <v>155.51</v>
      </c>
      <c r="BS45" s="184">
        <f t="shared" si="2"/>
        <v>155.70999999999998</v>
      </c>
      <c r="BT45" s="183">
        <f t="shared" si="3"/>
        <v>-9.0000000000031832E-2</v>
      </c>
      <c r="BU45" s="162">
        <v>155.80000000000001</v>
      </c>
      <c r="BV45" s="29"/>
      <c r="BW45" s="182">
        <f t="shared" si="4"/>
        <v>-9.0000000000031832E-2</v>
      </c>
      <c r="BX45" s="160" t="s">
        <v>178</v>
      </c>
      <c r="BY45" s="317">
        <v>-0.505</v>
      </c>
      <c r="BZ45" s="29"/>
      <c r="CA45" s="29"/>
      <c r="CB45" s="29"/>
      <c r="CC45" s="29"/>
      <c r="CD45" s="29"/>
      <c r="CE45" s="182">
        <f t="shared" si="5"/>
        <v>-9.0000000000031832E-2</v>
      </c>
      <c r="CF45" s="160" t="s">
        <v>179</v>
      </c>
      <c r="CG45" s="317">
        <v>0.505</v>
      </c>
      <c r="CH45" s="52"/>
    </row>
    <row r="46" spans="1:86" ht="15.75" customHeight="1" thickTop="1" x14ac:dyDescent="0.25">
      <c r="A46" s="1089" t="s">
        <v>218</v>
      </c>
      <c r="B46" s="1066"/>
      <c r="C46" s="1066"/>
      <c r="D46" s="1066"/>
      <c r="E46" s="1066"/>
      <c r="F46" s="1066"/>
      <c r="G46" s="1066"/>
      <c r="H46" s="1090"/>
      <c r="I46" s="336"/>
      <c r="J46" s="336"/>
      <c r="K46" s="189"/>
      <c r="L46" s="188"/>
      <c r="M46" s="29"/>
      <c r="N46" s="346"/>
      <c r="O46" s="1035">
        <f>IF(BA32&gt;0,"↑ "&amp;BA32,IF(BA32&lt;0,"↓ "&amp;-BA32,0))</f>
        <v>0</v>
      </c>
      <c r="P46" s="1035"/>
      <c r="Q46" s="144"/>
      <c r="R46" s="190"/>
      <c r="S46" s="190"/>
      <c r="T46" s="190"/>
      <c r="U46" s="190"/>
      <c r="V46" s="32"/>
      <c r="W46" s="189"/>
      <c r="X46" s="188"/>
      <c r="Y46" s="29"/>
      <c r="Z46" s="29"/>
      <c r="AA46" s="29"/>
      <c r="AB46" s="170"/>
      <c r="AC46" s="123"/>
      <c r="AD46" s="29"/>
      <c r="AE46" s="42"/>
      <c r="AF46" s="42"/>
      <c r="AG46" s="1060"/>
      <c r="AH46" s="1060"/>
      <c r="AI46" s="336"/>
      <c r="AJ46" s="29"/>
      <c r="AK46" s="29"/>
      <c r="AL46" s="29"/>
      <c r="AM46" s="29"/>
      <c r="AN46" s="29"/>
      <c r="AO46" s="29"/>
      <c r="AP46" s="123"/>
      <c r="AQ46" s="29"/>
      <c r="AR46" s="170"/>
      <c r="AS46" s="29"/>
      <c r="AT46" s="29"/>
      <c r="AU46" s="337"/>
      <c r="AV46" s="52"/>
      <c r="AW46" s="1020"/>
      <c r="AX46" s="226" t="s">
        <v>173</v>
      </c>
      <c r="AY46" s="224"/>
      <c r="AZ46" s="14"/>
      <c r="BA46" s="14">
        <v>-1</v>
      </c>
      <c r="BB46" s="14"/>
      <c r="BC46" s="14"/>
      <c r="BD46" s="14"/>
      <c r="BE46" s="14"/>
      <c r="BF46" s="229"/>
      <c r="BG46" s="161"/>
      <c r="BH46" s="14"/>
      <c r="BI46" s="14"/>
      <c r="BJ46" s="14"/>
      <c r="BK46" s="14"/>
      <c r="BL46" s="14"/>
      <c r="BM46" s="14">
        <v>1</v>
      </c>
      <c r="BN46" s="162"/>
      <c r="BO46" s="341">
        <f t="shared" si="1"/>
        <v>-0.2</v>
      </c>
      <c r="BP46" s="29"/>
      <c r="BQ46" s="427" t="str">
        <f t="shared" si="6"/>
        <v>-1 Dim 5_2</v>
      </c>
      <c r="BR46" s="291">
        <f>$C$74</f>
        <v>27.58</v>
      </c>
      <c r="BS46" s="184">
        <f t="shared" si="2"/>
        <v>27.38</v>
      </c>
      <c r="BT46" s="183">
        <f t="shared" si="3"/>
        <v>-1.9999999999999574E-2</v>
      </c>
      <c r="BU46" s="162">
        <v>27.4</v>
      </c>
      <c r="BV46" s="29"/>
      <c r="BW46" s="182">
        <f t="shared" si="4"/>
        <v>-1.9999999999999574E-2</v>
      </c>
      <c r="BX46" s="160" t="s">
        <v>178</v>
      </c>
      <c r="BY46" s="317">
        <v>-0.505</v>
      </c>
      <c r="BZ46" s="29"/>
      <c r="CA46" s="29"/>
      <c r="CB46" s="29"/>
      <c r="CC46" s="29"/>
      <c r="CD46" s="29"/>
      <c r="CE46" s="182">
        <f t="shared" si="5"/>
        <v>-1.9999999999999574E-2</v>
      </c>
      <c r="CF46" s="160" t="s">
        <v>179</v>
      </c>
      <c r="CG46" s="317">
        <v>0.505</v>
      </c>
      <c r="CH46" s="52"/>
    </row>
    <row r="47" spans="1:86" ht="15.75" customHeight="1" x14ac:dyDescent="0.25">
      <c r="A47" s="1089" t="s">
        <v>215</v>
      </c>
      <c r="B47" s="1066"/>
      <c r="C47" s="1066"/>
      <c r="D47" s="1066"/>
      <c r="E47" s="1066"/>
      <c r="F47" s="1066"/>
      <c r="G47" s="1066"/>
      <c r="H47" s="1090"/>
      <c r="I47" s="336"/>
      <c r="J47" s="336"/>
      <c r="K47" s="36"/>
      <c r="L47" s="29"/>
      <c r="M47" s="336"/>
      <c r="N47" s="336"/>
      <c r="O47" s="1035">
        <f>IF(BI32&gt;0,"↑ "&amp;BI32,IF(BI32&lt;0,"↓ "&amp;-BI32,0))</f>
        <v>0</v>
      </c>
      <c r="P47" s="1035"/>
      <c r="Q47" s="29"/>
      <c r="R47" s="42"/>
      <c r="S47" s="42"/>
      <c r="T47" s="42"/>
      <c r="U47" s="42"/>
      <c r="V47" s="29"/>
      <c r="W47" s="36"/>
      <c r="X47" s="29"/>
      <c r="Y47" s="29"/>
      <c r="Z47" s="29"/>
      <c r="AA47" s="29"/>
      <c r="AB47" s="1011" t="s">
        <v>98</v>
      </c>
      <c r="AC47" s="1012"/>
      <c r="AD47" s="29"/>
      <c r="AE47" s="42"/>
      <c r="AF47" s="42"/>
      <c r="AG47" s="1060"/>
      <c r="AH47" s="1060"/>
      <c r="AI47" s="336"/>
      <c r="AJ47" s="29"/>
      <c r="AK47" s="29"/>
      <c r="AL47" s="29"/>
      <c r="AM47" s="29"/>
      <c r="AN47" s="29"/>
      <c r="AO47" s="1011" t="s">
        <v>99</v>
      </c>
      <c r="AP47" s="1012"/>
      <c r="AQ47" s="29"/>
      <c r="AR47" s="1011" t="s">
        <v>100</v>
      </c>
      <c r="AS47" s="1012"/>
      <c r="AT47" s="29"/>
      <c r="AU47" s="337"/>
      <c r="AV47" s="52"/>
      <c r="AW47" s="1020"/>
      <c r="AX47" s="226" t="s">
        <v>174</v>
      </c>
      <c r="AY47" s="224"/>
      <c r="AZ47" s="14"/>
      <c r="BA47" s="14"/>
      <c r="BB47" s="14"/>
      <c r="BC47" s="14">
        <v>-1</v>
      </c>
      <c r="BD47" s="14"/>
      <c r="BE47" s="14"/>
      <c r="BF47" s="229"/>
      <c r="BG47" s="161"/>
      <c r="BH47" s="14"/>
      <c r="BI47" s="14"/>
      <c r="BJ47" s="14"/>
      <c r="BK47" s="14"/>
      <c r="BL47" s="14">
        <v>1</v>
      </c>
      <c r="BM47" s="14"/>
      <c r="BN47" s="162"/>
      <c r="BO47" s="341">
        <f t="shared" si="1"/>
        <v>0</v>
      </c>
      <c r="BP47" s="29"/>
      <c r="BQ47" s="427" t="str">
        <f t="shared" si="6"/>
        <v>-2 Dim 2_2</v>
      </c>
      <c r="BR47" s="352">
        <f>$E$68</f>
        <v>155.82</v>
      </c>
      <c r="BS47" s="184">
        <f t="shared" si="2"/>
        <v>155.82</v>
      </c>
      <c r="BT47" s="183">
        <f t="shared" si="3"/>
        <v>1.999999999998181E-2</v>
      </c>
      <c r="BU47" s="162">
        <v>155.80000000000001</v>
      </c>
      <c r="BV47" s="29"/>
      <c r="BW47" s="182">
        <f t="shared" si="4"/>
        <v>1.999999999998181E-2</v>
      </c>
      <c r="BX47" s="160" t="s">
        <v>178</v>
      </c>
      <c r="BY47" s="317">
        <v>-0.505</v>
      </c>
      <c r="BZ47" s="29"/>
      <c r="CA47" s="29"/>
      <c r="CB47" s="29"/>
      <c r="CC47" s="29"/>
      <c r="CD47" s="29"/>
      <c r="CE47" s="182">
        <f t="shared" si="5"/>
        <v>1.999999999998181E-2</v>
      </c>
      <c r="CF47" s="160" t="s">
        <v>179</v>
      </c>
      <c r="CG47" s="317">
        <v>0.505</v>
      </c>
      <c r="CH47" s="52"/>
    </row>
    <row r="48" spans="1:86" ht="15.75" customHeight="1" x14ac:dyDescent="0.25">
      <c r="A48" s="1089" t="s">
        <v>216</v>
      </c>
      <c r="B48" s="1066"/>
      <c r="C48" s="1066"/>
      <c r="D48" s="1066"/>
      <c r="E48" s="1066"/>
      <c r="F48" s="1066"/>
      <c r="G48" s="1066"/>
      <c r="H48" s="1090"/>
      <c r="I48" s="336"/>
      <c r="J48" s="336"/>
      <c r="K48" s="36"/>
      <c r="L48" s="29"/>
      <c r="M48" s="336"/>
      <c r="N48" s="336"/>
      <c r="O48" s="336"/>
      <c r="P48" s="336"/>
      <c r="Q48" s="29"/>
      <c r="R48" s="42"/>
      <c r="S48" s="42"/>
      <c r="T48" s="42"/>
      <c r="U48" s="42"/>
      <c r="V48" s="29"/>
      <c r="W48" s="36"/>
      <c r="X48" s="29"/>
      <c r="Y48" s="29"/>
      <c r="Z48" s="29"/>
      <c r="AA48" s="29"/>
      <c r="AB48" s="963" t="str">
        <f>BU41&amp;" ±"&amp;CG41</f>
        <v>155.8 ±0.505</v>
      </c>
      <c r="AC48" s="965"/>
      <c r="AD48" s="29"/>
      <c r="AE48" s="42"/>
      <c r="AF48" s="42"/>
      <c r="AG48" s="1060"/>
      <c r="AH48" s="1060"/>
      <c r="AI48" s="336"/>
      <c r="AJ48" s="29"/>
      <c r="AK48" s="29"/>
      <c r="AL48" s="29"/>
      <c r="AM48" s="29"/>
      <c r="AN48" s="29"/>
      <c r="AO48" s="963" t="str">
        <f>BU39&amp;" ±"&amp;CG39</f>
        <v>155.8 ±0.505</v>
      </c>
      <c r="AP48" s="965"/>
      <c r="AQ48" s="29"/>
      <c r="AR48" s="963" t="str">
        <f>BU40&amp;" ±"&amp;CG40</f>
        <v>168.7 ±0.505</v>
      </c>
      <c r="AS48" s="965"/>
      <c r="AT48" s="29"/>
      <c r="AU48" s="337"/>
      <c r="AV48" s="52"/>
      <c r="AW48" s="1020"/>
      <c r="AX48" s="226" t="s">
        <v>175</v>
      </c>
      <c r="AY48" s="224"/>
      <c r="AZ48" s="14"/>
      <c r="BA48" s="14"/>
      <c r="BB48" s="14"/>
      <c r="BC48" s="14">
        <v>-1</v>
      </c>
      <c r="BD48" s="14"/>
      <c r="BE48" s="14"/>
      <c r="BF48" s="229"/>
      <c r="BG48" s="161">
        <v>1</v>
      </c>
      <c r="BH48" s="14"/>
      <c r="BI48" s="14"/>
      <c r="BJ48" s="14"/>
      <c r="BK48" s="14"/>
      <c r="BL48" s="14"/>
      <c r="BM48" s="14"/>
      <c r="BN48" s="162"/>
      <c r="BO48" s="341">
        <f t="shared" si="1"/>
        <v>-0.30000000000000004</v>
      </c>
      <c r="BP48" s="29"/>
      <c r="BQ48" s="427" t="str">
        <f t="shared" si="6"/>
        <v>-2 Dim 3_2</v>
      </c>
      <c r="BR48" s="352">
        <f>$E$70</f>
        <v>168.98</v>
      </c>
      <c r="BS48" s="184">
        <f t="shared" si="2"/>
        <v>168.67999999999998</v>
      </c>
      <c r="BT48" s="183">
        <f t="shared" si="3"/>
        <v>-2.0000000000010232E-2</v>
      </c>
      <c r="BU48" s="162">
        <v>168.7</v>
      </c>
      <c r="BV48" s="29"/>
      <c r="BW48" s="182">
        <f t="shared" si="4"/>
        <v>-2.0000000000010232E-2</v>
      </c>
      <c r="BX48" s="160" t="s">
        <v>178</v>
      </c>
      <c r="BY48" s="317">
        <v>-0.505</v>
      </c>
      <c r="BZ48" s="29"/>
      <c r="CA48" s="29"/>
      <c r="CB48" s="29"/>
      <c r="CC48" s="29"/>
      <c r="CD48" s="29"/>
      <c r="CE48" s="182">
        <f t="shared" si="5"/>
        <v>-2.0000000000010232E-2</v>
      </c>
      <c r="CF48" s="160" t="s">
        <v>179</v>
      </c>
      <c r="CG48" s="317">
        <v>0.505</v>
      </c>
      <c r="CH48" s="52"/>
    </row>
    <row r="49" spans="1:86" ht="15.75" customHeight="1" thickBot="1" x14ac:dyDescent="0.3">
      <c r="A49" s="1065" t="s">
        <v>217</v>
      </c>
      <c r="B49" s="1066"/>
      <c r="C49" s="1066"/>
      <c r="D49" s="1066"/>
      <c r="E49" s="1066"/>
      <c r="F49" s="1066"/>
      <c r="G49" s="1066"/>
      <c r="H49" s="1067"/>
      <c r="I49" s="336"/>
      <c r="J49" s="336"/>
      <c r="K49" s="36"/>
      <c r="L49" s="29"/>
      <c r="M49" s="336"/>
      <c r="N49" s="336"/>
      <c r="O49" s="336"/>
      <c r="P49" s="336"/>
      <c r="Q49" s="336"/>
      <c r="R49" s="1060"/>
      <c r="S49" s="1060"/>
      <c r="T49" s="42"/>
      <c r="U49" s="42"/>
      <c r="V49" s="29"/>
      <c r="W49" s="36"/>
      <c r="X49" s="29"/>
      <c r="Y49" s="29"/>
      <c r="Z49" s="29"/>
      <c r="AA49" s="29"/>
      <c r="AB49" s="1023">
        <f>E71</f>
        <v>156.03</v>
      </c>
      <c r="AC49" s="1024"/>
      <c r="AD49" s="29"/>
      <c r="AE49" s="42"/>
      <c r="AF49" s="42"/>
      <c r="AG49" s="1060"/>
      <c r="AH49" s="1060"/>
      <c r="AI49" s="29"/>
      <c r="AJ49" s="29"/>
      <c r="AK49" s="29"/>
      <c r="AL49" s="29"/>
      <c r="AM49" s="29"/>
      <c r="AN49" s="29"/>
      <c r="AO49" s="1023">
        <f>E67</f>
        <v>155.87</v>
      </c>
      <c r="AP49" s="1024"/>
      <c r="AQ49" s="29"/>
      <c r="AR49" s="1023">
        <f>E69</f>
        <v>168.84</v>
      </c>
      <c r="AS49" s="1024"/>
      <c r="AT49" s="29"/>
      <c r="AU49" s="337"/>
      <c r="AV49" s="52"/>
      <c r="AW49" s="1020"/>
      <c r="AX49" s="226" t="s">
        <v>176</v>
      </c>
      <c r="AY49" s="224"/>
      <c r="AZ49" s="14"/>
      <c r="BA49" s="14"/>
      <c r="BB49" s="14"/>
      <c r="BC49" s="14">
        <v>-1</v>
      </c>
      <c r="BD49" s="14"/>
      <c r="BE49" s="14"/>
      <c r="BF49" s="229"/>
      <c r="BG49" s="161"/>
      <c r="BH49" s="14"/>
      <c r="BI49" s="14"/>
      <c r="BJ49" s="14"/>
      <c r="BK49" s="14"/>
      <c r="BL49" s="14"/>
      <c r="BM49" s="14">
        <v>1</v>
      </c>
      <c r="BN49" s="162"/>
      <c r="BO49" s="341">
        <f t="shared" si="1"/>
        <v>-0.30000000000000004</v>
      </c>
      <c r="BP49" s="29"/>
      <c r="BQ49" s="427" t="str">
        <f t="shared" si="6"/>
        <v>-2 Dim 4_2</v>
      </c>
      <c r="BR49" s="352">
        <f>$E$72</f>
        <v>156.04</v>
      </c>
      <c r="BS49" s="184">
        <f t="shared" si="2"/>
        <v>155.73999999999998</v>
      </c>
      <c r="BT49" s="183">
        <f t="shared" si="3"/>
        <v>-6.0000000000030695E-2</v>
      </c>
      <c r="BU49" s="162">
        <v>155.80000000000001</v>
      </c>
      <c r="BV49" s="29"/>
      <c r="BW49" s="182">
        <f t="shared" si="4"/>
        <v>-6.0000000000030695E-2</v>
      </c>
      <c r="BX49" s="160" t="s">
        <v>178</v>
      </c>
      <c r="BY49" s="317">
        <v>-0.505</v>
      </c>
      <c r="BZ49" s="29"/>
      <c r="CA49" s="29"/>
      <c r="CB49" s="29"/>
      <c r="CC49" s="29"/>
      <c r="CD49" s="29"/>
      <c r="CE49" s="182">
        <f t="shared" si="5"/>
        <v>-6.0000000000030695E-2</v>
      </c>
      <c r="CF49" s="160" t="s">
        <v>179</v>
      </c>
      <c r="CG49" s="317">
        <v>0.505</v>
      </c>
      <c r="CH49" s="52"/>
    </row>
    <row r="50" spans="1:86" ht="15.75" customHeight="1" thickBot="1" x14ac:dyDescent="0.3">
      <c r="A50" s="1065" t="s">
        <v>219</v>
      </c>
      <c r="B50" s="1068"/>
      <c r="C50" s="1068"/>
      <c r="D50" s="1068"/>
      <c r="E50" s="1068"/>
      <c r="F50" s="1068"/>
      <c r="G50" s="1068"/>
      <c r="H50" s="1067"/>
      <c r="I50" s="336"/>
      <c r="J50" s="336"/>
      <c r="K50" s="36"/>
      <c r="L50" s="29"/>
      <c r="M50" s="336"/>
      <c r="N50" s="336"/>
      <c r="O50" s="336"/>
      <c r="P50" s="336"/>
      <c r="Q50" s="336"/>
      <c r="R50" s="1060"/>
      <c r="S50" s="1060"/>
      <c r="T50" s="42"/>
      <c r="U50" s="42"/>
      <c r="V50" s="29"/>
      <c r="W50" s="36"/>
      <c r="X50" s="29"/>
      <c r="Y50" s="29"/>
      <c r="Z50" s="29"/>
      <c r="AA50" s="29"/>
      <c r="AB50" s="1023">
        <f>E72</f>
        <v>156.04</v>
      </c>
      <c r="AC50" s="1024"/>
      <c r="AD50" s="29"/>
      <c r="AE50" s="42"/>
      <c r="AF50" s="42"/>
      <c r="AG50" s="1060"/>
      <c r="AH50" s="1060"/>
      <c r="AI50" s="29"/>
      <c r="AJ50" s="29"/>
      <c r="AK50" s="29"/>
      <c r="AL50" s="29"/>
      <c r="AM50" s="29"/>
      <c r="AN50" s="29"/>
      <c r="AO50" s="1023">
        <f>E68</f>
        <v>155.82</v>
      </c>
      <c r="AP50" s="1024"/>
      <c r="AQ50" s="29"/>
      <c r="AR50" s="1023">
        <f>E70</f>
        <v>168.98</v>
      </c>
      <c r="AS50" s="1024"/>
      <c r="AT50" s="29"/>
      <c r="AU50" s="337"/>
      <c r="AV50" s="52"/>
      <c r="AW50" s="1021"/>
      <c r="AX50" s="251" t="s">
        <v>177</v>
      </c>
      <c r="AY50" s="249"/>
      <c r="AZ50" s="179"/>
      <c r="BA50" s="179"/>
      <c r="BB50" s="179"/>
      <c r="BC50" s="179">
        <v>1</v>
      </c>
      <c r="BD50" s="179"/>
      <c r="BE50" s="179"/>
      <c r="BF50" s="198"/>
      <c r="BG50" s="180"/>
      <c r="BH50" s="179"/>
      <c r="BI50" s="179"/>
      <c r="BJ50" s="179"/>
      <c r="BK50" s="179"/>
      <c r="BL50" s="179"/>
      <c r="BM50" s="179"/>
      <c r="BN50" s="178">
        <v>-1</v>
      </c>
      <c r="BO50" s="342">
        <f t="shared" si="1"/>
        <v>0.30000000000000004</v>
      </c>
      <c r="BP50" s="29"/>
      <c r="BQ50" s="427" t="str">
        <f t="shared" si="6"/>
        <v>-2 Dim 5_2</v>
      </c>
      <c r="BR50" s="353">
        <f>$E$74</f>
        <v>27.22</v>
      </c>
      <c r="BS50" s="177">
        <f t="shared" si="2"/>
        <v>27.52</v>
      </c>
      <c r="BT50" s="176">
        <f t="shared" si="3"/>
        <v>0.12000000000000099</v>
      </c>
      <c r="BU50" s="175">
        <v>27.4</v>
      </c>
      <c r="BV50" s="29"/>
      <c r="BW50" s="174">
        <f t="shared" si="4"/>
        <v>0.12000000000000099</v>
      </c>
      <c r="BX50" s="157" t="s">
        <v>178</v>
      </c>
      <c r="BY50" s="318">
        <v>-0.505</v>
      </c>
      <c r="BZ50" s="29"/>
      <c r="CA50" s="29"/>
      <c r="CB50" s="29"/>
      <c r="CC50" s="29"/>
      <c r="CD50" s="29"/>
      <c r="CE50" s="174">
        <f t="shared" si="5"/>
        <v>0.12000000000000099</v>
      </c>
      <c r="CF50" s="157" t="s">
        <v>179</v>
      </c>
      <c r="CG50" s="318">
        <v>0.505</v>
      </c>
      <c r="CH50" s="52"/>
    </row>
    <row r="51" spans="1:86" ht="15.75" customHeight="1" thickBot="1" x14ac:dyDescent="0.3">
      <c r="A51" s="335"/>
      <c r="B51" s="402" t="s">
        <v>211</v>
      </c>
      <c r="C51" s="403"/>
      <c r="D51" s="29"/>
      <c r="E51" s="402" t="s">
        <v>210</v>
      </c>
      <c r="F51" s="403"/>
      <c r="G51" s="336"/>
      <c r="H51" s="336"/>
      <c r="I51" s="336"/>
      <c r="J51" s="336"/>
      <c r="K51" s="1063" t="s">
        <v>99</v>
      </c>
      <c r="L51" s="1064"/>
      <c r="M51" s="29"/>
      <c r="N51" s="336"/>
      <c r="O51" s="336"/>
      <c r="P51" s="336"/>
      <c r="Q51" s="336"/>
      <c r="R51" s="1060"/>
      <c r="S51" s="1060"/>
      <c r="T51" s="42"/>
      <c r="U51" s="42"/>
      <c r="V51" s="29"/>
      <c r="W51" s="1063" t="s">
        <v>98</v>
      </c>
      <c r="X51" s="1064"/>
      <c r="Y51" s="29"/>
      <c r="Z51" s="29"/>
      <c r="AA51" s="29"/>
      <c r="AB51" s="170"/>
      <c r="AC51" s="123"/>
      <c r="AD51" s="29"/>
      <c r="AE51" s="42"/>
      <c r="AF51" s="42"/>
      <c r="AG51" s="1060"/>
      <c r="AH51" s="1060"/>
      <c r="AI51" s="29"/>
      <c r="AJ51" s="29"/>
      <c r="AK51" s="29"/>
      <c r="AL51" s="29"/>
      <c r="AM51" s="29"/>
      <c r="AN51" s="29"/>
      <c r="AO51" s="29"/>
      <c r="AP51" s="123"/>
      <c r="AQ51" s="29"/>
      <c r="AR51" s="170"/>
      <c r="AS51" s="29"/>
      <c r="AT51" s="29"/>
      <c r="AU51" s="337"/>
      <c r="AV51" s="52"/>
      <c r="AW51" s="1019" t="s">
        <v>138</v>
      </c>
      <c r="AX51" s="449" t="s">
        <v>97</v>
      </c>
      <c r="AY51" s="450"/>
      <c r="AZ51" s="451"/>
      <c r="BA51" s="451"/>
      <c r="BB51" s="451"/>
      <c r="BC51" s="451"/>
      <c r="BD51" s="451"/>
      <c r="BE51" s="451"/>
      <c r="BF51" s="452"/>
      <c r="BG51" s="453"/>
      <c r="BH51" s="451"/>
      <c r="BI51" s="451"/>
      <c r="BJ51" s="451"/>
      <c r="BK51" s="451"/>
      <c r="BL51" s="451"/>
      <c r="BM51" s="451"/>
      <c r="BN51" s="454"/>
      <c r="BO51" s="455">
        <f t="shared" si="1"/>
        <v>0</v>
      </c>
      <c r="BP51" s="29"/>
      <c r="BQ51" s="427"/>
      <c r="BR51" s="29"/>
      <c r="BS51" s="29"/>
      <c r="BT51" s="29"/>
      <c r="BU51" s="29"/>
      <c r="BV51" s="29"/>
      <c r="BW51" s="463">
        <f t="shared" si="4"/>
        <v>0</v>
      </c>
      <c r="BX51" s="464" t="s">
        <v>178</v>
      </c>
      <c r="BY51" s="465">
        <v>0</v>
      </c>
      <c r="BZ51" s="29"/>
      <c r="CA51" s="29"/>
      <c r="CB51" s="29"/>
      <c r="CC51" s="29"/>
      <c r="CD51" s="29"/>
      <c r="CE51" s="463">
        <f t="shared" si="5"/>
        <v>0</v>
      </c>
      <c r="CF51" s="464" t="s">
        <v>179</v>
      </c>
      <c r="CG51" s="465">
        <v>0</v>
      </c>
      <c r="CH51" s="52"/>
    </row>
    <row r="52" spans="1:86" ht="15.75" customHeight="1" x14ac:dyDescent="0.25">
      <c r="A52" s="335"/>
      <c r="B52" s="400">
        <f>MIN($BT$32)</f>
        <v>0.30248966924511328</v>
      </c>
      <c r="C52" s="403"/>
      <c r="D52" s="29"/>
      <c r="E52" s="404">
        <f>MIN($BT$78)</f>
        <v>0.2576819745345027</v>
      </c>
      <c r="F52" s="403"/>
      <c r="G52" s="336"/>
      <c r="H52" s="336"/>
      <c r="I52" s="336"/>
      <c r="J52" s="336"/>
      <c r="K52" s="963" t="str">
        <f>BU36&amp;" ±"&amp;CG36</f>
        <v>155.8 ±0.505</v>
      </c>
      <c r="L52" s="965"/>
      <c r="M52" s="29"/>
      <c r="N52" s="29"/>
      <c r="O52" s="29"/>
      <c r="P52" s="29"/>
      <c r="Q52" s="29"/>
      <c r="R52" s="1060"/>
      <c r="S52" s="1060"/>
      <c r="T52" s="42"/>
      <c r="U52" s="42"/>
      <c r="V52" s="29"/>
      <c r="W52" s="963" t="str">
        <f>BU37&amp;" ±"&amp;CG37</f>
        <v>155.8 ±0.505</v>
      </c>
      <c r="X52" s="965"/>
      <c r="Y52" s="29"/>
      <c r="Z52" s="76"/>
      <c r="AA52" s="29"/>
      <c r="AB52" s="170"/>
      <c r="AC52" s="123"/>
      <c r="AD52" s="29"/>
      <c r="AE52" s="42"/>
      <c r="AF52" s="42"/>
      <c r="AG52" s="42"/>
      <c r="AH52" s="42"/>
      <c r="AI52" s="29"/>
      <c r="AJ52" s="1040" t="s">
        <v>115</v>
      </c>
      <c r="AK52" s="1041"/>
      <c r="AL52" s="29"/>
      <c r="AM52" s="29"/>
      <c r="AN52" s="29"/>
      <c r="AO52" s="29"/>
      <c r="AP52" s="123"/>
      <c r="AQ52" s="29"/>
      <c r="AR52" s="170"/>
      <c r="AS52" s="29"/>
      <c r="AT52" s="29"/>
      <c r="AU52" s="337"/>
      <c r="AV52" s="52"/>
      <c r="AW52" s="1020"/>
      <c r="AX52" s="456" t="s">
        <v>139</v>
      </c>
      <c r="AY52" s="457"/>
      <c r="AZ52" s="458"/>
      <c r="BA52" s="458"/>
      <c r="BB52" s="458"/>
      <c r="BC52" s="458"/>
      <c r="BD52" s="458"/>
      <c r="BE52" s="458"/>
      <c r="BF52" s="459"/>
      <c r="BG52" s="460"/>
      <c r="BH52" s="458"/>
      <c r="BI52" s="458"/>
      <c r="BJ52" s="458"/>
      <c r="BK52" s="458"/>
      <c r="BL52" s="458"/>
      <c r="BM52" s="458"/>
      <c r="BN52" s="461"/>
      <c r="BO52" s="462">
        <f t="shared" si="1"/>
        <v>0</v>
      </c>
      <c r="BP52" s="29"/>
      <c r="BQ52" s="427"/>
      <c r="BR52" s="29"/>
      <c r="BS52" s="29"/>
      <c r="BT52" s="29"/>
      <c r="BU52" s="29"/>
      <c r="BV52" s="29"/>
      <c r="BW52" s="29"/>
      <c r="BX52" s="29"/>
      <c r="BY52" s="29"/>
      <c r="BZ52" s="29"/>
      <c r="CA52" s="450">
        <f t="shared" ref="CA52:CA71" si="7">$BO52</f>
        <v>0</v>
      </c>
      <c r="CB52" s="466" t="s">
        <v>65</v>
      </c>
      <c r="CC52" s="467">
        <v>0</v>
      </c>
      <c r="CD52" s="29"/>
      <c r="CE52" s="29"/>
      <c r="CF52" s="29"/>
      <c r="CG52" s="29"/>
      <c r="CH52" s="52"/>
    </row>
    <row r="53" spans="1:86" ht="15.75" customHeight="1" x14ac:dyDescent="0.25">
      <c r="A53" s="335"/>
      <c r="B53" s="401">
        <f>COUNT($AY$78:$BL$78,$AY$31:$BN$31)</f>
        <v>30</v>
      </c>
      <c r="C53" s="403"/>
      <c r="D53" s="29"/>
      <c r="E53" s="405">
        <f>COUNT($AY$78:$BL$78)</f>
        <v>14</v>
      </c>
      <c r="F53" s="403"/>
      <c r="G53" s="336"/>
      <c r="H53" s="336"/>
      <c r="I53" s="336"/>
      <c r="J53" s="336"/>
      <c r="K53" s="1056">
        <f>C67</f>
        <v>155.68</v>
      </c>
      <c r="L53" s="1057"/>
      <c r="M53" s="29"/>
      <c r="N53" s="29"/>
      <c r="O53" s="29"/>
      <c r="P53" s="29"/>
      <c r="Q53" s="29"/>
      <c r="R53" s="1060"/>
      <c r="S53" s="1060"/>
      <c r="T53" s="42"/>
      <c r="U53" s="42"/>
      <c r="V53" s="29"/>
      <c r="W53" s="1056">
        <f>C71</f>
        <v>155.85</v>
      </c>
      <c r="X53" s="1057"/>
      <c r="Y53" s="29"/>
      <c r="Z53" s="76"/>
      <c r="AA53" s="29"/>
      <c r="AB53" s="170"/>
      <c r="AC53" s="123"/>
      <c r="AD53" s="29"/>
      <c r="AE53" s="42"/>
      <c r="AF53" s="42"/>
      <c r="AG53" s="42"/>
      <c r="AH53" s="42"/>
      <c r="AI53" s="29"/>
      <c r="AJ53" s="1042"/>
      <c r="AK53" s="1043"/>
      <c r="AL53" s="29"/>
      <c r="AM53" s="29"/>
      <c r="AN53" s="29"/>
      <c r="AO53" s="29"/>
      <c r="AP53" s="123"/>
      <c r="AQ53" s="29"/>
      <c r="AR53" s="170"/>
      <c r="AS53" s="29"/>
      <c r="AT53" s="29"/>
      <c r="AU53" s="337"/>
      <c r="AV53" s="52"/>
      <c r="AW53" s="1020"/>
      <c r="AX53" s="456" t="s">
        <v>140</v>
      </c>
      <c r="AY53" s="457"/>
      <c r="AZ53" s="458"/>
      <c r="BA53" s="458"/>
      <c r="BB53" s="458"/>
      <c r="BC53" s="458"/>
      <c r="BD53" s="458"/>
      <c r="BE53" s="458"/>
      <c r="BF53" s="459"/>
      <c r="BG53" s="460"/>
      <c r="BH53" s="458"/>
      <c r="BI53" s="458"/>
      <c r="BJ53" s="458"/>
      <c r="BK53" s="458"/>
      <c r="BL53" s="458"/>
      <c r="BM53" s="458"/>
      <c r="BN53" s="461"/>
      <c r="BO53" s="462">
        <f t="shared" si="1"/>
        <v>0</v>
      </c>
      <c r="BP53" s="29"/>
      <c r="BQ53" s="427"/>
      <c r="BR53" s="29"/>
      <c r="BS53" s="29"/>
      <c r="BT53" s="29"/>
      <c r="BU53" s="29"/>
      <c r="BV53" s="29"/>
      <c r="BW53" s="29"/>
      <c r="BX53" s="29"/>
      <c r="BY53" s="29"/>
      <c r="BZ53" s="29"/>
      <c r="CA53" s="457">
        <f t="shared" si="7"/>
        <v>0</v>
      </c>
      <c r="CB53" s="468" t="s">
        <v>65</v>
      </c>
      <c r="CC53" s="469">
        <v>0</v>
      </c>
      <c r="CD53" s="29"/>
      <c r="CE53" s="29"/>
      <c r="CF53" s="29"/>
      <c r="CG53" s="29"/>
      <c r="CH53" s="52"/>
    </row>
    <row r="54" spans="1:86" ht="15.75" customHeight="1" x14ac:dyDescent="0.25">
      <c r="A54" s="335"/>
      <c r="B54" s="401" t="b">
        <f t="array" ref="B54">$AY$31:$BN$31&lt;=$AY$73:$BN$73</f>
        <v>1</v>
      </c>
      <c r="C54" s="403"/>
      <c r="D54" s="29"/>
      <c r="E54" s="405" t="b">
        <f t="array" ref="E54">$AY$78:$BL$78=INT($AY$78:$BL$78)</f>
        <v>1</v>
      </c>
      <c r="F54" s="403"/>
      <c r="G54" s="29"/>
      <c r="H54" s="29"/>
      <c r="I54" s="29"/>
      <c r="J54" s="29"/>
      <c r="K54" s="1056">
        <f>C68</f>
        <v>155.44999999999999</v>
      </c>
      <c r="L54" s="1057"/>
      <c r="M54" s="29"/>
      <c r="N54" s="29"/>
      <c r="O54" s="29"/>
      <c r="P54" s="29"/>
      <c r="Q54" s="29"/>
      <c r="R54" s="1060"/>
      <c r="S54" s="1060"/>
      <c r="T54" s="42"/>
      <c r="U54" s="42"/>
      <c r="V54" s="29"/>
      <c r="W54" s="1056">
        <f>C72</f>
        <v>155.51</v>
      </c>
      <c r="X54" s="1057"/>
      <c r="Y54" s="29"/>
      <c r="Z54" s="29"/>
      <c r="AA54" s="29"/>
      <c r="AB54" s="170"/>
      <c r="AC54" s="123"/>
      <c r="AD54" s="29"/>
      <c r="AE54" s="42"/>
      <c r="AF54" s="42"/>
      <c r="AG54" s="42"/>
      <c r="AH54" s="42"/>
      <c r="AI54" s="29"/>
      <c r="AJ54" s="1044" t="str">
        <f>IF(BC32&gt;0,"↑ "&amp;BC32,IF(BC32&lt;0,"↓ "&amp;-BC32,0))</f>
        <v>↑ 0.1</v>
      </c>
      <c r="AK54" s="1045"/>
      <c r="AL54" s="29"/>
      <c r="AM54" s="29"/>
      <c r="AN54" s="336"/>
      <c r="AO54" s="170"/>
      <c r="AP54" s="123"/>
      <c r="AQ54" s="29"/>
      <c r="AR54" s="170"/>
      <c r="AS54" s="123"/>
      <c r="AT54" s="29"/>
      <c r="AU54" s="337"/>
      <c r="AV54" s="52"/>
      <c r="AW54" s="1020"/>
      <c r="AX54" s="279" t="s">
        <v>145</v>
      </c>
      <c r="AY54" s="161"/>
      <c r="AZ54" s="14"/>
      <c r="BA54" s="14">
        <v>1</v>
      </c>
      <c r="BB54" s="14"/>
      <c r="BC54" s="14"/>
      <c r="BD54" s="14"/>
      <c r="BE54" s="14"/>
      <c r="BF54" s="162"/>
      <c r="BG54" s="224"/>
      <c r="BH54" s="14"/>
      <c r="BI54" s="14">
        <v>-1</v>
      </c>
      <c r="BJ54" s="14"/>
      <c r="BK54" s="14"/>
      <c r="BL54" s="14"/>
      <c r="BM54" s="14"/>
      <c r="BN54" s="229"/>
      <c r="BO54" s="343">
        <f t="shared" si="1"/>
        <v>0</v>
      </c>
      <c r="BP54" s="29"/>
      <c r="BQ54" s="427"/>
      <c r="BR54" s="29"/>
      <c r="BS54" s="29"/>
      <c r="BT54" s="29"/>
      <c r="BU54" s="29"/>
      <c r="BV54" s="29"/>
      <c r="BW54" s="29"/>
      <c r="BX54" s="29"/>
      <c r="BY54" s="29"/>
      <c r="BZ54" s="29"/>
      <c r="CA54" s="161">
        <f t="shared" si="7"/>
        <v>0</v>
      </c>
      <c r="CB54" s="160" t="s">
        <v>65</v>
      </c>
      <c r="CC54" s="181">
        <v>0</v>
      </c>
      <c r="CD54" s="29"/>
      <c r="CE54" s="29"/>
      <c r="CF54" s="29"/>
      <c r="CG54" s="29"/>
      <c r="CH54" s="52"/>
    </row>
    <row r="55" spans="1:86" ht="15.75" customHeight="1" thickBot="1" x14ac:dyDescent="0.3">
      <c r="A55" s="335"/>
      <c r="B55" s="401" t="b">
        <f t="array" ref="B55">$AY$31:$BN$31=INT($AY$31:$BN$31)</f>
        <v>1</v>
      </c>
      <c r="C55" s="403"/>
      <c r="D55" s="29"/>
      <c r="E55" s="405" t="b">
        <f t="array" ref="E55">$AY$78:$BL$78&lt;=$AY$106:$BL$106</f>
        <v>1</v>
      </c>
      <c r="F55" s="403"/>
      <c r="G55" s="336"/>
      <c r="H55" s="29"/>
      <c r="I55" s="29"/>
      <c r="J55" s="29"/>
      <c r="K55" s="36"/>
      <c r="L55" s="29"/>
      <c r="M55" s="29"/>
      <c r="N55" s="29"/>
      <c r="O55" s="29"/>
      <c r="P55" s="29"/>
      <c r="Q55" s="29"/>
      <c r="R55" s="1060"/>
      <c r="S55" s="1060"/>
      <c r="T55" s="42"/>
      <c r="U55" s="42"/>
      <c r="V55" s="29"/>
      <c r="W55" s="36"/>
      <c r="X55" s="29"/>
      <c r="Y55" s="29"/>
      <c r="Z55" s="29"/>
      <c r="AA55" s="29"/>
      <c r="AB55" s="137"/>
      <c r="AC55" s="166"/>
      <c r="AD55" s="110"/>
      <c r="AE55" s="167"/>
      <c r="AF55" s="167"/>
      <c r="AG55" s="42"/>
      <c r="AH55" s="42"/>
      <c r="AI55" s="29"/>
      <c r="AJ55" s="1077" t="str">
        <f>IF(BK32&gt;0,"↑ "&amp;BK32,IF(BK32&lt;0,"↓ "&amp;-BK32,0))</f>
        <v>↑ 0.1</v>
      </c>
      <c r="AK55" s="1078"/>
      <c r="AL55" s="29"/>
      <c r="AM55" s="292"/>
      <c r="AN55" s="110"/>
      <c r="AO55" s="137"/>
      <c r="AP55" s="166"/>
      <c r="AQ55" s="110"/>
      <c r="AR55" s="137"/>
      <c r="AS55" s="166"/>
      <c r="AT55" s="29"/>
      <c r="AU55" s="337"/>
      <c r="AV55" s="52"/>
      <c r="AW55" s="1022"/>
      <c r="AX55" s="280" t="s">
        <v>146</v>
      </c>
      <c r="AY55" s="158"/>
      <c r="AZ55" s="159"/>
      <c r="BA55" s="159"/>
      <c r="BB55" s="159"/>
      <c r="BC55" s="159">
        <v>1</v>
      </c>
      <c r="BD55" s="159"/>
      <c r="BE55" s="159"/>
      <c r="BF55" s="175"/>
      <c r="BG55" s="225"/>
      <c r="BH55" s="159"/>
      <c r="BI55" s="159"/>
      <c r="BJ55" s="159"/>
      <c r="BK55" s="159">
        <v>-1</v>
      </c>
      <c r="BL55" s="159"/>
      <c r="BM55" s="159"/>
      <c r="BN55" s="151"/>
      <c r="BO55" s="344">
        <f t="shared" si="1"/>
        <v>0</v>
      </c>
      <c r="BP55" s="29"/>
      <c r="BQ55" s="427"/>
      <c r="BR55" s="29"/>
      <c r="BS55" s="29"/>
      <c r="BT55" s="29"/>
      <c r="BU55" s="29"/>
      <c r="BV55" s="29"/>
      <c r="BW55" s="29"/>
      <c r="BX55" s="29"/>
      <c r="BY55" s="29"/>
      <c r="BZ55" s="29"/>
      <c r="CA55" s="158">
        <f t="shared" si="7"/>
        <v>0</v>
      </c>
      <c r="CB55" s="157" t="s">
        <v>65</v>
      </c>
      <c r="CC55" s="173">
        <v>0</v>
      </c>
      <c r="CD55" s="29"/>
      <c r="CE55" s="29"/>
      <c r="CF55" s="29"/>
      <c r="CG55" s="29"/>
      <c r="CH55" s="52"/>
    </row>
    <row r="56" spans="1:86" ht="15.75" customHeight="1" thickTop="1" x14ac:dyDescent="0.25">
      <c r="A56" s="335"/>
      <c r="B56" s="401" t="b">
        <f t="array" ref="B56">$AY$31:$BN$31&gt;=$AY$72:$BN$72</f>
        <v>1</v>
      </c>
      <c r="C56" s="403"/>
      <c r="D56" s="29"/>
      <c r="E56" s="405" t="b">
        <f t="array" ref="E56">$BW$82:$BW$97&gt;=$BY$82:$BY$97</f>
        <v>1</v>
      </c>
      <c r="F56" s="403"/>
      <c r="G56" s="336"/>
      <c r="H56" s="29"/>
      <c r="I56" s="29"/>
      <c r="J56" s="29"/>
      <c r="K56" s="36"/>
      <c r="L56" s="29"/>
      <c r="M56" s="29"/>
      <c r="N56" s="29"/>
      <c r="O56" s="29"/>
      <c r="P56" s="29"/>
      <c r="Q56" s="29"/>
      <c r="R56" s="1060"/>
      <c r="S56" s="1060"/>
      <c r="T56" s="42"/>
      <c r="U56" s="42"/>
      <c r="V56" s="29"/>
      <c r="W56" s="36"/>
      <c r="X56" s="29"/>
      <c r="Y56" s="29"/>
      <c r="Z56" s="29"/>
      <c r="AA56" s="29"/>
      <c r="AB56" s="29"/>
      <c r="AC56" s="29"/>
      <c r="AD56" s="29"/>
      <c r="AE56" s="42"/>
      <c r="AF56" s="165"/>
      <c r="AG56" s="164"/>
      <c r="AH56" s="42"/>
      <c r="AI56" s="145"/>
      <c r="AJ56" s="145"/>
      <c r="AK56" s="145"/>
      <c r="AL56" s="145"/>
      <c r="AM56" s="128"/>
      <c r="AN56" s="29"/>
      <c r="AO56" s="29"/>
      <c r="AP56" s="29"/>
      <c r="AQ56" s="29"/>
      <c r="AR56" s="29"/>
      <c r="AS56" s="29"/>
      <c r="AT56" s="29"/>
      <c r="AU56" s="337"/>
      <c r="AV56" s="52"/>
      <c r="AW56" s="1017" t="s">
        <v>136</v>
      </c>
      <c r="AX56" s="276" t="s">
        <v>122</v>
      </c>
      <c r="AY56" s="358" t="str">
        <f>IF($D$38=$AX56,1,"")</f>
        <v/>
      </c>
      <c r="AZ56" s="265"/>
      <c r="BA56" s="265"/>
      <c r="BB56" s="265"/>
      <c r="BC56" s="265"/>
      <c r="BD56" s="265"/>
      <c r="BE56" s="265"/>
      <c r="BF56" s="267"/>
      <c r="BG56" s="277"/>
      <c r="BH56" s="265"/>
      <c r="BI56" s="265"/>
      <c r="BJ56" s="265"/>
      <c r="BK56" s="265"/>
      <c r="BL56" s="265"/>
      <c r="BM56" s="265"/>
      <c r="BN56" s="266"/>
      <c r="BO56" s="345">
        <f t="shared" si="1"/>
        <v>0</v>
      </c>
      <c r="BP56" s="29"/>
      <c r="BQ56" s="427"/>
      <c r="BR56" s="29"/>
      <c r="BS56" s="29"/>
      <c r="BT56" s="29"/>
      <c r="BU56" s="29"/>
      <c r="BV56" s="29"/>
      <c r="BW56" s="29"/>
      <c r="BX56" s="29"/>
      <c r="BY56" s="29"/>
      <c r="BZ56" s="29"/>
      <c r="CA56" s="269">
        <f t="shared" si="7"/>
        <v>0</v>
      </c>
      <c r="CB56" s="270" t="s">
        <v>65</v>
      </c>
      <c r="CC56" s="383">
        <f t="shared" ref="CC56:CC57" si="8">IF(SUM(AY56:BN56)&gt;0,$F$38,0)</f>
        <v>0</v>
      </c>
      <c r="CD56" s="29"/>
      <c r="CE56" s="29"/>
      <c r="CF56" s="29"/>
      <c r="CG56" s="29"/>
      <c r="CH56" s="52"/>
    </row>
    <row r="57" spans="1:86" ht="15.75" customHeight="1" x14ac:dyDescent="0.25">
      <c r="A57" s="335"/>
      <c r="B57" s="401" t="b">
        <f t="array" ref="B57">$BW$35:$BW$51&gt;=$BY$35:$BY$51</f>
        <v>1</v>
      </c>
      <c r="C57" s="403"/>
      <c r="D57" s="29"/>
      <c r="E57" s="405" t="b">
        <f t="array" ref="E57">$CA$98:$CA$104=$CC$98:$CC$104</f>
        <v>1</v>
      </c>
      <c r="F57" s="403"/>
      <c r="G57" s="336"/>
      <c r="H57" s="29"/>
      <c r="I57" s="29"/>
      <c r="J57" s="29"/>
      <c r="K57" s="36"/>
      <c r="L57" s="29"/>
      <c r="M57" s="29"/>
      <c r="N57" s="29"/>
      <c r="O57" s="29"/>
      <c r="P57" s="29"/>
      <c r="Q57" s="336"/>
      <c r="R57" s="1060"/>
      <c r="S57" s="1060"/>
      <c r="T57" s="42"/>
      <c r="U57" s="42"/>
      <c r="V57" s="29"/>
      <c r="W57" s="36"/>
      <c r="X57" s="29"/>
      <c r="Y57" s="29"/>
      <c r="Z57" s="29"/>
      <c r="AA57" s="29"/>
      <c r="AB57" s="29"/>
      <c r="AC57" s="29"/>
      <c r="AD57" s="29"/>
      <c r="AE57" s="42"/>
      <c r="AF57" s="42"/>
      <c r="AG57" s="163"/>
      <c r="AH57" s="42"/>
      <c r="AI57" s="42"/>
      <c r="AJ57" s="42"/>
      <c r="AK57" s="42"/>
      <c r="AL57" s="42"/>
      <c r="AM57" s="29"/>
      <c r="AN57" s="29"/>
      <c r="AO57" s="29"/>
      <c r="AP57" s="29"/>
      <c r="AQ57" s="29"/>
      <c r="AR57" s="29"/>
      <c r="AS57" s="29"/>
      <c r="AT57" s="29"/>
      <c r="AU57" s="337"/>
      <c r="AV57" s="52"/>
      <c r="AW57" s="1017"/>
      <c r="AX57" s="162" t="s">
        <v>121</v>
      </c>
      <c r="AY57" s="161"/>
      <c r="AZ57" s="354" t="str">
        <f>IF($D$38=$AX57,1,"")</f>
        <v/>
      </c>
      <c r="BA57" s="14"/>
      <c r="BB57" s="14"/>
      <c r="BC57" s="14"/>
      <c r="BD57" s="14"/>
      <c r="BE57" s="14"/>
      <c r="BF57" s="162"/>
      <c r="BG57" s="224"/>
      <c r="BH57" s="14"/>
      <c r="BI57" s="14"/>
      <c r="BJ57" s="14"/>
      <c r="BK57" s="14"/>
      <c r="BL57" s="14"/>
      <c r="BM57" s="14"/>
      <c r="BN57" s="229"/>
      <c r="BO57" s="343">
        <f t="shared" si="1"/>
        <v>0</v>
      </c>
      <c r="BP57" s="29"/>
      <c r="BQ57" s="427"/>
      <c r="BR57" s="29"/>
      <c r="BS57" s="29"/>
      <c r="BT57" s="29"/>
      <c r="BU57" s="29"/>
      <c r="BV57" s="29"/>
      <c r="BW57" s="29"/>
      <c r="BX57" s="29"/>
      <c r="BY57" s="29"/>
      <c r="BZ57" s="29"/>
      <c r="CA57" s="161">
        <f t="shared" si="7"/>
        <v>0</v>
      </c>
      <c r="CB57" s="160" t="s">
        <v>65</v>
      </c>
      <c r="CC57" s="384">
        <f t="shared" si="8"/>
        <v>0</v>
      </c>
      <c r="CD57" s="29"/>
      <c r="CE57" s="29"/>
      <c r="CF57" s="29"/>
      <c r="CG57" s="29"/>
      <c r="CH57" s="52"/>
    </row>
    <row r="58" spans="1:86" ht="15.75" customHeight="1" x14ac:dyDescent="0.25">
      <c r="A58" s="335"/>
      <c r="B58" s="401" t="b">
        <f t="array" ref="B58">$CA$52:$CA$71=$CC$52:$CC$71</f>
        <v>1</v>
      </c>
      <c r="C58" s="403"/>
      <c r="D58" s="29"/>
      <c r="E58" s="405" t="b">
        <f t="array" ref="E58">$CE$82:$CE$87&lt;=$CG$82:$CG$87</f>
        <v>1</v>
      </c>
      <c r="F58" s="403"/>
      <c r="G58" s="29"/>
      <c r="H58" s="29"/>
      <c r="I58" s="29"/>
      <c r="J58" s="29"/>
      <c r="K58" s="36"/>
      <c r="L58" s="29"/>
      <c r="M58" s="29"/>
      <c r="N58" s="29"/>
      <c r="O58" s="29"/>
      <c r="P58" s="29"/>
      <c r="Q58" s="29"/>
      <c r="R58" s="29"/>
      <c r="S58" s="29"/>
      <c r="T58" s="42"/>
      <c r="U58" s="42"/>
      <c r="V58" s="29"/>
      <c r="W58" s="36"/>
      <c r="X58" s="29"/>
      <c r="Y58" s="230"/>
      <c r="Z58" s="230"/>
      <c r="AA58" s="230"/>
      <c r="AB58" s="230"/>
      <c r="AC58" s="230"/>
      <c r="AD58" s="29"/>
      <c r="AE58" s="42"/>
      <c r="AF58" s="1011" t="s">
        <v>96</v>
      </c>
      <c r="AG58" s="1012"/>
      <c r="AH58" s="236"/>
      <c r="AI58" s="236"/>
      <c r="AJ58" s="236"/>
      <c r="AK58" s="236"/>
      <c r="AL58" s="236"/>
      <c r="AM58" s="230"/>
      <c r="AN58" s="230"/>
      <c r="AO58" s="230"/>
      <c r="AP58" s="230"/>
      <c r="AQ58" s="230"/>
      <c r="AR58" s="230"/>
      <c r="AS58" s="230"/>
      <c r="AT58" s="230"/>
      <c r="AU58" s="417"/>
      <c r="AV58" s="52"/>
      <c r="AW58" s="1017"/>
      <c r="AX58" s="162" t="s">
        <v>123</v>
      </c>
      <c r="AY58" s="161"/>
      <c r="AZ58" s="14"/>
      <c r="BA58" s="354">
        <f>IF($D$38=$AX58,1,"")</f>
        <v>1</v>
      </c>
      <c r="BB58" s="14"/>
      <c r="BC58" s="14"/>
      <c r="BD58" s="14"/>
      <c r="BE58" s="14"/>
      <c r="BF58" s="162"/>
      <c r="BG58" s="224"/>
      <c r="BH58" s="14"/>
      <c r="BI58" s="14"/>
      <c r="BJ58" s="14"/>
      <c r="BK58" s="14"/>
      <c r="BL58" s="14"/>
      <c r="BM58" s="14"/>
      <c r="BN58" s="229"/>
      <c r="BO58" s="343">
        <f t="shared" si="1"/>
        <v>0</v>
      </c>
      <c r="BP58" s="29"/>
      <c r="BQ58" s="427"/>
      <c r="BR58" s="29"/>
      <c r="BS58" s="29"/>
      <c r="BT58" s="29"/>
      <c r="BU58" s="29"/>
      <c r="BV58" s="29"/>
      <c r="BW58" s="29"/>
      <c r="BX58" s="29"/>
      <c r="BY58" s="29"/>
      <c r="BZ58" s="29"/>
      <c r="CA58" s="161">
        <f t="shared" si="7"/>
        <v>0</v>
      </c>
      <c r="CB58" s="160" t="s">
        <v>65</v>
      </c>
      <c r="CC58" s="384">
        <f>IF(SUM(AY58:BN58)&gt;0,$F$38,0)</f>
        <v>0</v>
      </c>
      <c r="CD58" s="29"/>
      <c r="CE58" s="29"/>
      <c r="CF58" s="29"/>
      <c r="CG58" s="29"/>
      <c r="CH58" s="52"/>
    </row>
    <row r="59" spans="1:86" ht="15.75" customHeight="1" x14ac:dyDescent="0.25">
      <c r="A59" s="335"/>
      <c r="B59" s="401" t="b">
        <f t="array" ref="B59">$CE$35:$CE$51&lt;=$CG$35:$CG$51</f>
        <v>1</v>
      </c>
      <c r="C59" s="403"/>
      <c r="D59" s="29"/>
      <c r="E59" s="405" t="b">
        <f t="array" ref="E59">$CE$90:$CE$95&lt;=$CG$90:$CG$95</f>
        <v>1</v>
      </c>
      <c r="F59" s="403"/>
      <c r="G59" s="29"/>
      <c r="H59" s="29"/>
      <c r="I59" s="29"/>
      <c r="J59" s="29"/>
      <c r="K59" s="36"/>
      <c r="L59" s="29"/>
      <c r="M59" s="29"/>
      <c r="N59" s="29"/>
      <c r="O59" s="29"/>
      <c r="P59" s="29"/>
      <c r="Q59" s="29"/>
      <c r="R59" s="29"/>
      <c r="S59" s="29"/>
      <c r="T59" s="42"/>
      <c r="U59" s="42"/>
      <c r="V59" s="29"/>
      <c r="W59" s="36"/>
      <c r="X59" s="29"/>
      <c r="Y59" s="29"/>
      <c r="Z59" s="29"/>
      <c r="AA59" s="29"/>
      <c r="AB59" s="29"/>
      <c r="AC59" s="29"/>
      <c r="AD59" s="29"/>
      <c r="AE59" s="42"/>
      <c r="AF59" s="963" t="str">
        <f>BU42&amp;" ±"&amp;CG42</f>
        <v>27.4 ±0.505</v>
      </c>
      <c r="AG59" s="965"/>
      <c r="AH59" s="236"/>
      <c r="AI59" s="236"/>
      <c r="AJ59" s="236"/>
      <c r="AK59" s="236"/>
      <c r="AL59" s="236"/>
      <c r="AM59" s="230"/>
      <c r="AN59" s="230"/>
      <c r="AO59" s="230"/>
      <c r="AP59" s="230"/>
      <c r="AQ59" s="230"/>
      <c r="AR59" s="230"/>
      <c r="AS59" s="230"/>
      <c r="AT59" s="230"/>
      <c r="AU59" s="417"/>
      <c r="AV59" s="52"/>
      <c r="AW59" s="1017"/>
      <c r="AX59" s="162" t="s">
        <v>124</v>
      </c>
      <c r="AY59" s="161"/>
      <c r="AZ59" s="14"/>
      <c r="BA59" s="14"/>
      <c r="BB59" s="354" t="str">
        <f>IF($D$38=$AX59,1,"")</f>
        <v/>
      </c>
      <c r="BC59" s="14"/>
      <c r="BD59" s="14"/>
      <c r="BE59" s="14"/>
      <c r="BF59" s="162"/>
      <c r="BG59" s="224"/>
      <c r="BH59" s="14"/>
      <c r="BI59" s="14"/>
      <c r="BJ59" s="14"/>
      <c r="BK59" s="14"/>
      <c r="BL59" s="14"/>
      <c r="BM59" s="14"/>
      <c r="BN59" s="229"/>
      <c r="BO59" s="343">
        <f t="shared" si="1"/>
        <v>0</v>
      </c>
      <c r="BP59" s="29"/>
      <c r="BQ59" s="427"/>
      <c r="BR59" s="29"/>
      <c r="BS59" s="29"/>
      <c r="BT59" s="29"/>
      <c r="BU59" s="29"/>
      <c r="BV59" s="29"/>
      <c r="BW59" s="29"/>
      <c r="BX59" s="29"/>
      <c r="BY59" s="29"/>
      <c r="BZ59" s="29"/>
      <c r="CA59" s="161">
        <f t="shared" si="7"/>
        <v>0</v>
      </c>
      <c r="CB59" s="160" t="s">
        <v>65</v>
      </c>
      <c r="CC59" s="384">
        <f t="shared" ref="CC59:CC71" si="9">IF(SUM(AY59:BN59)&gt;0,$F$38,0)</f>
        <v>0</v>
      </c>
      <c r="CD59" s="29"/>
      <c r="CE59" s="29"/>
      <c r="CF59" s="29"/>
      <c r="CG59" s="29"/>
      <c r="CH59" s="52"/>
    </row>
    <row r="60" spans="1:86" ht="15.75" customHeight="1" x14ac:dyDescent="0.25">
      <c r="A60" s="335"/>
      <c r="B60" s="401">
        <f>{32767,32767,0.005,0,FALSE,FALSE,TRUE,1,2,1,0.1,FALSE}</f>
        <v>32767</v>
      </c>
      <c r="C60" s="403"/>
      <c r="D60" s="29"/>
      <c r="E60" s="405" t="b">
        <f t="array" ref="E60">$AY$78:$BL$78&gt;=$AY$105:$BL$105</f>
        <v>1</v>
      </c>
      <c r="F60" s="403"/>
      <c r="G60" s="29"/>
      <c r="H60" s="29"/>
      <c r="I60" s="29"/>
      <c r="J60" s="29"/>
      <c r="K60" s="36"/>
      <c r="L60" s="29"/>
      <c r="M60" s="29"/>
      <c r="N60" s="29"/>
      <c r="O60" s="1061" t="s">
        <v>110</v>
      </c>
      <c r="P60" s="882"/>
      <c r="Q60" s="29"/>
      <c r="R60" s="29"/>
      <c r="S60" s="29"/>
      <c r="T60" s="42"/>
      <c r="U60" s="42"/>
      <c r="V60" s="29"/>
      <c r="W60" s="36"/>
      <c r="X60" s="29"/>
      <c r="Y60" s="29"/>
      <c r="Z60" s="29"/>
      <c r="AA60" s="29"/>
      <c r="AB60" s="29"/>
      <c r="AC60" s="29"/>
      <c r="AD60" s="29"/>
      <c r="AE60" s="42"/>
      <c r="AF60" s="1023">
        <f>E73</f>
        <v>27.18</v>
      </c>
      <c r="AG60" s="1024"/>
      <c r="AH60" s="236"/>
      <c r="AI60" s="236"/>
      <c r="AJ60" s="236"/>
      <c r="AK60" s="236"/>
      <c r="AL60" s="236"/>
      <c r="AM60" s="29"/>
      <c r="AN60" s="29"/>
      <c r="AO60" s="29"/>
      <c r="AP60" s="29"/>
      <c r="AQ60" s="29"/>
      <c r="AR60" s="29"/>
      <c r="AS60" s="29"/>
      <c r="AT60" s="29"/>
      <c r="AU60" s="337"/>
      <c r="AV60" s="52"/>
      <c r="AW60" s="1017"/>
      <c r="AX60" s="162" t="s">
        <v>125</v>
      </c>
      <c r="AY60" s="161"/>
      <c r="AZ60" s="14"/>
      <c r="BA60" s="14"/>
      <c r="BB60" s="14"/>
      <c r="BC60" s="354" t="str">
        <f>IF($D$38=$AX60,1,"")</f>
        <v/>
      </c>
      <c r="BD60" s="14"/>
      <c r="BE60" s="14"/>
      <c r="BF60" s="162"/>
      <c r="BG60" s="224"/>
      <c r="BH60" s="14"/>
      <c r="BI60" s="14"/>
      <c r="BJ60" s="14"/>
      <c r="BK60" s="14"/>
      <c r="BL60" s="14"/>
      <c r="BM60" s="14"/>
      <c r="BN60" s="229"/>
      <c r="BO60" s="343">
        <f t="shared" si="1"/>
        <v>0</v>
      </c>
      <c r="BP60" s="29"/>
      <c r="BQ60" s="427"/>
      <c r="BR60" s="29"/>
      <c r="BS60" s="29"/>
      <c r="BT60" s="29"/>
      <c r="BU60" s="29"/>
      <c r="BV60" s="29"/>
      <c r="BW60" s="29"/>
      <c r="BX60" s="29"/>
      <c r="BY60" s="29"/>
      <c r="BZ60" s="29"/>
      <c r="CA60" s="161">
        <f t="shared" si="7"/>
        <v>0</v>
      </c>
      <c r="CB60" s="160" t="s">
        <v>65</v>
      </c>
      <c r="CC60" s="384">
        <f t="shared" si="9"/>
        <v>0</v>
      </c>
      <c r="CD60" s="29"/>
      <c r="CE60" s="29"/>
      <c r="CF60" s="29"/>
      <c r="CG60" s="29"/>
      <c r="CH60" s="52"/>
    </row>
    <row r="61" spans="1:86" ht="15.75" customHeight="1" x14ac:dyDescent="0.25">
      <c r="A61" s="335"/>
      <c r="B61" s="401">
        <f>{0,0,1,0,0,FALSE,FALSE,0.075,0,0,FALSE,30}</f>
        <v>0</v>
      </c>
      <c r="C61" s="403"/>
      <c r="D61" s="29"/>
      <c r="E61" s="405">
        <f>{32767,32767,0.005,0,FALSE,FALSE,TRUE,1,2,1,0.1,FALSE}</f>
        <v>32767</v>
      </c>
      <c r="F61" s="403"/>
      <c r="G61" s="29"/>
      <c r="H61" s="29"/>
      <c r="I61" s="29"/>
      <c r="J61" s="29"/>
      <c r="K61" s="36"/>
      <c r="L61" s="29"/>
      <c r="M61" s="29"/>
      <c r="N61" s="29"/>
      <c r="O61" s="882"/>
      <c r="P61" s="882"/>
      <c r="Q61" s="29"/>
      <c r="R61" s="29"/>
      <c r="S61" s="29"/>
      <c r="T61" s="42"/>
      <c r="U61" s="42"/>
      <c r="V61" s="29"/>
      <c r="W61" s="36"/>
      <c r="X61" s="29"/>
      <c r="Y61" s="29"/>
      <c r="Z61" s="29"/>
      <c r="AA61" s="29"/>
      <c r="AB61" s="29"/>
      <c r="AC61" s="29"/>
      <c r="AD61" s="29"/>
      <c r="AE61" s="42"/>
      <c r="AF61" s="1023">
        <f>E74</f>
        <v>27.22</v>
      </c>
      <c r="AG61" s="1024"/>
      <c r="AH61" s="236"/>
      <c r="AI61" s="236"/>
      <c r="AJ61" s="236"/>
      <c r="AK61" s="236"/>
      <c r="AL61" s="236"/>
      <c r="AM61" s="29"/>
      <c r="AN61" s="29"/>
      <c r="AO61" s="29"/>
      <c r="AP61" s="29"/>
      <c r="AQ61" s="29"/>
      <c r="AR61" s="29"/>
      <c r="AS61" s="29"/>
      <c r="AT61" s="29"/>
      <c r="AU61" s="337"/>
      <c r="AV61" s="52"/>
      <c r="AW61" s="1017"/>
      <c r="AX61" s="162" t="s">
        <v>126</v>
      </c>
      <c r="AY61" s="161"/>
      <c r="AZ61" s="14"/>
      <c r="BA61" s="14"/>
      <c r="BB61" s="14"/>
      <c r="BC61" s="14"/>
      <c r="BD61" s="354" t="str">
        <f>IF($D$38=$AX61,1,"")</f>
        <v/>
      </c>
      <c r="BE61" s="14"/>
      <c r="BF61" s="162"/>
      <c r="BG61" s="224"/>
      <c r="BH61" s="14"/>
      <c r="BI61" s="14"/>
      <c r="BJ61" s="14"/>
      <c r="BK61" s="14"/>
      <c r="BL61" s="14"/>
      <c r="BM61" s="14"/>
      <c r="BN61" s="229"/>
      <c r="BO61" s="343">
        <f t="shared" si="1"/>
        <v>0</v>
      </c>
      <c r="BP61" s="29"/>
      <c r="BQ61" s="427"/>
      <c r="BR61" s="29"/>
      <c r="BS61" s="29"/>
      <c r="BT61" s="29"/>
      <c r="BU61" s="29"/>
      <c r="BV61" s="29"/>
      <c r="BW61" s="29"/>
      <c r="BX61" s="29"/>
      <c r="BY61" s="29"/>
      <c r="BZ61" s="29"/>
      <c r="CA61" s="161">
        <f t="shared" si="7"/>
        <v>0</v>
      </c>
      <c r="CB61" s="160" t="s">
        <v>65</v>
      </c>
      <c r="CC61" s="384">
        <f t="shared" si="9"/>
        <v>0</v>
      </c>
      <c r="CD61" s="29"/>
      <c r="CE61" s="29"/>
      <c r="CF61" s="29"/>
      <c r="CG61" s="29"/>
      <c r="CH61" s="52"/>
    </row>
    <row r="62" spans="1:86" ht="15.75" customHeight="1" x14ac:dyDescent="0.25">
      <c r="A62" s="335"/>
      <c r="B62" s="29"/>
      <c r="C62" s="403"/>
      <c r="D62" s="29"/>
      <c r="E62" s="405">
        <f>{0,0,1,0,0,FALSE,FALSE,0.075,0,0,FALSE,30}</f>
        <v>0</v>
      </c>
      <c r="F62" s="403"/>
      <c r="G62" s="336"/>
      <c r="H62" s="29"/>
      <c r="I62" s="29"/>
      <c r="J62" s="29"/>
      <c r="K62" s="36"/>
      <c r="L62" s="29"/>
      <c r="M62" s="1059">
        <v>2</v>
      </c>
      <c r="N62" s="1059"/>
      <c r="O62" s="1035" t="str">
        <f>IF(BB32&gt;0,"↑ "&amp;BB32,IF(BB32&lt;0,"↓ "&amp;-BB32,0))</f>
        <v>↓ 0.1</v>
      </c>
      <c r="P62" s="1035"/>
      <c r="Q62" s="29"/>
      <c r="R62" s="29"/>
      <c r="S62" s="29"/>
      <c r="T62" s="42"/>
      <c r="U62" s="42"/>
      <c r="V62" s="29"/>
      <c r="W62" s="36"/>
      <c r="X62" s="29"/>
      <c r="Y62" s="230"/>
      <c r="Z62" s="230"/>
      <c r="AA62" s="1036" t="s">
        <v>117</v>
      </c>
      <c r="AB62" s="881"/>
      <c r="AC62" s="29"/>
      <c r="AD62" s="29"/>
      <c r="AE62" s="42"/>
      <c r="AF62" s="42"/>
      <c r="AG62" s="156"/>
      <c r="AH62" s="236"/>
      <c r="AI62" s="236"/>
      <c r="AJ62" s="236"/>
      <c r="AK62" s="236"/>
      <c r="AL62" s="236"/>
      <c r="AM62" s="29"/>
      <c r="AN62" s="29"/>
      <c r="AO62" s="29"/>
      <c r="AP62" s="29"/>
      <c r="AQ62" s="29"/>
      <c r="AR62" s="29"/>
      <c r="AS62" s="29"/>
      <c r="AT62" s="29"/>
      <c r="AU62" s="337"/>
      <c r="AV62" s="52"/>
      <c r="AW62" s="1017"/>
      <c r="AX62" s="252" t="s">
        <v>127</v>
      </c>
      <c r="AY62" s="161"/>
      <c r="AZ62" s="14"/>
      <c r="BA62" s="14"/>
      <c r="BB62" s="14"/>
      <c r="BC62" s="14"/>
      <c r="BD62" s="14"/>
      <c r="BE62" s="354" t="str">
        <f>IF($D$38=$AX62,1,"")</f>
        <v/>
      </c>
      <c r="BF62" s="162"/>
      <c r="BG62" s="224"/>
      <c r="BH62" s="14"/>
      <c r="BI62" s="14"/>
      <c r="BJ62" s="14"/>
      <c r="BK62" s="14"/>
      <c r="BL62" s="14"/>
      <c r="BM62" s="14"/>
      <c r="BN62" s="229"/>
      <c r="BO62" s="343">
        <f t="shared" si="1"/>
        <v>0</v>
      </c>
      <c r="BP62" s="29"/>
      <c r="BQ62" s="427"/>
      <c r="BR62" s="29"/>
      <c r="BS62" s="29"/>
      <c r="BT62" s="29"/>
      <c r="BU62" s="29"/>
      <c r="BV62" s="29"/>
      <c r="BW62" s="29"/>
      <c r="BX62" s="29"/>
      <c r="BY62" s="29"/>
      <c r="BZ62" s="29"/>
      <c r="CA62" s="161">
        <f t="shared" si="7"/>
        <v>0</v>
      </c>
      <c r="CB62" s="160" t="s">
        <v>65</v>
      </c>
      <c r="CC62" s="384">
        <f t="shared" si="9"/>
        <v>0</v>
      </c>
      <c r="CD62" s="29"/>
      <c r="CE62" s="29"/>
      <c r="CF62" s="29"/>
      <c r="CG62" s="29"/>
      <c r="CH62" s="52"/>
    </row>
    <row r="63" spans="1:86" ht="15.75" customHeight="1" thickBot="1" x14ac:dyDescent="0.3">
      <c r="A63" s="335"/>
      <c r="B63" s="29"/>
      <c r="C63" s="29"/>
      <c r="D63" s="29"/>
      <c r="E63" s="29"/>
      <c r="F63" s="29"/>
      <c r="G63" s="336"/>
      <c r="H63" s="29"/>
      <c r="I63" s="29"/>
      <c r="J63" s="29"/>
      <c r="K63" s="154"/>
      <c r="L63" s="35"/>
      <c r="M63" s="56"/>
      <c r="N63" s="55"/>
      <c r="O63" s="1062" t="str">
        <f>IF(BJ32&gt;0,"↑ "&amp;BJ32,IF(BJ32&lt;0,"↓ "&amp;-BJ32,0))</f>
        <v>↓ 0.2</v>
      </c>
      <c r="P63" s="1062"/>
      <c r="Q63" s="29"/>
      <c r="R63" s="29"/>
      <c r="S63" s="29"/>
      <c r="T63" s="42"/>
      <c r="U63" s="42"/>
      <c r="V63" s="59"/>
      <c r="W63" s="154"/>
      <c r="X63" s="35"/>
      <c r="Y63" s="29"/>
      <c r="Z63" s="29"/>
      <c r="AA63" s="1037"/>
      <c r="AB63" s="1037"/>
      <c r="AC63" s="29"/>
      <c r="AD63" s="29"/>
      <c r="AE63" s="46"/>
      <c r="AF63" s="153"/>
      <c r="AG63" s="152"/>
      <c r="AH63" s="42"/>
      <c r="AI63" s="42"/>
      <c r="AJ63" s="42"/>
      <c r="AK63" s="42"/>
      <c r="AL63" s="42"/>
      <c r="AM63" s="29"/>
      <c r="AN63" s="29"/>
      <c r="AO63" s="29"/>
      <c r="AP63" s="29"/>
      <c r="AQ63" s="29"/>
      <c r="AR63" s="29"/>
      <c r="AS63" s="29"/>
      <c r="AT63" s="29"/>
      <c r="AU63" s="337"/>
      <c r="AV63" s="52"/>
      <c r="AW63" s="1018"/>
      <c r="AX63" s="268" t="s">
        <v>128</v>
      </c>
      <c r="AY63" s="158"/>
      <c r="AZ63" s="159"/>
      <c r="BA63" s="159"/>
      <c r="BB63" s="159"/>
      <c r="BC63" s="159"/>
      <c r="BD63" s="159"/>
      <c r="BE63" s="159"/>
      <c r="BF63" s="355" t="str">
        <f>IF($D$38=$AX63,1,"")</f>
        <v/>
      </c>
      <c r="BG63" s="225"/>
      <c r="BH63" s="159"/>
      <c r="BI63" s="159"/>
      <c r="BJ63" s="159"/>
      <c r="BK63" s="159"/>
      <c r="BL63" s="159"/>
      <c r="BM63" s="159"/>
      <c r="BN63" s="151"/>
      <c r="BO63" s="344">
        <f t="shared" si="1"/>
        <v>0</v>
      </c>
      <c r="BP63" s="29"/>
      <c r="BQ63" s="427"/>
      <c r="BR63" s="29"/>
      <c r="BS63" s="29"/>
      <c r="BT63" s="29"/>
      <c r="BU63" s="29"/>
      <c r="BV63" s="29"/>
      <c r="BW63" s="29"/>
      <c r="BX63" s="29"/>
      <c r="BY63" s="29"/>
      <c r="BZ63" s="29"/>
      <c r="CA63" s="158">
        <f t="shared" si="7"/>
        <v>0</v>
      </c>
      <c r="CB63" s="157" t="s">
        <v>65</v>
      </c>
      <c r="CC63" s="385">
        <f t="shared" si="9"/>
        <v>0</v>
      </c>
      <c r="CD63" s="29"/>
      <c r="CE63" s="29"/>
      <c r="CF63" s="29"/>
      <c r="CG63" s="29"/>
      <c r="CH63" s="52"/>
    </row>
    <row r="64" spans="1:86" ht="15.75" customHeight="1" thickTop="1" thickBot="1" x14ac:dyDescent="0.3">
      <c r="A64" s="335"/>
      <c r="B64" s="29"/>
      <c r="C64" s="1060" t="s">
        <v>32</v>
      </c>
      <c r="D64" s="1060"/>
      <c r="E64" s="1060" t="s">
        <v>31</v>
      </c>
      <c r="F64" s="1060"/>
      <c r="G64" s="29"/>
      <c r="H64" s="29"/>
      <c r="I64" s="29"/>
      <c r="J64" s="29"/>
      <c r="K64" s="29"/>
      <c r="L64" s="29"/>
      <c r="M64" s="349"/>
      <c r="N64" s="347"/>
      <c r="O64" s="145"/>
      <c r="P64" s="145"/>
      <c r="Q64" s="145"/>
      <c r="R64" s="145"/>
      <c r="S64" s="145"/>
      <c r="T64" s="42"/>
      <c r="U64" s="42"/>
      <c r="V64" s="145"/>
      <c r="W64" s="145"/>
      <c r="X64" s="145"/>
      <c r="Y64" s="145"/>
      <c r="Z64" s="408"/>
      <c r="AA64" s="1038">
        <f>IF(BF32&gt;0,"↑ "&amp;BF32,IF(BF32&lt;0,"↓ "&amp;-BF32,0))</f>
        <v>0</v>
      </c>
      <c r="AB64" s="1038"/>
      <c r="AC64" s="144"/>
      <c r="AD64" s="144"/>
      <c r="AE64" s="144"/>
      <c r="AF64" s="144"/>
      <c r="AG64" s="144"/>
      <c r="AH64" s="144"/>
      <c r="AI64" s="144"/>
      <c r="AJ64" s="42"/>
      <c r="AK64" s="42"/>
      <c r="AL64" s="42"/>
      <c r="AM64" s="29"/>
      <c r="AN64" s="29"/>
      <c r="AO64" s="29"/>
      <c r="AP64" s="29"/>
      <c r="AQ64" s="29"/>
      <c r="AR64" s="29"/>
      <c r="AS64" s="29"/>
      <c r="AT64" s="29"/>
      <c r="AU64" s="337"/>
      <c r="AV64" s="52"/>
      <c r="AW64" s="1017" t="s">
        <v>137</v>
      </c>
      <c r="AX64" s="264" t="s">
        <v>122</v>
      </c>
      <c r="AY64" s="269"/>
      <c r="AZ64" s="265"/>
      <c r="BA64" s="265"/>
      <c r="BB64" s="265"/>
      <c r="BC64" s="265"/>
      <c r="BD64" s="265"/>
      <c r="BE64" s="265"/>
      <c r="BF64" s="267"/>
      <c r="BG64" s="356" t="str">
        <f>IF($D$38=$AX64,1,"")</f>
        <v/>
      </c>
      <c r="BH64" s="265"/>
      <c r="BI64" s="265"/>
      <c r="BJ64" s="265"/>
      <c r="BK64" s="265"/>
      <c r="BL64" s="265"/>
      <c r="BM64" s="265"/>
      <c r="BN64" s="266"/>
      <c r="BO64" s="345">
        <f t="shared" si="1"/>
        <v>0</v>
      </c>
      <c r="BP64" s="29"/>
      <c r="BQ64" s="427"/>
      <c r="BR64" s="29"/>
      <c r="BS64" s="29"/>
      <c r="BT64" s="29"/>
      <c r="BU64" s="29"/>
      <c r="BV64" s="29"/>
      <c r="BW64" s="29"/>
      <c r="BX64" s="29"/>
      <c r="BY64" s="29"/>
      <c r="BZ64" s="29"/>
      <c r="CA64" s="269">
        <f t="shared" si="7"/>
        <v>0</v>
      </c>
      <c r="CB64" s="270" t="s">
        <v>65</v>
      </c>
      <c r="CC64" s="383">
        <f t="shared" si="9"/>
        <v>0</v>
      </c>
      <c r="CD64" s="29"/>
      <c r="CE64" s="29"/>
      <c r="CF64" s="29"/>
      <c r="CG64" s="29"/>
      <c r="CH64" s="52"/>
    </row>
    <row r="65" spans="1:86" ht="15.75" customHeight="1" thickBot="1" x14ac:dyDescent="0.3">
      <c r="A65" s="1161" t="s">
        <v>1</v>
      </c>
      <c r="B65" s="1162"/>
      <c r="C65" s="1082">
        <f>ROUND(INDEX('Current Values'!$E$42:$AH$42,MATCH($A65,'Current Values'!$E$1:$AH$1,0)),$D$40)</f>
        <v>41.17</v>
      </c>
      <c r="D65" s="1083"/>
      <c r="E65" s="1086"/>
      <c r="F65" s="1087"/>
      <c r="G65" s="29"/>
      <c r="H65" s="29"/>
      <c r="I65" s="29"/>
      <c r="J65" s="29"/>
      <c r="K65" s="29"/>
      <c r="L65" s="29"/>
      <c r="M65" s="29"/>
      <c r="N65" s="348"/>
      <c r="O65" s="45"/>
      <c r="P65" s="45"/>
      <c r="Q65" s="44"/>
      <c r="R65" s="1076">
        <v>1</v>
      </c>
      <c r="S65" s="1076"/>
      <c r="T65" s="42"/>
      <c r="U65" s="42"/>
      <c r="V65" s="42"/>
      <c r="W65" s="42"/>
      <c r="X65" s="42"/>
      <c r="Y65" s="42"/>
      <c r="Z65" s="292"/>
      <c r="AA65" s="1035" t="str">
        <f>IF(BN32&gt;0,"↑ "&amp;BN32,IF(BN32&lt;0,"↓ "&amp;-BN32,0))</f>
        <v>↓ 0.2</v>
      </c>
      <c r="AB65" s="1035"/>
      <c r="AC65" s="29"/>
      <c r="AD65" s="29"/>
      <c r="AE65" s="29"/>
      <c r="AF65" s="29"/>
      <c r="AG65" s="29"/>
      <c r="AH65" s="29"/>
      <c r="AI65" s="29"/>
      <c r="AJ65" s="42"/>
      <c r="AK65" s="42"/>
      <c r="AL65" s="42"/>
      <c r="AM65" s="29"/>
      <c r="AN65" s="29"/>
      <c r="AO65" s="29"/>
      <c r="AP65" s="29"/>
      <c r="AQ65" s="29"/>
      <c r="AR65" s="29"/>
      <c r="AS65" s="29"/>
      <c r="AT65" s="29"/>
      <c r="AU65" s="337"/>
      <c r="AV65" s="52"/>
      <c r="AW65" s="1017"/>
      <c r="AX65" s="263" t="s">
        <v>121</v>
      </c>
      <c r="AY65" s="161"/>
      <c r="AZ65" s="14"/>
      <c r="BA65" s="14"/>
      <c r="BB65" s="14"/>
      <c r="BC65" s="14"/>
      <c r="BD65" s="14"/>
      <c r="BE65" s="14"/>
      <c r="BF65" s="162"/>
      <c r="BG65" s="224"/>
      <c r="BH65" s="354" t="str">
        <f>IF($D$38=$AX65,1,"")</f>
        <v/>
      </c>
      <c r="BI65" s="14"/>
      <c r="BJ65" s="14"/>
      <c r="BK65" s="14"/>
      <c r="BL65" s="14"/>
      <c r="BM65" s="14"/>
      <c r="BN65" s="229"/>
      <c r="BO65" s="343">
        <f t="shared" si="1"/>
        <v>0</v>
      </c>
      <c r="BP65" s="29"/>
      <c r="BQ65" s="427"/>
      <c r="BR65" s="29"/>
      <c r="BS65" s="29"/>
      <c r="BT65" s="29"/>
      <c r="BU65" s="29"/>
      <c r="BV65" s="29"/>
      <c r="BW65" s="29"/>
      <c r="BX65" s="29"/>
      <c r="BY65" s="29"/>
      <c r="BZ65" s="29"/>
      <c r="CA65" s="161">
        <f t="shared" si="7"/>
        <v>0</v>
      </c>
      <c r="CB65" s="160" t="s">
        <v>65</v>
      </c>
      <c r="CC65" s="384">
        <f t="shared" si="9"/>
        <v>0</v>
      </c>
      <c r="CD65" s="29"/>
      <c r="CE65" s="29"/>
      <c r="CF65" s="29"/>
      <c r="CG65" s="29"/>
      <c r="CH65" s="52"/>
    </row>
    <row r="66" spans="1:86" ht="15.75" customHeight="1" thickTop="1" x14ac:dyDescent="0.25">
      <c r="A66" s="1069" t="s">
        <v>2</v>
      </c>
      <c r="B66" s="972"/>
      <c r="C66" s="1074">
        <f>ROUND(INDEX('Current Values'!$E$42:$AH$42,MATCH($A66,'Current Values'!$E$1:$AH$1,0)),$D$40)</f>
        <v>41.34</v>
      </c>
      <c r="D66" s="1075"/>
      <c r="E66" s="1079"/>
      <c r="F66" s="1088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38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337"/>
      <c r="AV66" s="52"/>
      <c r="AW66" s="1017"/>
      <c r="AX66" s="263" t="s">
        <v>123</v>
      </c>
      <c r="AY66" s="161"/>
      <c r="AZ66" s="14"/>
      <c r="BB66" s="14"/>
      <c r="BC66" s="14"/>
      <c r="BD66" s="14"/>
      <c r="BE66" s="14"/>
      <c r="BF66" s="162"/>
      <c r="BG66" s="224"/>
      <c r="BH66" s="14"/>
      <c r="BI66" s="354">
        <f>IF($D$38=$AX66,1,"")</f>
        <v>1</v>
      </c>
      <c r="BJ66" s="14"/>
      <c r="BK66" s="14"/>
      <c r="BL66" s="14"/>
      <c r="BM66" s="14"/>
      <c r="BN66" s="229"/>
      <c r="BO66" s="343">
        <f t="shared" si="1"/>
        <v>0</v>
      </c>
      <c r="BP66" s="29"/>
      <c r="BQ66" s="427"/>
      <c r="BR66" s="29"/>
      <c r="BS66" s="29"/>
      <c r="BT66" s="29"/>
      <c r="BU66" s="29"/>
      <c r="BV66" s="29"/>
      <c r="BW66" s="29"/>
      <c r="BX66" s="29"/>
      <c r="BY66" s="29"/>
      <c r="BZ66" s="29"/>
      <c r="CA66" s="161">
        <f t="shared" si="7"/>
        <v>0</v>
      </c>
      <c r="CB66" s="160" t="s">
        <v>65</v>
      </c>
      <c r="CC66" s="384">
        <f t="shared" si="9"/>
        <v>0</v>
      </c>
      <c r="CD66" s="29"/>
      <c r="CE66" s="29"/>
      <c r="CF66" s="29"/>
      <c r="CG66" s="29"/>
      <c r="CH66" s="52"/>
    </row>
    <row r="67" spans="1:86" ht="15.75" customHeight="1" x14ac:dyDescent="0.25">
      <c r="A67" s="1069" t="s">
        <v>3</v>
      </c>
      <c r="B67" s="972"/>
      <c r="C67" s="1074">
        <f>ROUND(INDEX('Current Values'!$E$42:$AH$42,MATCH($A67,'Current Values'!$E$1:$AH$1,0)),$D$40)</f>
        <v>155.68</v>
      </c>
      <c r="D67" s="1075"/>
      <c r="E67" s="1023">
        <f>ROUND(INDEX('Current Values'!$E$43:$AH$43,MATCH($A67,'Current Values'!$E$1:$AH$1,0)),$D$40)</f>
        <v>155.87</v>
      </c>
      <c r="F67" s="1058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337"/>
      <c r="AV67" s="52"/>
      <c r="AW67" s="1017"/>
      <c r="AX67" s="263" t="s">
        <v>124</v>
      </c>
      <c r="AY67" s="161"/>
      <c r="AZ67" s="14"/>
      <c r="BA67" s="14"/>
      <c r="BB67" s="14"/>
      <c r="BC67" s="14"/>
      <c r="BD67" s="14"/>
      <c r="BE67" s="14"/>
      <c r="BF67" s="162"/>
      <c r="BG67" s="224"/>
      <c r="BH67" s="14"/>
      <c r="BI67" s="14"/>
      <c r="BJ67" s="354" t="str">
        <f>IF($D$38=$AX67,1,"")</f>
        <v/>
      </c>
      <c r="BK67" s="14"/>
      <c r="BL67" s="14"/>
      <c r="BM67" s="14"/>
      <c r="BN67" s="229"/>
      <c r="BO67" s="343">
        <f t="shared" si="1"/>
        <v>0</v>
      </c>
      <c r="BP67" s="29"/>
      <c r="BQ67" s="427"/>
      <c r="BR67" s="29"/>
      <c r="BS67" s="29"/>
      <c r="BT67" s="29"/>
      <c r="BU67" s="29"/>
      <c r="BV67" s="29"/>
      <c r="BW67" s="29"/>
      <c r="BX67" s="29"/>
      <c r="BY67" s="29"/>
      <c r="BZ67" s="29"/>
      <c r="CA67" s="161">
        <f t="shared" si="7"/>
        <v>0</v>
      </c>
      <c r="CB67" s="160" t="s">
        <v>65</v>
      </c>
      <c r="CC67" s="384">
        <f t="shared" si="9"/>
        <v>0</v>
      </c>
      <c r="CD67" s="29"/>
      <c r="CE67" s="29"/>
      <c r="CF67" s="29"/>
      <c r="CG67" s="29"/>
      <c r="CH67" s="52"/>
    </row>
    <row r="68" spans="1:86" ht="15.75" customHeight="1" x14ac:dyDescent="0.25">
      <c r="A68" s="1069" t="s">
        <v>4</v>
      </c>
      <c r="B68" s="972"/>
      <c r="C68" s="1074">
        <f>ROUND(INDEX('Current Values'!$E$42:$AH$42,MATCH($A68,'Current Values'!$E$1:$AH$1,0)),$D$40)</f>
        <v>155.44999999999999</v>
      </c>
      <c r="D68" s="1075"/>
      <c r="E68" s="1023">
        <f>ROUND(INDEX('Current Values'!$E$43:$AH$43,MATCH($A68,'Current Values'!$E$1:$AH$1,0)),$D$40)</f>
        <v>155.82</v>
      </c>
      <c r="F68" s="1058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337"/>
      <c r="AV68" s="52"/>
      <c r="AW68" s="1017"/>
      <c r="AX68" s="263" t="s">
        <v>125</v>
      </c>
      <c r="AY68" s="161"/>
      <c r="AZ68" s="14"/>
      <c r="BA68" s="14"/>
      <c r="BB68" s="14"/>
      <c r="BC68" s="13"/>
      <c r="BD68" s="14"/>
      <c r="BE68" s="14"/>
      <c r="BF68" s="162"/>
      <c r="BG68" s="224"/>
      <c r="BH68" s="14"/>
      <c r="BI68" s="14"/>
      <c r="BJ68" s="14"/>
      <c r="BK68" s="354" t="str">
        <f>IF($D$38=$AX68,1,"")</f>
        <v/>
      </c>
      <c r="BL68" s="14"/>
      <c r="BM68" s="14"/>
      <c r="BN68" s="229"/>
      <c r="BO68" s="343">
        <f t="shared" si="1"/>
        <v>0</v>
      </c>
      <c r="BP68" s="29"/>
      <c r="BQ68" s="427"/>
      <c r="BR68" s="29"/>
      <c r="BS68" s="29"/>
      <c r="BT68" s="29"/>
      <c r="BU68" s="29"/>
      <c r="BV68" s="29"/>
      <c r="BW68" s="29"/>
      <c r="BX68" s="29"/>
      <c r="BY68" s="29"/>
      <c r="BZ68" s="29"/>
      <c r="CA68" s="161">
        <f t="shared" si="7"/>
        <v>0</v>
      </c>
      <c r="CB68" s="160" t="s">
        <v>65</v>
      </c>
      <c r="CC68" s="384">
        <f t="shared" si="9"/>
        <v>0</v>
      </c>
      <c r="CD68" s="29"/>
      <c r="CE68" s="29"/>
      <c r="CF68" s="29"/>
      <c r="CG68" s="29"/>
      <c r="CH68" s="52"/>
    </row>
    <row r="69" spans="1:86" ht="15.75" customHeight="1" x14ac:dyDescent="0.25">
      <c r="A69" s="1069" t="s">
        <v>5</v>
      </c>
      <c r="B69" s="972"/>
      <c r="C69" s="1079"/>
      <c r="D69" s="1080"/>
      <c r="E69" s="1023">
        <f>ROUND(INDEX('Current Values'!$E$43:$AH$43,MATCH($A69,'Current Values'!$E$1:$AH$1,0)),$D$40)</f>
        <v>168.84</v>
      </c>
      <c r="F69" s="1058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337"/>
      <c r="AV69" s="52"/>
      <c r="AW69" s="1017"/>
      <c r="AX69" s="263" t="s">
        <v>126</v>
      </c>
      <c r="AY69" s="161"/>
      <c r="AZ69" s="14"/>
      <c r="BA69" s="14"/>
      <c r="BB69" s="14"/>
      <c r="BC69" s="14"/>
      <c r="BD69" s="14"/>
      <c r="BE69" s="14"/>
      <c r="BF69" s="162"/>
      <c r="BG69" s="224"/>
      <c r="BH69" s="14"/>
      <c r="BI69" s="14"/>
      <c r="BJ69" s="14"/>
      <c r="BK69" s="14"/>
      <c r="BL69" s="354" t="str">
        <f>IF($D$38=$AX69,1,"")</f>
        <v/>
      </c>
      <c r="BM69" s="14"/>
      <c r="BN69" s="229"/>
      <c r="BO69" s="343">
        <f t="shared" si="1"/>
        <v>0</v>
      </c>
      <c r="BP69" s="29"/>
      <c r="BQ69" s="427"/>
      <c r="BR69" s="29"/>
      <c r="BS69" s="29"/>
      <c r="BT69" s="29"/>
      <c r="BU69" s="29"/>
      <c r="BV69" s="29"/>
      <c r="BW69" s="29"/>
      <c r="BX69" s="29"/>
      <c r="BY69" s="29"/>
      <c r="BZ69" s="29"/>
      <c r="CA69" s="161">
        <f t="shared" si="7"/>
        <v>0</v>
      </c>
      <c r="CB69" s="160" t="s">
        <v>65</v>
      </c>
      <c r="CC69" s="384">
        <f t="shared" si="9"/>
        <v>0</v>
      </c>
      <c r="CD69" s="29"/>
      <c r="CE69" s="29"/>
      <c r="CF69" s="29"/>
      <c r="CG69" s="29"/>
      <c r="CH69" s="52"/>
    </row>
    <row r="70" spans="1:86" ht="15.75" customHeight="1" x14ac:dyDescent="0.25">
      <c r="A70" s="1069" t="s">
        <v>6</v>
      </c>
      <c r="B70" s="972"/>
      <c r="C70" s="1079"/>
      <c r="D70" s="1080"/>
      <c r="E70" s="1023">
        <f>ROUND(INDEX('Current Values'!$E$43:$AH$43,MATCH($A70,'Current Values'!$E$1:$AH$1,0)),$D$40)</f>
        <v>168.98</v>
      </c>
      <c r="F70" s="1058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337"/>
      <c r="AV70" s="52"/>
      <c r="AW70" s="1017"/>
      <c r="AX70" s="263" t="s">
        <v>127</v>
      </c>
      <c r="AY70" s="161"/>
      <c r="AZ70" s="14"/>
      <c r="BA70" s="14"/>
      <c r="BB70" s="14"/>
      <c r="BC70" s="14"/>
      <c r="BD70" s="14"/>
      <c r="BE70" s="14"/>
      <c r="BF70" s="162"/>
      <c r="BG70" s="224"/>
      <c r="BH70" s="14"/>
      <c r="BI70" s="14"/>
      <c r="BJ70" s="14"/>
      <c r="BK70" s="14"/>
      <c r="BL70" s="14"/>
      <c r="BM70" s="354" t="str">
        <f>IF($D$38=$AX70,1,"")</f>
        <v/>
      </c>
      <c r="BN70" s="229"/>
      <c r="BO70" s="343">
        <f t="shared" si="1"/>
        <v>0</v>
      </c>
      <c r="BP70" s="29"/>
      <c r="BQ70" s="427"/>
      <c r="BR70" s="29"/>
      <c r="BS70" s="29"/>
      <c r="BT70" s="29"/>
      <c r="BU70" s="29"/>
      <c r="BV70" s="29"/>
      <c r="BW70" s="29"/>
      <c r="BX70" s="29"/>
      <c r="BY70" s="29"/>
      <c r="BZ70" s="29"/>
      <c r="CA70" s="161">
        <f t="shared" si="7"/>
        <v>0</v>
      </c>
      <c r="CB70" s="160" t="s">
        <v>65</v>
      </c>
      <c r="CC70" s="384">
        <f t="shared" si="9"/>
        <v>0</v>
      </c>
      <c r="CD70" s="29"/>
      <c r="CE70" s="29"/>
      <c r="CF70" s="29"/>
      <c r="CG70" s="29"/>
      <c r="CH70" s="52"/>
    </row>
    <row r="71" spans="1:86" ht="15.75" customHeight="1" thickBot="1" x14ac:dyDescent="0.3">
      <c r="A71" s="1069" t="s">
        <v>7</v>
      </c>
      <c r="B71" s="972"/>
      <c r="C71" s="1074">
        <f>ROUND(INDEX('Current Values'!$E$42:$AH$42,MATCH($A71,'Current Values'!$E$1:$AH$1,0)),$D$40)</f>
        <v>155.85</v>
      </c>
      <c r="D71" s="1075"/>
      <c r="E71" s="1023">
        <f>ROUND(INDEX('Current Values'!$E$43:$AH$43,MATCH($A71,'Current Values'!$E$1:$AH$1,0)),$D$40)</f>
        <v>156.03</v>
      </c>
      <c r="F71" s="1058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337"/>
      <c r="AV71" s="52"/>
      <c r="AW71" s="1017"/>
      <c r="AX71" s="396" t="s">
        <v>128</v>
      </c>
      <c r="AY71" s="180"/>
      <c r="AZ71" s="179"/>
      <c r="BA71" s="179"/>
      <c r="BB71" s="179"/>
      <c r="BC71" s="179"/>
      <c r="BD71" s="179"/>
      <c r="BE71" s="179"/>
      <c r="BF71" s="178"/>
      <c r="BG71" s="225"/>
      <c r="BH71" s="159"/>
      <c r="BI71" s="159"/>
      <c r="BJ71" s="159"/>
      <c r="BK71" s="159"/>
      <c r="BL71" s="159"/>
      <c r="BM71" s="159"/>
      <c r="BN71" s="357" t="str">
        <f>IF($D$38=$AX71,1,"")</f>
        <v/>
      </c>
      <c r="BO71" s="344">
        <f t="shared" si="1"/>
        <v>0</v>
      </c>
      <c r="BP71" s="29"/>
      <c r="BQ71" s="427"/>
      <c r="BR71" s="29"/>
      <c r="BS71" s="29"/>
      <c r="BT71" s="29"/>
      <c r="BU71" s="29"/>
      <c r="BV71" s="29"/>
      <c r="BW71" s="29"/>
      <c r="BX71" s="29"/>
      <c r="BY71" s="29"/>
      <c r="BZ71" s="29"/>
      <c r="CA71" s="158">
        <f t="shared" si="7"/>
        <v>0</v>
      </c>
      <c r="CB71" s="157" t="s">
        <v>65</v>
      </c>
      <c r="CC71" s="385">
        <f t="shared" si="9"/>
        <v>0</v>
      </c>
      <c r="CD71" s="29"/>
      <c r="CE71" s="29"/>
      <c r="CF71" s="29"/>
      <c r="CG71" s="29"/>
      <c r="CH71" s="52"/>
    </row>
    <row r="72" spans="1:86" x14ac:dyDescent="0.25">
      <c r="A72" s="1069" t="s">
        <v>8</v>
      </c>
      <c r="B72" s="972"/>
      <c r="C72" s="1074">
        <f>ROUND(INDEX('Current Values'!$E$42:$AH$42,MATCH($A72,'Current Values'!$E$1:$AH$1,0)),$D$40)</f>
        <v>155.51</v>
      </c>
      <c r="D72" s="1075"/>
      <c r="E72" s="1023">
        <f>ROUND(INDEX('Current Values'!$E$43:$AH$43,MATCH($A72,'Current Values'!$E$1:$AH$1,0)),$D$40)</f>
        <v>156.04</v>
      </c>
      <c r="F72" s="1058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337"/>
      <c r="AV72" s="52"/>
      <c r="AW72" s="1025" t="s">
        <v>95</v>
      </c>
      <c r="AX72" s="278" t="s">
        <v>64</v>
      </c>
      <c r="AY72" s="397">
        <f t="shared" ref="AY72:BN72" si="10">-$D$37/$D$41</f>
        <v>-2</v>
      </c>
      <c r="AZ72" s="398">
        <f t="shared" si="10"/>
        <v>-2</v>
      </c>
      <c r="BA72" s="398">
        <f t="shared" si="10"/>
        <v>-2</v>
      </c>
      <c r="BB72" s="398">
        <f t="shared" si="10"/>
        <v>-2</v>
      </c>
      <c r="BC72" s="398">
        <f t="shared" si="10"/>
        <v>-2</v>
      </c>
      <c r="BD72" s="398">
        <f t="shared" si="10"/>
        <v>-2</v>
      </c>
      <c r="BE72" s="398">
        <f t="shared" si="10"/>
        <v>-2</v>
      </c>
      <c r="BF72" s="399">
        <f t="shared" si="10"/>
        <v>-2</v>
      </c>
      <c r="BG72" s="223">
        <f t="shared" si="10"/>
        <v>-2</v>
      </c>
      <c r="BH72" s="221">
        <f t="shared" si="10"/>
        <v>-2</v>
      </c>
      <c r="BI72" s="221">
        <f t="shared" si="10"/>
        <v>-2</v>
      </c>
      <c r="BJ72" s="221">
        <f t="shared" si="10"/>
        <v>-2</v>
      </c>
      <c r="BK72" s="221">
        <f t="shared" si="10"/>
        <v>-2</v>
      </c>
      <c r="BL72" s="221">
        <f t="shared" si="10"/>
        <v>-2</v>
      </c>
      <c r="BM72" s="221">
        <f t="shared" si="10"/>
        <v>-2</v>
      </c>
      <c r="BN72" s="222">
        <f t="shared" si="10"/>
        <v>-2</v>
      </c>
      <c r="BO72" s="29"/>
      <c r="BP72" s="29"/>
      <c r="BQ72" s="427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52"/>
    </row>
    <row r="73" spans="1:86" ht="15.75" thickBot="1" x14ac:dyDescent="0.3">
      <c r="A73" s="1069" t="s">
        <v>9</v>
      </c>
      <c r="B73" s="972"/>
      <c r="C73" s="1074">
        <f>ROUND(INDEX('Current Values'!$E$42:$AH$42,MATCH($A73,'Current Values'!$E$1:$AH$1,0)),$D$40)</f>
        <v>27.35</v>
      </c>
      <c r="D73" s="1075"/>
      <c r="E73" s="1023">
        <f>ROUND(INDEX('Current Values'!$E$43:$AH$43,MATCH($A73,'Current Values'!$E$1:$AH$1,0)),$D$40)</f>
        <v>27.18</v>
      </c>
      <c r="F73" s="1058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337"/>
      <c r="AV73" s="52"/>
      <c r="AW73" s="1026"/>
      <c r="AX73" s="151" t="s">
        <v>63</v>
      </c>
      <c r="AY73" s="150">
        <f t="shared" ref="AY73:BN73" si="11">$D$37/$D$41</f>
        <v>2</v>
      </c>
      <c r="AZ73" s="147">
        <f t="shared" si="11"/>
        <v>2</v>
      </c>
      <c r="BA73" s="147">
        <f t="shared" si="11"/>
        <v>2</v>
      </c>
      <c r="BB73" s="147">
        <f t="shared" si="11"/>
        <v>2</v>
      </c>
      <c r="BC73" s="147">
        <f t="shared" si="11"/>
        <v>2</v>
      </c>
      <c r="BD73" s="149">
        <f t="shared" si="11"/>
        <v>2</v>
      </c>
      <c r="BE73" s="147">
        <f t="shared" si="11"/>
        <v>2</v>
      </c>
      <c r="BF73" s="146">
        <f t="shared" si="11"/>
        <v>2</v>
      </c>
      <c r="BG73" s="148">
        <f t="shared" si="11"/>
        <v>2</v>
      </c>
      <c r="BH73" s="147">
        <f t="shared" si="11"/>
        <v>2</v>
      </c>
      <c r="BI73" s="147">
        <f t="shared" si="11"/>
        <v>2</v>
      </c>
      <c r="BJ73" s="147">
        <f t="shared" si="11"/>
        <v>2</v>
      </c>
      <c r="BK73" s="147">
        <f t="shared" si="11"/>
        <v>2</v>
      </c>
      <c r="BL73" s="147">
        <f t="shared" si="11"/>
        <v>2</v>
      </c>
      <c r="BM73" s="147">
        <f t="shared" si="11"/>
        <v>2</v>
      </c>
      <c r="BN73" s="146">
        <f t="shared" si="11"/>
        <v>2</v>
      </c>
      <c r="BO73" s="29"/>
      <c r="BP73" s="29"/>
      <c r="BQ73" s="427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52"/>
    </row>
    <row r="74" spans="1:86" ht="15.75" thickBot="1" x14ac:dyDescent="0.3">
      <c r="A74" s="1154" t="s">
        <v>10</v>
      </c>
      <c r="B74" s="1155"/>
      <c r="C74" s="1070">
        <f>ROUND(INDEX('Current Values'!$E$42:$AH$42,MATCH($A74,'Current Values'!$E$1:$AH$1,0)),$D$40)</f>
        <v>27.58</v>
      </c>
      <c r="D74" s="1071"/>
      <c r="E74" s="1072">
        <f>ROUND(INDEX('Current Values'!$E$43:$AH$43,MATCH($A74,'Current Values'!$E$1:$AH$1,0)),$D$40)</f>
        <v>27.22</v>
      </c>
      <c r="F74" s="1073"/>
      <c r="G74" s="418"/>
      <c r="H74" s="418"/>
      <c r="I74" s="418"/>
      <c r="J74" s="418"/>
      <c r="K74" s="418"/>
      <c r="L74" s="418"/>
      <c r="M74" s="418"/>
      <c r="N74" s="418"/>
      <c r="O74" s="418"/>
      <c r="P74" s="418"/>
      <c r="Q74" s="418"/>
      <c r="R74" s="418"/>
      <c r="S74" s="418"/>
      <c r="T74" s="418"/>
      <c r="U74" s="418"/>
      <c r="V74" s="418"/>
      <c r="W74" s="418"/>
      <c r="X74" s="418"/>
      <c r="Y74" s="418"/>
      <c r="Z74" s="418"/>
      <c r="AA74" s="418"/>
      <c r="AB74" s="418"/>
      <c r="AC74" s="418"/>
      <c r="AD74" s="418"/>
      <c r="AE74" s="418"/>
      <c r="AF74" s="418"/>
      <c r="AG74" s="418"/>
      <c r="AH74" s="418"/>
      <c r="AI74" s="418"/>
      <c r="AJ74" s="418"/>
      <c r="AK74" s="418"/>
      <c r="AL74" s="418"/>
      <c r="AM74" s="418"/>
      <c r="AN74" s="418"/>
      <c r="AO74" s="418"/>
      <c r="AP74" s="418"/>
      <c r="AQ74" s="418"/>
      <c r="AR74" s="418"/>
      <c r="AS74" s="418"/>
      <c r="AT74" s="418"/>
      <c r="AU74" s="419"/>
      <c r="AV74" s="52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427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321"/>
    </row>
    <row r="75" spans="1:86" ht="36" customHeight="1" thickBot="1" x14ac:dyDescent="0.3">
      <c r="A75" s="410"/>
      <c r="B75" s="411"/>
      <c r="C75" s="1081" t="s">
        <v>32</v>
      </c>
      <c r="D75" s="1081"/>
      <c r="E75" s="1081" t="s">
        <v>31</v>
      </c>
      <c r="F75" s="1081"/>
      <c r="G75" s="411"/>
      <c r="H75" s="411"/>
      <c r="I75" s="411"/>
      <c r="J75" s="411"/>
      <c r="K75" s="411"/>
      <c r="L75" s="411"/>
      <c r="M75" s="989" t="s">
        <v>32</v>
      </c>
      <c r="N75" s="989"/>
      <c r="O75" s="989"/>
      <c r="P75" s="989"/>
      <c r="Q75" s="989"/>
      <c r="R75" s="989"/>
      <c r="S75" s="989"/>
      <c r="T75" s="989"/>
      <c r="U75" s="989"/>
      <c r="V75" s="989"/>
      <c r="W75" s="989"/>
      <c r="X75" s="989"/>
      <c r="Y75" s="412"/>
      <c r="Z75" s="412"/>
      <c r="AA75" s="1115" t="s">
        <v>31</v>
      </c>
      <c r="AB75" s="1115"/>
      <c r="AC75" s="1115"/>
      <c r="AD75" s="1115"/>
      <c r="AE75" s="1115"/>
      <c r="AF75" s="1115"/>
      <c r="AG75" s="1115"/>
      <c r="AH75" s="1115"/>
      <c r="AI75" s="1115"/>
      <c r="AJ75" s="1115"/>
      <c r="AK75" s="1115"/>
      <c r="AL75" s="413"/>
      <c r="AM75" s="414"/>
      <c r="AN75" s="415"/>
      <c r="AO75" s="415"/>
      <c r="AP75" s="415"/>
      <c r="AQ75" s="411"/>
      <c r="AR75" s="411"/>
      <c r="AS75" s="411"/>
      <c r="AT75" s="411"/>
      <c r="AU75" s="420"/>
      <c r="AV75" s="52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427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321"/>
    </row>
    <row r="76" spans="1:86" ht="16.350000000000001" customHeight="1" x14ac:dyDescent="0.25">
      <c r="A76" s="1156" t="s">
        <v>13</v>
      </c>
      <c r="B76" s="1157"/>
      <c r="C76" s="1082">
        <f>ROUND(INDEX('Current Values'!$E$42:$AH$42,MATCH($A76,'Current Values'!$E$1:$AH$1,0)),$D$40)</f>
        <v>17.260000000000002</v>
      </c>
      <c r="D76" s="1083"/>
      <c r="E76" s="1084">
        <f>ROUND(INDEX('Current Values'!$E$43:$AH$43,MATCH($A76,'Current Values'!$E$1:$AH$1,0)),$D$40)</f>
        <v>17.18</v>
      </c>
      <c r="F76" s="1085"/>
      <c r="G76" s="29"/>
      <c r="H76" s="29"/>
      <c r="I76" s="29"/>
      <c r="J76" s="29"/>
      <c r="K76" s="29"/>
      <c r="L76" s="29"/>
      <c r="M76" s="990"/>
      <c r="N76" s="990"/>
      <c r="O76" s="990"/>
      <c r="P76" s="990"/>
      <c r="Q76" s="990"/>
      <c r="R76" s="990"/>
      <c r="S76" s="990"/>
      <c r="T76" s="990"/>
      <c r="U76" s="990"/>
      <c r="V76" s="990"/>
      <c r="W76" s="990"/>
      <c r="X76" s="990"/>
      <c r="Y76" s="292"/>
      <c r="Z76" s="292"/>
      <c r="AA76" s="1116"/>
      <c r="AB76" s="1116"/>
      <c r="AC76" s="1116"/>
      <c r="AD76" s="1116"/>
      <c r="AE76" s="1116"/>
      <c r="AF76" s="1116"/>
      <c r="AG76" s="1116"/>
      <c r="AH76" s="1116"/>
      <c r="AI76" s="1116"/>
      <c r="AJ76" s="1116"/>
      <c r="AK76" s="1116"/>
      <c r="AL76" s="390"/>
      <c r="AM76" s="298"/>
      <c r="AN76" s="298"/>
      <c r="AO76" s="298"/>
      <c r="AP76" s="298"/>
      <c r="AQ76" s="29"/>
      <c r="AR76" s="29"/>
      <c r="AS76" s="29"/>
      <c r="AT76" s="29"/>
      <c r="AU76" s="337"/>
      <c r="AV76" s="52"/>
      <c r="AW76" s="366"/>
      <c r="AX76" s="366"/>
      <c r="AY76" s="1151" t="s">
        <v>103</v>
      </c>
      <c r="AZ76" s="1152"/>
      <c r="BA76" s="1152"/>
      <c r="BB76" s="1152"/>
      <c r="BC76" s="1152"/>
      <c r="BD76" s="1152"/>
      <c r="BE76" s="1153"/>
      <c r="BF76" s="1148" t="s">
        <v>101</v>
      </c>
      <c r="BG76" s="1149"/>
      <c r="BH76" s="1149"/>
      <c r="BI76" s="1149"/>
      <c r="BJ76" s="1149"/>
      <c r="BK76" s="1149"/>
      <c r="BL76" s="1150"/>
      <c r="BM76" s="391"/>
      <c r="BN76" s="366"/>
      <c r="BO76" s="366"/>
      <c r="BP76" s="366"/>
      <c r="BQ76" s="378"/>
      <c r="BR76" s="366"/>
      <c r="BS76" s="366"/>
      <c r="BT76" s="366"/>
      <c r="BU76" s="366"/>
      <c r="BV76" s="366"/>
      <c r="BW76" s="366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52"/>
    </row>
    <row r="77" spans="1:86" ht="16.350000000000001" customHeight="1" x14ac:dyDescent="0.25">
      <c r="A77" s="1092" t="s">
        <v>14</v>
      </c>
      <c r="B77" s="962"/>
      <c r="C77" s="1074">
        <f>ROUND(INDEX('Current Values'!$E$42:$AH$42,MATCH($A77,'Current Values'!$E$1:$AH$1,0)),$D$40)</f>
        <v>17.28</v>
      </c>
      <c r="D77" s="1075"/>
      <c r="E77" s="1023">
        <f>ROUND(INDEX('Current Values'!$E$43:$AH$43,MATCH($A77,'Current Values'!$E$1:$AH$1,0)),$D$40)</f>
        <v>17.13</v>
      </c>
      <c r="F77" s="1058"/>
      <c r="G77" s="29"/>
      <c r="H77" s="29"/>
      <c r="I77" s="29"/>
      <c r="J77" s="29"/>
      <c r="K77" s="29"/>
      <c r="L77" s="29"/>
      <c r="M77" s="29"/>
      <c r="N77" s="29"/>
      <c r="O77" s="292"/>
      <c r="P77" s="292"/>
      <c r="Q77" s="292"/>
      <c r="R77" s="292"/>
      <c r="S77" s="292"/>
      <c r="T77" s="292"/>
      <c r="U77" s="292"/>
      <c r="V77" s="292"/>
      <c r="W77" s="1160" t="s">
        <v>61</v>
      </c>
      <c r="X77" s="1160"/>
      <c r="Y77" s="292"/>
      <c r="Z77" s="292"/>
      <c r="AA77" s="409"/>
      <c r="AB77" s="409"/>
      <c r="AC77" s="409"/>
      <c r="AD77" s="409"/>
      <c r="AE77" s="409"/>
      <c r="AF77" s="409"/>
      <c r="AG77" s="409"/>
      <c r="AH77" s="409"/>
      <c r="AI77" s="409"/>
      <c r="AJ77" s="409"/>
      <c r="AK77" s="409"/>
      <c r="AL77" s="390"/>
      <c r="AM77" s="421"/>
      <c r="AN77" s="421"/>
      <c r="AO77" s="1011" t="s">
        <v>62</v>
      </c>
      <c r="AP77" s="1012"/>
      <c r="AQ77" s="29"/>
      <c r="AR77" s="29"/>
      <c r="AS77" s="29"/>
      <c r="AT77" s="29"/>
      <c r="AU77" s="337"/>
      <c r="AV77" s="52"/>
      <c r="AW77" s="366"/>
      <c r="AX77" s="378" t="s">
        <v>91</v>
      </c>
      <c r="AY77" s="254" t="s">
        <v>129</v>
      </c>
      <c r="AZ77" s="255" t="s">
        <v>130</v>
      </c>
      <c r="BA77" s="255" t="s">
        <v>131</v>
      </c>
      <c r="BB77" s="141" t="s">
        <v>132</v>
      </c>
      <c r="BC77" s="141" t="s">
        <v>133</v>
      </c>
      <c r="BD77" s="141" t="s">
        <v>134</v>
      </c>
      <c r="BE77" s="133" t="s">
        <v>135</v>
      </c>
      <c r="BF77" s="143" t="s">
        <v>129</v>
      </c>
      <c r="BG77" s="142" t="s">
        <v>130</v>
      </c>
      <c r="BH77" s="142" t="s">
        <v>131</v>
      </c>
      <c r="BI77" s="141" t="s">
        <v>132</v>
      </c>
      <c r="BJ77" s="141" t="s">
        <v>133</v>
      </c>
      <c r="BK77" s="141" t="s">
        <v>134</v>
      </c>
      <c r="BL77" s="133" t="s">
        <v>135</v>
      </c>
      <c r="BM77" s="366"/>
      <c r="BN77" s="366"/>
      <c r="BO77" s="366"/>
      <c r="BP77" s="366"/>
      <c r="BQ77" s="378"/>
      <c r="BR77" s="1039" t="s">
        <v>86</v>
      </c>
      <c r="BS77" s="1039"/>
      <c r="BT77" s="334">
        <f>AVERAGE(AY79:BL79)</f>
        <v>7.1428571428571452E-3</v>
      </c>
      <c r="BU77" s="366"/>
      <c r="BV77" s="366"/>
      <c r="BW77" s="366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52"/>
    </row>
    <row r="78" spans="1:86" ht="16.350000000000001" customHeight="1" thickBot="1" x14ac:dyDescent="0.3">
      <c r="A78" s="1092" t="s">
        <v>15</v>
      </c>
      <c r="B78" s="962"/>
      <c r="C78" s="1074">
        <f>ROUND(INDEX('Current Values'!$E$42:$AH$42,MATCH($A78,'Current Values'!$E$1:$AH$1,0)),$D$40)</f>
        <v>35.659999999999997</v>
      </c>
      <c r="D78" s="1075"/>
      <c r="E78" s="1023">
        <f>ROUND(INDEX('Current Values'!$E$43:$AH$43,MATCH($A78,'Current Values'!$E$1:$AH$1,0)),$D$40)</f>
        <v>35.99</v>
      </c>
      <c r="F78" s="1058"/>
      <c r="G78" s="29"/>
      <c r="H78" s="29"/>
      <c r="I78" s="29"/>
      <c r="J78" s="29"/>
      <c r="K78" s="29"/>
      <c r="L78" s="29"/>
      <c r="M78" s="29"/>
      <c r="N78" s="29"/>
      <c r="O78" s="292"/>
      <c r="P78" s="292"/>
      <c r="Q78" s="292"/>
      <c r="R78" s="292"/>
      <c r="S78" s="292"/>
      <c r="T78" s="292"/>
      <c r="U78" s="292"/>
      <c r="V78" s="292"/>
      <c r="W78" s="959" t="str">
        <f>BU85&amp;" ±"&amp;CG85</f>
        <v>17.25 ±0.505</v>
      </c>
      <c r="X78" s="959"/>
      <c r="Y78" s="140"/>
      <c r="Z78" s="29"/>
      <c r="AA78" s="138"/>
      <c r="AB78" s="29"/>
      <c r="AC78" s="29"/>
      <c r="AD78" s="139"/>
      <c r="AE78" s="138"/>
      <c r="AF78" s="29"/>
      <c r="AG78" s="29"/>
      <c r="AH78" s="29"/>
      <c r="AI78" s="110"/>
      <c r="AJ78" s="110"/>
      <c r="AK78" s="110"/>
      <c r="AL78" s="137"/>
      <c r="AM78" s="136"/>
      <c r="AN78" s="135"/>
      <c r="AO78" s="963" t="str">
        <f>"&gt;= "&amp;BU89</f>
        <v>&gt;= 32.25</v>
      </c>
      <c r="AP78" s="965"/>
      <c r="AQ78" s="29"/>
      <c r="AR78" s="29"/>
      <c r="AS78" s="29"/>
      <c r="AT78" s="29"/>
      <c r="AU78" s="337"/>
      <c r="AV78" s="52"/>
      <c r="AW78" s="366"/>
      <c r="AX78" s="378" t="s">
        <v>87</v>
      </c>
      <c r="AY78" s="134">
        <v>-1</v>
      </c>
      <c r="AZ78" s="141">
        <v>0</v>
      </c>
      <c r="BA78" s="141">
        <v>0</v>
      </c>
      <c r="BB78" s="141">
        <v>2</v>
      </c>
      <c r="BC78" s="141">
        <v>2</v>
      </c>
      <c r="BD78" s="141">
        <v>-1</v>
      </c>
      <c r="BE78" s="133">
        <v>-2</v>
      </c>
      <c r="BF78" s="134">
        <v>-1</v>
      </c>
      <c r="BG78" s="141">
        <v>0</v>
      </c>
      <c r="BH78" s="141">
        <v>0</v>
      </c>
      <c r="BI78" s="141">
        <v>2</v>
      </c>
      <c r="BJ78" s="141">
        <v>2</v>
      </c>
      <c r="BK78" s="141">
        <v>0</v>
      </c>
      <c r="BL78" s="133">
        <v>-2</v>
      </c>
      <c r="BM78" s="366"/>
      <c r="BN78" s="366"/>
      <c r="BO78" s="366"/>
      <c r="BP78" s="366"/>
      <c r="BQ78" s="378"/>
      <c r="BR78" s="881" t="s">
        <v>84</v>
      </c>
      <c r="BS78" s="881"/>
      <c r="BT78" s="382">
        <f>SQRT(SUMPRODUCT(BT82:BT97,BT82:BT97))</f>
        <v>0.2576819745345027</v>
      </c>
      <c r="BU78" s="366"/>
      <c r="BV78" s="366"/>
      <c r="BW78" s="366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52"/>
    </row>
    <row r="79" spans="1:86" ht="16.350000000000001" customHeight="1" thickTop="1" x14ac:dyDescent="0.25">
      <c r="A79" s="1092" t="s">
        <v>16</v>
      </c>
      <c r="B79" s="962"/>
      <c r="C79" s="1074">
        <f>ROUND(INDEX('Current Values'!$E$42:$AH$42,MATCH($A79,'Current Values'!$E$1:$AH$1,0)),$D$40)</f>
        <v>36.409999999999997</v>
      </c>
      <c r="D79" s="1075"/>
      <c r="E79" s="1023">
        <f>ROUND(INDEX('Current Values'!$E$43:$AH$43,MATCH($A79,'Current Values'!$E$1:$AH$1,0)),$D$40)</f>
        <v>36.69</v>
      </c>
      <c r="F79" s="1058"/>
      <c r="G79" s="29"/>
      <c r="H79" s="29"/>
      <c r="I79" s="29"/>
      <c r="J79" s="29"/>
      <c r="K79" s="29"/>
      <c r="L79" s="29"/>
      <c r="M79" s="29"/>
      <c r="N79" s="29"/>
      <c r="O79" s="292"/>
      <c r="P79" s="292"/>
      <c r="Q79" s="292"/>
      <c r="R79" s="292"/>
      <c r="S79" s="292"/>
      <c r="T79" s="292"/>
      <c r="U79" s="292"/>
      <c r="V79" s="292"/>
      <c r="W79" s="1168">
        <f>E76</f>
        <v>17.18</v>
      </c>
      <c r="X79" s="1168"/>
      <c r="Y79" s="132"/>
      <c r="Z79" s="128"/>
      <c r="AA79" s="130"/>
      <c r="AB79" s="128"/>
      <c r="AC79" s="128"/>
      <c r="AD79" s="131"/>
      <c r="AE79" s="130"/>
      <c r="AF79" s="128"/>
      <c r="AG79" s="128"/>
      <c r="AH79" s="128"/>
      <c r="AI79" s="129"/>
      <c r="AJ79" s="128"/>
      <c r="AK79" s="128"/>
      <c r="AL79" s="127"/>
      <c r="AM79" s="29"/>
      <c r="AN79" s="29"/>
      <c r="AO79" s="1169">
        <f>E78</f>
        <v>35.99</v>
      </c>
      <c r="AP79" s="1170"/>
      <c r="AQ79" s="29"/>
      <c r="AR79" s="29"/>
      <c r="AS79" s="29"/>
      <c r="AT79" s="29"/>
      <c r="AU79" s="337"/>
      <c r="AV79" s="52"/>
      <c r="AW79" s="366"/>
      <c r="AX79" s="378" t="s">
        <v>85</v>
      </c>
      <c r="AY79" s="126">
        <f t="shared" ref="AY79:BL79" si="12">AY78*$D$41</f>
        <v>-0.1</v>
      </c>
      <c r="AZ79" s="125">
        <f t="shared" si="12"/>
        <v>0</v>
      </c>
      <c r="BA79" s="125">
        <f t="shared" si="12"/>
        <v>0</v>
      </c>
      <c r="BB79" s="125">
        <f t="shared" si="12"/>
        <v>0.2</v>
      </c>
      <c r="BC79" s="125">
        <f t="shared" si="12"/>
        <v>0.2</v>
      </c>
      <c r="BD79" s="125">
        <f t="shared" si="12"/>
        <v>-0.1</v>
      </c>
      <c r="BE79" s="124">
        <f t="shared" si="12"/>
        <v>-0.2</v>
      </c>
      <c r="BF79" s="126">
        <f t="shared" si="12"/>
        <v>-0.1</v>
      </c>
      <c r="BG79" s="125">
        <f t="shared" si="12"/>
        <v>0</v>
      </c>
      <c r="BH79" s="125">
        <f t="shared" si="12"/>
        <v>0</v>
      </c>
      <c r="BI79" s="125">
        <f t="shared" si="12"/>
        <v>0.2</v>
      </c>
      <c r="BJ79" s="125">
        <f t="shared" si="12"/>
        <v>0.2</v>
      </c>
      <c r="BK79" s="125">
        <f t="shared" si="12"/>
        <v>0</v>
      </c>
      <c r="BL79" s="124">
        <f t="shared" si="12"/>
        <v>-0.2</v>
      </c>
      <c r="BM79" s="366"/>
      <c r="BN79" s="366"/>
      <c r="BO79" s="366"/>
      <c r="BP79" s="366"/>
      <c r="BQ79" s="378"/>
      <c r="BR79" s="366"/>
      <c r="BS79" s="366"/>
      <c r="BT79" s="366"/>
      <c r="BU79" s="366"/>
      <c r="BV79" s="366"/>
      <c r="BW79" s="366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52"/>
    </row>
    <row r="80" spans="1:86" ht="16.149999999999999" customHeight="1" thickBot="1" x14ac:dyDescent="0.3">
      <c r="A80" s="1092" t="s">
        <v>23</v>
      </c>
      <c r="B80" s="962"/>
      <c r="C80" s="1074">
        <f>ROUND(INDEX('Current Values'!$E$42:$AH$42,MATCH($A80,'Current Values'!$E$1:$AH$1,0)),$D$40)</f>
        <v>0.21</v>
      </c>
      <c r="D80" s="1075"/>
      <c r="E80" s="1023">
        <f>ROUND(INDEX('Current Values'!$E$43:$AH$43,MATCH($A80,'Current Values'!$E$1:$AH$1,0)),$D$40)</f>
        <v>0.1</v>
      </c>
      <c r="F80" s="1058"/>
      <c r="G80" s="29"/>
      <c r="H80" s="29"/>
      <c r="I80" s="29"/>
      <c r="J80" s="29"/>
      <c r="K80" s="29"/>
      <c r="L80" s="29"/>
      <c r="M80" s="29"/>
      <c r="N80" s="29"/>
      <c r="O80" s="292"/>
      <c r="P80" s="292"/>
      <c r="Q80" s="292"/>
      <c r="R80" s="292"/>
      <c r="S80" s="292"/>
      <c r="T80" s="292"/>
      <c r="U80" s="292"/>
      <c r="V80" s="292"/>
      <c r="W80" s="1168">
        <f>E77</f>
        <v>17.13</v>
      </c>
      <c r="X80" s="1168"/>
      <c r="Y80" s="292"/>
      <c r="Z80" s="29"/>
      <c r="AA80" s="123"/>
      <c r="AB80" s="409"/>
      <c r="AC80" s="409"/>
      <c r="AD80" s="29"/>
      <c r="AE80" s="123"/>
      <c r="AF80" s="409"/>
      <c r="AG80" s="409"/>
      <c r="AH80" s="409"/>
      <c r="AI80" s="409"/>
      <c r="AJ80" s="409"/>
      <c r="AK80" s="409"/>
      <c r="AL80" s="29"/>
      <c r="AM80" s="123"/>
      <c r="AN80" s="29"/>
      <c r="AO80" s="1169">
        <f>E79</f>
        <v>36.69</v>
      </c>
      <c r="AP80" s="1170"/>
      <c r="AQ80" s="29"/>
      <c r="AR80" s="29"/>
      <c r="AS80" s="29"/>
      <c r="AT80" s="29"/>
      <c r="AU80" s="337"/>
      <c r="AV80" s="52"/>
      <c r="AW80" s="366"/>
      <c r="AX80" s="366"/>
      <c r="AY80" s="379"/>
      <c r="AZ80" s="380"/>
      <c r="BA80" s="380"/>
      <c r="BB80" s="380"/>
      <c r="BC80" s="380"/>
      <c r="BD80" s="380"/>
      <c r="BE80" s="381"/>
      <c r="BF80" s="379"/>
      <c r="BG80" s="380"/>
      <c r="BH80" s="380"/>
      <c r="BI80" s="380"/>
      <c r="BJ80" s="380"/>
      <c r="BK80" s="380"/>
      <c r="BL80" s="381"/>
      <c r="BM80" s="366"/>
      <c r="BN80" s="366"/>
      <c r="BO80" s="366"/>
      <c r="BP80" s="366"/>
      <c r="BQ80" s="378"/>
      <c r="BR80" s="366"/>
      <c r="BS80" s="366"/>
      <c r="BT80" s="366"/>
      <c r="BU80" s="366"/>
      <c r="BV80" s="366"/>
      <c r="BW80" s="366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52"/>
    </row>
    <row r="81" spans="1:86" ht="16.149999999999999" customHeight="1" thickBot="1" x14ac:dyDescent="0.3">
      <c r="A81" s="1092" t="s">
        <v>24</v>
      </c>
      <c r="B81" s="962"/>
      <c r="C81" s="1074">
        <f>ROUND(INDEX('Current Values'!$E$42:$AH$42,MATCH($A81,'Current Values'!$E$1:$AH$1,0)),$D$40)</f>
        <v>0.24</v>
      </c>
      <c r="D81" s="1075"/>
      <c r="E81" s="1023">
        <f>ROUND(INDEX('Current Values'!$E$43:$AH$43,MATCH($A81,'Current Values'!$E$1:$AH$1,0)),$D$40)</f>
        <v>0.04</v>
      </c>
      <c r="F81" s="1058"/>
      <c r="G81" s="29"/>
      <c r="H81" s="29"/>
      <c r="I81" s="29"/>
      <c r="J81" s="29"/>
      <c r="K81" s="29"/>
      <c r="L81" s="29"/>
      <c r="M81" s="29"/>
      <c r="N81" s="29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"/>
      <c r="AA81" s="123"/>
      <c r="AB81" s="409"/>
      <c r="AC81" s="409"/>
      <c r="AD81" s="29"/>
      <c r="AE81" s="123"/>
      <c r="AF81" s="409"/>
      <c r="AG81" s="409"/>
      <c r="AH81" s="409"/>
      <c r="AI81" s="409"/>
      <c r="AJ81" s="409"/>
      <c r="AK81" s="409"/>
      <c r="AL81" s="29"/>
      <c r="AM81" s="123"/>
      <c r="AN81" s="29"/>
      <c r="AO81" s="292"/>
      <c r="AP81" s="292"/>
      <c r="AQ81" s="29"/>
      <c r="AR81" s="29"/>
      <c r="AS81" s="29"/>
      <c r="AT81" s="29"/>
      <c r="AU81" s="337"/>
      <c r="AV81" s="52"/>
      <c r="AW81" s="366"/>
      <c r="AX81" s="122" t="s">
        <v>81</v>
      </c>
      <c r="AY81" s="392"/>
      <c r="AZ81" s="393"/>
      <c r="BA81" s="393"/>
      <c r="BB81" s="393"/>
      <c r="BC81" s="393"/>
      <c r="BD81" s="393"/>
      <c r="BE81" s="394"/>
      <c r="BF81" s="392"/>
      <c r="BG81" s="393"/>
      <c r="BH81" s="393"/>
      <c r="BI81" s="393"/>
      <c r="BJ81" s="393"/>
      <c r="BK81" s="393"/>
      <c r="BL81" s="394"/>
      <c r="BM81" s="121" t="s">
        <v>80</v>
      </c>
      <c r="BN81" s="121" t="s">
        <v>290</v>
      </c>
      <c r="BO81" s="375"/>
      <c r="BP81" s="375"/>
      <c r="BQ81" s="430"/>
      <c r="BR81" s="120" t="s">
        <v>79</v>
      </c>
      <c r="BS81" s="119" t="s">
        <v>78</v>
      </c>
      <c r="BT81" s="119" t="s">
        <v>77</v>
      </c>
      <c r="BU81" s="118" t="s">
        <v>37</v>
      </c>
      <c r="BV81" s="366"/>
      <c r="BW81" s="1008" t="s">
        <v>76</v>
      </c>
      <c r="BX81" s="1009"/>
      <c r="BY81" s="1010"/>
      <c r="BZ81" s="28"/>
      <c r="CA81" s="1008" t="s">
        <v>180</v>
      </c>
      <c r="CB81" s="1009"/>
      <c r="CC81" s="1010"/>
      <c r="CD81" s="366"/>
      <c r="CE81" s="1005" t="s">
        <v>181</v>
      </c>
      <c r="CF81" s="1006"/>
      <c r="CG81" s="1007"/>
      <c r="CH81" s="52"/>
    </row>
    <row r="82" spans="1:86" ht="16.149999999999999" customHeight="1" x14ac:dyDescent="0.25">
      <c r="A82" s="1092" t="s">
        <v>25</v>
      </c>
      <c r="B82" s="962"/>
      <c r="C82" s="1074">
        <f>ROUND(INDEX('Current Values'!$E$42:$AH$42,MATCH($A82,'Current Values'!$E$1:$AH$1,0)),$D$40)</f>
        <v>0.21</v>
      </c>
      <c r="D82" s="1075"/>
      <c r="E82" s="1023">
        <f>ROUND(INDEX('Current Values'!$E$43:$AH$43,MATCH($A82,'Current Values'!$E$1:$AH$1,0)),$D$40)</f>
        <v>0.09</v>
      </c>
      <c r="F82" s="1058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1036" t="s">
        <v>119</v>
      </c>
      <c r="X82" s="881"/>
      <c r="Y82" s="29"/>
      <c r="Z82" s="29"/>
      <c r="AA82" s="123"/>
      <c r="AB82" s="29"/>
      <c r="AC82" s="29"/>
      <c r="AD82" s="29"/>
      <c r="AE82" s="123"/>
      <c r="AF82" s="29"/>
      <c r="AG82" s="29"/>
      <c r="AH82" s="29"/>
      <c r="AI82" s="29"/>
      <c r="AJ82" s="29"/>
      <c r="AK82" s="29"/>
      <c r="AL82" s="29"/>
      <c r="AM82" s="123"/>
      <c r="AN82" s="29"/>
      <c r="AO82" s="421"/>
      <c r="AP82" s="421"/>
      <c r="AQ82" s="29"/>
      <c r="AR82" s="29"/>
      <c r="AS82" s="29"/>
      <c r="AT82" s="29"/>
      <c r="AU82" s="337"/>
      <c r="AV82" s="52"/>
      <c r="AW82" s="1166" t="s">
        <v>74</v>
      </c>
      <c r="AX82" s="259" t="str">
        <f>"-1 "&amp;A76</f>
        <v>-1 Dim 9_1</v>
      </c>
      <c r="AY82" s="257"/>
      <c r="AZ82" s="117">
        <v>-1</v>
      </c>
      <c r="BA82" s="117">
        <v>1</v>
      </c>
      <c r="BB82" s="117"/>
      <c r="BC82" s="117"/>
      <c r="BD82" s="117"/>
      <c r="BE82" s="113"/>
      <c r="BF82" s="79"/>
      <c r="BG82" s="117"/>
      <c r="BH82" s="117"/>
      <c r="BI82" s="117"/>
      <c r="BJ82" s="117"/>
      <c r="BK82" s="117"/>
      <c r="BL82" s="116"/>
      <c r="BM82" s="105">
        <f t="shared" ref="BM82:BM104" si="13">SUMPRODUCT(AY82:BL82,$AY$79:$BL$79)</f>
        <v>0</v>
      </c>
      <c r="BN82" s="105"/>
      <c r="BO82" s="366"/>
      <c r="BP82" s="366"/>
      <c r="BQ82" s="427" t="str">
        <f t="shared" ref="BQ82:BQ97" si="14">AX82</f>
        <v>-1 Dim 9_1</v>
      </c>
      <c r="BR82" s="115">
        <f>C76</f>
        <v>17.260000000000002</v>
      </c>
      <c r="BS82" s="448">
        <f>BR82+BM82+BN82</f>
        <v>17.260000000000002</v>
      </c>
      <c r="BT82" s="114">
        <f>-(BU82-BS82)</f>
        <v>1.0000000000001563E-2</v>
      </c>
      <c r="BU82" s="113">
        <v>17.25</v>
      </c>
      <c r="BV82" s="366"/>
      <c r="BW82" s="192">
        <f t="shared" ref="BW82:BW87" si="15">$BT82</f>
        <v>1.0000000000001563E-2</v>
      </c>
      <c r="BX82" s="78" t="s">
        <v>178</v>
      </c>
      <c r="BY82" s="313">
        <v>-0.505</v>
      </c>
      <c r="BZ82" s="366"/>
      <c r="CA82" s="366"/>
      <c r="CB82" s="366"/>
      <c r="CC82" s="366"/>
      <c r="CD82" s="366"/>
      <c r="CE82" s="192">
        <f t="shared" ref="CE82:CE87" si="16">$BT82</f>
        <v>1.0000000000001563E-2</v>
      </c>
      <c r="CF82" s="78" t="s">
        <v>179</v>
      </c>
      <c r="CG82" s="313">
        <v>0.505</v>
      </c>
      <c r="CH82" s="52"/>
    </row>
    <row r="83" spans="1:86" ht="16.149999999999999" customHeight="1" thickBot="1" x14ac:dyDescent="0.3">
      <c r="A83" s="1092" t="s">
        <v>26</v>
      </c>
      <c r="B83" s="962"/>
      <c r="C83" s="1074">
        <f>ROUND(INDEX('Current Values'!$E$42:$AH$42,MATCH($A83,'Current Values'!$E$1:$AH$1,0)),$D$40)</f>
        <v>0.14000000000000001</v>
      </c>
      <c r="D83" s="1075"/>
      <c r="E83" s="1023">
        <f>ROUND(INDEX('Current Values'!$E$43:$AH$43,MATCH($A83,'Current Values'!$E$1:$AH$1,0)),$D$40)</f>
        <v>-0.03</v>
      </c>
      <c r="F83" s="1058"/>
      <c r="G83" s="29"/>
      <c r="H83" s="29"/>
      <c r="I83" s="29"/>
      <c r="J83" s="29"/>
      <c r="K83" s="29"/>
      <c r="L83" s="29"/>
      <c r="M83" s="29"/>
      <c r="N83" s="42"/>
      <c r="O83" s="42"/>
      <c r="P83" s="42"/>
      <c r="Q83" s="42"/>
      <c r="R83" s="49"/>
      <c r="S83" s="29"/>
      <c r="T83" s="29"/>
      <c r="U83" s="29"/>
      <c r="V83" s="29"/>
      <c r="W83" s="1037"/>
      <c r="X83" s="1037"/>
      <c r="Y83" s="29"/>
      <c r="Z83" s="48"/>
      <c r="AA83" s="42"/>
      <c r="AB83" s="42"/>
      <c r="AC83" s="42"/>
      <c r="AD83" s="112"/>
      <c r="AE83" s="111"/>
      <c r="AF83" s="42"/>
      <c r="AG83" s="42"/>
      <c r="AH83" s="42"/>
      <c r="AI83" s="42"/>
      <c r="AJ83" s="42"/>
      <c r="AK83" s="42"/>
      <c r="AL83" s="42"/>
      <c r="AM83" s="29"/>
      <c r="AN83" s="29"/>
      <c r="AO83" s="29"/>
      <c r="AP83" s="29"/>
      <c r="AQ83" s="29"/>
      <c r="AR83" s="29"/>
      <c r="AS83" s="29"/>
      <c r="AT83" s="29"/>
      <c r="AU83" s="337"/>
      <c r="AV83" s="52"/>
      <c r="AW83" s="1031"/>
      <c r="AX83" s="260" t="s">
        <v>71</v>
      </c>
      <c r="AY83" s="256"/>
      <c r="AZ83" s="70">
        <v>1</v>
      </c>
      <c r="BA83" s="70"/>
      <c r="BB83" s="70">
        <v>-1</v>
      </c>
      <c r="BC83" s="70"/>
      <c r="BD83" s="70"/>
      <c r="BE83" s="72"/>
      <c r="BF83" s="67"/>
      <c r="BG83" s="70"/>
      <c r="BH83" s="70"/>
      <c r="BI83" s="70"/>
      <c r="BJ83" s="70"/>
      <c r="BK83" s="70"/>
      <c r="BL83" s="69"/>
      <c r="BM83" s="68">
        <f t="shared" si="13"/>
        <v>-0.2</v>
      </c>
      <c r="BN83" s="68"/>
      <c r="BO83" s="366"/>
      <c r="BP83" s="366"/>
      <c r="BQ83" s="427" t="str">
        <f t="shared" si="14"/>
        <v>-1 Dim 11</v>
      </c>
      <c r="BR83" s="93">
        <f>AVERAGE(C80:D81)</f>
        <v>0.22499999999999998</v>
      </c>
      <c r="BS83" s="92">
        <f t="shared" ref="BS83:BS97" si="17">BR83+BM83+BN83</f>
        <v>2.4999999999999967E-2</v>
      </c>
      <c r="BT83" s="91">
        <f t="shared" ref="BT83:BT87" si="18">-(BU83-BS83)</f>
        <v>2.4999999999999967E-2</v>
      </c>
      <c r="BU83" s="72">
        <v>0</v>
      </c>
      <c r="BV83" s="366"/>
      <c r="BW83" s="90">
        <f t="shared" si="15"/>
        <v>2.4999999999999967E-2</v>
      </c>
      <c r="BX83" s="89" t="s">
        <v>178</v>
      </c>
      <c r="BY83" s="314">
        <v>-0.505</v>
      </c>
      <c r="BZ83" s="366"/>
      <c r="CA83" s="366"/>
      <c r="CB83" s="366"/>
      <c r="CC83" s="366"/>
      <c r="CD83" s="366"/>
      <c r="CE83" s="90">
        <f t="shared" si="16"/>
        <v>2.4999999999999967E-2</v>
      </c>
      <c r="CF83" s="89" t="s">
        <v>179</v>
      </c>
      <c r="CG83" s="314">
        <v>0.505</v>
      </c>
      <c r="CH83" s="52"/>
    </row>
    <row r="84" spans="1:86" ht="16.5" thickTop="1" x14ac:dyDescent="0.25">
      <c r="A84" s="1092" t="s">
        <v>27</v>
      </c>
      <c r="B84" s="962"/>
      <c r="C84" s="1074">
        <f>ROUND(INDEX('Current Values'!$E$42:$AH$42,MATCH($A84,'Current Values'!$E$1:$AH$1,0)),$D$40)</f>
        <v>0.37</v>
      </c>
      <c r="D84" s="1075"/>
      <c r="E84" s="1023">
        <f>ROUND(INDEX('Current Values'!$E$43:$AH$43,MATCH($A84,'Current Values'!$E$1:$AH$1,0)),$D$40)</f>
        <v>0.37</v>
      </c>
      <c r="F84" s="1058"/>
      <c r="G84" s="29"/>
      <c r="H84" s="29"/>
      <c r="I84" s="29"/>
      <c r="J84" s="29"/>
      <c r="K84" s="29"/>
      <c r="L84" s="29"/>
      <c r="M84" s="29"/>
      <c r="N84" s="42"/>
      <c r="O84" s="42"/>
      <c r="P84" s="42"/>
      <c r="Q84" s="42"/>
      <c r="R84" s="41"/>
      <c r="S84" s="40"/>
      <c r="T84" s="40"/>
      <c r="U84" s="40"/>
      <c r="V84" s="40"/>
      <c r="W84" s="1038" t="str">
        <f>IF(AY79&gt;0,"→ "&amp;AY79,IF(AY79&lt;0,"← "&amp;-AY79,0))</f>
        <v>← 0.1</v>
      </c>
      <c r="X84" s="1038"/>
      <c r="Y84" s="40"/>
      <c r="Z84" s="39"/>
      <c r="AA84" s="42"/>
      <c r="AB84" s="42"/>
      <c r="AC84" s="42"/>
      <c r="AD84" s="112"/>
      <c r="AE84" s="111"/>
      <c r="AF84" s="42"/>
      <c r="AG84" s="42"/>
      <c r="AH84" s="42"/>
      <c r="AI84" s="42"/>
      <c r="AJ84" s="42"/>
      <c r="AK84" s="42"/>
      <c r="AL84" s="42"/>
      <c r="AM84" s="29"/>
      <c r="AN84" s="29"/>
      <c r="AO84" s="29"/>
      <c r="AP84" s="29"/>
      <c r="AQ84" s="29"/>
      <c r="AR84" s="29"/>
      <c r="AS84" s="29"/>
      <c r="AT84" s="29"/>
      <c r="AU84" s="337"/>
      <c r="AV84" s="52"/>
      <c r="AW84" s="1031"/>
      <c r="AX84" s="261" t="s">
        <v>70</v>
      </c>
      <c r="AY84" s="256"/>
      <c r="AZ84" s="70">
        <v>1</v>
      </c>
      <c r="BA84" s="70"/>
      <c r="BB84" s="70"/>
      <c r="BC84" s="70">
        <v>-1</v>
      </c>
      <c r="BD84" s="70"/>
      <c r="BE84" s="72"/>
      <c r="BF84" s="67"/>
      <c r="BG84" s="70"/>
      <c r="BH84" s="70"/>
      <c r="BI84" s="70"/>
      <c r="BJ84" s="70"/>
      <c r="BK84" s="70"/>
      <c r="BL84" s="69"/>
      <c r="BM84" s="68">
        <f t="shared" si="13"/>
        <v>-0.2</v>
      </c>
      <c r="BN84" s="68"/>
      <c r="BO84" s="366"/>
      <c r="BP84" s="366"/>
      <c r="BQ84" s="427" t="str">
        <f t="shared" si="14"/>
        <v>-1 Dim 12</v>
      </c>
      <c r="BR84" s="93">
        <f>AVERAGE(C84:D85)</f>
        <v>0.35</v>
      </c>
      <c r="BS84" s="92">
        <f t="shared" si="17"/>
        <v>0.14999999999999997</v>
      </c>
      <c r="BT84" s="91">
        <f t="shared" si="18"/>
        <v>0.14999999999999997</v>
      </c>
      <c r="BU84" s="72">
        <v>0</v>
      </c>
      <c r="BV84" s="366"/>
      <c r="BW84" s="90">
        <f t="shared" si="15"/>
        <v>0.14999999999999997</v>
      </c>
      <c r="BX84" s="89" t="s">
        <v>178</v>
      </c>
      <c r="BY84" s="314">
        <v>-0.505</v>
      </c>
      <c r="BZ84" s="366"/>
      <c r="CA84" s="366"/>
      <c r="CB84" s="366"/>
      <c r="CC84" s="366"/>
      <c r="CD84" s="366"/>
      <c r="CE84" s="90">
        <f t="shared" si="16"/>
        <v>0.14999999999999997</v>
      </c>
      <c r="CF84" s="89" t="s">
        <v>179</v>
      </c>
      <c r="CG84" s="314">
        <v>0.505</v>
      </c>
      <c r="CH84" s="52"/>
    </row>
    <row r="85" spans="1:86" ht="15.75" customHeight="1" x14ac:dyDescent="0.25">
      <c r="A85" s="1092" t="s">
        <v>28</v>
      </c>
      <c r="B85" s="962"/>
      <c r="C85" s="1074">
        <f>ROUND(INDEX('Current Values'!$E$42:$AH$42,MATCH($A85,'Current Values'!$E$1:$AH$1,0)),$D$40)</f>
        <v>0.33</v>
      </c>
      <c r="D85" s="1075"/>
      <c r="E85" s="1023">
        <f>ROUND(INDEX('Current Values'!$E$43:$AH$43,MATCH($A85,'Current Values'!$E$1:$AH$1,0)),$D$40)</f>
        <v>0.32</v>
      </c>
      <c r="F85" s="1058"/>
      <c r="G85" s="29"/>
      <c r="H85" s="29"/>
      <c r="I85" s="29"/>
      <c r="J85" s="29"/>
      <c r="K85" s="29"/>
      <c r="L85" s="29"/>
      <c r="M85" s="29"/>
      <c r="N85" s="42"/>
      <c r="O85" s="42"/>
      <c r="P85" s="42"/>
      <c r="Q85" s="42"/>
      <c r="R85" s="42"/>
      <c r="S85" s="42"/>
      <c r="T85" s="42"/>
      <c r="U85" s="54"/>
      <c r="V85" s="29"/>
      <c r="W85" s="1035" t="str">
        <f>IF(BF79&gt;0,"→ "&amp;BF79,IF(BF79&lt;0,"← "&amp;-BF79,0))</f>
        <v>← 0.1</v>
      </c>
      <c r="X85" s="1035"/>
      <c r="Y85" s="29"/>
      <c r="Z85" s="29"/>
      <c r="AA85" s="29"/>
      <c r="AB85" s="29"/>
      <c r="AC85" s="29"/>
      <c r="AD85" s="29"/>
      <c r="AE85" s="53"/>
      <c r="AF85" s="42"/>
      <c r="AG85" s="75"/>
      <c r="AH85" s="247"/>
      <c r="AI85" s="1158" t="s">
        <v>113</v>
      </c>
      <c r="AJ85" s="796"/>
      <c r="AK85" s="796"/>
      <c r="AL85" s="29"/>
      <c r="AM85" s="29"/>
      <c r="AN85" s="29"/>
      <c r="AO85" s="1011" t="s">
        <v>72</v>
      </c>
      <c r="AP85" s="1012"/>
      <c r="AQ85" s="29"/>
      <c r="AR85" s="29"/>
      <c r="AS85" s="29"/>
      <c r="AT85" s="29"/>
      <c r="AU85" s="337"/>
      <c r="AV85" s="52"/>
      <c r="AW85" s="1031"/>
      <c r="AX85" s="260" t="str">
        <f>"-2 "&amp;A76</f>
        <v>-2 Dim 9_1</v>
      </c>
      <c r="AY85" s="256">
        <v>-1</v>
      </c>
      <c r="AZ85" s="70">
        <v>1</v>
      </c>
      <c r="BA85" s="70"/>
      <c r="BB85" s="70"/>
      <c r="BC85" s="70"/>
      <c r="BD85" s="70"/>
      <c r="BE85" s="72"/>
      <c r="BF85" s="67"/>
      <c r="BG85" s="70"/>
      <c r="BH85" s="70"/>
      <c r="BI85" s="70"/>
      <c r="BJ85" s="70"/>
      <c r="BK85" s="70"/>
      <c r="BL85" s="69"/>
      <c r="BM85" s="68">
        <f t="shared" si="13"/>
        <v>0.1</v>
      </c>
      <c r="BN85" s="68"/>
      <c r="BO85" s="366"/>
      <c r="BP85" s="366"/>
      <c r="BQ85" s="427" t="str">
        <f t="shared" si="14"/>
        <v>-2 Dim 9_1</v>
      </c>
      <c r="BR85" s="96">
        <f>E76</f>
        <v>17.18</v>
      </c>
      <c r="BS85" s="92">
        <f t="shared" si="17"/>
        <v>17.28</v>
      </c>
      <c r="BT85" s="91">
        <f t="shared" si="18"/>
        <v>3.0000000000001137E-2</v>
      </c>
      <c r="BU85" s="72">
        <v>17.25</v>
      </c>
      <c r="BV85" s="366"/>
      <c r="BW85" s="90">
        <f t="shared" si="15"/>
        <v>3.0000000000001137E-2</v>
      </c>
      <c r="BX85" s="89" t="s">
        <v>178</v>
      </c>
      <c r="BY85" s="314">
        <v>-0.505</v>
      </c>
      <c r="BZ85" s="366"/>
      <c r="CA85" s="366"/>
      <c r="CB85" s="366"/>
      <c r="CC85" s="366"/>
      <c r="CD85" s="366"/>
      <c r="CE85" s="90">
        <f t="shared" si="16"/>
        <v>3.0000000000001137E-2</v>
      </c>
      <c r="CF85" s="89" t="s">
        <v>179</v>
      </c>
      <c r="CG85" s="314">
        <v>0.505</v>
      </c>
      <c r="CH85" s="52"/>
    </row>
    <row r="86" spans="1:86" ht="16.5" thickBot="1" x14ac:dyDescent="0.3">
      <c r="A86" s="1092" t="s">
        <v>29</v>
      </c>
      <c r="B86" s="962"/>
      <c r="C86" s="1074">
        <f>ROUND(INDEX('Current Values'!$E$42:$AH$42,MATCH($A86,'Current Values'!$E$1:$AH$1,0)),$D$40)</f>
        <v>0.3</v>
      </c>
      <c r="D86" s="1075"/>
      <c r="E86" s="1023">
        <f>ROUND(INDEX('Current Values'!$E$43:$AH$43,MATCH($A86,'Current Values'!$E$1:$AH$1,0)),$D$40)</f>
        <v>0.23</v>
      </c>
      <c r="F86" s="1058"/>
      <c r="G86" s="29"/>
      <c r="H86" s="29"/>
      <c r="I86" s="29"/>
      <c r="J86" s="29"/>
      <c r="K86" s="29"/>
      <c r="L86" s="29"/>
      <c r="M86" s="29"/>
      <c r="N86" s="42"/>
      <c r="O86" s="42"/>
      <c r="P86" s="42"/>
      <c r="Q86" s="42"/>
      <c r="R86" s="42"/>
      <c r="S86" s="42"/>
      <c r="T86" s="42"/>
      <c r="U86" s="54"/>
      <c r="V86" s="29"/>
      <c r="W86" s="29"/>
      <c r="X86" s="29"/>
      <c r="Y86" s="29"/>
      <c r="Z86" s="29"/>
      <c r="AA86" s="29"/>
      <c r="AB86" s="29"/>
      <c r="AC86" s="29"/>
      <c r="AD86" s="29"/>
      <c r="AE86" s="53"/>
      <c r="AF86" s="42"/>
      <c r="AG86" s="49"/>
      <c r="AH86" s="29"/>
      <c r="AI86" s="1159"/>
      <c r="AJ86" s="1159"/>
      <c r="AK86" s="1159"/>
      <c r="AL86" s="110"/>
      <c r="AM86" s="110"/>
      <c r="AN86" s="110"/>
      <c r="AO86" s="963" t="str">
        <f>BU87&amp;" ±"&amp;CG87</f>
        <v>0 ±0.505</v>
      </c>
      <c r="AP86" s="965"/>
      <c r="AQ86" s="29"/>
      <c r="AR86" s="29"/>
      <c r="AS86" s="29"/>
      <c r="AT86" s="29"/>
      <c r="AU86" s="337"/>
      <c r="AV86" s="52"/>
      <c r="AW86" s="1031"/>
      <c r="AX86" s="260" t="s">
        <v>69</v>
      </c>
      <c r="AY86" s="256"/>
      <c r="AZ86" s="70">
        <v>-1</v>
      </c>
      <c r="BA86" s="70"/>
      <c r="BB86" s="70"/>
      <c r="BC86" s="70"/>
      <c r="BD86" s="70">
        <v>1</v>
      </c>
      <c r="BE86" s="72"/>
      <c r="BF86" s="67"/>
      <c r="BG86" s="70"/>
      <c r="BH86" s="70"/>
      <c r="BI86" s="70"/>
      <c r="BJ86" s="70"/>
      <c r="BK86" s="70"/>
      <c r="BL86" s="69"/>
      <c r="BM86" s="68">
        <f t="shared" si="13"/>
        <v>-0.1</v>
      </c>
      <c r="BN86" s="68"/>
      <c r="BO86" s="366"/>
      <c r="BP86" s="366"/>
      <c r="BQ86" s="427" t="str">
        <f t="shared" si="14"/>
        <v>-2 Dim 11</v>
      </c>
      <c r="BR86" s="96">
        <f>AVERAGE(E80:F81)</f>
        <v>7.0000000000000007E-2</v>
      </c>
      <c r="BS86" s="92">
        <f t="shared" si="17"/>
        <v>-0.03</v>
      </c>
      <c r="BT86" s="91">
        <f t="shared" si="18"/>
        <v>-0.03</v>
      </c>
      <c r="BU86" s="72">
        <v>0</v>
      </c>
      <c r="BV86" s="366"/>
      <c r="BW86" s="90">
        <f t="shared" si="15"/>
        <v>-0.03</v>
      </c>
      <c r="BX86" s="89" t="s">
        <v>178</v>
      </c>
      <c r="BY86" s="314">
        <v>-0.505</v>
      </c>
      <c r="BZ86" s="366"/>
      <c r="CA86" s="366"/>
      <c r="CB86" s="366"/>
      <c r="CC86" s="366"/>
      <c r="CD86" s="366"/>
      <c r="CE86" s="90">
        <f t="shared" si="16"/>
        <v>-0.03</v>
      </c>
      <c r="CF86" s="89" t="s">
        <v>179</v>
      </c>
      <c r="CG86" s="314">
        <v>0.505</v>
      </c>
      <c r="CH86" s="52"/>
    </row>
    <row r="87" spans="1:86" ht="16.149999999999999" customHeight="1" thickTop="1" thickBot="1" x14ac:dyDescent="0.3">
      <c r="A87" s="1163" t="s">
        <v>30</v>
      </c>
      <c r="B87" s="1164"/>
      <c r="C87" s="1070">
        <f>ROUND(INDEX('Current Values'!$E$42:$AH$42,MATCH($A87,'Current Values'!$E$1:$AH$1,0)),$D$40)</f>
        <v>0.36</v>
      </c>
      <c r="D87" s="1071"/>
      <c r="E87" s="1072">
        <f>ROUND(INDEX('Current Values'!$E$43:$AH$43,MATCH($A87,'Current Values'!$E$1:$AH$1,0)),$D$40)</f>
        <v>0.22</v>
      </c>
      <c r="F87" s="1073"/>
      <c r="G87" s="29"/>
      <c r="H87" s="29"/>
      <c r="I87" s="29"/>
      <c r="J87" s="29"/>
      <c r="K87" s="29"/>
      <c r="L87" s="29"/>
      <c r="M87" s="29"/>
      <c r="N87" s="42"/>
      <c r="O87" s="42"/>
      <c r="P87" s="42"/>
      <c r="Q87" s="42"/>
      <c r="R87" s="42"/>
      <c r="S87" s="42"/>
      <c r="T87" s="42"/>
      <c r="U87" s="54"/>
      <c r="V87" s="29"/>
      <c r="W87" s="29"/>
      <c r="X87" s="29"/>
      <c r="Y87" s="29"/>
      <c r="Z87" s="29"/>
      <c r="AA87" s="29"/>
      <c r="AB87" s="29"/>
      <c r="AC87" s="29"/>
      <c r="AD87" s="29"/>
      <c r="AE87" s="53"/>
      <c r="AF87" s="42"/>
      <c r="AG87" s="41"/>
      <c r="AH87" s="40"/>
      <c r="AI87" s="1046" t="str">
        <f>IF(BE79&gt;0,"→ "&amp;BE79,IF(BE79&lt;0,"← "&amp;-BE79,0))</f>
        <v>← 0.2</v>
      </c>
      <c r="AJ87" s="1046"/>
      <c r="AK87" s="1046"/>
      <c r="AL87" s="40"/>
      <c r="AM87" s="40"/>
      <c r="AN87" s="40"/>
      <c r="AO87" s="1033">
        <f>AVERAGE(E84:F85)</f>
        <v>0.34499999999999997</v>
      </c>
      <c r="AP87" s="1034"/>
      <c r="AQ87" s="29"/>
      <c r="AR87" s="29"/>
      <c r="AS87" s="29"/>
      <c r="AT87" s="29"/>
      <c r="AU87" s="337"/>
      <c r="AV87" s="52"/>
      <c r="AW87" s="1031"/>
      <c r="AX87" s="260" t="s">
        <v>68</v>
      </c>
      <c r="AY87" s="256"/>
      <c r="AZ87" s="70">
        <v>-1</v>
      </c>
      <c r="BA87" s="70"/>
      <c r="BB87" s="70"/>
      <c r="BC87" s="70"/>
      <c r="BD87" s="70"/>
      <c r="BE87" s="72">
        <v>1</v>
      </c>
      <c r="BF87" s="67"/>
      <c r="BG87" s="70"/>
      <c r="BH87" s="70"/>
      <c r="BI87" s="70"/>
      <c r="BJ87" s="70"/>
      <c r="BK87" s="70"/>
      <c r="BL87" s="69"/>
      <c r="BM87" s="68">
        <f t="shared" si="13"/>
        <v>-0.2</v>
      </c>
      <c r="BN87" s="68"/>
      <c r="BO87" s="366"/>
      <c r="BP87" s="366"/>
      <c r="BQ87" s="427" t="str">
        <f t="shared" si="14"/>
        <v>-2 Dim 12</v>
      </c>
      <c r="BR87" s="96">
        <f>AVERAGE(E84:F85)</f>
        <v>0.34499999999999997</v>
      </c>
      <c r="BS87" s="92">
        <f t="shared" si="17"/>
        <v>0.14499999999999996</v>
      </c>
      <c r="BT87" s="91">
        <f t="shared" si="18"/>
        <v>0.14499999999999996</v>
      </c>
      <c r="BU87" s="72">
        <v>0</v>
      </c>
      <c r="BV87" s="366"/>
      <c r="BW87" s="81">
        <f t="shared" si="15"/>
        <v>0.14499999999999996</v>
      </c>
      <c r="BX87" s="80" t="s">
        <v>178</v>
      </c>
      <c r="BY87" s="315">
        <v>-0.505</v>
      </c>
      <c r="BZ87" s="366"/>
      <c r="CA87" s="366"/>
      <c r="CB87" s="366"/>
      <c r="CC87" s="366"/>
      <c r="CD87" s="366"/>
      <c r="CE87" s="81">
        <f t="shared" si="16"/>
        <v>0.14499999999999996</v>
      </c>
      <c r="CF87" s="80" t="s">
        <v>179</v>
      </c>
      <c r="CG87" s="315">
        <v>0.505</v>
      </c>
      <c r="CH87" s="52"/>
    </row>
    <row r="88" spans="1:86" ht="16.149999999999999" customHeight="1" x14ac:dyDescent="0.25">
      <c r="A88" s="335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42"/>
      <c r="O88" s="42"/>
      <c r="P88" s="42"/>
      <c r="Q88" s="42"/>
      <c r="R88" s="42"/>
      <c r="S88" s="42"/>
      <c r="T88" s="42"/>
      <c r="U88" s="54"/>
      <c r="V88" s="29"/>
      <c r="W88" s="29"/>
      <c r="X88" s="29"/>
      <c r="Y88" s="29"/>
      <c r="Z88" s="29"/>
      <c r="AA88" s="29"/>
      <c r="AB88" s="29"/>
      <c r="AC88" s="29"/>
      <c r="AD88" s="29"/>
      <c r="AE88" s="53"/>
      <c r="AF88" s="42"/>
      <c r="AG88" s="75"/>
      <c r="AI88" s="1044" t="str">
        <f>IF(BL79&gt;0,"→ "&amp;BL79,IF(BL79&lt;0,"← "&amp;-BL79,0))</f>
        <v>← 0.2</v>
      </c>
      <c r="AJ88" s="1171"/>
      <c r="AK88" s="1045"/>
      <c r="AL88" s="29"/>
      <c r="AM88" s="29"/>
      <c r="AN88" s="29"/>
      <c r="AO88" s="1033">
        <f>AVERAGE(E86:F87)</f>
        <v>0.22500000000000001</v>
      </c>
      <c r="AP88" s="1034"/>
      <c r="AQ88" s="29"/>
      <c r="AR88" s="29"/>
      <c r="AS88" s="29"/>
      <c r="AT88" s="29"/>
      <c r="AU88" s="337"/>
      <c r="AV88" s="52"/>
      <c r="AW88" s="1031"/>
      <c r="AX88" s="260" t="str">
        <f>"-1 "&amp;A78</f>
        <v>-1 Dim 10_1</v>
      </c>
      <c r="AY88" s="256"/>
      <c r="AZ88" s="70">
        <v>1</v>
      </c>
      <c r="BA88" s="70"/>
      <c r="BB88" s="70"/>
      <c r="BC88" s="70"/>
      <c r="BD88" s="70"/>
      <c r="BE88" s="72"/>
      <c r="BF88" s="67"/>
      <c r="BG88" s="70"/>
      <c r="BH88" s="70"/>
      <c r="BI88" s="70"/>
      <c r="BJ88" s="70"/>
      <c r="BK88" s="70"/>
      <c r="BL88" s="69"/>
      <c r="BM88" s="68">
        <f t="shared" si="13"/>
        <v>0</v>
      </c>
      <c r="BN88" s="68">
        <f t="shared" ref="BN88:BN96" si="19">IF($D$35=TRUE,$F$35,0)</f>
        <v>0</v>
      </c>
      <c r="BO88" s="366"/>
      <c r="BP88" s="366"/>
      <c r="BQ88" s="427" t="str">
        <f t="shared" si="14"/>
        <v>-1 Dim 10_1</v>
      </c>
      <c r="BR88" s="93">
        <f>C78</f>
        <v>35.659999999999997</v>
      </c>
      <c r="BS88" s="92">
        <f t="shared" si="17"/>
        <v>35.659999999999997</v>
      </c>
      <c r="BT88" s="91">
        <f>IF(BS88&lt;(BU88+BY88),BS88-(BU88+BY88),0)</f>
        <v>0</v>
      </c>
      <c r="BU88" s="72">
        <v>32.25</v>
      </c>
      <c r="BV88" s="366"/>
      <c r="BW88" s="367">
        <f>ABS(BU88-BS88)</f>
        <v>3.4099999999999966</v>
      </c>
      <c r="BX88" s="368" t="s">
        <v>178</v>
      </c>
      <c r="BY88" s="369">
        <v>0</v>
      </c>
      <c r="BZ88" s="366"/>
      <c r="CA88" s="366"/>
      <c r="CB88" s="366"/>
      <c r="CC88" s="366"/>
      <c r="CD88" s="366"/>
      <c r="CE88" s="366"/>
      <c r="CF88" s="366"/>
      <c r="CG88" s="366"/>
      <c r="CH88" s="52"/>
    </row>
    <row r="89" spans="1:86" ht="16.5" thickBot="1" x14ac:dyDescent="0.3">
      <c r="A89" s="335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42"/>
      <c r="O89" s="42"/>
      <c r="P89" s="42"/>
      <c r="Q89" s="42"/>
      <c r="R89" s="42"/>
      <c r="S89" s="42"/>
      <c r="T89" s="42"/>
      <c r="U89" s="54"/>
      <c r="V89" s="29"/>
      <c r="W89" s="29"/>
      <c r="X89" s="29"/>
      <c r="Y89" s="29"/>
      <c r="Z89" s="29"/>
      <c r="AA89" s="29"/>
      <c r="AB89" s="29"/>
      <c r="AC89" s="29"/>
      <c r="AD89" s="29"/>
      <c r="AE89" s="53"/>
      <c r="AF89" s="42"/>
      <c r="AG89" s="1060"/>
      <c r="AH89" s="1060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337"/>
      <c r="AV89" s="52"/>
      <c r="AW89" s="1032"/>
      <c r="AX89" s="262" t="str">
        <f>"-2 "&amp;A78</f>
        <v>-2 Dim 10_1</v>
      </c>
      <c r="AY89" s="258"/>
      <c r="AZ89" s="87">
        <v>-1</v>
      </c>
      <c r="BA89" s="87"/>
      <c r="BB89" s="87"/>
      <c r="BC89" s="87"/>
      <c r="BD89" s="87"/>
      <c r="BE89" s="82"/>
      <c r="BF89" s="62"/>
      <c r="BG89" s="87"/>
      <c r="BH89" s="87"/>
      <c r="BI89" s="87"/>
      <c r="BJ89" s="87"/>
      <c r="BK89" s="87"/>
      <c r="BL89" s="86"/>
      <c r="BM89" s="63">
        <f t="shared" si="13"/>
        <v>0</v>
      </c>
      <c r="BN89" s="63">
        <f>IF($D$35=TRUE,-$F$35,0)</f>
        <v>0</v>
      </c>
      <c r="BO89" s="366"/>
      <c r="BP89" s="366"/>
      <c r="BQ89" s="427" t="str">
        <f t="shared" si="14"/>
        <v>-2 Dim 10_1</v>
      </c>
      <c r="BR89" s="85">
        <f>E78</f>
        <v>35.99</v>
      </c>
      <c r="BS89" s="84">
        <f t="shared" si="17"/>
        <v>35.99</v>
      </c>
      <c r="BT89" s="83">
        <f>IF(BS89&lt;(BU89+BY89),BS89-(BU89+BY89),0)</f>
        <v>0</v>
      </c>
      <c r="BU89" s="82">
        <v>32.25</v>
      </c>
      <c r="BV89" s="366"/>
      <c r="BW89" s="370">
        <f>ABS(BU89-BS89)</f>
        <v>3.740000000000002</v>
      </c>
      <c r="BX89" s="371" t="s">
        <v>178</v>
      </c>
      <c r="BY89" s="372">
        <v>1</v>
      </c>
      <c r="BZ89" s="366"/>
      <c r="CA89" s="366"/>
      <c r="CB89" s="366"/>
      <c r="CC89" s="366"/>
      <c r="CD89" s="366"/>
      <c r="CE89" s="366"/>
      <c r="CF89" s="366"/>
      <c r="CG89" s="366"/>
      <c r="CH89" s="52"/>
    </row>
    <row r="90" spans="1:86" ht="15.75" x14ac:dyDescent="0.25">
      <c r="A90" s="335"/>
      <c r="B90" s="29"/>
      <c r="C90" s="29"/>
      <c r="D90" s="29"/>
      <c r="E90" s="29"/>
      <c r="F90" s="29"/>
      <c r="G90" s="336"/>
      <c r="H90" s="336"/>
      <c r="I90" s="336"/>
      <c r="J90" s="336"/>
      <c r="K90" s="336"/>
      <c r="L90" s="29"/>
      <c r="M90" s="29"/>
      <c r="N90" s="42"/>
      <c r="O90" s="42"/>
      <c r="P90" s="42"/>
      <c r="Q90" s="42"/>
      <c r="R90" s="42"/>
      <c r="S90" s="42"/>
      <c r="T90" s="42"/>
      <c r="U90" s="54"/>
      <c r="V90" s="29"/>
      <c r="W90" s="29"/>
      <c r="X90" s="29"/>
      <c r="Y90" s="29"/>
      <c r="Z90" s="29"/>
      <c r="AA90" s="29"/>
      <c r="AB90" s="29"/>
      <c r="AC90" s="29"/>
      <c r="AD90" s="29"/>
      <c r="AE90" s="53"/>
      <c r="AF90" s="42"/>
      <c r="AG90" s="1060"/>
      <c r="AH90" s="1060"/>
      <c r="AI90" s="336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337"/>
      <c r="AV90" s="52"/>
      <c r="AW90" s="1030" t="s">
        <v>73</v>
      </c>
      <c r="AX90" s="109" t="str">
        <f>"-1 "&amp;A77</f>
        <v>-1 Dim 9_2</v>
      </c>
      <c r="AY90" s="108"/>
      <c r="AZ90" s="107"/>
      <c r="BA90" s="107"/>
      <c r="BB90" s="107"/>
      <c r="BC90" s="107"/>
      <c r="BD90" s="107"/>
      <c r="BE90" s="101"/>
      <c r="BF90" s="108"/>
      <c r="BG90" s="107">
        <v>-1</v>
      </c>
      <c r="BH90" s="107">
        <v>1</v>
      </c>
      <c r="BI90" s="107"/>
      <c r="BJ90" s="107"/>
      <c r="BK90" s="107"/>
      <c r="BL90" s="106"/>
      <c r="BM90" s="105">
        <f t="shared" si="13"/>
        <v>0</v>
      </c>
      <c r="BN90" s="105"/>
      <c r="BO90" s="366"/>
      <c r="BP90" s="366"/>
      <c r="BQ90" s="427" t="str">
        <f t="shared" si="14"/>
        <v>-1 Dim 9_2</v>
      </c>
      <c r="BR90" s="104">
        <f>C77</f>
        <v>17.28</v>
      </c>
      <c r="BS90" s="103">
        <f t="shared" si="17"/>
        <v>17.28</v>
      </c>
      <c r="BT90" s="102">
        <f t="shared" ref="BT90:BT95" si="20">-(BU90-BS90)</f>
        <v>3.0000000000001137E-2</v>
      </c>
      <c r="BU90" s="101">
        <v>17.25</v>
      </c>
      <c r="BV90" s="366"/>
      <c r="BW90" s="100">
        <f t="shared" ref="BW90:BW95" si="21">$BT90</f>
        <v>3.0000000000001137E-2</v>
      </c>
      <c r="BX90" s="99" t="s">
        <v>178</v>
      </c>
      <c r="BY90" s="273">
        <v>-0.505</v>
      </c>
      <c r="BZ90" s="366"/>
      <c r="CA90" s="366"/>
      <c r="CB90" s="366"/>
      <c r="CC90" s="366"/>
      <c r="CD90" s="366"/>
      <c r="CE90" s="100">
        <f t="shared" ref="CE90:CE95" si="22">$BT90</f>
        <v>3.0000000000001137E-2</v>
      </c>
      <c r="CF90" s="99" t="s">
        <v>179</v>
      </c>
      <c r="CG90" s="273">
        <v>0.505</v>
      </c>
      <c r="CH90" s="52"/>
    </row>
    <row r="91" spans="1:86" ht="16.149999999999999" customHeight="1" x14ac:dyDescent="0.25">
      <c r="A91" s="335"/>
      <c r="B91" s="29"/>
      <c r="C91" s="29"/>
      <c r="D91" s="29"/>
      <c r="E91" s="29"/>
      <c r="F91" s="29"/>
      <c r="G91" s="336"/>
      <c r="H91" s="336"/>
      <c r="I91" s="336"/>
      <c r="J91" s="336"/>
      <c r="K91" s="336"/>
      <c r="L91" s="29"/>
      <c r="M91" s="29"/>
      <c r="N91" s="42"/>
      <c r="O91" s="42"/>
      <c r="P91" s="42"/>
      <c r="Q91" s="42"/>
      <c r="R91" s="42"/>
      <c r="S91" s="42"/>
      <c r="T91" s="42"/>
      <c r="U91" s="54"/>
      <c r="V91" s="29"/>
      <c r="W91" s="29"/>
      <c r="X91" s="29"/>
      <c r="Y91" s="29"/>
      <c r="Z91" s="29"/>
      <c r="AA91" s="29"/>
      <c r="AB91" s="29"/>
      <c r="AC91" s="29"/>
      <c r="AD91" s="29"/>
      <c r="AE91" s="53"/>
      <c r="AF91" s="42"/>
      <c r="AG91" s="1060"/>
      <c r="AH91" s="1060"/>
      <c r="AI91" s="336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337"/>
      <c r="AV91" s="52"/>
      <c r="AW91" s="1031"/>
      <c r="AX91" s="94" t="s">
        <v>71</v>
      </c>
      <c r="AY91" s="67"/>
      <c r="AZ91" s="70"/>
      <c r="BA91" s="70"/>
      <c r="BB91" s="70"/>
      <c r="BC91" s="70"/>
      <c r="BD91" s="70"/>
      <c r="BE91" s="72"/>
      <c r="BF91" s="67"/>
      <c r="BG91" s="70">
        <v>1</v>
      </c>
      <c r="BH91" s="70"/>
      <c r="BI91" s="70">
        <v>-1</v>
      </c>
      <c r="BJ91" s="70"/>
      <c r="BK91" s="70"/>
      <c r="BL91" s="69"/>
      <c r="BM91" s="68">
        <f t="shared" si="13"/>
        <v>-0.2</v>
      </c>
      <c r="BN91" s="68"/>
      <c r="BO91" s="366"/>
      <c r="BP91" s="366"/>
      <c r="BQ91" s="427" t="str">
        <f t="shared" si="14"/>
        <v>-1 Dim 11</v>
      </c>
      <c r="BR91" s="93">
        <f>AVERAGE(C82:D83)</f>
        <v>0.17499999999999999</v>
      </c>
      <c r="BS91" s="92">
        <f t="shared" si="17"/>
        <v>-2.5000000000000022E-2</v>
      </c>
      <c r="BT91" s="91">
        <f t="shared" si="20"/>
        <v>-2.5000000000000022E-2</v>
      </c>
      <c r="BU91" s="72">
        <v>0</v>
      </c>
      <c r="BV91" s="366"/>
      <c r="BW91" s="90">
        <f t="shared" si="21"/>
        <v>-2.5000000000000022E-2</v>
      </c>
      <c r="BX91" s="89" t="s">
        <v>178</v>
      </c>
      <c r="BY91" s="271">
        <v>-0.505</v>
      </c>
      <c r="BZ91" s="366"/>
      <c r="CA91" s="366"/>
      <c r="CB91" s="366"/>
      <c r="CC91" s="366"/>
      <c r="CD91" s="366"/>
      <c r="CE91" s="90">
        <f t="shared" si="22"/>
        <v>-2.5000000000000022E-2</v>
      </c>
      <c r="CF91" s="89" t="s">
        <v>179</v>
      </c>
      <c r="CG91" s="271">
        <v>0.505</v>
      </c>
      <c r="CH91" s="52"/>
    </row>
    <row r="92" spans="1:86" ht="15.75" x14ac:dyDescent="0.25">
      <c r="A92" s="335"/>
      <c r="B92" s="29"/>
      <c r="C92" s="29"/>
      <c r="D92" s="29"/>
      <c r="E92" s="29"/>
      <c r="F92" s="29"/>
      <c r="G92" s="336"/>
      <c r="H92" s="336"/>
      <c r="I92" s="336"/>
      <c r="J92" s="1093" t="s">
        <v>66</v>
      </c>
      <c r="K92" s="1093"/>
      <c r="L92" s="29"/>
      <c r="M92" s="1036" t="s">
        <v>109</v>
      </c>
      <c r="N92" s="881"/>
      <c r="O92" s="881"/>
      <c r="P92" s="29"/>
      <c r="Q92" s="29"/>
      <c r="R92" s="53"/>
      <c r="S92" s="42"/>
      <c r="T92" s="42"/>
      <c r="U92" s="54"/>
      <c r="V92" s="29"/>
      <c r="W92" s="29"/>
      <c r="X92" s="29"/>
      <c r="Y92" s="29"/>
      <c r="Z92" s="29"/>
      <c r="AA92" s="29"/>
      <c r="AB92" s="29"/>
      <c r="AC92" s="29"/>
      <c r="AD92" s="29"/>
      <c r="AE92" s="53"/>
      <c r="AF92" s="42"/>
      <c r="AG92" s="1060"/>
      <c r="AH92" s="1060"/>
      <c r="AI92" s="336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337"/>
      <c r="AV92" s="52"/>
      <c r="AW92" s="1031"/>
      <c r="AX92" s="94" t="s">
        <v>70</v>
      </c>
      <c r="AY92" s="67"/>
      <c r="AZ92" s="70"/>
      <c r="BA92" s="70"/>
      <c r="BB92" s="70"/>
      <c r="BC92" s="70"/>
      <c r="BD92" s="70"/>
      <c r="BE92" s="72"/>
      <c r="BF92" s="67"/>
      <c r="BG92" s="70">
        <v>1</v>
      </c>
      <c r="BH92" s="70"/>
      <c r="BI92" s="70"/>
      <c r="BJ92" s="70">
        <v>-1</v>
      </c>
      <c r="BK92" s="70"/>
      <c r="BL92" s="69"/>
      <c r="BM92" s="68">
        <f t="shared" si="13"/>
        <v>-0.2</v>
      </c>
      <c r="BN92" s="68"/>
      <c r="BO92" s="366"/>
      <c r="BP92" s="366"/>
      <c r="BQ92" s="427" t="str">
        <f t="shared" si="14"/>
        <v>-1 Dim 12</v>
      </c>
      <c r="BR92" s="93">
        <f>AVERAGE(C86:D87)</f>
        <v>0.32999999999999996</v>
      </c>
      <c r="BS92" s="92">
        <f t="shared" si="17"/>
        <v>0.12999999999999995</v>
      </c>
      <c r="BT92" s="91">
        <f t="shared" si="20"/>
        <v>0.12999999999999995</v>
      </c>
      <c r="BU92" s="72">
        <v>0</v>
      </c>
      <c r="BV92" s="366"/>
      <c r="BW92" s="90">
        <f t="shared" si="21"/>
        <v>0.12999999999999995</v>
      </c>
      <c r="BX92" s="89" t="s">
        <v>178</v>
      </c>
      <c r="BY92" s="271">
        <v>-0.505</v>
      </c>
      <c r="BZ92" s="366"/>
      <c r="CA92" s="366"/>
      <c r="CB92" s="366"/>
      <c r="CC92" s="366"/>
      <c r="CD92" s="366"/>
      <c r="CE92" s="90">
        <f t="shared" si="22"/>
        <v>0.12999999999999995</v>
      </c>
      <c r="CF92" s="89" t="s">
        <v>179</v>
      </c>
      <c r="CG92" s="271">
        <v>0.505</v>
      </c>
      <c r="CH92" s="52"/>
    </row>
    <row r="93" spans="1:86" ht="16.5" customHeight="1" thickBot="1" x14ac:dyDescent="0.3">
      <c r="A93" s="335"/>
      <c r="B93" s="29"/>
      <c r="C93" s="29"/>
      <c r="D93" s="29"/>
      <c r="E93" s="29"/>
      <c r="F93" s="29"/>
      <c r="G93" s="336"/>
      <c r="H93" s="336"/>
      <c r="I93" s="336"/>
      <c r="J93" s="959" t="str">
        <f>BU84&amp;" ±"&amp;CG84</f>
        <v>0 ±0.505</v>
      </c>
      <c r="K93" s="959"/>
      <c r="L93" s="29"/>
      <c r="M93" s="1037"/>
      <c r="N93" s="1037"/>
      <c r="O93" s="1037"/>
      <c r="P93" s="29"/>
      <c r="Q93" s="58"/>
      <c r="R93" s="53"/>
      <c r="S93" s="42"/>
      <c r="T93" s="42"/>
      <c r="U93" s="54"/>
      <c r="V93" s="29"/>
      <c r="W93" s="29"/>
      <c r="X93" s="29"/>
      <c r="Y93" s="29"/>
      <c r="Z93" s="29"/>
      <c r="AA93" s="1036" t="s">
        <v>118</v>
      </c>
      <c r="AB93" s="881"/>
      <c r="AC93" s="29"/>
      <c r="AD93" s="29"/>
      <c r="AE93" s="53"/>
      <c r="AF93" s="42"/>
      <c r="AG93" s="1060"/>
      <c r="AH93" s="1060"/>
      <c r="AI93" s="336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337"/>
      <c r="AV93" s="52"/>
      <c r="AW93" s="1031"/>
      <c r="AX93" s="94" t="str">
        <f>"-2 "&amp;A77</f>
        <v>-2 Dim 9_2</v>
      </c>
      <c r="AY93" s="67"/>
      <c r="AZ93" s="70"/>
      <c r="BA93" s="70"/>
      <c r="BB93" s="70"/>
      <c r="BC93" s="70"/>
      <c r="BD93" s="70"/>
      <c r="BE93" s="72"/>
      <c r="BF93" s="67">
        <v>-1</v>
      </c>
      <c r="BG93" s="70">
        <v>1</v>
      </c>
      <c r="BH93" s="70"/>
      <c r="BI93" s="70"/>
      <c r="BJ93" s="70"/>
      <c r="BK93" s="70"/>
      <c r="BL93" s="69"/>
      <c r="BM93" s="68">
        <f t="shared" si="13"/>
        <v>0.1</v>
      </c>
      <c r="BN93" s="68"/>
      <c r="BO93" s="366"/>
      <c r="BP93" s="366"/>
      <c r="BQ93" s="427" t="str">
        <f t="shared" si="14"/>
        <v>-2 Dim 9_2</v>
      </c>
      <c r="BR93" s="96">
        <f>E77</f>
        <v>17.13</v>
      </c>
      <c r="BS93" s="92">
        <f t="shared" si="17"/>
        <v>17.23</v>
      </c>
      <c r="BT93" s="91">
        <f t="shared" si="20"/>
        <v>-1.9999999999999574E-2</v>
      </c>
      <c r="BU93" s="72">
        <v>17.25</v>
      </c>
      <c r="BV93" s="366"/>
      <c r="BW93" s="90">
        <f t="shared" si="21"/>
        <v>-1.9999999999999574E-2</v>
      </c>
      <c r="BX93" s="89" t="s">
        <v>178</v>
      </c>
      <c r="BY93" s="271">
        <v>-1</v>
      </c>
      <c r="BZ93" s="366"/>
      <c r="CA93" s="366"/>
      <c r="CB93" s="366"/>
      <c r="CC93" s="366"/>
      <c r="CD93" s="366"/>
      <c r="CE93" s="90">
        <f t="shared" si="22"/>
        <v>-1.9999999999999574E-2</v>
      </c>
      <c r="CF93" s="89" t="s">
        <v>179</v>
      </c>
      <c r="CG93" s="271">
        <v>0.505</v>
      </c>
      <c r="CH93" s="52"/>
    </row>
    <row r="94" spans="1:86" ht="17.25" thickTop="1" thickBot="1" x14ac:dyDescent="0.3">
      <c r="A94" s="335"/>
      <c r="B94" s="29"/>
      <c r="C94" s="29"/>
      <c r="D94" s="29"/>
      <c r="E94" s="29"/>
      <c r="F94" s="29"/>
      <c r="G94" s="336"/>
      <c r="H94" s="336"/>
      <c r="I94" s="336"/>
      <c r="J94" s="1091">
        <f>AVERAGE(C80:D81)</f>
        <v>0.22499999999999998</v>
      </c>
      <c r="K94" s="1091"/>
      <c r="L94" s="40"/>
      <c r="M94" s="1046" t="str">
        <f>IF(BB79&gt;0,"→ "&amp;BB79,IF(BB79&lt;0,"← "&amp;-BB79,0))</f>
        <v>→ 0.2</v>
      </c>
      <c r="N94" s="1046"/>
      <c r="O94" s="1046"/>
      <c r="P94" s="40"/>
      <c r="Q94" s="57"/>
      <c r="R94" s="53"/>
      <c r="S94" s="42"/>
      <c r="T94" s="42"/>
      <c r="U94" s="54"/>
      <c r="V94" s="98"/>
      <c r="W94" s="29"/>
      <c r="X94" s="29"/>
      <c r="Y94" s="29"/>
      <c r="Z94" s="29"/>
      <c r="AA94" s="1037"/>
      <c r="AB94" s="1037"/>
      <c r="AC94" s="29"/>
      <c r="AD94" s="58"/>
      <c r="AE94" s="53"/>
      <c r="AF94" s="42"/>
      <c r="AG94" s="1060"/>
      <c r="AH94" s="1060"/>
      <c r="AI94" s="336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337"/>
      <c r="AV94" s="52"/>
      <c r="AW94" s="1031"/>
      <c r="AX94" s="94" t="s">
        <v>69</v>
      </c>
      <c r="AY94" s="67"/>
      <c r="AZ94" s="70"/>
      <c r="BA94" s="70"/>
      <c r="BB94" s="70"/>
      <c r="BC94" s="70"/>
      <c r="BD94" s="70"/>
      <c r="BE94" s="72"/>
      <c r="BF94" s="67"/>
      <c r="BG94" s="70">
        <v>-1</v>
      </c>
      <c r="BH94" s="70"/>
      <c r="BI94" s="70"/>
      <c r="BJ94" s="70"/>
      <c r="BK94" s="70">
        <v>1</v>
      </c>
      <c r="BL94" s="69"/>
      <c r="BM94" s="68">
        <f t="shared" si="13"/>
        <v>0</v>
      </c>
      <c r="BN94" s="68"/>
      <c r="BO94" s="366"/>
      <c r="BP94" s="366"/>
      <c r="BQ94" s="427" t="str">
        <f t="shared" si="14"/>
        <v>-2 Dim 11</v>
      </c>
      <c r="BR94" s="96">
        <f>AVERAGE(E82:F83)</f>
        <v>0.03</v>
      </c>
      <c r="BS94" s="92">
        <f t="shared" si="17"/>
        <v>0.03</v>
      </c>
      <c r="BT94" s="91">
        <f t="shared" si="20"/>
        <v>0.03</v>
      </c>
      <c r="BU94" s="72">
        <v>0</v>
      </c>
      <c r="BV94" s="366"/>
      <c r="BW94" s="90">
        <f t="shared" si="21"/>
        <v>0.03</v>
      </c>
      <c r="BX94" s="89" t="s">
        <v>178</v>
      </c>
      <c r="BY94" s="271">
        <v>-0.505</v>
      </c>
      <c r="BZ94" s="366"/>
      <c r="CA94" s="366"/>
      <c r="CB94" s="366"/>
      <c r="CC94" s="366"/>
      <c r="CD94" s="366"/>
      <c r="CE94" s="90">
        <f t="shared" si="22"/>
        <v>0.03</v>
      </c>
      <c r="CF94" s="89" t="s">
        <v>179</v>
      </c>
      <c r="CG94" s="271">
        <v>0.505</v>
      </c>
      <c r="CH94" s="52"/>
    </row>
    <row r="95" spans="1:86" ht="16.149999999999999" customHeight="1" thickTop="1" thickBot="1" x14ac:dyDescent="0.3">
      <c r="A95" s="335"/>
      <c r="B95" s="29"/>
      <c r="C95" s="29"/>
      <c r="D95" s="29"/>
      <c r="E95" s="29"/>
      <c r="F95" s="29"/>
      <c r="G95" s="336"/>
      <c r="H95" s="336"/>
      <c r="I95" s="336"/>
      <c r="J95" s="1091">
        <f>AVERAGE(C82:D83)</f>
        <v>0.17499999999999999</v>
      </c>
      <c r="K95" s="1091"/>
      <c r="L95" s="29"/>
      <c r="M95" s="1046" t="str">
        <f>IF(BI79&gt;0,"→ "&amp;BI79,IF(BI79&lt;0,"← "&amp;-BI79,0))</f>
        <v>→ 0.2</v>
      </c>
      <c r="N95" s="1046"/>
      <c r="O95" s="1046"/>
      <c r="P95" s="29"/>
      <c r="Q95" s="29"/>
      <c r="R95" s="1060"/>
      <c r="S95" s="1060"/>
      <c r="T95" s="42"/>
      <c r="U95" s="54"/>
      <c r="V95" s="97"/>
      <c r="W95" s="40"/>
      <c r="X95" s="40"/>
      <c r="Y95" s="40"/>
      <c r="Z95" s="40"/>
      <c r="AA95" s="1038">
        <f>IF(AZ79&gt;0,"→ "&amp;AZ79,IF(AZ79&lt;0,"← "&amp;-AZ79,0))</f>
        <v>0</v>
      </c>
      <c r="AB95" s="1038"/>
      <c r="AC95" s="40"/>
      <c r="AD95" s="57"/>
      <c r="AE95" s="53"/>
      <c r="AF95" s="42"/>
      <c r="AG95" s="1060"/>
      <c r="AH95" s="1060"/>
      <c r="AI95" s="336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337"/>
      <c r="AV95" s="52"/>
      <c r="AW95" s="1031"/>
      <c r="AX95" s="94" t="s">
        <v>68</v>
      </c>
      <c r="AY95" s="67"/>
      <c r="AZ95" s="70"/>
      <c r="BA95" s="70"/>
      <c r="BB95" s="70"/>
      <c r="BC95" s="70"/>
      <c r="BD95" s="70"/>
      <c r="BE95" s="72"/>
      <c r="BF95" s="67"/>
      <c r="BG95" s="70">
        <v>-1</v>
      </c>
      <c r="BH95" s="70"/>
      <c r="BI95" s="70"/>
      <c r="BJ95" s="70"/>
      <c r="BK95" s="70"/>
      <c r="BL95" s="69">
        <v>1</v>
      </c>
      <c r="BM95" s="68">
        <f t="shared" si="13"/>
        <v>-0.2</v>
      </c>
      <c r="BN95" s="68"/>
      <c r="BO95" s="366"/>
      <c r="BP95" s="366"/>
      <c r="BQ95" s="427" t="str">
        <f t="shared" si="14"/>
        <v>-2 Dim 12</v>
      </c>
      <c r="BR95" s="96">
        <f>AVERAGE(E86:F87)</f>
        <v>0.22500000000000001</v>
      </c>
      <c r="BS95" s="92">
        <f t="shared" si="17"/>
        <v>2.4999999999999994E-2</v>
      </c>
      <c r="BT95" s="91">
        <f t="shared" si="20"/>
        <v>2.4999999999999994E-2</v>
      </c>
      <c r="BU95" s="72">
        <v>0</v>
      </c>
      <c r="BV95" s="366"/>
      <c r="BW95" s="81">
        <f t="shared" si="21"/>
        <v>2.4999999999999994E-2</v>
      </c>
      <c r="BX95" s="80" t="s">
        <v>178</v>
      </c>
      <c r="BY95" s="272">
        <v>-0.505</v>
      </c>
      <c r="BZ95" s="366"/>
      <c r="CA95" s="366"/>
      <c r="CB95" s="366"/>
      <c r="CC95" s="366"/>
      <c r="CD95" s="366"/>
      <c r="CE95" s="81">
        <f t="shared" si="22"/>
        <v>2.4999999999999994E-2</v>
      </c>
      <c r="CF95" s="80" t="s">
        <v>179</v>
      </c>
      <c r="CG95" s="272">
        <v>0.505</v>
      </c>
      <c r="CH95" s="52"/>
    </row>
    <row r="96" spans="1:86" ht="15.75" x14ac:dyDescent="0.25">
      <c r="A96" s="335"/>
      <c r="B96" s="29"/>
      <c r="C96" s="29"/>
      <c r="D96" s="29"/>
      <c r="E96" s="29"/>
      <c r="F96" s="29"/>
      <c r="G96" s="336"/>
      <c r="H96" s="336"/>
      <c r="I96" s="336"/>
      <c r="J96" s="336"/>
      <c r="K96" s="336"/>
      <c r="L96" s="336"/>
      <c r="M96" s="336"/>
      <c r="N96" s="336"/>
      <c r="O96" s="336"/>
      <c r="P96" s="336"/>
      <c r="Q96" s="29"/>
      <c r="R96" s="1060"/>
      <c r="S96" s="1060"/>
      <c r="T96" s="42"/>
      <c r="U96" s="54"/>
      <c r="V96" s="29"/>
      <c r="W96" s="29"/>
      <c r="X96" s="29"/>
      <c r="Y96" s="29"/>
      <c r="Z96" s="29"/>
      <c r="AA96" s="1035">
        <f>IF(BG79&gt;0,"→ "&amp;BG79,IF(BG79&lt;0,"← "&amp;-BG79,0))</f>
        <v>0</v>
      </c>
      <c r="AB96" s="1035"/>
      <c r="AC96" s="29"/>
      <c r="AD96" s="29"/>
      <c r="AE96" s="53"/>
      <c r="AF96" s="42"/>
      <c r="AG96" s="1060"/>
      <c r="AH96" s="1060"/>
      <c r="AI96" s="336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337"/>
      <c r="AV96" s="52"/>
      <c r="AW96" s="1031"/>
      <c r="AX96" s="94" t="str">
        <f>"-1 "&amp;A79</f>
        <v>-1 Dim 10_2</v>
      </c>
      <c r="AY96" s="67"/>
      <c r="AZ96" s="70"/>
      <c r="BA96" s="70"/>
      <c r="BB96" s="70"/>
      <c r="BC96" s="70"/>
      <c r="BD96" s="70"/>
      <c r="BE96" s="72"/>
      <c r="BF96" s="67"/>
      <c r="BG96" s="70">
        <v>1</v>
      </c>
      <c r="BH96" s="70"/>
      <c r="BI96" s="70"/>
      <c r="BJ96" s="70"/>
      <c r="BK96" s="70"/>
      <c r="BL96" s="69"/>
      <c r="BM96" s="68">
        <f t="shared" si="13"/>
        <v>0</v>
      </c>
      <c r="BN96" s="68">
        <f t="shared" si="19"/>
        <v>0</v>
      </c>
      <c r="BO96" s="366"/>
      <c r="BP96" s="366"/>
      <c r="BQ96" s="427" t="str">
        <f t="shared" si="14"/>
        <v>-1 Dim 10_2</v>
      </c>
      <c r="BR96" s="93">
        <f>C79</f>
        <v>36.409999999999997</v>
      </c>
      <c r="BS96" s="92">
        <f t="shared" si="17"/>
        <v>36.409999999999997</v>
      </c>
      <c r="BT96" s="91">
        <f>IF(BS96&lt;(BU96+BY96),BS96-(BU96+BY96),0)</f>
        <v>0</v>
      </c>
      <c r="BU96" s="72">
        <v>32.25</v>
      </c>
      <c r="BV96" s="366"/>
      <c r="BW96" s="367">
        <f>ABS(BU96-BS96)</f>
        <v>4.1599999999999966</v>
      </c>
      <c r="BX96" s="368" t="s">
        <v>178</v>
      </c>
      <c r="BY96" s="369">
        <v>1</v>
      </c>
      <c r="BZ96" s="366"/>
      <c r="CA96" s="366"/>
      <c r="CB96" s="366"/>
      <c r="CC96" s="366"/>
      <c r="CD96" s="366"/>
      <c r="CE96" s="366"/>
      <c r="CF96" s="366"/>
      <c r="CG96" s="366"/>
      <c r="CH96" s="52"/>
    </row>
    <row r="97" spans="1:86" ht="16.5" thickBot="1" x14ac:dyDescent="0.3">
      <c r="A97" s="335"/>
      <c r="B97" s="29"/>
      <c r="C97" s="29"/>
      <c r="D97" s="29"/>
      <c r="E97" s="29"/>
      <c r="F97" s="29"/>
      <c r="G97" s="336"/>
      <c r="H97" s="336"/>
      <c r="I97" s="336"/>
      <c r="J97" s="336"/>
      <c r="K97" s="336"/>
      <c r="L97" s="336"/>
      <c r="M97" s="336"/>
      <c r="N97" s="336"/>
      <c r="O97" s="336"/>
      <c r="P97" s="336"/>
      <c r="Q97" s="29"/>
      <c r="R97" s="1060"/>
      <c r="S97" s="1060"/>
      <c r="T97" s="42"/>
      <c r="U97" s="54"/>
      <c r="V97" s="29"/>
      <c r="W97" s="29"/>
      <c r="X97" s="29"/>
      <c r="Y97" s="29"/>
      <c r="Z97" s="95"/>
      <c r="AA97" s="29"/>
      <c r="AB97" s="29"/>
      <c r="AC97" s="29"/>
      <c r="AD97" s="29"/>
      <c r="AE97" s="53"/>
      <c r="AF97" s="42"/>
      <c r="AG97" s="1060"/>
      <c r="AH97" s="1060"/>
      <c r="AI97" s="336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337"/>
      <c r="AV97" s="52"/>
      <c r="AW97" s="1032"/>
      <c r="AX97" s="88" t="str">
        <f>"-2 "&amp;A79</f>
        <v>-2 Dim 10_2</v>
      </c>
      <c r="AY97" s="62"/>
      <c r="AZ97" s="87"/>
      <c r="BA97" s="87"/>
      <c r="BB97" s="87"/>
      <c r="BC97" s="87"/>
      <c r="BD97" s="87"/>
      <c r="BE97" s="82"/>
      <c r="BF97" s="62"/>
      <c r="BG97" s="87">
        <v>-1</v>
      </c>
      <c r="BH97" s="87"/>
      <c r="BI97" s="87"/>
      <c r="BJ97" s="87"/>
      <c r="BK97" s="87"/>
      <c r="BL97" s="86"/>
      <c r="BM97" s="63">
        <f t="shared" si="13"/>
        <v>0</v>
      </c>
      <c r="BN97" s="63">
        <f>IF($D$35=TRUE,-$F$35,0)</f>
        <v>0</v>
      </c>
      <c r="BO97" s="366"/>
      <c r="BP97" s="366"/>
      <c r="BQ97" s="427" t="str">
        <f t="shared" si="14"/>
        <v>-2 Dim 10_2</v>
      </c>
      <c r="BR97" s="85">
        <f>E79</f>
        <v>36.69</v>
      </c>
      <c r="BS97" s="84">
        <f t="shared" si="17"/>
        <v>36.69</v>
      </c>
      <c r="BT97" s="83">
        <f>IF(BS97&lt;(BU97+BY97),BS97-(BU97+BY97),0)</f>
        <v>0</v>
      </c>
      <c r="BU97" s="82">
        <v>32.25</v>
      </c>
      <c r="BV97" s="366"/>
      <c r="BW97" s="370">
        <f>ABS(BU97-BS97)</f>
        <v>4.4399999999999977</v>
      </c>
      <c r="BX97" s="371" t="s">
        <v>178</v>
      </c>
      <c r="BY97" s="373">
        <v>1</v>
      </c>
      <c r="BZ97" s="366"/>
      <c r="CA97" s="366"/>
      <c r="CB97" s="366"/>
      <c r="CC97" s="366"/>
      <c r="CD97" s="366"/>
      <c r="CE97" s="366"/>
      <c r="CF97" s="366"/>
      <c r="CG97" s="366"/>
      <c r="CH97" s="52"/>
    </row>
    <row r="98" spans="1:86" ht="16.5" thickBot="1" x14ac:dyDescent="0.3">
      <c r="A98" s="335"/>
      <c r="B98" s="29"/>
      <c r="C98" s="29"/>
      <c r="D98" s="29"/>
      <c r="E98" s="29"/>
      <c r="F98" s="29"/>
      <c r="G98" s="336"/>
      <c r="H98" s="336"/>
      <c r="I98" s="336"/>
      <c r="J98" s="336"/>
      <c r="K98" s="336"/>
      <c r="L98" s="29"/>
      <c r="M98" s="29"/>
      <c r="N98" s="29"/>
      <c r="O98" s="29"/>
      <c r="P98" s="29"/>
      <c r="Q98" s="29"/>
      <c r="R98" s="1060"/>
      <c r="S98" s="1060"/>
      <c r="T98" s="42"/>
      <c r="U98" s="54"/>
      <c r="V98" s="29"/>
      <c r="W98" s="29"/>
      <c r="X98" s="29"/>
      <c r="Y98" s="29"/>
      <c r="Z98" s="13"/>
      <c r="AA98" s="29"/>
      <c r="AB98" s="29"/>
      <c r="AC98" s="29"/>
      <c r="AD98" s="29"/>
      <c r="AE98" s="53"/>
      <c r="AF98" s="42"/>
      <c r="AG98" s="1060"/>
      <c r="AH98" s="1060"/>
      <c r="AI98" s="336"/>
      <c r="AJ98" s="29"/>
      <c r="AK98" s="1158" t="s">
        <v>114</v>
      </c>
      <c r="AL98" s="796"/>
      <c r="AM98" s="796"/>
      <c r="AN98" s="29"/>
      <c r="AO98" s="1011" t="s">
        <v>66</v>
      </c>
      <c r="AP98" s="1012"/>
      <c r="AQ98" s="29"/>
      <c r="AR98" s="29"/>
      <c r="AS98" s="29"/>
      <c r="AT98" s="29"/>
      <c r="AU98" s="337"/>
      <c r="AV98" s="52"/>
      <c r="AW98" s="289" t="s">
        <v>148</v>
      </c>
      <c r="AX98" s="281" t="s">
        <v>130</v>
      </c>
      <c r="AY98" s="282"/>
      <c r="AZ98" s="283">
        <v>1</v>
      </c>
      <c r="BA98" s="283"/>
      <c r="BB98" s="283"/>
      <c r="BC98" s="283"/>
      <c r="BD98" s="283"/>
      <c r="BE98" s="284"/>
      <c r="BF98" s="282"/>
      <c r="BG98" s="283">
        <v>-1</v>
      </c>
      <c r="BH98" s="283"/>
      <c r="BI98" s="285"/>
      <c r="BJ98" s="285"/>
      <c r="BK98" s="285"/>
      <c r="BL98" s="285"/>
      <c r="BM98" s="286">
        <f t="shared" si="13"/>
        <v>0</v>
      </c>
      <c r="BN98" s="374"/>
      <c r="BO98" s="366"/>
      <c r="BP98" s="366"/>
      <c r="BQ98" s="378"/>
      <c r="BR98" s="366"/>
      <c r="BS98" s="376"/>
      <c r="BT98" s="377"/>
      <c r="BU98" s="378"/>
      <c r="BV98" s="366"/>
      <c r="BW98" s="29"/>
      <c r="BX98" s="29"/>
      <c r="BY98" s="29"/>
      <c r="BZ98" s="366"/>
      <c r="CA98" s="169">
        <f>$BM98</f>
        <v>0</v>
      </c>
      <c r="CB98" s="364" t="s">
        <v>65</v>
      </c>
      <c r="CC98" s="365">
        <v>0</v>
      </c>
      <c r="CD98" s="366"/>
      <c r="CE98" s="366"/>
      <c r="CF98" s="366"/>
      <c r="CG98" s="366"/>
      <c r="CH98" s="52"/>
    </row>
    <row r="99" spans="1:86" ht="16.5" customHeight="1" thickBot="1" x14ac:dyDescent="0.3">
      <c r="A99" s="335"/>
      <c r="B99" s="29"/>
      <c r="C99" s="29"/>
      <c r="D99" s="29"/>
      <c r="E99" s="29"/>
      <c r="F99" s="29"/>
      <c r="G99" s="336"/>
      <c r="H99" s="336"/>
      <c r="I99" s="336"/>
      <c r="J99" s="336"/>
      <c r="K99" s="336"/>
      <c r="L99" s="29"/>
      <c r="M99" s="29"/>
      <c r="N99" s="29"/>
      <c r="O99" s="29"/>
      <c r="P99" s="29"/>
      <c r="Q99" s="29"/>
      <c r="R99" s="1060"/>
      <c r="S99" s="1060"/>
      <c r="T99" s="42"/>
      <c r="U99" s="54"/>
      <c r="V99" s="29"/>
      <c r="W99" s="29"/>
      <c r="X99" s="29"/>
      <c r="Y99" s="29"/>
      <c r="Z99" s="76"/>
      <c r="AA99" s="29"/>
      <c r="AB99" s="29"/>
      <c r="AC99" s="29"/>
      <c r="AD99" s="29"/>
      <c r="AE99" s="53"/>
      <c r="AF99" s="42"/>
      <c r="AG99" s="42"/>
      <c r="AH99" s="42"/>
      <c r="AI99" s="49"/>
      <c r="AJ99" s="29"/>
      <c r="AK99" s="1159"/>
      <c r="AL99" s="1159"/>
      <c r="AM99" s="1159"/>
      <c r="AN99" s="29"/>
      <c r="AO99" s="963" t="str">
        <f>BU86&amp;" ±"&amp;CG86</f>
        <v>0 ±0.505</v>
      </c>
      <c r="AP99" s="965"/>
      <c r="AQ99" s="29"/>
      <c r="AR99" s="29"/>
      <c r="AS99" s="29"/>
      <c r="AT99" s="29"/>
      <c r="AU99" s="337"/>
      <c r="AV99" s="52"/>
      <c r="AW99" s="1027" t="s">
        <v>67</v>
      </c>
      <c r="AX99" s="287" t="s">
        <v>129</v>
      </c>
      <c r="AY99" s="288" t="str">
        <f>IF($D$39=$AX99,1,"")</f>
        <v/>
      </c>
      <c r="AZ99" s="117"/>
      <c r="BA99" s="117"/>
      <c r="BB99" s="117"/>
      <c r="BC99" s="117"/>
      <c r="BD99" s="117"/>
      <c r="BE99" s="113"/>
      <c r="BF99" s="79"/>
      <c r="BG99" s="117"/>
      <c r="BH99" s="117"/>
      <c r="BI99" s="116"/>
      <c r="BJ99" s="116"/>
      <c r="BK99" s="116"/>
      <c r="BL99" s="116"/>
      <c r="BM99" s="105">
        <f t="shared" si="13"/>
        <v>0</v>
      </c>
      <c r="BN99" s="374"/>
      <c r="BO99" s="366"/>
      <c r="BP99" s="366"/>
      <c r="BQ99" s="378"/>
      <c r="BR99" s="366"/>
      <c r="BS99" s="366"/>
      <c r="BT99" s="366"/>
      <c r="BU99" s="366"/>
      <c r="BV99" s="366"/>
      <c r="BW99" s="29"/>
      <c r="BX99" s="29"/>
      <c r="BY99" s="29"/>
      <c r="BZ99" s="366"/>
      <c r="CA99" s="79">
        <f t="shared" ref="CA99:CA104" si="23">$BM99</f>
        <v>0</v>
      </c>
      <c r="CB99" s="78" t="s">
        <v>65</v>
      </c>
      <c r="CC99" s="77">
        <f t="shared" ref="CC99:CC104" si="24">IF(SUM(AY99:BL99)&gt;0,$F$39,0)</f>
        <v>0</v>
      </c>
      <c r="CD99" s="366"/>
      <c r="CE99" s="366"/>
      <c r="CF99" s="366"/>
      <c r="CG99" s="366"/>
      <c r="CH99" s="52"/>
    </row>
    <row r="100" spans="1:86" ht="16.5" thickTop="1" x14ac:dyDescent="0.25">
      <c r="A100" s="335"/>
      <c r="B100" s="29"/>
      <c r="C100" s="29"/>
      <c r="D100" s="29"/>
      <c r="E100" s="29"/>
      <c r="F100" s="29"/>
      <c r="G100" s="336"/>
      <c r="H100" s="336"/>
      <c r="I100" s="336"/>
      <c r="J100" s="336"/>
      <c r="K100" s="336"/>
      <c r="L100" s="29"/>
      <c r="M100" s="29"/>
      <c r="N100" s="29"/>
      <c r="O100" s="29"/>
      <c r="P100" s="29"/>
      <c r="Q100" s="29"/>
      <c r="R100" s="1060"/>
      <c r="S100" s="1060"/>
      <c r="T100" s="42"/>
      <c r="U100" s="54"/>
      <c r="V100" s="29"/>
      <c r="W100" s="29"/>
      <c r="X100" s="29"/>
      <c r="Y100" s="29"/>
      <c r="Z100" s="76"/>
      <c r="AA100" s="29"/>
      <c r="AB100" s="29"/>
      <c r="AC100" s="29"/>
      <c r="AD100" s="29"/>
      <c r="AE100" s="53"/>
      <c r="AF100" s="42"/>
      <c r="AG100" s="42"/>
      <c r="AH100" s="42"/>
      <c r="AI100" s="41"/>
      <c r="AJ100" s="40"/>
      <c r="AK100" s="1046" t="str">
        <f>IF(BD79&gt;0,"→ "&amp;BD79,IF(BD79&lt;0,"← "&amp;-BD79,0))</f>
        <v>← 0.1</v>
      </c>
      <c r="AL100" s="1046"/>
      <c r="AM100" s="1046"/>
      <c r="AN100" s="40"/>
      <c r="AO100" s="1033">
        <f>AVERAGE(E80:F81)</f>
        <v>7.0000000000000007E-2</v>
      </c>
      <c r="AP100" s="1034"/>
      <c r="AQ100" s="29"/>
      <c r="AR100" s="29"/>
      <c r="AS100" s="29"/>
      <c r="AT100" s="29"/>
      <c r="AU100" s="337"/>
      <c r="AV100" s="52"/>
      <c r="AW100" s="1028"/>
      <c r="AX100" s="73" t="s">
        <v>130</v>
      </c>
      <c r="AY100" s="67"/>
      <c r="AZ100" s="71">
        <f>IF($D$39=$AX100,1,"")</f>
        <v>1</v>
      </c>
      <c r="BA100" s="70"/>
      <c r="BB100" s="70"/>
      <c r="BC100" s="70"/>
      <c r="BD100" s="70"/>
      <c r="BE100" s="72"/>
      <c r="BF100" s="67"/>
      <c r="BG100" s="70"/>
      <c r="BH100" s="70"/>
      <c r="BI100" s="69"/>
      <c r="BJ100" s="69"/>
      <c r="BK100" s="69"/>
      <c r="BL100" s="69"/>
      <c r="BM100" s="68">
        <f t="shared" si="13"/>
        <v>0</v>
      </c>
      <c r="BN100" s="374"/>
      <c r="BO100" s="366"/>
      <c r="BP100" s="366"/>
      <c r="BQ100" s="378"/>
      <c r="BR100" s="366"/>
      <c r="BS100" s="366"/>
      <c r="BT100" s="366"/>
      <c r="BU100" s="366"/>
      <c r="BV100" s="366"/>
      <c r="BW100" s="29"/>
      <c r="BX100" s="29"/>
      <c r="BY100" s="29"/>
      <c r="BZ100" s="366"/>
      <c r="CA100" s="67">
        <f t="shared" si="23"/>
        <v>0</v>
      </c>
      <c r="CB100" s="66" t="s">
        <v>65</v>
      </c>
      <c r="CC100" s="65">
        <f t="shared" si="24"/>
        <v>0</v>
      </c>
      <c r="CD100" s="366"/>
      <c r="CE100" s="366"/>
      <c r="CF100" s="366"/>
      <c r="CG100" s="366"/>
      <c r="CH100" s="52"/>
    </row>
    <row r="101" spans="1:86" ht="15.75" x14ac:dyDescent="0.25">
      <c r="A101" s="335"/>
      <c r="B101" s="29"/>
      <c r="C101" s="29"/>
      <c r="D101" s="29"/>
      <c r="E101" s="29"/>
      <c r="F101" s="29"/>
      <c r="G101" s="336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1060"/>
      <c r="S101" s="1060"/>
      <c r="T101" s="42"/>
      <c r="U101" s="54"/>
      <c r="V101" s="29"/>
      <c r="W101" s="29"/>
      <c r="X101" s="29"/>
      <c r="Y101" s="29"/>
      <c r="Z101" s="29"/>
      <c r="AA101" s="29"/>
      <c r="AB101" s="29"/>
      <c r="AC101" s="29"/>
      <c r="AD101" s="29"/>
      <c r="AE101" s="53"/>
      <c r="AF101" s="42"/>
      <c r="AG101" s="42"/>
      <c r="AH101" s="42"/>
      <c r="AI101" s="75"/>
      <c r="AJ101" s="29"/>
      <c r="AK101" s="1046">
        <f>IF(BK79&gt;0,"→ "&amp;BK79,IF(BK79&lt;0,"← "&amp;-BK79,0))</f>
        <v>0</v>
      </c>
      <c r="AL101" s="1046"/>
      <c r="AM101" s="1046"/>
      <c r="AN101" s="29"/>
      <c r="AO101" s="1033">
        <f>AVERAGE(E82:F83)</f>
        <v>0.03</v>
      </c>
      <c r="AP101" s="1034"/>
      <c r="AQ101" s="29"/>
      <c r="AR101" s="29"/>
      <c r="AS101" s="29"/>
      <c r="AT101" s="29"/>
      <c r="AU101" s="337"/>
      <c r="AV101" s="52"/>
      <c r="AW101" s="1028"/>
      <c r="AX101" s="73" t="s">
        <v>131</v>
      </c>
      <c r="AY101" s="67"/>
      <c r="AZ101" s="70"/>
      <c r="BA101" s="71" t="str">
        <f>IF($D$39=$AX101,1,"")</f>
        <v/>
      </c>
      <c r="BB101" s="70"/>
      <c r="BC101" s="70"/>
      <c r="BD101" s="70"/>
      <c r="BE101" s="72"/>
      <c r="BF101" s="67"/>
      <c r="BG101" s="70"/>
      <c r="BH101" s="70"/>
      <c r="BI101" s="69"/>
      <c r="BJ101" s="69"/>
      <c r="BK101" s="69"/>
      <c r="BL101" s="69"/>
      <c r="BM101" s="68">
        <f t="shared" si="13"/>
        <v>0</v>
      </c>
      <c r="BN101" s="374"/>
      <c r="BO101" s="366"/>
      <c r="BP101" s="366"/>
      <c r="BQ101" s="378"/>
      <c r="BR101" s="366"/>
      <c r="BS101" s="366"/>
      <c r="BT101" s="366"/>
      <c r="BU101" s="366"/>
      <c r="BV101" s="366"/>
      <c r="BW101" s="29"/>
      <c r="BX101" s="29"/>
      <c r="BY101" s="29"/>
      <c r="BZ101" s="366"/>
      <c r="CA101" s="67">
        <f t="shared" si="23"/>
        <v>0</v>
      </c>
      <c r="CB101" s="66" t="s">
        <v>65</v>
      </c>
      <c r="CC101" s="65">
        <f t="shared" si="24"/>
        <v>0</v>
      </c>
      <c r="CD101" s="366"/>
      <c r="CE101" s="366"/>
      <c r="CF101" s="366"/>
      <c r="CG101" s="366"/>
      <c r="CH101" s="52"/>
    </row>
    <row r="102" spans="1:86" ht="15.75" x14ac:dyDescent="0.25">
      <c r="A102" s="335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1060"/>
      <c r="S102" s="1060"/>
      <c r="T102" s="42"/>
      <c r="U102" s="54"/>
      <c r="V102" s="29"/>
      <c r="W102" s="29"/>
      <c r="X102" s="29"/>
      <c r="Y102" s="29"/>
      <c r="Z102" s="29"/>
      <c r="AA102" s="29"/>
      <c r="AB102" s="29"/>
      <c r="AC102" s="29"/>
      <c r="AD102" s="29"/>
      <c r="AE102" s="53"/>
      <c r="AF102" s="42"/>
      <c r="AG102" s="42"/>
      <c r="AH102" s="42"/>
      <c r="AI102" s="75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337"/>
      <c r="AV102" s="52"/>
      <c r="AW102" s="1028"/>
      <c r="AX102" s="73" t="s">
        <v>129</v>
      </c>
      <c r="AY102" s="67"/>
      <c r="AZ102" s="70"/>
      <c r="BA102" s="70"/>
      <c r="BB102" s="70"/>
      <c r="BC102" s="70"/>
      <c r="BD102" s="70"/>
      <c r="BE102" s="72"/>
      <c r="BF102" s="74" t="str">
        <f>IF($D$39=$AX102,1,"")</f>
        <v/>
      </c>
      <c r="BG102" s="70"/>
      <c r="BH102" s="70"/>
      <c r="BI102" s="69"/>
      <c r="BJ102" s="69"/>
      <c r="BK102" s="69"/>
      <c r="BL102" s="69"/>
      <c r="BM102" s="68">
        <f t="shared" si="13"/>
        <v>0</v>
      </c>
      <c r="BN102" s="374"/>
      <c r="BO102" s="366"/>
      <c r="BP102" s="366"/>
      <c r="BQ102" s="378"/>
      <c r="BR102" s="366"/>
      <c r="BS102" s="366"/>
      <c r="BT102" s="366"/>
      <c r="BU102" s="366"/>
      <c r="BV102" s="366"/>
      <c r="BW102" s="29"/>
      <c r="BX102" s="29"/>
      <c r="BY102" s="29"/>
      <c r="BZ102" s="366"/>
      <c r="CA102" s="67">
        <f t="shared" si="23"/>
        <v>0</v>
      </c>
      <c r="CB102" s="66" t="s">
        <v>65</v>
      </c>
      <c r="CC102" s="65">
        <f t="shared" si="24"/>
        <v>0</v>
      </c>
      <c r="CD102" s="366"/>
      <c r="CE102" s="366"/>
      <c r="CF102" s="366"/>
      <c r="CG102" s="366"/>
      <c r="CH102" s="52"/>
    </row>
    <row r="103" spans="1:86" ht="15.75" x14ac:dyDescent="0.25">
      <c r="A103" s="335"/>
      <c r="B103" s="29"/>
      <c r="C103" s="29"/>
      <c r="D103" s="29"/>
      <c r="E103" s="29"/>
      <c r="F103" s="29"/>
      <c r="G103" s="336"/>
      <c r="H103" s="29"/>
      <c r="I103" s="29"/>
      <c r="J103" s="29"/>
      <c r="K103" s="29"/>
      <c r="L103" s="29"/>
      <c r="M103" s="29"/>
      <c r="N103" s="29"/>
      <c r="O103" s="336"/>
      <c r="P103" s="336"/>
      <c r="Q103" s="336"/>
      <c r="R103" s="1060"/>
      <c r="S103" s="1060"/>
      <c r="T103" s="42"/>
      <c r="U103" s="54"/>
      <c r="V103" s="29"/>
      <c r="W103" s="29"/>
      <c r="X103" s="29"/>
      <c r="Y103" s="29"/>
      <c r="Z103" s="29"/>
      <c r="AA103" s="29"/>
      <c r="AB103" s="29"/>
      <c r="AC103" s="29"/>
      <c r="AD103" s="29"/>
      <c r="AE103" s="53"/>
      <c r="AF103" s="42"/>
      <c r="AG103" s="42"/>
      <c r="AH103" s="42"/>
      <c r="AI103" s="42"/>
      <c r="AJ103" s="42"/>
      <c r="AK103" s="42"/>
      <c r="AL103" s="42"/>
      <c r="AM103" s="29"/>
      <c r="AN103" s="29"/>
      <c r="AO103" s="29"/>
      <c r="AP103" s="29"/>
      <c r="AQ103" s="29"/>
      <c r="AR103" s="29"/>
      <c r="AS103" s="29"/>
      <c r="AT103" s="29"/>
      <c r="AU103" s="337"/>
      <c r="AV103" s="52"/>
      <c r="AW103" s="1028"/>
      <c r="AX103" s="73" t="s">
        <v>130</v>
      </c>
      <c r="AY103" s="67"/>
      <c r="AZ103" s="70"/>
      <c r="BA103" s="70"/>
      <c r="BB103" s="70"/>
      <c r="BC103" s="70"/>
      <c r="BD103" s="70"/>
      <c r="BE103" s="72"/>
      <c r="BF103" s="67"/>
      <c r="BG103" s="71">
        <f>IF($D$39=$AX103,1,"")</f>
        <v>1</v>
      </c>
      <c r="BH103" s="70"/>
      <c r="BI103" s="69"/>
      <c r="BJ103" s="69"/>
      <c r="BK103" s="69"/>
      <c r="BL103" s="69"/>
      <c r="BM103" s="68">
        <f t="shared" si="13"/>
        <v>0</v>
      </c>
      <c r="BN103" s="374"/>
      <c r="BO103" s="366"/>
      <c r="BP103" s="366"/>
      <c r="BQ103" s="378"/>
      <c r="BR103" s="366"/>
      <c r="BS103" s="366"/>
      <c r="BT103" s="366"/>
      <c r="BU103" s="366"/>
      <c r="BV103" s="366"/>
      <c r="BW103" s="29"/>
      <c r="BX103" s="29"/>
      <c r="BY103" s="29"/>
      <c r="BZ103" s="366"/>
      <c r="CA103" s="67">
        <f t="shared" si="23"/>
        <v>0</v>
      </c>
      <c r="CB103" s="66" t="s">
        <v>65</v>
      </c>
      <c r="CC103" s="65">
        <f t="shared" si="24"/>
        <v>0</v>
      </c>
      <c r="CD103" s="366"/>
      <c r="CE103" s="366"/>
      <c r="CF103" s="366"/>
      <c r="CG103" s="366"/>
      <c r="CH103" s="52"/>
    </row>
    <row r="104" spans="1:86" ht="16.5" thickBot="1" x14ac:dyDescent="0.3">
      <c r="A104" s="335"/>
      <c r="B104" s="29"/>
      <c r="C104" s="29"/>
      <c r="D104" s="29"/>
      <c r="E104" s="29"/>
      <c r="F104" s="29"/>
      <c r="G104" s="336"/>
      <c r="H104" s="336"/>
      <c r="I104" s="336"/>
      <c r="J104" s="1093" t="s">
        <v>72</v>
      </c>
      <c r="K104" s="1093"/>
      <c r="L104" s="29"/>
      <c r="M104" s="29"/>
      <c r="N104" s="29"/>
      <c r="O104" s="1158" t="s">
        <v>111</v>
      </c>
      <c r="P104" s="796"/>
      <c r="Q104" s="796"/>
      <c r="R104" s="336"/>
      <c r="S104" s="336"/>
      <c r="T104" s="53"/>
      <c r="U104" s="54"/>
      <c r="V104" s="29"/>
      <c r="W104" s="29"/>
      <c r="X104" s="29"/>
      <c r="Y104" s="29"/>
      <c r="Z104" s="29"/>
      <c r="AA104" s="29"/>
      <c r="AB104" s="29"/>
      <c r="AC104" s="29"/>
      <c r="AD104" s="29"/>
      <c r="AE104" s="53"/>
      <c r="AF104" s="42"/>
      <c r="AG104" s="42"/>
      <c r="AH104" s="42"/>
      <c r="AI104" s="42"/>
      <c r="AJ104" s="42"/>
      <c r="AK104" s="42"/>
      <c r="AL104" s="42"/>
      <c r="AM104" s="29"/>
      <c r="AN104" s="29"/>
      <c r="AO104" s="29"/>
      <c r="AP104" s="29"/>
      <c r="AQ104" s="29"/>
      <c r="AR104" s="29"/>
      <c r="AS104" s="29"/>
      <c r="AT104" s="29"/>
      <c r="AU104" s="337"/>
      <c r="AV104" s="52"/>
      <c r="AW104" s="1029"/>
      <c r="AX104" s="64" t="s">
        <v>131</v>
      </c>
      <c r="AY104" s="359"/>
      <c r="AZ104" s="360"/>
      <c r="BA104" s="360"/>
      <c r="BB104" s="360"/>
      <c r="BC104" s="360"/>
      <c r="BD104" s="360"/>
      <c r="BE104" s="361"/>
      <c r="BF104" s="359"/>
      <c r="BG104" s="360"/>
      <c r="BH104" s="447" t="str">
        <f>IF($D$39=$AX104,1,"")</f>
        <v/>
      </c>
      <c r="BI104" s="362"/>
      <c r="BJ104" s="362"/>
      <c r="BK104" s="362"/>
      <c r="BL104" s="362"/>
      <c r="BM104" s="63">
        <f t="shared" si="13"/>
        <v>0</v>
      </c>
      <c r="BN104" s="374"/>
      <c r="BO104" s="366"/>
      <c r="BP104" s="366"/>
      <c r="BQ104" s="378"/>
      <c r="BR104" s="366"/>
      <c r="BS104" s="366"/>
      <c r="BT104" s="366"/>
      <c r="BU104" s="366"/>
      <c r="BV104" s="366"/>
      <c r="BW104" s="230"/>
      <c r="BX104" s="230"/>
      <c r="BY104" s="230"/>
      <c r="BZ104" s="366"/>
      <c r="CA104" s="62">
        <f t="shared" si="23"/>
        <v>0</v>
      </c>
      <c r="CB104" s="61" t="s">
        <v>65</v>
      </c>
      <c r="CC104" s="60">
        <f t="shared" si="24"/>
        <v>0</v>
      </c>
      <c r="CD104" s="366"/>
      <c r="CE104" s="366"/>
      <c r="CF104" s="366"/>
      <c r="CG104" s="366"/>
      <c r="CH104" s="52"/>
    </row>
    <row r="105" spans="1:86" s="241" customFormat="1" ht="15.75" thickBot="1" x14ac:dyDescent="0.3">
      <c r="A105" s="335"/>
      <c r="B105" s="29"/>
      <c r="C105" s="29"/>
      <c r="D105" s="29"/>
      <c r="E105" s="29"/>
      <c r="F105" s="29"/>
      <c r="G105" s="336"/>
      <c r="H105" s="336"/>
      <c r="I105" s="336"/>
      <c r="J105" s="972" t="str">
        <f>BU83&amp;" ±"&amp;CG83</f>
        <v>0 ±0.505</v>
      </c>
      <c r="K105" s="972"/>
      <c r="L105" s="231"/>
      <c r="M105" s="232"/>
      <c r="N105" s="232"/>
      <c r="O105" s="1159"/>
      <c r="P105" s="1159"/>
      <c r="Q105" s="1159"/>
      <c r="R105" s="230"/>
      <c r="S105" s="233"/>
      <c r="T105" s="234"/>
      <c r="U105" s="235"/>
      <c r="V105" s="230"/>
      <c r="W105" s="230"/>
      <c r="X105" s="230"/>
      <c r="Y105" s="230"/>
      <c r="Z105" s="230"/>
      <c r="AA105" s="230"/>
      <c r="AB105" s="230"/>
      <c r="AC105" s="230"/>
      <c r="AD105" s="230"/>
      <c r="AE105" s="234"/>
      <c r="AF105" s="236"/>
      <c r="AG105" s="236"/>
      <c r="AH105" s="236"/>
      <c r="AI105" s="236"/>
      <c r="AJ105" s="236"/>
      <c r="AK105" s="236"/>
      <c r="AL105" s="236"/>
      <c r="AM105" s="230"/>
      <c r="AN105" s="230"/>
      <c r="AO105" s="230"/>
      <c r="AP105" s="230"/>
      <c r="AQ105" s="230"/>
      <c r="AR105" s="230"/>
      <c r="AS105" s="230"/>
      <c r="AT105" s="230"/>
      <c r="AU105" s="417"/>
      <c r="AV105" s="237"/>
      <c r="AW105" s="1003" t="s">
        <v>95</v>
      </c>
      <c r="AX105" s="155" t="s">
        <v>64</v>
      </c>
      <c r="AY105" s="238">
        <f t="shared" ref="AY105:BL105" si="25">-$D$37/$D$41</f>
        <v>-2</v>
      </c>
      <c r="AZ105" s="239">
        <f t="shared" si="25"/>
        <v>-2</v>
      </c>
      <c r="BA105" s="239">
        <f t="shared" si="25"/>
        <v>-2</v>
      </c>
      <c r="BB105" s="239">
        <f t="shared" si="25"/>
        <v>-2</v>
      </c>
      <c r="BC105" s="239">
        <f t="shared" si="25"/>
        <v>-2</v>
      </c>
      <c r="BD105" s="239">
        <f t="shared" si="25"/>
        <v>-2</v>
      </c>
      <c r="BE105" s="240">
        <f t="shared" si="25"/>
        <v>-2</v>
      </c>
      <c r="BF105" s="238">
        <f t="shared" si="25"/>
        <v>-2</v>
      </c>
      <c r="BG105" s="239">
        <f t="shared" si="25"/>
        <v>-2</v>
      </c>
      <c r="BH105" s="239">
        <f t="shared" si="25"/>
        <v>-2</v>
      </c>
      <c r="BI105" s="239">
        <f t="shared" si="25"/>
        <v>-2</v>
      </c>
      <c r="BJ105" s="239">
        <f t="shared" si="25"/>
        <v>-2</v>
      </c>
      <c r="BK105" s="239">
        <f t="shared" si="25"/>
        <v>-2</v>
      </c>
      <c r="BL105" s="240">
        <f t="shared" si="25"/>
        <v>-2</v>
      </c>
      <c r="BM105" s="374"/>
      <c r="BN105" s="374"/>
      <c r="BO105" s="374"/>
      <c r="BP105" s="374"/>
      <c r="BQ105" s="380"/>
      <c r="BR105" s="374"/>
      <c r="BS105" s="374"/>
      <c r="BT105" s="374"/>
      <c r="BU105" s="374"/>
      <c r="BV105" s="374"/>
      <c r="BW105" s="374"/>
      <c r="BX105" s="374"/>
      <c r="BY105" s="374"/>
      <c r="BZ105" s="374"/>
      <c r="CA105" s="374"/>
      <c r="CB105" s="374"/>
      <c r="CC105" s="374"/>
      <c r="CD105" s="374"/>
      <c r="CE105" s="374"/>
      <c r="CF105" s="374"/>
      <c r="CG105" s="374"/>
      <c r="CH105" s="237"/>
    </row>
    <row r="106" spans="1:86" s="241" customFormat="1" ht="24.75" thickTop="1" thickBot="1" x14ac:dyDescent="0.3">
      <c r="A106" s="335"/>
      <c r="B106" s="29"/>
      <c r="C106" s="29"/>
      <c r="D106" s="29"/>
      <c r="E106" s="29"/>
      <c r="F106" s="29"/>
      <c r="G106" s="296"/>
      <c r="H106" s="296"/>
      <c r="I106" s="296"/>
      <c r="J106" s="1173">
        <f>AVERAGE(C84:D85)</f>
        <v>0.35</v>
      </c>
      <c r="K106" s="1173"/>
      <c r="L106" s="230"/>
      <c r="M106" s="1174">
        <v>2</v>
      </c>
      <c r="N106" s="1175"/>
      <c r="O106" s="1165" t="str">
        <f>IF(BC79&gt;0,"→ "&amp;BC79,IF(BC79&lt;0,"← "&amp;-BC79,0))</f>
        <v>→ 0.2</v>
      </c>
      <c r="P106" s="1165"/>
      <c r="Q106" s="1165"/>
      <c r="R106" s="242"/>
      <c r="S106" s="243"/>
      <c r="T106" s="234"/>
      <c r="U106" s="235"/>
      <c r="V106" s="230"/>
      <c r="W106" s="230"/>
      <c r="X106" s="230"/>
      <c r="Y106" s="230"/>
      <c r="Z106" s="230"/>
      <c r="AA106" s="230"/>
      <c r="AB106" s="230"/>
      <c r="AC106" s="230"/>
      <c r="AD106" s="230"/>
      <c r="AE106" s="234"/>
      <c r="AF106" s="236"/>
      <c r="AG106" s="236"/>
      <c r="AH106" s="236"/>
      <c r="AI106" s="236"/>
      <c r="AJ106" s="236"/>
      <c r="AK106" s="236"/>
      <c r="AL106" s="236"/>
      <c r="AM106" s="230"/>
      <c r="AN106" s="230"/>
      <c r="AO106" s="230"/>
      <c r="AP106" s="230"/>
      <c r="AQ106" s="230"/>
      <c r="AR106" s="230"/>
      <c r="AS106" s="230"/>
      <c r="AT106" s="230"/>
      <c r="AU106" s="417"/>
      <c r="AV106" s="237"/>
      <c r="AW106" s="1004"/>
      <c r="AX106" s="363" t="s">
        <v>63</v>
      </c>
      <c r="AY106" s="244">
        <f t="shared" ref="AY106:BL106" si="26">$D$37/$D$41</f>
        <v>2</v>
      </c>
      <c r="AZ106" s="245">
        <f t="shared" si="26"/>
        <v>2</v>
      </c>
      <c r="BA106" s="245">
        <f t="shared" si="26"/>
        <v>2</v>
      </c>
      <c r="BB106" s="245">
        <f t="shared" si="26"/>
        <v>2</v>
      </c>
      <c r="BC106" s="245">
        <f t="shared" si="26"/>
        <v>2</v>
      </c>
      <c r="BD106" s="245">
        <f t="shared" si="26"/>
        <v>2</v>
      </c>
      <c r="BE106" s="246">
        <f t="shared" si="26"/>
        <v>2</v>
      </c>
      <c r="BF106" s="244">
        <f t="shared" si="26"/>
        <v>2</v>
      </c>
      <c r="BG106" s="245">
        <f t="shared" si="26"/>
        <v>2</v>
      </c>
      <c r="BH106" s="245">
        <f t="shared" si="26"/>
        <v>2</v>
      </c>
      <c r="BI106" s="245">
        <f t="shared" si="26"/>
        <v>2</v>
      </c>
      <c r="BJ106" s="245">
        <f t="shared" si="26"/>
        <v>2</v>
      </c>
      <c r="BK106" s="245">
        <f t="shared" si="26"/>
        <v>2</v>
      </c>
      <c r="BL106" s="246">
        <f t="shared" si="26"/>
        <v>2</v>
      </c>
      <c r="BM106" s="374"/>
      <c r="BN106" s="374"/>
      <c r="BO106" s="374"/>
      <c r="BP106" s="374"/>
      <c r="BQ106" s="380"/>
      <c r="BR106" s="374"/>
      <c r="BS106" s="374"/>
      <c r="BT106" s="374"/>
      <c r="BU106" s="374"/>
      <c r="BV106" s="374"/>
      <c r="BW106" s="374"/>
      <c r="BX106" s="374"/>
      <c r="BY106" s="374"/>
      <c r="BZ106" s="374"/>
      <c r="CA106" s="374"/>
      <c r="CB106" s="374"/>
      <c r="CC106" s="374"/>
      <c r="CD106" s="374"/>
      <c r="CE106" s="374"/>
      <c r="CF106" s="374"/>
      <c r="CG106" s="374"/>
      <c r="CH106" s="237"/>
    </row>
    <row r="107" spans="1:86" x14ac:dyDescent="0.25">
      <c r="A107" s="335"/>
      <c r="B107" s="29"/>
      <c r="C107" s="29"/>
      <c r="D107" s="29"/>
      <c r="E107" s="29"/>
      <c r="F107" s="29"/>
      <c r="G107" s="296"/>
      <c r="H107" s="296"/>
      <c r="I107" s="296"/>
      <c r="J107" s="1091">
        <f>AVERAGE(C86:D87)</f>
        <v>0.32999999999999996</v>
      </c>
      <c r="K107" s="1091"/>
      <c r="L107" s="29"/>
      <c r="M107" s="56"/>
      <c r="N107" s="55"/>
      <c r="O107" s="1044" t="str">
        <f>IF(BJ79&gt;0,"→ "&amp;BJ79,IF(BJ79&lt;0,"← "&amp;-BJ79,0))</f>
        <v>→ 0.2</v>
      </c>
      <c r="P107" s="1171"/>
      <c r="Q107" s="1045"/>
      <c r="R107" s="29"/>
      <c r="S107" s="29"/>
      <c r="T107" s="53"/>
      <c r="U107" s="54"/>
      <c r="V107" s="29"/>
      <c r="W107" s="29"/>
      <c r="X107" s="29"/>
      <c r="Y107" s="29"/>
      <c r="Z107" s="29"/>
      <c r="AA107" s="29"/>
      <c r="AB107" s="1158" t="s">
        <v>120</v>
      </c>
      <c r="AC107" s="796"/>
      <c r="AD107" s="29"/>
      <c r="AE107" s="53"/>
      <c r="AF107" s="42"/>
      <c r="AG107" s="42"/>
      <c r="AH107" s="42"/>
      <c r="AI107" s="42"/>
      <c r="AJ107" s="42"/>
      <c r="AK107" s="42"/>
      <c r="AL107" s="42"/>
      <c r="AM107" s="29"/>
      <c r="AN107" s="29"/>
      <c r="AO107" s="29"/>
      <c r="AP107" s="29"/>
      <c r="AQ107" s="29"/>
      <c r="AR107" s="29"/>
      <c r="AS107" s="29"/>
      <c r="AT107" s="29"/>
      <c r="AU107" s="337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431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52"/>
      <c r="CE107" s="52"/>
      <c r="CF107" s="52"/>
      <c r="CG107" s="52"/>
      <c r="CH107" s="52"/>
    </row>
    <row r="108" spans="1:86" ht="15.75" thickBot="1" x14ac:dyDescent="0.3">
      <c r="A108" s="335"/>
      <c r="B108" s="29"/>
      <c r="C108" s="29"/>
      <c r="D108" s="29"/>
      <c r="E108" s="29"/>
      <c r="F108" s="29"/>
      <c r="G108" s="336"/>
      <c r="H108" s="29"/>
      <c r="I108" s="29"/>
      <c r="J108" s="29"/>
      <c r="K108" s="29"/>
      <c r="L108" s="29"/>
      <c r="M108" s="29"/>
      <c r="N108" s="51"/>
      <c r="O108" s="50"/>
      <c r="P108" s="42"/>
      <c r="Q108" s="42"/>
      <c r="R108" s="42"/>
      <c r="S108" s="42"/>
      <c r="T108" s="42"/>
      <c r="U108" s="42"/>
      <c r="V108" s="43"/>
      <c r="W108" s="42"/>
      <c r="X108" s="42"/>
      <c r="Y108" s="42"/>
      <c r="Z108" s="49"/>
      <c r="AA108" s="29"/>
      <c r="AB108" s="1159"/>
      <c r="AC108" s="1159"/>
      <c r="AD108" s="29"/>
      <c r="AE108" s="29"/>
      <c r="AF108" s="29"/>
      <c r="AG108" s="29"/>
      <c r="AH108" s="29"/>
      <c r="AI108" s="48"/>
      <c r="AJ108" s="42"/>
      <c r="AK108" s="42"/>
      <c r="AL108" s="42"/>
      <c r="AM108" s="29"/>
      <c r="AN108" s="29"/>
      <c r="AO108" s="29"/>
      <c r="AP108" s="29"/>
      <c r="AQ108" s="29"/>
      <c r="AR108" s="29"/>
      <c r="AS108" s="29"/>
      <c r="AT108" s="29"/>
      <c r="AU108" s="337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427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</row>
    <row r="109" spans="1:86" ht="16.5" customHeight="1" thickTop="1" thickBot="1" x14ac:dyDescent="0.3">
      <c r="A109" s="335"/>
      <c r="B109" s="29"/>
      <c r="C109" s="29"/>
      <c r="D109" s="29"/>
      <c r="E109" s="29"/>
      <c r="F109" s="29"/>
      <c r="G109" s="336"/>
      <c r="H109" s="29"/>
      <c r="I109" s="29"/>
      <c r="J109" s="29"/>
      <c r="K109" s="29"/>
      <c r="L109" s="29"/>
      <c r="M109" s="29"/>
      <c r="N109" s="47"/>
      <c r="O109" s="46"/>
      <c r="P109" s="45"/>
      <c r="Q109" s="44"/>
      <c r="R109" s="1076">
        <v>1</v>
      </c>
      <c r="S109" s="1076"/>
      <c r="T109" s="42"/>
      <c r="U109" s="42"/>
      <c r="V109" s="43"/>
      <c r="W109" s="42"/>
      <c r="X109" s="42"/>
      <c r="Y109" s="42"/>
      <c r="Z109" s="41"/>
      <c r="AA109" s="40"/>
      <c r="AB109" s="1046">
        <f>IF(BA79&gt;0,"→ "&amp;BA79,IF(BA79&lt;0,"← "&amp;-BA79,0))</f>
        <v>0</v>
      </c>
      <c r="AC109" s="1046"/>
      <c r="AD109" s="40"/>
      <c r="AE109" s="40"/>
      <c r="AF109" s="40"/>
      <c r="AG109" s="40"/>
      <c r="AH109" s="40"/>
      <c r="AI109" s="39"/>
      <c r="AJ109" s="42"/>
      <c r="AK109" s="42"/>
      <c r="AL109" s="42"/>
      <c r="AM109" s="29"/>
      <c r="AN109" s="29"/>
      <c r="AO109" s="29"/>
      <c r="AP109" s="29"/>
      <c r="AQ109" s="29"/>
      <c r="AR109" s="29"/>
      <c r="AS109" s="29"/>
      <c r="AT109" s="29"/>
      <c r="AU109" s="337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427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</row>
    <row r="110" spans="1:86" ht="15.75" thickTop="1" x14ac:dyDescent="0.25">
      <c r="A110" s="335"/>
      <c r="B110" s="29"/>
      <c r="C110" s="29"/>
      <c r="D110" s="29"/>
      <c r="E110" s="29"/>
      <c r="F110" s="29"/>
      <c r="G110" s="336"/>
      <c r="H110" s="29"/>
      <c r="I110" s="29"/>
      <c r="J110" s="29"/>
      <c r="K110" s="29"/>
      <c r="L110" s="29"/>
      <c r="M110" s="36"/>
      <c r="N110" s="29"/>
      <c r="O110" s="29"/>
      <c r="P110" s="29"/>
      <c r="Q110" s="38"/>
      <c r="R110" s="29"/>
      <c r="S110" s="29"/>
      <c r="T110" s="29"/>
      <c r="U110" s="29"/>
      <c r="V110" s="37"/>
      <c r="W110" s="29"/>
      <c r="X110" s="29"/>
      <c r="Y110" s="36"/>
      <c r="Z110" s="29"/>
      <c r="AA110" s="29"/>
      <c r="AB110" s="1035">
        <f>IF(BH79&gt;0,"→ "&amp;BH79,IF(BH79&lt;0,"← "&amp;-BH79,0))</f>
        <v>0</v>
      </c>
      <c r="AC110" s="1035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337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427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</row>
    <row r="111" spans="1:86" x14ac:dyDescent="0.25">
      <c r="A111" s="335"/>
      <c r="B111" s="29"/>
      <c r="C111" s="29"/>
      <c r="D111" s="29"/>
      <c r="E111" s="29"/>
      <c r="F111" s="29"/>
      <c r="G111" s="336"/>
      <c r="H111" s="29"/>
      <c r="I111" s="29"/>
      <c r="J111" s="29"/>
      <c r="K111" s="29"/>
      <c r="L111" s="29"/>
      <c r="M111" s="36"/>
      <c r="N111" s="29"/>
      <c r="O111" s="29"/>
      <c r="P111" s="29"/>
      <c r="Q111" s="29"/>
      <c r="R111" s="29"/>
      <c r="S111" s="29"/>
      <c r="T111" s="29"/>
      <c r="U111" s="29"/>
      <c r="V111" s="37"/>
      <c r="W111" s="29"/>
      <c r="X111" s="29"/>
      <c r="Y111" s="36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337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29"/>
      <c r="BP111" s="29"/>
      <c r="BQ111" s="427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</row>
    <row r="112" spans="1:86" x14ac:dyDescent="0.25">
      <c r="A112" s="335"/>
      <c r="B112" s="29"/>
      <c r="C112" s="29"/>
      <c r="D112" s="29"/>
      <c r="E112" s="29"/>
      <c r="F112" s="29"/>
      <c r="G112" s="29"/>
      <c r="H112" s="29"/>
      <c r="I112" s="29"/>
      <c r="J112" s="1093" t="s">
        <v>62</v>
      </c>
      <c r="K112" s="1093"/>
      <c r="L112" s="29"/>
      <c r="M112" s="36"/>
      <c r="N112" s="29"/>
      <c r="O112" s="29"/>
      <c r="P112" s="29"/>
      <c r="Q112" s="29"/>
      <c r="R112" s="29"/>
      <c r="S112" s="29"/>
      <c r="T112" s="29"/>
      <c r="U112" s="29"/>
      <c r="V112" s="37"/>
      <c r="W112" s="29"/>
      <c r="X112" s="29"/>
      <c r="Y112" s="36"/>
      <c r="Z112" s="29"/>
      <c r="AA112" s="1063" t="s">
        <v>61</v>
      </c>
      <c r="AB112" s="1064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337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427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</row>
    <row r="113" spans="1:86" ht="15.75" thickBot="1" x14ac:dyDescent="0.3">
      <c r="A113" s="335"/>
      <c r="B113" s="29"/>
      <c r="C113" s="29"/>
      <c r="D113" s="29"/>
      <c r="E113" s="29"/>
      <c r="F113" s="29"/>
      <c r="G113" s="29"/>
      <c r="H113" s="29"/>
      <c r="I113" s="29"/>
      <c r="J113" s="959" t="str">
        <f>"&gt;= "&amp;BU88</f>
        <v>&gt;= 32.25</v>
      </c>
      <c r="K113" s="959"/>
      <c r="L113" s="336"/>
      <c r="M113" s="336"/>
      <c r="N113" s="35"/>
      <c r="O113" s="33"/>
      <c r="P113" s="33"/>
      <c r="Q113" s="33"/>
      <c r="R113" s="33"/>
      <c r="S113" s="33"/>
      <c r="T113" s="33"/>
      <c r="U113" s="34"/>
      <c r="V113" s="35"/>
      <c r="W113" s="33"/>
      <c r="X113" s="33"/>
      <c r="Y113" s="34"/>
      <c r="Z113" s="33"/>
      <c r="AA113" s="963" t="str">
        <f>BU82&amp;" ±"&amp;CG82</f>
        <v>17.25 ±0.505</v>
      </c>
      <c r="AB113" s="965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337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427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</row>
    <row r="114" spans="1:86" ht="15.75" thickTop="1" x14ac:dyDescent="0.25">
      <c r="A114" s="335"/>
      <c r="B114" s="29"/>
      <c r="C114" s="29"/>
      <c r="D114" s="29"/>
      <c r="E114" s="29"/>
      <c r="F114" s="29"/>
      <c r="G114" s="29"/>
      <c r="H114" s="29"/>
      <c r="I114" s="29"/>
      <c r="J114" s="1172">
        <f>C78</f>
        <v>35.659999999999997</v>
      </c>
      <c r="K114" s="1172"/>
      <c r="L114" s="32"/>
      <c r="M114" s="32"/>
      <c r="N114" s="31"/>
      <c r="O114" s="29"/>
      <c r="P114" s="29"/>
      <c r="Q114" s="29"/>
      <c r="R114" s="29"/>
      <c r="S114" s="29"/>
      <c r="T114" s="29"/>
      <c r="U114" s="30"/>
      <c r="V114" s="31"/>
      <c r="W114" s="29"/>
      <c r="X114" s="29"/>
      <c r="Y114" s="30"/>
      <c r="Z114" s="29"/>
      <c r="AA114" s="1056">
        <f>C76</f>
        <v>17.260000000000002</v>
      </c>
      <c r="AB114" s="1057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337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29"/>
      <c r="BP114" s="29"/>
      <c r="BQ114" s="427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</row>
    <row r="115" spans="1:86" x14ac:dyDescent="0.25">
      <c r="A115" s="335"/>
      <c r="B115" s="29"/>
      <c r="C115" s="29"/>
      <c r="D115" s="29"/>
      <c r="E115" s="29"/>
      <c r="F115" s="29"/>
      <c r="G115" s="29"/>
      <c r="H115" s="29"/>
      <c r="I115" s="29"/>
      <c r="J115" s="1172">
        <f>C79</f>
        <v>36.409999999999997</v>
      </c>
      <c r="K115" s="1172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1056">
        <f>C77</f>
        <v>17.28</v>
      </c>
      <c r="AB115" s="1057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337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29"/>
      <c r="BM115" s="29"/>
      <c r="BN115" s="29"/>
      <c r="BO115" s="29"/>
      <c r="BP115" s="29"/>
      <c r="BQ115" s="427"/>
      <c r="BR115" s="29"/>
      <c r="BS115" s="29"/>
      <c r="BT115" s="29"/>
      <c r="BU115" s="29"/>
      <c r="BV115" s="29"/>
      <c r="BW115" s="29"/>
      <c r="BX115" s="29"/>
      <c r="BY115" s="29"/>
      <c r="BZ115" s="29"/>
      <c r="CA115" s="29"/>
      <c r="CB115" s="29"/>
      <c r="CC115" s="29"/>
      <c r="CD115" s="29"/>
      <c r="CE115" s="29"/>
      <c r="CF115" s="29"/>
      <c r="CG115" s="29"/>
      <c r="CH115" s="29"/>
    </row>
    <row r="116" spans="1:86" x14ac:dyDescent="0.25">
      <c r="A116" s="335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337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29"/>
      <c r="BP116" s="29"/>
      <c r="BQ116" s="427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</row>
    <row r="117" spans="1:86" ht="15.75" thickBot="1" x14ac:dyDescent="0.3">
      <c r="A117" s="422"/>
      <c r="B117" s="418"/>
      <c r="C117" s="418"/>
      <c r="D117" s="418"/>
      <c r="E117" s="418"/>
      <c r="F117" s="418"/>
      <c r="G117" s="418"/>
      <c r="H117" s="418"/>
      <c r="I117" s="418"/>
      <c r="J117" s="418"/>
      <c r="K117" s="418"/>
      <c r="L117" s="418"/>
      <c r="M117" s="418"/>
      <c r="N117" s="418"/>
      <c r="O117" s="418"/>
      <c r="P117" s="418"/>
      <c r="Q117" s="418"/>
      <c r="R117" s="418"/>
      <c r="S117" s="418"/>
      <c r="T117" s="418"/>
      <c r="U117" s="418"/>
      <c r="V117" s="418"/>
      <c r="W117" s="418"/>
      <c r="X117" s="418"/>
      <c r="Y117" s="418"/>
      <c r="Z117" s="418"/>
      <c r="AA117" s="418"/>
      <c r="AB117" s="418"/>
      <c r="AC117" s="418"/>
      <c r="AD117" s="418"/>
      <c r="AE117" s="418"/>
      <c r="AF117" s="418"/>
      <c r="AG117" s="418"/>
      <c r="AH117" s="418"/>
      <c r="AI117" s="418"/>
      <c r="AJ117" s="418"/>
      <c r="AK117" s="418"/>
      <c r="AL117" s="418"/>
      <c r="AM117" s="418"/>
      <c r="AN117" s="418"/>
      <c r="AO117" s="418"/>
      <c r="AP117" s="418"/>
      <c r="AQ117" s="418"/>
      <c r="AR117" s="418"/>
      <c r="AS117" s="418"/>
      <c r="AT117" s="418"/>
      <c r="AU117" s="41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29"/>
      <c r="BP117" s="29"/>
      <c r="BQ117" s="427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</row>
  </sheetData>
  <mergeCells count="419">
    <mergeCell ref="S5:U5"/>
    <mergeCell ref="S6:U6"/>
    <mergeCell ref="S7:U7"/>
    <mergeCell ref="S9:U9"/>
    <mergeCell ref="S10:U10"/>
    <mergeCell ref="S11:U11"/>
    <mergeCell ref="S13:U13"/>
    <mergeCell ref="J115:K115"/>
    <mergeCell ref="AB110:AC110"/>
    <mergeCell ref="O107:Q107"/>
    <mergeCell ref="M95:O95"/>
    <mergeCell ref="J105:K105"/>
    <mergeCell ref="J106:K106"/>
    <mergeCell ref="J107:K107"/>
    <mergeCell ref="R95:S103"/>
    <mergeCell ref="J104:K104"/>
    <mergeCell ref="J95:K95"/>
    <mergeCell ref="AA113:AB113"/>
    <mergeCell ref="AA114:AB114"/>
    <mergeCell ref="AA115:AB115"/>
    <mergeCell ref="J112:K112"/>
    <mergeCell ref="J113:K113"/>
    <mergeCell ref="J114:K114"/>
    <mergeCell ref="M106:N106"/>
    <mergeCell ref="O104:Q105"/>
    <mergeCell ref="AB107:AC108"/>
    <mergeCell ref="AA112:AB112"/>
    <mergeCell ref="AA95:AB95"/>
    <mergeCell ref="O106:Q106"/>
    <mergeCell ref="AW82:AW89"/>
    <mergeCell ref="AR31:AU32"/>
    <mergeCell ref="AJ40:AK40"/>
    <mergeCell ref="AJ41:AK41"/>
    <mergeCell ref="W51:X51"/>
    <mergeCell ref="AA75:AK76"/>
    <mergeCell ref="W78:X78"/>
    <mergeCell ref="AO78:AP78"/>
    <mergeCell ref="W79:X79"/>
    <mergeCell ref="AO79:AP79"/>
    <mergeCell ref="AG89:AH98"/>
    <mergeCell ref="W85:X85"/>
    <mergeCell ref="AO80:AP80"/>
    <mergeCell ref="M75:X76"/>
    <mergeCell ref="W80:X80"/>
    <mergeCell ref="AO88:AP88"/>
    <mergeCell ref="AO98:AP98"/>
    <mergeCell ref="AI88:AK88"/>
    <mergeCell ref="AO85:AP85"/>
    <mergeCell ref="AO86:AP86"/>
    <mergeCell ref="M92:O93"/>
    <mergeCell ref="AI85:AK86"/>
    <mergeCell ref="W82:X83"/>
    <mergeCell ref="AR48:AS48"/>
    <mergeCell ref="W84:X84"/>
    <mergeCell ref="C85:D85"/>
    <mergeCell ref="E85:F85"/>
    <mergeCell ref="R109:S109"/>
    <mergeCell ref="W77:X77"/>
    <mergeCell ref="AO77:AP77"/>
    <mergeCell ref="A48:H48"/>
    <mergeCell ref="A65:B65"/>
    <mergeCell ref="A68:B68"/>
    <mergeCell ref="AB109:AC109"/>
    <mergeCell ref="AK101:AM101"/>
    <mergeCell ref="AO99:AP99"/>
    <mergeCell ref="AO100:AP100"/>
    <mergeCell ref="AO101:AP101"/>
    <mergeCell ref="AK100:AM100"/>
    <mergeCell ref="A87:B87"/>
    <mergeCell ref="A85:B85"/>
    <mergeCell ref="A86:B86"/>
    <mergeCell ref="AK98:AM99"/>
    <mergeCell ref="BF76:BL76"/>
    <mergeCell ref="AY76:BE76"/>
    <mergeCell ref="C79:D79"/>
    <mergeCell ref="E79:F79"/>
    <mergeCell ref="C80:D80"/>
    <mergeCell ref="E80:F80"/>
    <mergeCell ref="A77:B77"/>
    <mergeCell ref="A69:B69"/>
    <mergeCell ref="C69:D69"/>
    <mergeCell ref="E69:F69"/>
    <mergeCell ref="A70:B70"/>
    <mergeCell ref="A71:B71"/>
    <mergeCell ref="A72:B72"/>
    <mergeCell ref="A73:B73"/>
    <mergeCell ref="A74:B74"/>
    <mergeCell ref="A76:B76"/>
    <mergeCell ref="C76:D76"/>
    <mergeCell ref="O46:P46"/>
    <mergeCell ref="O47:P47"/>
    <mergeCell ref="W39:X39"/>
    <mergeCell ref="S40:T40"/>
    <mergeCell ref="S41:T41"/>
    <mergeCell ref="S42:T42"/>
    <mergeCell ref="A82:B82"/>
    <mergeCell ref="A37:C37"/>
    <mergeCell ref="A81:B81"/>
    <mergeCell ref="A78:B78"/>
    <mergeCell ref="A79:B79"/>
    <mergeCell ref="A80:B80"/>
    <mergeCell ref="D39:E39"/>
    <mergeCell ref="A40:C40"/>
    <mergeCell ref="C68:D68"/>
    <mergeCell ref="E68:F68"/>
    <mergeCell ref="E78:F78"/>
    <mergeCell ref="D40:G40"/>
    <mergeCell ref="C77:D77"/>
    <mergeCell ref="A41:C42"/>
    <mergeCell ref="A39:C39"/>
    <mergeCell ref="H39:J39"/>
    <mergeCell ref="A44:H44"/>
    <mergeCell ref="K39:L39"/>
    <mergeCell ref="N32:P33"/>
    <mergeCell ref="N34:P34"/>
    <mergeCell ref="AJ32:AL33"/>
    <mergeCell ref="AJ34:AL34"/>
    <mergeCell ref="AJ35:AL35"/>
    <mergeCell ref="W36:X37"/>
    <mergeCell ref="S43:T43"/>
    <mergeCell ref="W38:X38"/>
    <mergeCell ref="O44:P45"/>
    <mergeCell ref="AA28:AK29"/>
    <mergeCell ref="AN31:AQ32"/>
    <mergeCell ref="AJ38:AK39"/>
    <mergeCell ref="AR29:AU30"/>
    <mergeCell ref="AM29:AQ30"/>
    <mergeCell ref="AO47:AP47"/>
    <mergeCell ref="AO48:AP48"/>
    <mergeCell ref="AO49:AP49"/>
    <mergeCell ref="AG42:AH51"/>
    <mergeCell ref="AR49:AS49"/>
    <mergeCell ref="AR50:AS50"/>
    <mergeCell ref="AO50:AP50"/>
    <mergeCell ref="AR47:AS47"/>
    <mergeCell ref="AB50:AC50"/>
    <mergeCell ref="K40:L40"/>
    <mergeCell ref="K41:L41"/>
    <mergeCell ref="F39:G39"/>
    <mergeCell ref="K42:L42"/>
    <mergeCell ref="A45:H45"/>
    <mergeCell ref="A33:G33"/>
    <mergeCell ref="H38:J38"/>
    <mergeCell ref="D41:G42"/>
    <mergeCell ref="A34:C34"/>
    <mergeCell ref="D34:E34"/>
    <mergeCell ref="F34:G34"/>
    <mergeCell ref="D37:G37"/>
    <mergeCell ref="A38:C38"/>
    <mergeCell ref="F38:G38"/>
    <mergeCell ref="D38:E38"/>
    <mergeCell ref="A46:H46"/>
    <mergeCell ref="A47:H47"/>
    <mergeCell ref="J93:K93"/>
    <mergeCell ref="J94:K94"/>
    <mergeCell ref="A83:B83"/>
    <mergeCell ref="A84:B84"/>
    <mergeCell ref="C84:D84"/>
    <mergeCell ref="E84:F84"/>
    <mergeCell ref="C83:D83"/>
    <mergeCell ref="E83:F83"/>
    <mergeCell ref="J92:K92"/>
    <mergeCell ref="C86:D86"/>
    <mergeCell ref="E86:F86"/>
    <mergeCell ref="C87:D87"/>
    <mergeCell ref="E87:F87"/>
    <mergeCell ref="C82:D82"/>
    <mergeCell ref="E82:F82"/>
    <mergeCell ref="AF61:AG61"/>
    <mergeCell ref="C70:D70"/>
    <mergeCell ref="C71:D71"/>
    <mergeCell ref="E75:F75"/>
    <mergeCell ref="C72:D72"/>
    <mergeCell ref="C73:D73"/>
    <mergeCell ref="C64:D64"/>
    <mergeCell ref="C65:D65"/>
    <mergeCell ref="C81:D81"/>
    <mergeCell ref="E81:F81"/>
    <mergeCell ref="C75:D75"/>
    <mergeCell ref="E76:F76"/>
    <mergeCell ref="E72:F72"/>
    <mergeCell ref="E73:F73"/>
    <mergeCell ref="E64:F64"/>
    <mergeCell ref="E65:F65"/>
    <mergeCell ref="C66:D66"/>
    <mergeCell ref="E66:F66"/>
    <mergeCell ref="C67:D67"/>
    <mergeCell ref="E67:F67"/>
    <mergeCell ref="AI87:AK87"/>
    <mergeCell ref="C74:D74"/>
    <mergeCell ref="E74:F74"/>
    <mergeCell ref="E77:F77"/>
    <mergeCell ref="C78:D78"/>
    <mergeCell ref="A16:B17"/>
    <mergeCell ref="F10:H10"/>
    <mergeCell ref="F11:H11"/>
    <mergeCell ref="F13:H13"/>
    <mergeCell ref="F14:H14"/>
    <mergeCell ref="K54:L54"/>
    <mergeCell ref="W54:X54"/>
    <mergeCell ref="R65:S65"/>
    <mergeCell ref="C25:E26"/>
    <mergeCell ref="C16:E17"/>
    <mergeCell ref="F17:H17"/>
    <mergeCell ref="O19:R19"/>
    <mergeCell ref="O20:R20"/>
    <mergeCell ref="L19:N19"/>
    <mergeCell ref="L20:N20"/>
    <mergeCell ref="AJ55:AK55"/>
    <mergeCell ref="AF58:AG58"/>
    <mergeCell ref="AF59:AG59"/>
    <mergeCell ref="AF60:AG60"/>
    <mergeCell ref="W52:X52"/>
    <mergeCell ref="W53:X53"/>
    <mergeCell ref="E70:F70"/>
    <mergeCell ref="E71:F71"/>
    <mergeCell ref="M62:N62"/>
    <mergeCell ref="R49:S57"/>
    <mergeCell ref="O60:P61"/>
    <mergeCell ref="O62:P62"/>
    <mergeCell ref="O63:P63"/>
    <mergeCell ref="K52:L52"/>
    <mergeCell ref="K51:L51"/>
    <mergeCell ref="A49:H49"/>
    <mergeCell ref="A50:H50"/>
    <mergeCell ref="A66:B66"/>
    <mergeCell ref="A67:B67"/>
    <mergeCell ref="BR31:BS31"/>
    <mergeCell ref="BR32:BS32"/>
    <mergeCell ref="BR77:BS77"/>
    <mergeCell ref="AA65:AB65"/>
    <mergeCell ref="AJ52:AK53"/>
    <mergeCell ref="AJ54:AK54"/>
    <mergeCell ref="M94:O94"/>
    <mergeCell ref="A5:B7"/>
    <mergeCell ref="A2:B2"/>
    <mergeCell ref="A13:B14"/>
    <mergeCell ref="A19:B20"/>
    <mergeCell ref="F35:G35"/>
    <mergeCell ref="F36:G36"/>
    <mergeCell ref="D35:E35"/>
    <mergeCell ref="D36:E36"/>
    <mergeCell ref="E29:H29"/>
    <mergeCell ref="F19:H19"/>
    <mergeCell ref="F20:H20"/>
    <mergeCell ref="A25:B26"/>
    <mergeCell ref="F26:H26"/>
    <mergeCell ref="E28:H28"/>
    <mergeCell ref="E30:H30"/>
    <mergeCell ref="C19:E20"/>
    <mergeCell ref="K53:L53"/>
    <mergeCell ref="AW105:AW106"/>
    <mergeCell ref="CE81:CG81"/>
    <mergeCell ref="CA34:CC34"/>
    <mergeCell ref="CE34:CG34"/>
    <mergeCell ref="AB47:AC47"/>
    <mergeCell ref="AB48:AC48"/>
    <mergeCell ref="BW34:BY34"/>
    <mergeCell ref="AW35:AW42"/>
    <mergeCell ref="AW43:AW50"/>
    <mergeCell ref="AW51:AW55"/>
    <mergeCell ref="AB49:AC49"/>
    <mergeCell ref="AW56:AW63"/>
    <mergeCell ref="AW64:AW71"/>
    <mergeCell ref="AW72:AW73"/>
    <mergeCell ref="AW99:AW104"/>
    <mergeCell ref="AW90:AW97"/>
    <mergeCell ref="CA81:CC81"/>
    <mergeCell ref="BW81:BY81"/>
    <mergeCell ref="AO87:AP87"/>
    <mergeCell ref="AA96:AB96"/>
    <mergeCell ref="BR78:BS78"/>
    <mergeCell ref="AA93:AB94"/>
    <mergeCell ref="AA62:AB63"/>
    <mergeCell ref="AA64:AB64"/>
    <mergeCell ref="A1:K1"/>
    <mergeCell ref="Q34:Y35"/>
    <mergeCell ref="I2:K2"/>
    <mergeCell ref="I5:K5"/>
    <mergeCell ref="I6:K6"/>
    <mergeCell ref="I7:K7"/>
    <mergeCell ref="I10:K10"/>
    <mergeCell ref="I11:K11"/>
    <mergeCell ref="I13:K13"/>
    <mergeCell ref="I14:K14"/>
    <mergeCell ref="I25:K25"/>
    <mergeCell ref="I19:K19"/>
    <mergeCell ref="I20:K20"/>
    <mergeCell ref="E31:H31"/>
    <mergeCell ref="F2:H2"/>
    <mergeCell ref="A30:D30"/>
    <mergeCell ref="A31:D31"/>
    <mergeCell ref="O3:R3"/>
    <mergeCell ref="O2:R2"/>
    <mergeCell ref="L2:N2"/>
    <mergeCell ref="L11:N11"/>
    <mergeCell ref="L3:N3"/>
    <mergeCell ref="O26:R26"/>
    <mergeCell ref="N35:P35"/>
    <mergeCell ref="C2:E2"/>
    <mergeCell ref="V2:Y2"/>
    <mergeCell ref="C9:E11"/>
    <mergeCell ref="C13:E14"/>
    <mergeCell ref="L9:N9"/>
    <mergeCell ref="AY29:BF29"/>
    <mergeCell ref="BG29:BN29"/>
    <mergeCell ref="A28:D28"/>
    <mergeCell ref="Z25:AC26"/>
    <mergeCell ref="A9:B11"/>
    <mergeCell ref="A3:B3"/>
    <mergeCell ref="A29:D29"/>
    <mergeCell ref="Z19:AC20"/>
    <mergeCell ref="Z16:AC17"/>
    <mergeCell ref="V5:Y7"/>
    <mergeCell ref="V9:Y11"/>
    <mergeCell ref="V13:Y14"/>
    <mergeCell ref="V25:Y26"/>
    <mergeCell ref="V19:Y20"/>
    <mergeCell ref="V16:Y17"/>
    <mergeCell ref="V3:Y3"/>
    <mergeCell ref="Z3:AC3"/>
    <mergeCell ref="Z5:AC7"/>
    <mergeCell ref="M28:X29"/>
    <mergeCell ref="S26:U26"/>
    <mergeCell ref="C5:E7"/>
    <mergeCell ref="C3:E3"/>
    <mergeCell ref="F3:H3"/>
    <mergeCell ref="L17:N17"/>
    <mergeCell ref="O17:R17"/>
    <mergeCell ref="F5:H5"/>
    <mergeCell ref="F6:H6"/>
    <mergeCell ref="F7:H7"/>
    <mergeCell ref="L16:N16"/>
    <mergeCell ref="O5:R5"/>
    <mergeCell ref="O6:R6"/>
    <mergeCell ref="O7:R7"/>
    <mergeCell ref="O10:R10"/>
    <mergeCell ref="O11:R11"/>
    <mergeCell ref="O13:R13"/>
    <mergeCell ref="O14:R14"/>
    <mergeCell ref="L5:N5"/>
    <mergeCell ref="L6:N6"/>
    <mergeCell ref="L7:N7"/>
    <mergeCell ref="L10:N10"/>
    <mergeCell ref="O16:R16"/>
    <mergeCell ref="I17:K17"/>
    <mergeCell ref="I9:K9"/>
    <mergeCell ref="F25:H25"/>
    <mergeCell ref="F16:H16"/>
    <mergeCell ref="O25:R25"/>
    <mergeCell ref="F9:H9"/>
    <mergeCell ref="AH12:AO12"/>
    <mergeCell ref="AL2:AO2"/>
    <mergeCell ref="AL3:AO3"/>
    <mergeCell ref="AL4:AO4"/>
    <mergeCell ref="AL5:AO5"/>
    <mergeCell ref="AL6:AO6"/>
    <mergeCell ref="AL7:AO7"/>
    <mergeCell ref="AL8:AO8"/>
    <mergeCell ref="AL9:AO9"/>
    <mergeCell ref="AL10:AO10"/>
    <mergeCell ref="O9:R9"/>
    <mergeCell ref="L13:N13"/>
    <mergeCell ref="L14:N14"/>
    <mergeCell ref="Z2:AC2"/>
    <mergeCell ref="AF17:AO17"/>
    <mergeCell ref="AF18:AO18"/>
    <mergeCell ref="Z9:AC11"/>
    <mergeCell ref="Z13:AC14"/>
    <mergeCell ref="I3:K3"/>
    <mergeCell ref="I16:K16"/>
    <mergeCell ref="S23:U23"/>
    <mergeCell ref="S25:U25"/>
    <mergeCell ref="AF1:AO1"/>
    <mergeCell ref="AL11:AO11"/>
    <mergeCell ref="AH4:AK4"/>
    <mergeCell ref="AH5:AK5"/>
    <mergeCell ref="AH6:AK6"/>
    <mergeCell ref="AH7:AK8"/>
    <mergeCell ref="AH9:AK9"/>
    <mergeCell ref="AH10:AK10"/>
    <mergeCell ref="AH11:AK11"/>
    <mergeCell ref="AF2:AG6"/>
    <mergeCell ref="AF7:AG11"/>
    <mergeCell ref="S14:U14"/>
    <mergeCell ref="S16:U16"/>
    <mergeCell ref="S17:U17"/>
    <mergeCell ref="AF12:AG16"/>
    <mergeCell ref="AH2:AK3"/>
    <mergeCell ref="AH13:AO13"/>
    <mergeCell ref="AH14:AO14"/>
    <mergeCell ref="AH15:AO15"/>
    <mergeCell ref="AH16:AO16"/>
    <mergeCell ref="S2:U2"/>
    <mergeCell ref="S3:U3"/>
    <mergeCell ref="AF19:AO19"/>
    <mergeCell ref="AF20:AO20"/>
    <mergeCell ref="I29:J29"/>
    <mergeCell ref="I28:J28"/>
    <mergeCell ref="A35:C35"/>
    <mergeCell ref="A36:C36"/>
    <mergeCell ref="A22:B23"/>
    <mergeCell ref="C22:E23"/>
    <mergeCell ref="F22:H22"/>
    <mergeCell ref="I22:K22"/>
    <mergeCell ref="L22:N22"/>
    <mergeCell ref="O22:R22"/>
    <mergeCell ref="V22:Y23"/>
    <mergeCell ref="Z22:AC23"/>
    <mergeCell ref="F23:H23"/>
    <mergeCell ref="I23:K23"/>
    <mergeCell ref="L23:N23"/>
    <mergeCell ref="O23:R23"/>
    <mergeCell ref="I26:K26"/>
    <mergeCell ref="L26:N26"/>
    <mergeCell ref="L25:N25"/>
    <mergeCell ref="S19:U19"/>
    <mergeCell ref="S20:U20"/>
    <mergeCell ref="S22:U22"/>
  </mergeCells>
  <conditionalFormatting sqref="BT31">
    <cfRule type="cellIs" dxfId="93" priority="98" operator="notBetween">
      <formula>-0.1</formula>
      <formula>0.1</formula>
    </cfRule>
  </conditionalFormatting>
  <conditionalFormatting sqref="A2:A3 A34:AQ34 AV34:XFD34 AR29 A81:BM81 H82:I82 I2:L2 S2:S3 AH2 AL2 AP2:AW3 AZ2:XFD3 AD2:AF2 AD3:AE3 BO81:XFD81">
    <cfRule type="notContainsBlanks" priority="89" stopIfTrue="1">
      <formula>LEN(TRIM(A2))&gt;0</formula>
    </cfRule>
  </conditionalFormatting>
  <conditionalFormatting sqref="BT77">
    <cfRule type="cellIs" dxfId="92" priority="88" operator="notBetween">
      <formula>-0.1</formula>
      <formula>0.1</formula>
    </cfRule>
  </conditionalFormatting>
  <conditionalFormatting sqref="L5:L7 L10:L12 L24:L26 L15:L21">
    <cfRule type="cellIs" dxfId="91" priority="87" operator="greaterThan">
      <formula>0</formula>
    </cfRule>
  </conditionalFormatting>
  <conditionalFormatting sqref="I5:I7 I10:I21 I24:I26">
    <cfRule type="cellIs" dxfId="90" priority="85" stopIfTrue="1" operator="greaterThan">
      <formula>2</formula>
    </cfRule>
    <cfRule type="cellIs" dxfId="89" priority="86" operator="greaterThan">
      <formula>0</formula>
    </cfRule>
  </conditionalFormatting>
  <conditionalFormatting sqref="CA1 CD2:CD3 CD5:CD15 CD18:CD26 CA27:CA1048576">
    <cfRule type="expression" dxfId="88" priority="115">
      <formula>IF(CA1&lt;&gt;CC1,TRUE)</formula>
    </cfRule>
  </conditionalFormatting>
  <conditionalFormatting sqref="BW1 BZ2:BZ3 BZ5:BZ15 BZ18:BZ26 BW27:BW1048576">
    <cfRule type="expression" dxfId="87" priority="131">
      <formula>IF(BW1&lt;BY1,TRUE)</formula>
    </cfRule>
  </conditionalFormatting>
  <conditionalFormatting sqref="CE1 CH2:CH3 CH5:CH15 CH18:CH26 CE27:CE1048576">
    <cfRule type="expression" dxfId="86" priority="134">
      <formula>IF(CE1&gt;CG1,TRUE)</formula>
    </cfRule>
  </conditionalFormatting>
  <conditionalFormatting sqref="H34:I34">
    <cfRule type="notContainsBlanks" priority="83" stopIfTrue="1">
      <formula>LEN(TRIM(H34))&gt;0</formula>
    </cfRule>
  </conditionalFormatting>
  <conditionalFormatting sqref="CC25:CC26">
    <cfRule type="expression" dxfId="85" priority="150">
      <formula>IF(CC25&lt;&gt;CC134,TRUE)</formula>
    </cfRule>
  </conditionalFormatting>
  <conditionalFormatting sqref="H38:J39">
    <cfRule type="containsBlanks" dxfId="84" priority="82">
      <formula>LEN(TRIM(H38))=0</formula>
    </cfRule>
  </conditionalFormatting>
  <conditionalFormatting sqref="CC15">
    <cfRule type="expression" dxfId="83" priority="157">
      <formula>IF(CC15&lt;&gt;CC133,TRUE)</formula>
    </cfRule>
  </conditionalFormatting>
  <conditionalFormatting sqref="CC18">
    <cfRule type="expression" dxfId="82" priority="164">
      <formula>IF(CC18&lt;&gt;CC131,TRUE)</formula>
    </cfRule>
  </conditionalFormatting>
  <conditionalFormatting sqref="CC15:CC17">
    <cfRule type="expression" dxfId="81" priority="168">
      <formula>IF(CC15&lt;&gt;CC132,TRUE)</formula>
    </cfRule>
  </conditionalFormatting>
  <conditionalFormatting sqref="L25">
    <cfRule type="cellIs" dxfId="80" priority="73" operator="greaterThan">
      <formula>0</formula>
    </cfRule>
  </conditionalFormatting>
  <conditionalFormatting sqref="CC5:CC8">
    <cfRule type="expression" dxfId="79" priority="172">
      <formula>IF(CC5&lt;&gt;CC121,TRUE)</formula>
    </cfRule>
  </conditionalFormatting>
  <conditionalFormatting sqref="CC9">
    <cfRule type="expression" dxfId="78" priority="180">
      <formula>IF(CC9&lt;&gt;CC125,TRUE)</formula>
    </cfRule>
  </conditionalFormatting>
  <conditionalFormatting sqref="CD16:CD17">
    <cfRule type="expression" dxfId="77" priority="69">
      <formula>IF(CD16&lt;&gt;CF16,TRUE)</formula>
    </cfRule>
  </conditionalFormatting>
  <conditionalFormatting sqref="BZ16:BZ17">
    <cfRule type="expression" dxfId="76" priority="70">
      <formula>IF(BZ16&lt;CB16,TRUE)</formula>
    </cfRule>
  </conditionalFormatting>
  <conditionalFormatting sqref="CH16:CH17">
    <cfRule type="expression" dxfId="75" priority="71">
      <formula>IF(CH16&gt;CJ16,TRUE)</formula>
    </cfRule>
  </conditionalFormatting>
  <conditionalFormatting sqref="CC16:CC17">
    <cfRule type="expression" dxfId="74" priority="72">
      <formula>IF(CC16&lt;&gt;CC134,TRUE)</formula>
    </cfRule>
  </conditionalFormatting>
  <conditionalFormatting sqref="I16:I17">
    <cfRule type="cellIs" dxfId="73" priority="64" stopIfTrue="1" operator="greaterThan">
      <formula>2</formula>
    </cfRule>
    <cfRule type="cellIs" dxfId="72" priority="65" operator="greaterThan">
      <formula>0</formula>
    </cfRule>
  </conditionalFormatting>
  <conditionalFormatting sqref="I9">
    <cfRule type="cellIs" dxfId="71" priority="61" stopIfTrue="1" operator="greaterThan">
      <formula>2</formula>
    </cfRule>
    <cfRule type="cellIs" dxfId="70" priority="62" operator="greaterThan">
      <formula>0</formula>
    </cfRule>
  </conditionalFormatting>
  <conditionalFormatting sqref="L9">
    <cfRule type="cellIs" dxfId="69" priority="60" operator="greaterThan">
      <formula>0</formula>
    </cfRule>
  </conditionalFormatting>
  <conditionalFormatting sqref="L16">
    <cfRule type="cellIs" dxfId="68" priority="55" operator="greaterThan">
      <formula>0</formula>
    </cfRule>
  </conditionalFormatting>
  <conditionalFormatting sqref="L17">
    <cfRule type="cellIs" dxfId="67" priority="54" operator="greaterThan">
      <formula>0</formula>
    </cfRule>
  </conditionalFormatting>
  <conditionalFormatting sqref="V5:Y21 V24:Y26">
    <cfRule type="cellIs" dxfId="66" priority="53" operator="greaterThan">
      <formula>40</formula>
    </cfRule>
  </conditionalFormatting>
  <conditionalFormatting sqref="Z5:AC21 Z24:AC26">
    <cfRule type="cellIs" dxfId="65" priority="52" operator="greaterThan">
      <formula>600</formula>
    </cfRule>
  </conditionalFormatting>
  <conditionalFormatting sqref="CC2:CC3">
    <cfRule type="expression" dxfId="64" priority="185">
      <formula>IF(CC2&lt;&gt;CC120,TRUE)</formula>
    </cfRule>
  </conditionalFormatting>
  <conditionalFormatting sqref="CD4">
    <cfRule type="expression" dxfId="63" priority="48">
      <formula>IF(CD4&lt;&gt;CF4,TRUE)</formula>
    </cfRule>
  </conditionalFormatting>
  <conditionalFormatting sqref="BZ4">
    <cfRule type="expression" dxfId="62" priority="49">
      <formula>IF(BZ4&lt;CB4,TRUE)</formula>
    </cfRule>
  </conditionalFormatting>
  <conditionalFormatting sqref="CH4">
    <cfRule type="expression" dxfId="61" priority="50">
      <formula>IF(CH4&gt;CJ4,TRUE)</formula>
    </cfRule>
  </conditionalFormatting>
  <conditionalFormatting sqref="CC4">
    <cfRule type="expression" dxfId="60" priority="51">
      <formula>IF(CC4&lt;&gt;CC120,TRUE)</formula>
    </cfRule>
  </conditionalFormatting>
  <conditionalFormatting sqref="V4:Y4">
    <cfRule type="cellIs" dxfId="59" priority="47" operator="greaterThan">
      <formula>40</formula>
    </cfRule>
  </conditionalFormatting>
  <conditionalFormatting sqref="Z4:AC4">
    <cfRule type="cellIs" dxfId="58" priority="46" operator="greaterThan">
      <formula>600</formula>
    </cfRule>
  </conditionalFormatting>
  <conditionalFormatting sqref="I3">
    <cfRule type="cellIs" dxfId="57" priority="40" stopIfTrue="1" operator="greaterThan">
      <formula>2</formula>
    </cfRule>
    <cfRule type="cellIs" dxfId="56" priority="41" operator="greaterThan">
      <formula>0</formula>
    </cfRule>
  </conditionalFormatting>
  <conditionalFormatting sqref="L3">
    <cfRule type="cellIs" dxfId="55" priority="39" operator="greaterThan">
      <formula>0</formula>
    </cfRule>
  </conditionalFormatting>
  <conditionalFormatting sqref="CC21:CC24">
    <cfRule type="expression" dxfId="54" priority="205">
      <formula>IF(CC21&lt;&gt;CC130,TRUE)</formula>
    </cfRule>
  </conditionalFormatting>
  <conditionalFormatting sqref="CC25:CC26">
    <cfRule type="expression" dxfId="53" priority="207">
      <formula>IF(CC25&lt;&gt;CC130,TRUE)</formula>
    </cfRule>
  </conditionalFormatting>
  <conditionalFormatting sqref="CC10:CC14">
    <cfRule type="expression" dxfId="52" priority="214">
      <formula>IF(CC10&lt;&gt;CC125,TRUE)</formula>
    </cfRule>
  </conditionalFormatting>
  <conditionalFormatting sqref="AL3">
    <cfRule type="notContainsBlanks" priority="38" stopIfTrue="1">
      <formula>LEN(TRIM(AL3))&gt;0</formula>
    </cfRule>
  </conditionalFormatting>
  <conditionalFormatting sqref="AL4">
    <cfRule type="notContainsBlanks" priority="37" stopIfTrue="1">
      <formula>LEN(TRIM(AL4))&gt;0</formula>
    </cfRule>
  </conditionalFormatting>
  <conditionalFormatting sqref="AL5">
    <cfRule type="notContainsBlanks" priority="36" stopIfTrue="1">
      <formula>LEN(TRIM(AL5))&gt;0</formula>
    </cfRule>
  </conditionalFormatting>
  <conditionalFormatting sqref="AL6">
    <cfRule type="notContainsBlanks" priority="35" stopIfTrue="1">
      <formula>LEN(TRIM(AL6))&gt;0</formula>
    </cfRule>
  </conditionalFormatting>
  <conditionalFormatting sqref="AL7">
    <cfRule type="notContainsBlanks" priority="34" stopIfTrue="1">
      <formula>LEN(TRIM(AL7))&gt;0</formula>
    </cfRule>
  </conditionalFormatting>
  <conditionalFormatting sqref="AL8">
    <cfRule type="notContainsBlanks" priority="33" stopIfTrue="1">
      <formula>LEN(TRIM(AL8))&gt;0</formula>
    </cfRule>
  </conditionalFormatting>
  <conditionalFormatting sqref="AL9">
    <cfRule type="notContainsBlanks" priority="32" stopIfTrue="1">
      <formula>LEN(TRIM(AL9))&gt;0</formula>
    </cfRule>
  </conditionalFormatting>
  <conditionalFormatting sqref="AL10">
    <cfRule type="notContainsBlanks" priority="31" stopIfTrue="1">
      <formula>LEN(TRIM(AL10))&gt;0</formula>
    </cfRule>
  </conditionalFormatting>
  <conditionalFormatting sqref="AL11">
    <cfRule type="notContainsBlanks" priority="30" stopIfTrue="1">
      <formula>LEN(TRIM(AL11))&gt;0</formula>
    </cfRule>
  </conditionalFormatting>
  <conditionalFormatting sqref="CC19:CC24">
    <cfRule type="expression" dxfId="51" priority="218">
      <formula>IF(CC19&lt;&gt;CC131,TRUE)</formula>
    </cfRule>
  </conditionalFormatting>
  <conditionalFormatting sqref="L22:L23">
    <cfRule type="cellIs" dxfId="50" priority="29" operator="greaterThan">
      <formula>0</formula>
    </cfRule>
  </conditionalFormatting>
  <conditionalFormatting sqref="I22:I23">
    <cfRule type="cellIs" dxfId="49" priority="27" stopIfTrue="1" operator="greaterThan">
      <formula>2</formula>
    </cfRule>
    <cfRule type="cellIs" dxfId="48" priority="28" operator="greaterThan">
      <formula>0</formula>
    </cfRule>
  </conditionalFormatting>
  <conditionalFormatting sqref="V22:Y23">
    <cfRule type="cellIs" dxfId="47" priority="26" operator="greaterThan">
      <formula>40</formula>
    </cfRule>
  </conditionalFormatting>
  <conditionalFormatting sqref="Z22:AC23">
    <cfRule type="cellIs" dxfId="46" priority="25" operator="greaterThan">
      <formula>600</formula>
    </cfRule>
  </conditionalFormatting>
  <conditionalFormatting sqref="L13:L14">
    <cfRule type="cellIs" dxfId="45" priority="24" operator="greaterThan">
      <formula>0</formula>
    </cfRule>
  </conditionalFormatting>
  <conditionalFormatting sqref="S25:S26">
    <cfRule type="notContainsBlanks" priority="2" stopIfTrue="1">
      <formula>LEN(TRIM(S25))&gt;0</formula>
    </cfRule>
  </conditionalFormatting>
  <conditionalFormatting sqref="S5:S7">
    <cfRule type="notContainsBlanks" priority="8" stopIfTrue="1">
      <formula>LEN(TRIM(S5))&gt;0</formula>
    </cfRule>
  </conditionalFormatting>
  <conditionalFormatting sqref="S9:S11">
    <cfRule type="notContainsBlanks" priority="7" stopIfTrue="1">
      <formula>LEN(TRIM(S9))&gt;0</formula>
    </cfRule>
  </conditionalFormatting>
  <conditionalFormatting sqref="S13:S14">
    <cfRule type="notContainsBlanks" priority="6" stopIfTrue="1">
      <formula>LEN(TRIM(S13))&gt;0</formula>
    </cfRule>
  </conditionalFormatting>
  <conditionalFormatting sqref="S16:S17">
    <cfRule type="notContainsBlanks" priority="5" stopIfTrue="1">
      <formula>LEN(TRIM(S16))&gt;0</formula>
    </cfRule>
  </conditionalFormatting>
  <conditionalFormatting sqref="S19:S20">
    <cfRule type="notContainsBlanks" priority="4" stopIfTrue="1">
      <formula>LEN(TRIM(S19))&gt;0</formula>
    </cfRule>
  </conditionalFormatting>
  <conditionalFormatting sqref="S22:S23">
    <cfRule type="notContainsBlanks" priority="3" stopIfTrue="1">
      <formula>LEN(TRIM(S22))&gt;0</formula>
    </cfRule>
  </conditionalFormatting>
  <conditionalFormatting sqref="BN81">
    <cfRule type="notContainsBlanks" priority="1" stopIfTrue="1">
      <formula>LEN(TRIM(BN81))&gt;0</formula>
    </cfRule>
  </conditionalFormatting>
  <dataValidations count="3">
    <dataValidation type="list" allowBlank="1" showInputMessage="1" showErrorMessage="1" sqref="D39:E39" xr:uid="{00000000-0002-0000-1700-000000000000}">
      <formula1>"None,'SEP-1,'SEP-5,'SEP-9"</formula1>
    </dataValidation>
    <dataValidation type="list" allowBlank="1" showInputMessage="1" showErrorMessage="1" sqref="D38:E38" xr:uid="{00000000-0002-0000-1700-000001000000}">
      <formula1>"None,C2L-1,C2L-78,1a-2,1b-1,2b-2,2a-1,'SEP-3,'SEP-7"</formula1>
    </dataValidation>
    <dataValidation type="list" allowBlank="1" showInputMessage="1" showErrorMessage="1" sqref="D35:D36" xr:uid="{00000000-0002-0000-1700-000002000000}">
      <formula1>"TRUE,FALSE"</formula1>
    </dataValidation>
  </dataValidations>
  <printOptions horizontalCentered="1" verticalCentered="1"/>
  <pageMargins left="0.7" right="0.7" top="0.75" bottom="0.75" header="0.3" footer="0.3"/>
  <pageSetup paperSize="9" scale="61" fitToHeight="0" orientation="landscape" horizontalDpi="1200" verticalDpi="1200" r:id="rId1"/>
  <rowBreaks count="1" manualBreakCount="1">
    <brk id="74" max="16383" man="1"/>
  </rowBreaks>
  <ignoredErrors>
    <ignoredError sqref="AP18:AQ18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0">
    <tabColor rgb="FFFF0000"/>
  </sheetPr>
  <dimension ref="A1:AI133"/>
  <sheetViews>
    <sheetView workbookViewId="0">
      <pane xSplit="2" ySplit="8" topLeftCell="C9" activePane="bottomRight" state="frozenSplit"/>
      <selection pane="topRight" activeCell="C1" sqref="C1"/>
      <selection pane="bottomLeft" activeCell="A9" sqref="A9"/>
      <selection pane="bottomRight" activeCell="H10" sqref="H10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MIN(AMP5_4[Date])</f>
        <v>43698.528321759259</v>
      </c>
      <c r="D1" s="310"/>
      <c r="E1" s="794" t="s">
        <v>40</v>
      </c>
      <c r="F1" s="2">
        <f>IFERROR(AVERAGEIFS(AMP5_4[[#All],[Dim 1_1]],AMP5_4[[#All],[Blade Part Number]],$B1,AMP5_4[[#All],[Date]],"&gt;"&amp;$A$1,AMP5_4[[#All],[Date]],"&lt;"&amp;$A$2),"")</f>
        <v>41.547790322580646</v>
      </c>
      <c r="G1" s="2">
        <f>IFERROR(AVERAGEIFS(AMP5_4[[#All],[Dim 1_2]],AMP5_4[[#All],[Blade Part Number]],$B1,AMP5_4[[#All],[Date]],"&gt;"&amp;$A$1,AMP5_4[[#All],[Date]],"&lt;"&amp;$A$2),"")</f>
        <v>41.576951612903237</v>
      </c>
      <c r="H1" s="2">
        <f>IFERROR(AVERAGEIFS(AMP5_4[[#All],[Dim 2_1]],AMP5_4[[#All],[Blade Part Number]],$B1,AMP5_4[[#All],[Date]],"&gt;"&amp;$A$1,AMP5_4[[#All],[Date]],"&lt;"&amp;$A$2),"")</f>
        <v>155.81677419354844</v>
      </c>
      <c r="I1" s="2">
        <f>IFERROR(AVERAGEIFS(AMP5_4[[#All],[Dim 2_2]],AMP5_4[[#All],[Blade Part Number]],$B1,AMP5_4[[#All],[Date]],"&gt;"&amp;$A$1,AMP5_4[[#All],[Date]],"&lt;"&amp;$A$2),"")</f>
        <v>155.86098387096774</v>
      </c>
      <c r="J1" s="2" t="str">
        <f>IFERROR(AVERAGEIFS(AMP5_4[[#All],[Dim 3_1]],AMP5_4[[#All],[Blade Part Number]],$B1,AMP5_4[[#All],[Date]],"&gt;"&amp;$A$1,AMP5_4[[#All],[Date]],"&lt;"&amp;$A$2),"")</f>
        <v/>
      </c>
      <c r="K1" s="2" t="str">
        <f>IFERROR(AVERAGEIFS(AMP5_4[[#All],[Dim 3_2]],AMP5_4[[#All],[Blade Part Number]],$B1,AMP5_4[[#All],[Date]],"&gt;"&amp;$A$1,AMP5_4[[#All],[Date]],"&lt;"&amp;$A$2),"")</f>
        <v/>
      </c>
      <c r="L1" s="2">
        <f>IFERROR(AVERAGEIFS(AMP5_4[[#All],[Dim 4_1]],AMP5_4[[#All],[Blade Part Number]],$B1,AMP5_4[[#All],[Date]],"&gt;"&amp;$A$1,AMP5_4[[#All],[Date]],"&lt;"&amp;$A$2),"")</f>
        <v>155.91491935483867</v>
      </c>
      <c r="M1" s="2">
        <f>IFERROR(AVERAGEIFS(AMP5_4[[#All],[Dim 4_2]],AMP5_4[[#All],[Blade Part Number]],$B1,AMP5_4[[#All],[Date]],"&gt;"&amp;$A$1,AMP5_4[[#All],[Date]],"&lt;"&amp;$A$2),"")</f>
        <v>155.72151612903221</v>
      </c>
      <c r="N1" s="2">
        <f>IFERROR(AVERAGEIFS(AMP5_4[[#All],[Dim 5_1]],AMP5_4[[#All],[Blade Part Number]],$B1,AMP5_4[[#All],[Date]],"&gt;"&amp;$A$1,AMP5_4[[#All],[Date]],"&lt;"&amp;$A$2),"")</f>
        <v>27.284661290322575</v>
      </c>
      <c r="O1" s="2">
        <f>IFERROR(AVERAGEIFS(AMP5_4[[#All],[Dim 5_2]],AMP5_4[[#All],[Blade Part Number]],$B1,AMP5_4[[#All],[Date]],"&gt;"&amp;$A$1,AMP5_4[[#All],[Date]],"&lt;"&amp;$A$2),"")</f>
        <v>27.337080645161297</v>
      </c>
      <c r="P1" s="2" t="str">
        <f>IFERROR(AVERAGEIFS(AMP5_4[[#All],[Dim 6]],AMP5_4[[#All],[Blade Part Number]],$B1,AMP5_4[[#All],[Date]],"&gt;"&amp;$A$1,AMP5_4[[#All],[Date]],"&lt;"&amp;$A$2),"")</f>
        <v/>
      </c>
      <c r="Q1" s="2" t="str">
        <f>IFERROR(AVERAGEIFS(AMP5_4[[#All],[Dim 7]],AMP5_4[[#All],[Blade Part Number]],$B1,AMP5_4[[#All],[Date]],"&gt;"&amp;$A$1,AMP5_4[[#All],[Date]],"&lt;"&amp;$A$2),"")</f>
        <v/>
      </c>
      <c r="R1" s="2">
        <f>IFERROR(AVERAGEIFS(AMP5_4[[#All],[Dim 9_1]],AMP5_4[[#All],[Blade Part Number]],$B1,AMP5_4[[#All],[Date]],"&gt;"&amp;$A$1,AMP5_4[[#All],[Date]],"&lt;"&amp;$A$2),"")</f>
        <v>17.257354838709681</v>
      </c>
      <c r="S1" s="2">
        <f>IFERROR(AVERAGEIFS(AMP5_4[[#All],[Dim 9_2]],AMP5_4[[#All],[Blade Part Number]],$B1,AMP5_4[[#All],[Date]],"&gt;"&amp;$A$1,AMP5_4[[#All],[Date]],"&lt;"&amp;$A$2),"")</f>
        <v>17.24077419354839</v>
      </c>
      <c r="T1" s="2">
        <f>IFERROR(AVERAGEIFS(AMP5_4[[#All],[Dim 10_1]],AMP5_4[[#All],[Blade Part Number]],$B1,AMP5_4[[#All],[Date]],"&gt;"&amp;$A$1,AMP5_4[[#All],[Date]],"&lt;"&amp;$A$2),"")</f>
        <v>33.445129032258066</v>
      </c>
      <c r="U1" s="2">
        <f>IFERROR(AVERAGEIFS(AMP5_4[[#All],[Dim 10_2]],AMP5_4[[#All],[Blade Part Number]],$B1,AMP5_4[[#All],[Date]],"&gt;"&amp;$A$1,AMP5_4[[#All],[Date]],"&lt;"&amp;$A$2),"")</f>
        <v>34.099354838709679</v>
      </c>
      <c r="V1" s="2" t="str">
        <f>IFERROR(AVERAGEIFS(AMP5_4[[#All],[Dim 11]],AMP5_4[[#All],[Blade Part Number]],$B1,AMP5_4[[#All],[Date]],"&gt;"&amp;$A$1,AMP5_4[[#All],[Date]],"&lt;"&amp;$A$2),"")</f>
        <v/>
      </c>
      <c r="W1" s="2">
        <f>IFERROR(AVERAGEIFS(AMP5_4[[#All],[Dim 11 Max]],AMP5_4[[#All],[Blade Part Number]],$B1,AMP5_4[[#All],[Date]],"&gt;"&amp;$A$1,AMP5_4[[#All],[Date]],"&lt;"&amp;$A$2),"")</f>
        <v>8.785483870967746E-2</v>
      </c>
      <c r="X1" s="2">
        <f>IFERROR(AVERAGEIFS(AMP5_4[[#All],[Dim 11 Min]],AMP5_4[[#All],[Blade Part Number]],$B1,AMP5_4[[#All],[Date]],"&gt;"&amp;$A$1,AMP5_4[[#All],[Date]],"&lt;"&amp;$A$2),"")</f>
        <v>-0.10704838709677417</v>
      </c>
      <c r="Y1" s="2" t="str">
        <f>IFERROR(AVERAGEIFS(AMP5_4[[#All],[Dim 12]],AMP5_4[[#All],[Blade Part Number]],$B1,AMP5_4[[#All],[Date]],"&gt;"&amp;$A$1,AMP5_4[[#All],[Date]],"&lt;"&amp;$A$2),"")</f>
        <v/>
      </c>
      <c r="Z1" s="2">
        <f>IFERROR(AVERAGEIFS(AMP5_4[[#All],[Dim 12 Max]],AMP5_4[[#All],[Blade Part Number]],$B1,AMP5_4[[#All],[Date]],"&gt;"&amp;$A$1,AMP5_4[[#All],[Date]],"&lt;"&amp;$A$2),"")</f>
        <v>9.4693548387096774E-2</v>
      </c>
      <c r="AA1" s="2">
        <f>IFERROR(AVERAGEIFS(AMP5_4[[#All],[Dim 12 Min]],AMP5_4[[#All],[Blade Part Number]],$B1,AMP5_4[[#All],[Date]],"&gt;"&amp;$A$1,AMP5_4[[#All],[Date]],"&lt;"&amp;$A$2),"")</f>
        <v>-8.3854838709677429E-2</v>
      </c>
      <c r="AB1" s="2">
        <f>IFERROR(AVERAGEIFS(AMP5_4[[#All],[T 1]],AMP5_4[[#All],[Blade Part Number]],$B1,AMP5_4[[#All],[Date]],"&gt;"&amp;$A$1,AMP5_4[[#All],[Date]],"&lt;"&amp;$A$2),"")</f>
        <v>-3.1370967741935478E-2</v>
      </c>
      <c r="AC1" s="2">
        <f>IFERROR(AVERAGEIFS(AMP5_4[[#All],[T 2]],AMP5_4[[#All],[Blade Part Number]],$B1,AMP5_4[[#All],[Date]],"&gt;"&amp;$A$1,AMP5_4[[#All],[Date]],"&lt;"&amp;$A$2),"")</f>
        <v>-7.8064516129032254E-3</v>
      </c>
      <c r="AD1" s="2">
        <f>IFERROR(AVERAGEIFS(AMP5_4[[#All],[T 3]],AMP5_4[[#All],[Blade Part Number]],$B1,AMP5_4[[#All],[Date]],"&gt;"&amp;$A$1,AMP5_4[[#All],[Date]],"&lt;"&amp;$A$2),"")</f>
        <v>6.8854838709677416E-2</v>
      </c>
      <c r="AE1" s="2">
        <f>IFERROR(AVERAGEIFS(AMP5_4[[#All],[T 4]],AMP5_4[[#All],[Blade Part Number]],$B1,AMP5_4[[#All],[Date]],"&gt;"&amp;$A$1,AMP5_4[[#All],[Date]],"&lt;"&amp;$A$2),"")</f>
        <v>-7.7225806451612922E-2</v>
      </c>
      <c r="AF1" s="2">
        <f>IFERROR(AVERAGEIFS(AMP5_4[[#All],[T 5]],AMP5_4[[#All],[Blade Part Number]],$B1,AMP5_4[[#All],[Date]],"&gt;"&amp;$A$1,AMP5_4[[#All],[Date]],"&lt;"&amp;$A$2),"")</f>
        <v>2.7629032258064519E-2</v>
      </c>
      <c r="AG1" s="2">
        <f>IFERROR(AVERAGEIFS(AMP5_4[[#All],[T 6]],AMP5_4[[#All],[Blade Part Number]],$B1,AMP5_4[[#All],[Date]],"&gt;"&amp;$A$1,AMP5_4[[#All],[Date]],"&lt;"&amp;$A$2),"")</f>
        <v>-2.196774193548387E-2</v>
      </c>
      <c r="AH1" s="2">
        <f>IFERROR(AVERAGEIFS(AMP5_4[[#All],[T 7]],AMP5_4[[#All],[Blade Part Number]],$B1,AMP5_4[[#All],[Date]],"&gt;"&amp;$A$1,AMP5_4[[#All],[Date]],"&lt;"&amp;$A$2),"")</f>
        <v>-2.6935483870967739E-2</v>
      </c>
      <c r="AI1" s="2">
        <f>IFERROR(AVERAGEIFS(AMP5_4[[#All],[T 8]],AMP5_4[[#All],[Blade Part Number]],$B1,AMP5_4[[#All],[Date]],"&gt;"&amp;$A$1,AMP5_4[[#All],[Date]],"&lt;"&amp;$A$2),"")</f>
        <v>2.749999999999999E-2</v>
      </c>
    </row>
    <row r="2" spans="1:35" x14ac:dyDescent="0.25">
      <c r="A2" s="1">
        <f>'Offset Solver'!E31</f>
        <v>73050</v>
      </c>
      <c r="B2" s="12" t="s">
        <v>31</v>
      </c>
      <c r="C2" s="25">
        <f>MAX(AMP5_4[Date])</f>
        <v>43711.822476851848</v>
      </c>
      <c r="D2" s="310"/>
      <c r="E2" s="794"/>
      <c r="F2" s="2" t="str">
        <f>IFERROR(AVERAGEIFS(AMP5_4[[#All],[Dim 1_1]],AMP5_4[[#All],[Blade Part Number]],$B2,AMP5_4[[#All],[Date]],"&gt;"&amp;$A$1,AMP5_4[[#All],[Date]],"&lt;"&amp;$A$2),"")</f>
        <v/>
      </c>
      <c r="G2" s="2" t="str">
        <f>IFERROR(AVERAGEIFS(AMP5_4[[#All],[Dim 1_2]],AMP5_4[[#All],[Blade Part Number]],$B2,AMP5_4[[#All],[Date]],"&gt;"&amp;$A$1,AMP5_4[[#All],[Date]],"&lt;"&amp;$A$2),"")</f>
        <v/>
      </c>
      <c r="H2" s="2">
        <f>IFERROR(AVERAGEIFS(AMP5_4[[#All],[Dim 2_1]],AMP5_4[[#All],[Blade Part Number]],$B2,AMP5_4[[#All],[Date]],"&gt;"&amp;$A$1,AMP5_4[[#All],[Date]],"&lt;"&amp;$A$2),"")</f>
        <v>155.60646774193546</v>
      </c>
      <c r="I2" s="2">
        <f>IFERROR(AVERAGEIFS(AMP5_4[[#All],[Dim 2_2]],AMP5_4[[#All],[Blade Part Number]],$B2,AMP5_4[[#All],[Date]],"&gt;"&amp;$A$1,AMP5_4[[#All],[Date]],"&lt;"&amp;$A$2),"")</f>
        <v>155.60890322580647</v>
      </c>
      <c r="J2" s="2">
        <f>IFERROR(AVERAGEIFS(AMP5_4[[#All],[Dim 3_1]],AMP5_4[[#All],[Blade Part Number]],$B2,AMP5_4[[#All],[Date]],"&gt;"&amp;$A$1,AMP5_4[[#All],[Date]],"&lt;"&amp;$A$2),"")</f>
        <v>168.7206129032258</v>
      </c>
      <c r="K2" s="2">
        <f>IFERROR(AVERAGEIFS(AMP5_4[[#All],[Dim 3_2]],AMP5_4[[#All],[Blade Part Number]],$B2,AMP5_4[[#All],[Date]],"&gt;"&amp;$A$1,AMP5_4[[#All],[Date]],"&lt;"&amp;$A$2),"")</f>
        <v>168.78733870967736</v>
      </c>
      <c r="L2" s="2">
        <f>IFERROR(AVERAGEIFS(AMP5_4[[#All],[Dim 4_1]],AMP5_4[[#All],[Blade Part Number]],$B2,AMP5_4[[#All],[Date]],"&gt;"&amp;$A$1,AMP5_4[[#All],[Date]],"&lt;"&amp;$A$2),"")</f>
        <v>155.70735483870968</v>
      </c>
      <c r="M2" s="2">
        <f>IFERROR(AVERAGEIFS(AMP5_4[[#All],[Dim 4_2]],AMP5_4[[#All],[Blade Part Number]],$B2,AMP5_4[[#All],[Date]],"&gt;"&amp;$A$1,AMP5_4[[#All],[Date]],"&lt;"&amp;$A$2),"")</f>
        <v>155.48053225806447</v>
      </c>
      <c r="N2" s="2">
        <f>IFERROR(AVERAGEIFS(AMP5_4[[#All],[Dim 5_1]],AMP5_4[[#All],[Blade Part Number]],$B2,AMP5_4[[#All],[Date]],"&gt;"&amp;$A$1,AMP5_4[[#All],[Date]],"&lt;"&amp;$A$2),"")</f>
        <v>27.525790322580651</v>
      </c>
      <c r="O2" s="2">
        <f>IFERROR(AVERAGEIFS(AMP5_4[[#All],[Dim 5_2]],AMP5_4[[#All],[Blade Part Number]],$B2,AMP5_4[[#All],[Date]],"&gt;"&amp;$A$1,AMP5_4[[#All],[Date]],"&lt;"&amp;$A$2),"")</f>
        <v>27.795838709677415</v>
      </c>
      <c r="P2" s="2" t="str">
        <f>IFERROR(AVERAGEIFS(AMP5_4[[#All],[Dim 6]],AMP5_4[[#All],[Blade Part Number]],$B2,AMP5_4[[#All],[Date]],"&gt;"&amp;$A$1,AMP5_4[[#All],[Date]],"&lt;"&amp;$A$2),"")</f>
        <v/>
      </c>
      <c r="Q2" s="2" t="str">
        <f>IFERROR(AVERAGEIFS(AMP5_4[[#All],[Dim 7]],AMP5_4[[#All],[Blade Part Number]],$B2,AMP5_4[[#All],[Date]],"&gt;"&amp;$A$1,AMP5_4[[#All],[Date]],"&lt;"&amp;$A$2),"")</f>
        <v/>
      </c>
      <c r="R2" s="2">
        <f>IFERROR(AVERAGEIFS(AMP5_4[[#All],[Dim 9_1]],AMP5_4[[#All],[Blade Part Number]],$B2,AMP5_4[[#All],[Date]],"&gt;"&amp;$A$1,AMP5_4[[#All],[Date]],"&lt;"&amp;$A$2),"")</f>
        <v>17.286112903225803</v>
      </c>
      <c r="S2" s="2">
        <f>IFERROR(AVERAGEIFS(AMP5_4[[#All],[Dim 9_2]],AMP5_4[[#All],[Blade Part Number]],$B2,AMP5_4[[#All],[Date]],"&gt;"&amp;$A$1,AMP5_4[[#All],[Date]],"&lt;"&amp;$A$2),"")</f>
        <v>17.329112903225806</v>
      </c>
      <c r="T2" s="2">
        <f>IFERROR(AVERAGEIFS(AMP5_4[[#All],[Dim 10_1]],AMP5_4[[#All],[Blade Part Number]],$B2,AMP5_4[[#All],[Date]],"&gt;"&amp;$A$1,AMP5_4[[#All],[Date]],"&lt;"&amp;$A$2),"")</f>
        <v>37.095112903225818</v>
      </c>
      <c r="U2" s="2">
        <f>IFERROR(AVERAGEIFS(AMP5_4[[#All],[Dim 10_2]],AMP5_4[[#All],[Blade Part Number]],$B2,AMP5_4[[#All],[Date]],"&gt;"&amp;$A$1,AMP5_4[[#All],[Date]],"&lt;"&amp;$A$2),"")</f>
        <v>37.991612903225807</v>
      </c>
      <c r="V2" s="2" t="str">
        <f>IFERROR(AVERAGEIFS(AMP5_4[[#All],[Dim 11]],AMP5_4[[#All],[Blade Part Number]],$B2,AMP5_4[[#All],[Date]],"&gt;"&amp;$A$1,AMP5_4[[#All],[Date]],"&lt;"&amp;$A$2),"")</f>
        <v/>
      </c>
      <c r="W2" s="2">
        <f>IFERROR(AVERAGEIFS(AMP5_4[[#All],[Dim 11 Max]],AMP5_4[[#All],[Blade Part Number]],$B2,AMP5_4[[#All],[Date]],"&gt;"&amp;$A$1,AMP5_4[[#All],[Date]],"&lt;"&amp;$A$2),"")</f>
        <v>0.1670322580645161</v>
      </c>
      <c r="X2" s="2">
        <f>IFERROR(AVERAGEIFS(AMP5_4[[#All],[Dim 11 Min]],AMP5_4[[#All],[Blade Part Number]],$B2,AMP5_4[[#All],[Date]],"&gt;"&amp;$A$1,AMP5_4[[#All],[Date]],"&lt;"&amp;$A$2),"")</f>
        <v>-0.18056451612903224</v>
      </c>
      <c r="Y2" s="2" t="str">
        <f>IFERROR(AVERAGEIFS(AMP5_4[[#All],[Dim 12]],AMP5_4[[#All],[Blade Part Number]],$B2,AMP5_4[[#All],[Date]],"&gt;"&amp;$A$1,AMP5_4[[#All],[Date]],"&lt;"&amp;$A$2),"")</f>
        <v/>
      </c>
      <c r="Z2" s="2">
        <f>IFERROR(AVERAGEIFS(AMP5_4[[#All],[Dim 12 Max]],AMP5_4[[#All],[Blade Part Number]],$B2,AMP5_4[[#All],[Date]],"&gt;"&amp;$A$1,AMP5_4[[#All],[Date]],"&lt;"&amp;$A$2),"")</f>
        <v>6.0370967741935497E-2</v>
      </c>
      <c r="AA2" s="2">
        <f>IFERROR(AVERAGEIFS(AMP5_4[[#All],[Dim 12 Min]],AMP5_4[[#All],[Blade Part Number]],$B2,AMP5_4[[#All],[Date]],"&gt;"&amp;$A$1,AMP5_4[[#All],[Date]],"&lt;"&amp;$A$2),"")</f>
        <v>-0.11672580645161289</v>
      </c>
      <c r="AB2" s="2">
        <f>IFERROR(AVERAGEIFS(AMP5_4[[#All],[T 1]],AMP5_4[[#All],[Blade Part Number]],$B2,AMP5_4[[#All],[Date]],"&gt;"&amp;$A$1,AMP5_4[[#All],[Date]],"&lt;"&amp;$A$2),"")</f>
        <v>7.8483870967741939E-2</v>
      </c>
      <c r="AC2" s="2">
        <f>IFERROR(AVERAGEIFS(AMP5_4[[#All],[T 2]],AMP5_4[[#All],[Blade Part Number]],$B2,AMP5_4[[#All],[Date]],"&gt;"&amp;$A$1,AMP5_4[[#All],[Date]],"&lt;"&amp;$A$2),"")</f>
        <v>4.4177419354838723E-2</v>
      </c>
      <c r="AD2" s="2">
        <f>IFERROR(AVERAGEIFS(AMP5_4[[#All],[T 3]],AMP5_4[[#All],[Blade Part Number]],$B2,AMP5_4[[#All],[Date]],"&gt;"&amp;$A$1,AMP5_4[[#All],[Date]],"&lt;"&amp;$A$2),"")</f>
        <v>0.13640322580645162</v>
      </c>
      <c r="AE2" s="2">
        <f>IFERROR(AVERAGEIFS(AMP5_4[[#All],[T 4]],AMP5_4[[#All],[Blade Part Number]],$B2,AMP5_4[[#All],[Date]],"&gt;"&amp;$A$1,AMP5_4[[#All],[Date]],"&lt;"&amp;$A$2),"")</f>
        <v>-0.16462903225806452</v>
      </c>
      <c r="AF2" s="2">
        <f>IFERROR(AVERAGEIFS(AMP5_4[[#All],[T 5]],AMP5_4[[#All],[Blade Part Number]],$B2,AMP5_4[[#All],[Date]],"&gt;"&amp;$A$1,AMP5_4[[#All],[Date]],"&lt;"&amp;$A$2),"")</f>
        <v>2.1241935483870978E-2</v>
      </c>
      <c r="AG2" s="2">
        <f>IFERROR(AVERAGEIFS(AMP5_4[[#All],[T 6]],AMP5_4[[#All],[Blade Part Number]],$B2,AMP5_4[[#All],[Date]],"&gt;"&amp;$A$1,AMP5_4[[#All],[Date]],"&lt;"&amp;$A$2),"")</f>
        <v>-4.0112903225806455E-2</v>
      </c>
      <c r="AH2" s="2">
        <f>IFERROR(AVERAGEIFS(AMP5_4[[#All],[T 7]],AMP5_4[[#All],[Blade Part Number]],$B2,AMP5_4[[#All],[Date]],"&gt;"&amp;$A$1,AMP5_4[[#All],[Date]],"&lt;"&amp;$A$2),"")</f>
        <v>-5.435483870967741E-2</v>
      </c>
      <c r="AI2" s="2">
        <f>IFERROR(AVERAGEIFS(AMP5_4[[#All],[T 8]],AMP5_4[[#All],[Blade Part Number]],$B2,AMP5_4[[#All],[Date]],"&gt;"&amp;$A$1,AMP5_4[[#All],[Date]],"&lt;"&amp;$A$2),"")</f>
        <v>-3.9967741935483865E-2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0.24779032258064859</v>
      </c>
      <c r="G6" s="11">
        <f t="shared" si="0"/>
        <v>0.27695161290323966</v>
      </c>
      <c r="H6" s="11">
        <f t="shared" si="0"/>
        <v>1.6774193548428684E-2</v>
      </c>
      <c r="I6" s="11">
        <f t="shared" si="0"/>
        <v>6.0983870967731946E-2</v>
      </c>
      <c r="J6" s="11" t="str">
        <f t="shared" si="0"/>
        <v/>
      </c>
      <c r="K6" s="11" t="str">
        <f t="shared" si="0"/>
        <v/>
      </c>
      <c r="L6" s="11">
        <f t="shared" si="0"/>
        <v>0.114919354838662</v>
      </c>
      <c r="M6" s="11">
        <f t="shared" si="0"/>
        <v>-7.8483870967801295E-2</v>
      </c>
      <c r="N6" s="11">
        <f t="shared" si="0"/>
        <v>-0.11533870967742388</v>
      </c>
      <c r="O6" s="11">
        <f t="shared" si="0"/>
        <v>-6.291935483870148E-2</v>
      </c>
      <c r="P6" s="11" t="str">
        <f t="shared" si="0"/>
        <v/>
      </c>
      <c r="Q6" s="11" t="str">
        <f t="shared" si="0"/>
        <v/>
      </c>
      <c r="R6" s="11">
        <f t="shared" si="0"/>
        <v>7.3548387096806778E-3</v>
      </c>
      <c r="S6" s="11">
        <f t="shared" si="0"/>
        <v>-9.2258064516101967E-3</v>
      </c>
      <c r="T6" s="11">
        <f t="shared" si="0"/>
        <v>1.4451290322580661</v>
      </c>
      <c r="U6" s="11">
        <f t="shared" si="0"/>
        <v>2.0993548387096794</v>
      </c>
      <c r="V6" s="11" t="str">
        <f t="shared" si="0"/>
        <v/>
      </c>
      <c r="W6" s="11">
        <f t="shared" si="0"/>
        <v>8.785483870967746E-2</v>
      </c>
      <c r="X6" s="11">
        <f t="shared" si="0"/>
        <v>-0.10704838709677417</v>
      </c>
      <c r="Y6" s="11" t="str">
        <f t="shared" si="0"/>
        <v/>
      </c>
      <c r="Z6" s="11">
        <f t="shared" si="0"/>
        <v>9.4693548387096774E-2</v>
      </c>
      <c r="AA6" s="11">
        <f t="shared" si="0"/>
        <v>-8.3854838709677429E-2</v>
      </c>
      <c r="AB6" s="406">
        <f t="shared" si="0"/>
        <v>-3.1370967741935478E-2</v>
      </c>
      <c r="AC6" s="406">
        <f t="shared" si="0"/>
        <v>-7.8064516129032254E-3</v>
      </c>
      <c r="AD6" s="407">
        <f t="shared" si="0"/>
        <v>6.8854838709677416E-2</v>
      </c>
      <c r="AE6" s="407">
        <f t="shared" si="0"/>
        <v>-7.7225806451612922E-2</v>
      </c>
      <c r="AF6" s="406">
        <f t="shared" si="0"/>
        <v>2.7629032258064519E-2</v>
      </c>
      <c r="AG6" s="406">
        <f t="shared" si="0"/>
        <v>-2.196774193548387E-2</v>
      </c>
      <c r="AH6" s="407">
        <f t="shared" si="0"/>
        <v>-2.6935483870967739E-2</v>
      </c>
      <c r="AI6" s="407">
        <f t="shared" si="0"/>
        <v>2.749999999999999E-2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-0.19353225806455043</v>
      </c>
      <c r="I7" s="11">
        <f t="shared" si="1"/>
        <v>-0.19109677419353943</v>
      </c>
      <c r="J7" s="11">
        <f t="shared" si="1"/>
        <v>2.0612903225810442E-2</v>
      </c>
      <c r="K7" s="11">
        <f t="shared" si="1"/>
        <v>8.7338709677368342E-2</v>
      </c>
      <c r="L7" s="11">
        <f t="shared" si="1"/>
        <v>-9.2645161290334954E-2</v>
      </c>
      <c r="M7" s="11">
        <f t="shared" si="1"/>
        <v>-0.31946774193554006</v>
      </c>
      <c r="N7" s="11">
        <f t="shared" si="1"/>
        <v>0.12579032258065226</v>
      </c>
      <c r="O7" s="11">
        <f t="shared" si="1"/>
        <v>0.39583870967741674</v>
      </c>
      <c r="P7" s="11" t="str">
        <f t="shared" si="1"/>
        <v/>
      </c>
      <c r="Q7" s="11" t="str">
        <f t="shared" si="1"/>
        <v/>
      </c>
      <c r="R7" s="11">
        <f t="shared" si="1"/>
        <v>3.6112903225802739E-2</v>
      </c>
      <c r="S7" s="11">
        <f t="shared" si="1"/>
        <v>7.9112903225805553E-2</v>
      </c>
      <c r="T7" s="11">
        <f t="shared" si="1"/>
        <v>5.095112903225818</v>
      </c>
      <c r="U7" s="11">
        <f t="shared" si="1"/>
        <v>5.991612903225807</v>
      </c>
      <c r="V7" s="11" t="str">
        <f t="shared" si="1"/>
        <v/>
      </c>
      <c r="W7" s="11">
        <f t="shared" si="1"/>
        <v>0.1670322580645161</v>
      </c>
      <c r="X7" s="11">
        <f t="shared" si="1"/>
        <v>-0.18056451612903224</v>
      </c>
      <c r="Y7" s="11" t="str">
        <f t="shared" si="1"/>
        <v/>
      </c>
      <c r="Z7" s="11">
        <f t="shared" si="1"/>
        <v>6.0370967741935497E-2</v>
      </c>
      <c r="AA7" s="11">
        <f t="shared" si="1"/>
        <v>-0.11672580645161289</v>
      </c>
      <c r="AB7" s="407">
        <f t="shared" si="1"/>
        <v>7.8483870967741939E-2</v>
      </c>
      <c r="AC7" s="407">
        <f t="shared" si="1"/>
        <v>4.4177419354838723E-2</v>
      </c>
      <c r="AD7" s="406">
        <f t="shared" si="1"/>
        <v>0.13640322580645162</v>
      </c>
      <c r="AE7" s="406">
        <f t="shared" si="1"/>
        <v>-0.16462903225806452</v>
      </c>
      <c r="AF7" s="407">
        <f t="shared" si="1"/>
        <v>2.1241935483870978E-2</v>
      </c>
      <c r="AG7" s="407">
        <f t="shared" si="1"/>
        <v>-4.0112903225806455E-2</v>
      </c>
      <c r="AH7" s="406">
        <f t="shared" si="1"/>
        <v>-5.435483870967741E-2</v>
      </c>
      <c r="AI7" s="406">
        <f t="shared" si="1"/>
        <v>-3.9967741935483865E-2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1064</v>
      </c>
      <c r="B9" t="s">
        <v>32</v>
      </c>
      <c r="C9" s="25">
        <v>43698.528321759259</v>
      </c>
      <c r="D9" s="741" t="s">
        <v>969</v>
      </c>
      <c r="E9" s="741">
        <f t="array" ref="E9">SUMPRODUCT(IF(AMP5_4[[#This Row],[Dim 1_1]:[T 8]]-$F$4:$AI$4&lt;0,1,0)+IF($F$5:$AI$5-AMP5_4[[#This Row],[Dim 1_1]:[T 8]]&lt;0,1,0),IF(ISNUMBER(AMP5_4[[#This Row],[Dim 1_1]:[T 8]])=TRUE,1,0))</f>
        <v>0</v>
      </c>
      <c r="F9">
        <v>41.628</v>
      </c>
      <c r="G9">
        <v>41.622</v>
      </c>
      <c r="H9">
        <v>155.74299999999999</v>
      </c>
      <c r="I9">
        <v>155.71700000000001</v>
      </c>
      <c r="L9">
        <v>155.88800000000001</v>
      </c>
      <c r="M9">
        <v>155.535</v>
      </c>
      <c r="N9">
        <v>27.257000000000001</v>
      </c>
      <c r="O9">
        <v>27.452999999999999</v>
      </c>
      <c r="R9">
        <v>17.274999999999999</v>
      </c>
      <c r="S9">
        <v>17.396999999999998</v>
      </c>
      <c r="T9">
        <v>33.843000000000004</v>
      </c>
      <c r="U9">
        <v>34.06</v>
      </c>
      <c r="W9">
        <v>8.5000000000000006E-2</v>
      </c>
      <c r="X9">
        <v>-3.9E-2</v>
      </c>
      <c r="Z9">
        <v>0.183</v>
      </c>
      <c r="AA9">
        <v>-2.1000000000000001E-2</v>
      </c>
      <c r="AB9">
        <v>7.6999999999999999E-2</v>
      </c>
      <c r="AC9">
        <v>8.1000000000000003E-2</v>
      </c>
      <c r="AD9">
        <v>8.5000000000000006E-2</v>
      </c>
      <c r="AE9">
        <v>-3.9E-2</v>
      </c>
      <c r="AF9">
        <v>0.183</v>
      </c>
      <c r="AG9">
        <v>0.129</v>
      </c>
      <c r="AH9">
        <v>-2.1000000000000001E-2</v>
      </c>
      <c r="AI9">
        <v>0.06</v>
      </c>
    </row>
    <row r="10" spans="1:35" x14ac:dyDescent="0.25">
      <c r="A10" t="s">
        <v>1065</v>
      </c>
      <c r="B10" t="s">
        <v>31</v>
      </c>
      <c r="C10" s="25">
        <v>43698.530324074076</v>
      </c>
      <c r="D10" s="741" t="s">
        <v>969</v>
      </c>
      <c r="E10" s="741">
        <f t="array" ref="E10">SUMPRODUCT(IF(AMP5_4[[#This Row],[Dim 1_1]:[T 8]]-$F$4:$AI$4&lt;0,1,0)+IF($F$5:$AI$5-AMP5_4[[#This Row],[Dim 1_1]:[T 8]]&lt;0,1,0),IF(ISNUMBER(AMP5_4[[#This Row],[Dim 1_1]:[T 8]])=TRUE,1,0))</f>
        <v>0</v>
      </c>
      <c r="H10">
        <v>155.334</v>
      </c>
      <c r="I10">
        <v>155.45400000000001</v>
      </c>
      <c r="J10">
        <v>168.69200000000001</v>
      </c>
      <c r="K10">
        <v>168.59800000000001</v>
      </c>
      <c r="L10">
        <v>155.46899999999999</v>
      </c>
      <c r="M10">
        <v>155.321</v>
      </c>
      <c r="N10">
        <v>27.742000000000001</v>
      </c>
      <c r="O10">
        <v>27.824999999999999</v>
      </c>
      <c r="R10">
        <v>17.329000000000001</v>
      </c>
      <c r="S10">
        <v>17.425000000000001</v>
      </c>
      <c r="T10">
        <v>36.618000000000002</v>
      </c>
      <c r="U10">
        <v>36.280999999999999</v>
      </c>
      <c r="W10">
        <v>0.106</v>
      </c>
      <c r="X10">
        <v>-0.379</v>
      </c>
      <c r="Z10">
        <v>0.1</v>
      </c>
      <c r="AA10">
        <v>-7.2999999999999995E-2</v>
      </c>
      <c r="AB10">
        <v>0.106</v>
      </c>
      <c r="AC10">
        <v>3.7999999999999999E-2</v>
      </c>
      <c r="AD10">
        <v>-4.1000000000000002E-2</v>
      </c>
      <c r="AE10">
        <v>-0.379</v>
      </c>
      <c r="AF10">
        <v>0.1</v>
      </c>
      <c r="AG10">
        <v>4.3999999999999997E-2</v>
      </c>
      <c r="AH10">
        <v>-7.2999999999999995E-2</v>
      </c>
      <c r="AI10">
        <v>-2.3E-2</v>
      </c>
    </row>
    <row r="11" spans="1:35" x14ac:dyDescent="0.25">
      <c r="A11" t="s">
        <v>1066</v>
      </c>
      <c r="B11" t="s">
        <v>32</v>
      </c>
      <c r="C11" s="25">
        <v>43698.629363425927</v>
      </c>
      <c r="D11" s="741" t="s">
        <v>969</v>
      </c>
      <c r="E11" s="741">
        <f t="array" ref="E11">SUMPRODUCT(IF(AMP5_4[[#This Row],[Dim 1_1]:[T 8]]-$F$4:$AI$4&lt;0,1,0)+IF($F$5:$AI$5-AMP5_4[[#This Row],[Dim 1_1]:[T 8]]&lt;0,1,0),IF(ISNUMBER(AMP5_4[[#This Row],[Dim 1_1]:[T 8]])=TRUE,1,0))</f>
        <v>0</v>
      </c>
      <c r="F11">
        <v>41.624000000000002</v>
      </c>
      <c r="G11">
        <v>41.512999999999998</v>
      </c>
      <c r="H11">
        <v>155.71100000000001</v>
      </c>
      <c r="I11">
        <v>155.75700000000001</v>
      </c>
      <c r="L11">
        <v>155.89500000000001</v>
      </c>
      <c r="M11">
        <v>155.626</v>
      </c>
      <c r="N11">
        <v>27.26</v>
      </c>
      <c r="O11">
        <v>27.38</v>
      </c>
      <c r="R11">
        <v>17.303000000000001</v>
      </c>
      <c r="S11">
        <v>17.332999999999998</v>
      </c>
      <c r="T11">
        <v>33.857999999999997</v>
      </c>
      <c r="U11">
        <v>34.113999999999997</v>
      </c>
      <c r="W11">
        <v>8.5999999999999993E-2</v>
      </c>
      <c r="X11">
        <v>-3.7999999999999999E-2</v>
      </c>
      <c r="Z11">
        <v>4.7E-2</v>
      </c>
      <c r="AA11">
        <v>-6.9000000000000006E-2</v>
      </c>
      <c r="AB11">
        <v>7.0999999999999994E-2</v>
      </c>
      <c r="AC11">
        <v>8.5999999999999993E-2</v>
      </c>
      <c r="AD11">
        <v>8.5000000000000006E-2</v>
      </c>
      <c r="AE11">
        <v>-3.7999999999999999E-2</v>
      </c>
      <c r="AF11">
        <v>4.7E-2</v>
      </c>
      <c r="AG11">
        <v>-5.0000000000000001E-3</v>
      </c>
      <c r="AH11">
        <v>-6.9000000000000006E-2</v>
      </c>
      <c r="AI11">
        <v>-0.02</v>
      </c>
    </row>
    <row r="12" spans="1:35" x14ac:dyDescent="0.25">
      <c r="A12" t="s">
        <v>1067</v>
      </c>
      <c r="B12" t="s">
        <v>31</v>
      </c>
      <c r="C12" s="25">
        <v>43698.631678240738</v>
      </c>
      <c r="D12" s="741" t="s">
        <v>969</v>
      </c>
      <c r="E12" s="741">
        <f t="array" ref="E12">SUMPRODUCT(IF(AMP5_4[[#This Row],[Dim 1_1]:[T 8]]-$F$4:$AI$4&lt;0,1,0)+IF($F$5:$AI$5-AMP5_4[[#This Row],[Dim 1_1]:[T 8]]&lt;0,1,0),IF(ISNUMBER(AMP5_4[[#This Row],[Dim 1_1]:[T 8]])=TRUE,1,0))</f>
        <v>0</v>
      </c>
      <c r="H12">
        <v>155.446</v>
      </c>
      <c r="I12">
        <v>155.54499999999999</v>
      </c>
      <c r="J12">
        <v>168.65299999999999</v>
      </c>
      <c r="K12">
        <v>168.727</v>
      </c>
      <c r="L12">
        <v>155.524</v>
      </c>
      <c r="M12">
        <v>155.38900000000001</v>
      </c>
      <c r="N12">
        <v>27.670999999999999</v>
      </c>
      <c r="O12">
        <v>27.797999999999998</v>
      </c>
      <c r="R12">
        <v>17.349</v>
      </c>
      <c r="S12">
        <v>17.425999999999998</v>
      </c>
      <c r="T12">
        <v>35.185000000000002</v>
      </c>
      <c r="U12">
        <v>37.442999999999998</v>
      </c>
      <c r="W12">
        <v>-5.8999999999999997E-2</v>
      </c>
      <c r="X12">
        <v>-0.40200000000000002</v>
      </c>
      <c r="Z12">
        <v>-0.16300000000000001</v>
      </c>
      <c r="AA12">
        <v>-0.216</v>
      </c>
      <c r="AB12">
        <v>-7.6999999999999999E-2</v>
      </c>
      <c r="AC12">
        <v>-0.13600000000000001</v>
      </c>
      <c r="AD12">
        <v>-5.8999999999999997E-2</v>
      </c>
      <c r="AE12">
        <v>-0.40200000000000002</v>
      </c>
      <c r="AF12">
        <v>-0.16300000000000001</v>
      </c>
      <c r="AG12">
        <v>-0.216</v>
      </c>
      <c r="AH12">
        <v>-0.20300000000000001</v>
      </c>
      <c r="AI12">
        <v>-0.16900000000000001</v>
      </c>
    </row>
    <row r="13" spans="1:35" x14ac:dyDescent="0.25">
      <c r="A13" t="s">
        <v>1068</v>
      </c>
      <c r="B13" t="s">
        <v>32</v>
      </c>
      <c r="C13" s="25">
        <v>43698.805555555555</v>
      </c>
      <c r="D13" s="741" t="s">
        <v>969</v>
      </c>
      <c r="E13" s="741">
        <f t="array" ref="E13">SUMPRODUCT(IF(AMP5_4[[#This Row],[Dim 1_1]:[T 8]]-$F$4:$AI$4&lt;0,1,0)+IF($F$5:$AI$5-AMP5_4[[#This Row],[Dim 1_1]:[T 8]]&lt;0,1,0),IF(ISNUMBER(AMP5_4[[#This Row],[Dim 1_1]:[T 8]])=TRUE,1,0))</f>
        <v>0</v>
      </c>
      <c r="F13">
        <v>41.594999999999999</v>
      </c>
      <c r="G13">
        <v>41.557000000000002</v>
      </c>
      <c r="H13">
        <v>155.78</v>
      </c>
      <c r="I13">
        <v>155.761</v>
      </c>
      <c r="L13">
        <v>155.94999999999999</v>
      </c>
      <c r="M13">
        <v>155.63</v>
      </c>
      <c r="N13">
        <v>27.216999999999999</v>
      </c>
      <c r="O13">
        <v>27.385000000000002</v>
      </c>
      <c r="R13">
        <v>17.308</v>
      </c>
      <c r="S13">
        <v>17.350999999999999</v>
      </c>
      <c r="T13">
        <v>33.393999999999998</v>
      </c>
      <c r="U13">
        <v>34.031999999999996</v>
      </c>
      <c r="W13">
        <v>6.4000000000000001E-2</v>
      </c>
      <c r="X13">
        <v>-2.8000000000000001E-2</v>
      </c>
      <c r="Z13">
        <v>0.03</v>
      </c>
      <c r="AA13">
        <v>-6.8000000000000005E-2</v>
      </c>
      <c r="AB13">
        <v>-2.3E-2</v>
      </c>
      <c r="AC13">
        <v>1E-3</v>
      </c>
      <c r="AD13">
        <v>6.4000000000000001E-2</v>
      </c>
      <c r="AE13">
        <v>-2.8000000000000001E-2</v>
      </c>
      <c r="AF13">
        <v>0.03</v>
      </c>
      <c r="AG13">
        <v>-0.01</v>
      </c>
      <c r="AH13">
        <v>-6.8000000000000005E-2</v>
      </c>
      <c r="AI13">
        <v>-2.3E-2</v>
      </c>
    </row>
    <row r="14" spans="1:35" x14ac:dyDescent="0.25">
      <c r="A14" t="s">
        <v>1069</v>
      </c>
      <c r="B14" t="s">
        <v>31</v>
      </c>
      <c r="C14" s="25">
        <v>43698.807627314818</v>
      </c>
      <c r="D14" s="741" t="s">
        <v>969</v>
      </c>
      <c r="E14" s="741">
        <f t="array" ref="E14">SUMPRODUCT(IF(AMP5_4[[#This Row],[Dim 1_1]:[T 8]]-$F$4:$AI$4&lt;0,1,0)+IF($F$5:$AI$5-AMP5_4[[#This Row],[Dim 1_1]:[T 8]]&lt;0,1,0),IF(ISNUMBER(AMP5_4[[#This Row],[Dim 1_1]:[T 8]])=TRUE,1,0))</f>
        <v>0</v>
      </c>
      <c r="H14">
        <v>155.41800000000001</v>
      </c>
      <c r="I14">
        <v>155.49799999999999</v>
      </c>
      <c r="J14">
        <v>168.64599999999999</v>
      </c>
      <c r="K14">
        <v>168.643</v>
      </c>
      <c r="L14">
        <v>155.52799999999999</v>
      </c>
      <c r="M14">
        <v>155.37200000000001</v>
      </c>
      <c r="N14">
        <v>27.651</v>
      </c>
      <c r="O14">
        <v>27.803000000000001</v>
      </c>
      <c r="R14">
        <v>17.366</v>
      </c>
      <c r="S14">
        <v>17.428000000000001</v>
      </c>
      <c r="T14">
        <v>37.332000000000001</v>
      </c>
      <c r="U14">
        <v>38.061999999999998</v>
      </c>
      <c r="W14">
        <v>8.0000000000000002E-3</v>
      </c>
      <c r="X14">
        <v>-0.42099999999999999</v>
      </c>
      <c r="Z14">
        <v>-3.0000000000000001E-3</v>
      </c>
      <c r="AA14">
        <v>-9.5000000000000001E-2</v>
      </c>
      <c r="AB14">
        <v>8.0000000000000002E-3</v>
      </c>
      <c r="AC14">
        <v>-5.8000000000000003E-2</v>
      </c>
      <c r="AD14">
        <v>-4.8000000000000001E-2</v>
      </c>
      <c r="AE14">
        <v>-0.42099999999999999</v>
      </c>
      <c r="AF14">
        <v>-3.0000000000000001E-3</v>
      </c>
      <c r="AG14">
        <v>-4.8000000000000001E-2</v>
      </c>
      <c r="AH14">
        <v>-9.5000000000000001E-2</v>
      </c>
      <c r="AI14">
        <v>-3.5000000000000003E-2</v>
      </c>
    </row>
    <row r="15" spans="1:35" x14ac:dyDescent="0.25">
      <c r="A15" t="s">
        <v>1070</v>
      </c>
      <c r="B15" t="s">
        <v>32</v>
      </c>
      <c r="C15" s="25">
        <v>43698.826840277776</v>
      </c>
      <c r="D15" s="741" t="s">
        <v>969</v>
      </c>
      <c r="E15" s="741">
        <f t="array" ref="E15">SUMPRODUCT(IF(AMP5_4[[#This Row],[Dim 1_1]:[T 8]]-$F$4:$AI$4&lt;0,1,0)+IF($F$5:$AI$5-AMP5_4[[#This Row],[Dim 1_1]:[T 8]]&lt;0,1,0),IF(ISNUMBER(AMP5_4[[#This Row],[Dim 1_1]:[T 8]])=TRUE,1,0))</f>
        <v>0</v>
      </c>
      <c r="F15">
        <v>41.512999999999998</v>
      </c>
      <c r="G15">
        <v>41.412999999999997</v>
      </c>
      <c r="H15">
        <v>155.77600000000001</v>
      </c>
      <c r="I15">
        <v>155.77600000000001</v>
      </c>
      <c r="L15">
        <v>155.94</v>
      </c>
      <c r="M15">
        <v>155.60499999999999</v>
      </c>
      <c r="N15">
        <v>27.224</v>
      </c>
      <c r="O15">
        <v>27.388000000000002</v>
      </c>
      <c r="R15">
        <v>17.305</v>
      </c>
      <c r="S15">
        <v>17.408000000000001</v>
      </c>
      <c r="T15">
        <v>33.729999999999997</v>
      </c>
      <c r="U15">
        <v>34.006</v>
      </c>
      <c r="W15">
        <v>0.121</v>
      </c>
      <c r="X15">
        <v>-8.5000000000000006E-2</v>
      </c>
      <c r="Z15">
        <v>7.6999999999999999E-2</v>
      </c>
      <c r="AA15">
        <v>-0.126</v>
      </c>
      <c r="AB15">
        <v>0.115</v>
      </c>
      <c r="AC15">
        <v>0.121</v>
      </c>
      <c r="AD15">
        <v>3.1E-2</v>
      </c>
      <c r="AE15">
        <v>-8.5000000000000006E-2</v>
      </c>
      <c r="AF15">
        <v>7.6999999999999999E-2</v>
      </c>
      <c r="AG15">
        <v>2.1999999999999999E-2</v>
      </c>
      <c r="AH15">
        <v>-0.126</v>
      </c>
      <c r="AI15">
        <v>-0.11899999999999999</v>
      </c>
    </row>
    <row r="16" spans="1:35" x14ac:dyDescent="0.25">
      <c r="A16" t="s">
        <v>1071</v>
      </c>
      <c r="B16" t="s">
        <v>31</v>
      </c>
      <c r="C16" s="25">
        <v>43698.828993055555</v>
      </c>
      <c r="D16" s="741" t="s">
        <v>969</v>
      </c>
      <c r="E16" s="741">
        <f t="array" ref="E16">SUMPRODUCT(IF(AMP5_4[[#This Row],[Dim 1_1]:[T 8]]-$F$4:$AI$4&lt;0,1,0)+IF($F$5:$AI$5-AMP5_4[[#This Row],[Dim 1_1]:[T 8]]&lt;0,1,0),IF(ISNUMBER(AMP5_4[[#This Row],[Dim 1_1]:[T 8]])=TRUE,1,0))</f>
        <v>0</v>
      </c>
      <c r="H16">
        <v>155.38399999999999</v>
      </c>
      <c r="I16">
        <v>155.501</v>
      </c>
      <c r="J16">
        <v>168.59700000000001</v>
      </c>
      <c r="K16">
        <v>168.56800000000001</v>
      </c>
      <c r="L16">
        <v>155.48400000000001</v>
      </c>
      <c r="M16">
        <v>155.36500000000001</v>
      </c>
      <c r="N16">
        <v>27.68</v>
      </c>
      <c r="O16">
        <v>27.786999999999999</v>
      </c>
      <c r="R16">
        <v>17.366</v>
      </c>
      <c r="S16">
        <v>17.463000000000001</v>
      </c>
      <c r="T16">
        <v>37.180999999999997</v>
      </c>
      <c r="U16">
        <v>38.735999999999997</v>
      </c>
      <c r="W16">
        <v>-4.4999999999999998E-2</v>
      </c>
      <c r="X16">
        <v>-0.39900000000000002</v>
      </c>
      <c r="Z16">
        <v>-0.114</v>
      </c>
      <c r="AA16">
        <v>-0.19500000000000001</v>
      </c>
      <c r="AB16">
        <v>-0.08</v>
      </c>
      <c r="AC16">
        <v>-0.14599999999999999</v>
      </c>
      <c r="AD16">
        <v>-4.4999999999999998E-2</v>
      </c>
      <c r="AE16">
        <v>-0.39900000000000002</v>
      </c>
      <c r="AF16">
        <v>-0.13300000000000001</v>
      </c>
      <c r="AG16">
        <v>-0.19500000000000001</v>
      </c>
      <c r="AH16">
        <v>-0.17</v>
      </c>
      <c r="AI16">
        <v>-0.114</v>
      </c>
    </row>
    <row r="17" spans="1:35" x14ac:dyDescent="0.25">
      <c r="A17" t="s">
        <v>1072</v>
      </c>
      <c r="B17" t="s">
        <v>32</v>
      </c>
      <c r="C17" s="25">
        <v>43698.879872685182</v>
      </c>
      <c r="D17" s="741" t="s">
        <v>969</v>
      </c>
      <c r="E17" s="741">
        <f t="array" ref="E17">SUMPRODUCT(IF(AMP5_4[[#This Row],[Dim 1_1]:[T 8]]-$F$4:$AI$4&lt;0,1,0)+IF($F$5:$AI$5-AMP5_4[[#This Row],[Dim 1_1]:[T 8]]&lt;0,1,0),IF(ISNUMBER(AMP5_4[[#This Row],[Dim 1_1]:[T 8]])=TRUE,1,0))</f>
        <v>0</v>
      </c>
      <c r="F17">
        <v>41.521999999999998</v>
      </c>
      <c r="G17">
        <v>41.625999999999998</v>
      </c>
      <c r="H17">
        <v>155.81200000000001</v>
      </c>
      <c r="I17">
        <v>155.80000000000001</v>
      </c>
      <c r="L17">
        <v>155.95699999999999</v>
      </c>
      <c r="M17">
        <v>155.648</v>
      </c>
      <c r="N17">
        <v>27.225999999999999</v>
      </c>
      <c r="O17">
        <v>27.353000000000002</v>
      </c>
      <c r="R17">
        <v>17.29</v>
      </c>
      <c r="S17">
        <v>17.372</v>
      </c>
      <c r="T17">
        <v>33.279000000000003</v>
      </c>
      <c r="U17">
        <v>34.279000000000003</v>
      </c>
      <c r="W17">
        <v>6.8000000000000005E-2</v>
      </c>
      <c r="X17">
        <v>-4.8000000000000001E-2</v>
      </c>
      <c r="Z17">
        <v>6.7000000000000004E-2</v>
      </c>
      <c r="AA17">
        <v>-4.1000000000000002E-2</v>
      </c>
      <c r="AB17">
        <v>7.0000000000000001E-3</v>
      </c>
      <c r="AC17">
        <v>3.5999999999999997E-2</v>
      </c>
      <c r="AD17">
        <v>6.8000000000000005E-2</v>
      </c>
      <c r="AE17">
        <v>-4.8000000000000001E-2</v>
      </c>
      <c r="AF17">
        <v>6.7000000000000004E-2</v>
      </c>
      <c r="AG17">
        <v>5.8000000000000003E-2</v>
      </c>
      <c r="AH17">
        <v>-4.1000000000000002E-2</v>
      </c>
      <c r="AI17">
        <v>0</v>
      </c>
    </row>
    <row r="18" spans="1:35" x14ac:dyDescent="0.25">
      <c r="A18" t="s">
        <v>1073</v>
      </c>
      <c r="B18" t="s">
        <v>31</v>
      </c>
      <c r="C18" s="25">
        <v>43698.882557870369</v>
      </c>
      <c r="D18" s="741" t="s">
        <v>969</v>
      </c>
      <c r="E18" s="741">
        <f t="array" ref="E18">SUMPRODUCT(IF(AMP5_4[[#This Row],[Dim 1_1]:[T 8]]-$F$4:$AI$4&lt;0,1,0)+IF($F$5:$AI$5-AMP5_4[[#This Row],[Dim 1_1]:[T 8]]&lt;0,1,0),IF(ISNUMBER(AMP5_4[[#This Row],[Dim 1_1]:[T 8]])=TRUE,1,0))</f>
        <v>0</v>
      </c>
      <c r="H18">
        <v>155.43</v>
      </c>
      <c r="I18">
        <v>155.50399999999999</v>
      </c>
      <c r="J18">
        <v>168.614</v>
      </c>
      <c r="K18">
        <v>168.74100000000001</v>
      </c>
      <c r="L18">
        <v>155.52500000000001</v>
      </c>
      <c r="M18">
        <v>155.37100000000001</v>
      </c>
      <c r="N18">
        <v>27.666</v>
      </c>
      <c r="O18">
        <v>27.8</v>
      </c>
      <c r="R18">
        <v>17.373999999999999</v>
      </c>
      <c r="S18">
        <v>17.495999999999999</v>
      </c>
      <c r="T18">
        <v>33.438000000000002</v>
      </c>
      <c r="U18">
        <v>33.962000000000003</v>
      </c>
      <c r="W18">
        <v>3.1E-2</v>
      </c>
      <c r="X18">
        <v>-0.38200000000000001</v>
      </c>
      <c r="Z18">
        <v>-3.4000000000000002E-2</v>
      </c>
      <c r="AA18">
        <v>-0.16900000000000001</v>
      </c>
      <c r="AB18">
        <v>3.1E-2</v>
      </c>
      <c r="AC18">
        <v>-3.2000000000000001E-2</v>
      </c>
      <c r="AD18">
        <v>-4.8000000000000001E-2</v>
      </c>
      <c r="AE18">
        <v>-0.38200000000000001</v>
      </c>
      <c r="AF18">
        <v>-3.4000000000000002E-2</v>
      </c>
      <c r="AG18">
        <v>-5.1999999999999998E-2</v>
      </c>
      <c r="AH18">
        <v>-0.16900000000000001</v>
      </c>
      <c r="AI18">
        <v>-8.3000000000000004E-2</v>
      </c>
    </row>
    <row r="19" spans="1:35" x14ac:dyDescent="0.25">
      <c r="A19" t="s">
        <v>1074</v>
      </c>
      <c r="B19" t="s">
        <v>32</v>
      </c>
      <c r="C19" s="25">
        <v>43698.97457175926</v>
      </c>
      <c r="D19" s="741" t="s">
        <v>969</v>
      </c>
      <c r="E19" s="741">
        <f t="array" ref="E19">SUMPRODUCT(IF(AMP5_4[[#This Row],[Dim 1_1]:[T 8]]-$F$4:$AI$4&lt;0,1,0)+IF($F$5:$AI$5-AMP5_4[[#This Row],[Dim 1_1]:[T 8]]&lt;0,1,0),IF(ISNUMBER(AMP5_4[[#This Row],[Dim 1_1]:[T 8]])=TRUE,1,0))</f>
        <v>0</v>
      </c>
      <c r="F19">
        <v>41.534999999999997</v>
      </c>
      <c r="G19">
        <v>41.438000000000002</v>
      </c>
      <c r="H19">
        <v>155.774</v>
      </c>
      <c r="I19">
        <v>155.749</v>
      </c>
      <c r="L19">
        <v>155.91900000000001</v>
      </c>
      <c r="M19">
        <v>155.596</v>
      </c>
      <c r="N19">
        <v>27.218</v>
      </c>
      <c r="O19">
        <v>27.411999999999999</v>
      </c>
      <c r="R19">
        <v>17.286999999999999</v>
      </c>
      <c r="S19">
        <v>17.437000000000001</v>
      </c>
      <c r="T19">
        <v>33.673000000000002</v>
      </c>
      <c r="U19">
        <v>33.755000000000003</v>
      </c>
      <c r="W19">
        <v>8.2000000000000003E-2</v>
      </c>
      <c r="X19">
        <v>-7.1999999999999995E-2</v>
      </c>
      <c r="Z19">
        <v>0.13500000000000001</v>
      </c>
      <c r="AA19">
        <v>-7.1999999999999995E-2</v>
      </c>
      <c r="AB19">
        <v>5.2999999999999999E-2</v>
      </c>
      <c r="AC19">
        <v>8.2000000000000003E-2</v>
      </c>
      <c r="AD19">
        <v>8.0000000000000002E-3</v>
      </c>
      <c r="AE19">
        <v>-7.1999999999999995E-2</v>
      </c>
      <c r="AF19">
        <v>0.13500000000000001</v>
      </c>
      <c r="AG19">
        <v>8.2000000000000003E-2</v>
      </c>
      <c r="AH19">
        <v>-6.3E-2</v>
      </c>
      <c r="AI19">
        <v>-7.1999999999999995E-2</v>
      </c>
    </row>
    <row r="20" spans="1:35" x14ac:dyDescent="0.25">
      <c r="A20" t="s">
        <v>1075</v>
      </c>
      <c r="B20" t="s">
        <v>31</v>
      </c>
      <c r="C20" s="25">
        <v>43698.97760416667</v>
      </c>
      <c r="D20" s="741" t="s">
        <v>969</v>
      </c>
      <c r="E20" s="741">
        <f t="array" ref="E20">SUMPRODUCT(IF(AMP5_4[[#This Row],[Dim 1_1]:[T 8]]-$F$4:$AI$4&lt;0,1,0)+IF($F$5:$AI$5-AMP5_4[[#This Row],[Dim 1_1]:[T 8]]&lt;0,1,0),IF(ISNUMBER(AMP5_4[[#This Row],[Dim 1_1]:[T 8]])=TRUE,1,0))</f>
        <v>0</v>
      </c>
      <c r="H20">
        <v>155.34299999999999</v>
      </c>
      <c r="I20">
        <v>155.46199999999999</v>
      </c>
      <c r="J20">
        <v>168.62</v>
      </c>
      <c r="K20">
        <v>168.559</v>
      </c>
      <c r="L20">
        <v>155.47900000000001</v>
      </c>
      <c r="M20">
        <v>155.34399999999999</v>
      </c>
      <c r="N20">
        <v>27.728999999999999</v>
      </c>
      <c r="O20">
        <v>27.846</v>
      </c>
      <c r="R20">
        <v>17.355</v>
      </c>
      <c r="S20">
        <v>17.434000000000001</v>
      </c>
      <c r="T20">
        <v>37.213000000000001</v>
      </c>
      <c r="U20">
        <v>37.909999999999997</v>
      </c>
      <c r="W20">
        <v>4.2999999999999997E-2</v>
      </c>
      <c r="X20">
        <v>-0.318</v>
      </c>
      <c r="Z20">
        <v>2.9000000000000001E-2</v>
      </c>
      <c r="AA20">
        <v>-9.6000000000000002E-2</v>
      </c>
      <c r="AB20">
        <v>4.2999999999999997E-2</v>
      </c>
      <c r="AC20">
        <v>-8.0000000000000002E-3</v>
      </c>
      <c r="AD20">
        <v>7.0000000000000001E-3</v>
      </c>
      <c r="AE20">
        <v>-0.318</v>
      </c>
      <c r="AF20">
        <v>2.9000000000000001E-2</v>
      </c>
      <c r="AG20">
        <v>-1.9E-2</v>
      </c>
      <c r="AH20">
        <v>-9.6000000000000002E-2</v>
      </c>
      <c r="AI20">
        <v>-5.0000000000000001E-3</v>
      </c>
    </row>
    <row r="21" spans="1:35" x14ac:dyDescent="0.25">
      <c r="A21" t="s">
        <v>1076</v>
      </c>
      <c r="B21" t="s">
        <v>32</v>
      </c>
      <c r="C21" s="25">
        <v>43699.051006944443</v>
      </c>
      <c r="D21" s="741" t="s">
        <v>969</v>
      </c>
      <c r="E21" s="741">
        <f t="array" ref="E21">SUMPRODUCT(IF(AMP5_4[[#This Row],[Dim 1_1]:[T 8]]-$F$4:$AI$4&lt;0,1,0)+IF($F$5:$AI$5-AMP5_4[[#This Row],[Dim 1_1]:[T 8]]&lt;0,1,0),IF(ISNUMBER(AMP5_4[[#This Row],[Dim 1_1]:[T 8]])=TRUE,1,0))</f>
        <v>0</v>
      </c>
      <c r="F21">
        <v>41.414999999999999</v>
      </c>
      <c r="G21">
        <v>41.365000000000002</v>
      </c>
      <c r="H21">
        <v>155.774</v>
      </c>
      <c r="I21">
        <v>155.78100000000001</v>
      </c>
      <c r="L21">
        <v>155.93899999999999</v>
      </c>
      <c r="M21">
        <v>155.619</v>
      </c>
      <c r="N21">
        <v>27.202000000000002</v>
      </c>
      <c r="O21">
        <v>27.352</v>
      </c>
      <c r="R21">
        <v>17.292999999999999</v>
      </c>
      <c r="S21">
        <v>17.408999999999999</v>
      </c>
      <c r="T21">
        <v>33.686999999999998</v>
      </c>
      <c r="U21">
        <v>34.011000000000003</v>
      </c>
      <c r="W21">
        <v>1.4999999999999999E-2</v>
      </c>
      <c r="X21">
        <v>-0.113</v>
      </c>
      <c r="Z21">
        <v>6.0999999999999999E-2</v>
      </c>
      <c r="AA21">
        <v>-8.5000000000000006E-2</v>
      </c>
      <c r="AB21">
        <v>-1E-3</v>
      </c>
      <c r="AC21">
        <v>1.4999999999999999E-2</v>
      </c>
      <c r="AD21">
        <v>-1.0999999999999999E-2</v>
      </c>
      <c r="AE21">
        <v>-0.113</v>
      </c>
      <c r="AF21">
        <v>6.0999999999999999E-2</v>
      </c>
      <c r="AG21">
        <v>3.5000000000000003E-2</v>
      </c>
      <c r="AH21">
        <v>-8.5000000000000006E-2</v>
      </c>
      <c r="AI21">
        <v>-6.9000000000000006E-2</v>
      </c>
    </row>
    <row r="22" spans="1:35" x14ac:dyDescent="0.25">
      <c r="A22" t="s">
        <v>1077</v>
      </c>
      <c r="B22" t="s">
        <v>31</v>
      </c>
      <c r="C22" s="25">
        <v>43699.054224537038</v>
      </c>
      <c r="D22" s="741" t="s">
        <v>969</v>
      </c>
      <c r="E22" s="741">
        <f t="array" ref="E22">SUMPRODUCT(IF(AMP5_4[[#This Row],[Dim 1_1]:[T 8]]-$F$4:$AI$4&lt;0,1,0)+IF($F$5:$AI$5-AMP5_4[[#This Row],[Dim 1_1]:[T 8]]&lt;0,1,0),IF(ISNUMBER(AMP5_4[[#This Row],[Dim 1_1]:[T 8]])=TRUE,1,0))</f>
        <v>0</v>
      </c>
      <c r="H22">
        <v>155.393</v>
      </c>
      <c r="I22">
        <v>155.49700000000001</v>
      </c>
      <c r="J22">
        <v>168.51300000000001</v>
      </c>
      <c r="K22">
        <v>168.53</v>
      </c>
      <c r="L22">
        <v>155.5</v>
      </c>
      <c r="M22">
        <v>155.37</v>
      </c>
      <c r="N22">
        <v>27.684999999999999</v>
      </c>
      <c r="O22">
        <v>27.783000000000001</v>
      </c>
      <c r="R22">
        <v>17.363</v>
      </c>
      <c r="S22">
        <v>17.431000000000001</v>
      </c>
      <c r="T22">
        <v>35.951000000000001</v>
      </c>
      <c r="U22">
        <v>36.697000000000003</v>
      </c>
      <c r="W22">
        <v>-4.0000000000000001E-3</v>
      </c>
      <c r="X22">
        <v>-0.32200000000000001</v>
      </c>
      <c r="Z22">
        <v>-0.03</v>
      </c>
      <c r="AA22">
        <v>-9.1999999999999998E-2</v>
      </c>
      <c r="AB22">
        <v>-1.2999999999999999E-2</v>
      </c>
      <c r="AC22">
        <v>-7.5999999999999998E-2</v>
      </c>
      <c r="AD22">
        <v>-4.0000000000000001E-3</v>
      </c>
      <c r="AE22">
        <v>-0.32200000000000001</v>
      </c>
      <c r="AF22">
        <v>-0.03</v>
      </c>
      <c r="AG22">
        <v>-8.5999999999999993E-2</v>
      </c>
      <c r="AH22">
        <v>-9.1999999999999998E-2</v>
      </c>
      <c r="AI22">
        <v>-3.9E-2</v>
      </c>
    </row>
    <row r="23" spans="1:35" x14ac:dyDescent="0.25">
      <c r="A23" t="s">
        <v>1078</v>
      </c>
      <c r="B23" t="s">
        <v>32</v>
      </c>
      <c r="C23" s="25">
        <v>43699.368854166663</v>
      </c>
      <c r="D23" s="741" t="s">
        <v>969</v>
      </c>
      <c r="E23" s="741">
        <f t="array" ref="E23">SUMPRODUCT(IF(AMP5_4[[#This Row],[Dim 1_1]:[T 8]]-$F$4:$AI$4&lt;0,1,0)+IF($F$5:$AI$5-AMP5_4[[#This Row],[Dim 1_1]:[T 8]]&lt;0,1,0),IF(ISNUMBER(AMP5_4[[#This Row],[Dim 1_1]:[T 8]])=TRUE,1,0))</f>
        <v>0</v>
      </c>
      <c r="F23">
        <v>41.616999999999997</v>
      </c>
      <c r="G23">
        <v>41.582000000000001</v>
      </c>
      <c r="H23">
        <v>155.78899999999999</v>
      </c>
      <c r="I23">
        <v>155.75899999999999</v>
      </c>
      <c r="L23">
        <v>155.93100000000001</v>
      </c>
      <c r="M23">
        <v>155.572</v>
      </c>
      <c r="N23">
        <v>27.202999999999999</v>
      </c>
      <c r="O23">
        <v>27.411999999999999</v>
      </c>
      <c r="R23">
        <v>17.317</v>
      </c>
      <c r="S23">
        <v>17.488</v>
      </c>
      <c r="T23">
        <v>33.625</v>
      </c>
      <c r="U23">
        <v>34.213000000000001</v>
      </c>
      <c r="W23">
        <v>8.6999999999999994E-2</v>
      </c>
      <c r="X23">
        <v>-3.9E-2</v>
      </c>
      <c r="Z23">
        <v>0.13200000000000001</v>
      </c>
      <c r="AA23">
        <v>-0.105</v>
      </c>
      <c r="AB23">
        <v>7.1999999999999995E-2</v>
      </c>
      <c r="AC23">
        <v>8.6999999999999994E-2</v>
      </c>
      <c r="AD23">
        <v>4.0000000000000001E-3</v>
      </c>
      <c r="AE23">
        <v>-3.9E-2</v>
      </c>
      <c r="AF23">
        <v>0.13200000000000001</v>
      </c>
      <c r="AG23">
        <v>9.9000000000000005E-2</v>
      </c>
      <c r="AH23">
        <v>-0.105</v>
      </c>
      <c r="AI23">
        <v>-8.1000000000000003E-2</v>
      </c>
    </row>
    <row r="24" spans="1:35" x14ac:dyDescent="0.25">
      <c r="A24" t="s">
        <v>1079</v>
      </c>
      <c r="B24" t="s">
        <v>31</v>
      </c>
      <c r="C24" s="25">
        <v>43699.370868055557</v>
      </c>
      <c r="D24" s="741" t="s">
        <v>969</v>
      </c>
      <c r="E24" s="741">
        <f t="array" ref="E24">SUMPRODUCT(IF(AMP5_4[[#This Row],[Dim 1_1]:[T 8]]-$F$4:$AI$4&lt;0,1,0)+IF($F$5:$AI$5-AMP5_4[[#This Row],[Dim 1_1]:[T 8]]&lt;0,1,0),IF(ISNUMBER(AMP5_4[[#This Row],[Dim 1_1]:[T 8]])=TRUE,1,0))</f>
        <v>0</v>
      </c>
      <c r="H24">
        <v>155.40299999999999</v>
      </c>
      <c r="I24">
        <v>155.52699999999999</v>
      </c>
      <c r="J24">
        <v>168.67599999999999</v>
      </c>
      <c r="K24">
        <v>168.71299999999999</v>
      </c>
      <c r="L24">
        <v>155.52000000000001</v>
      </c>
      <c r="M24">
        <v>155.405</v>
      </c>
      <c r="N24">
        <v>27.675000000000001</v>
      </c>
      <c r="O24">
        <v>27.783999999999999</v>
      </c>
      <c r="R24">
        <v>17.385000000000002</v>
      </c>
      <c r="S24">
        <v>17.416</v>
      </c>
      <c r="T24">
        <v>35.954000000000001</v>
      </c>
      <c r="U24">
        <v>38.067</v>
      </c>
      <c r="W24">
        <v>0.13100000000000001</v>
      </c>
      <c r="X24">
        <v>-0.22700000000000001</v>
      </c>
      <c r="Z24">
        <v>0.14000000000000001</v>
      </c>
      <c r="AA24">
        <v>0.04</v>
      </c>
      <c r="AB24">
        <v>0.10199999999999999</v>
      </c>
      <c r="AC24">
        <v>4.1000000000000002E-2</v>
      </c>
      <c r="AD24">
        <v>0.13100000000000001</v>
      </c>
      <c r="AE24">
        <v>-0.22700000000000001</v>
      </c>
      <c r="AF24">
        <v>0.14000000000000001</v>
      </c>
      <c r="AG24">
        <v>8.7999999999999995E-2</v>
      </c>
      <c r="AH24">
        <v>0.04</v>
      </c>
      <c r="AI24">
        <v>0.128</v>
      </c>
    </row>
    <row r="25" spans="1:35" x14ac:dyDescent="0.25">
      <c r="A25" t="s">
        <v>1080</v>
      </c>
      <c r="B25" t="s">
        <v>32</v>
      </c>
      <c r="C25" s="25">
        <v>43699.445868055554</v>
      </c>
      <c r="D25" s="741" t="s">
        <v>969</v>
      </c>
      <c r="E25" s="741">
        <f t="array" ref="E25">SUMPRODUCT(IF(AMP5_4[[#This Row],[Dim 1_1]:[T 8]]-$F$4:$AI$4&lt;0,1,0)+IF($F$5:$AI$5-AMP5_4[[#This Row],[Dim 1_1]:[T 8]]&lt;0,1,0),IF(ISNUMBER(AMP5_4[[#This Row],[Dim 1_1]:[T 8]])=TRUE,1,0))</f>
        <v>0</v>
      </c>
      <c r="F25">
        <v>41.466999999999999</v>
      </c>
      <c r="G25">
        <v>41.487000000000002</v>
      </c>
      <c r="H25">
        <v>155.88300000000001</v>
      </c>
      <c r="I25">
        <v>155.846</v>
      </c>
      <c r="L25">
        <v>156.04300000000001</v>
      </c>
      <c r="M25">
        <v>155.68899999999999</v>
      </c>
      <c r="N25">
        <v>27.097000000000001</v>
      </c>
      <c r="O25">
        <v>27.294</v>
      </c>
      <c r="R25">
        <v>17.314</v>
      </c>
      <c r="S25">
        <v>17.417000000000002</v>
      </c>
      <c r="T25">
        <v>33.670999999999999</v>
      </c>
      <c r="U25">
        <v>34.03</v>
      </c>
      <c r="W25">
        <v>0.02</v>
      </c>
      <c r="X25">
        <v>-0.10100000000000001</v>
      </c>
      <c r="Z25">
        <v>7.4999999999999997E-2</v>
      </c>
      <c r="AA25">
        <v>-8.6999999999999994E-2</v>
      </c>
      <c r="AB25">
        <v>-8.9999999999999993E-3</v>
      </c>
      <c r="AC25">
        <v>1.9E-2</v>
      </c>
      <c r="AD25">
        <v>0.02</v>
      </c>
      <c r="AE25">
        <v>-0.10100000000000001</v>
      </c>
      <c r="AF25">
        <v>7.4999999999999997E-2</v>
      </c>
      <c r="AG25">
        <v>4.1000000000000002E-2</v>
      </c>
      <c r="AH25">
        <v>-8.6999999999999994E-2</v>
      </c>
      <c r="AI25">
        <v>-5.1999999999999998E-2</v>
      </c>
    </row>
    <row r="26" spans="1:35" x14ac:dyDescent="0.25">
      <c r="A26" t="s">
        <v>1081</v>
      </c>
      <c r="B26" t="s">
        <v>31</v>
      </c>
      <c r="C26" s="25">
        <v>43699.447974537034</v>
      </c>
      <c r="D26" s="741" t="s">
        <v>969</v>
      </c>
      <c r="E26" s="741">
        <f t="array" ref="E26">SUMPRODUCT(IF(AMP5_4[[#This Row],[Dim 1_1]:[T 8]]-$F$4:$AI$4&lt;0,1,0)+IF($F$5:$AI$5-AMP5_4[[#This Row],[Dim 1_1]:[T 8]]&lt;0,1,0),IF(ISNUMBER(AMP5_4[[#This Row],[Dim 1_1]:[T 8]])=TRUE,1,0))</f>
        <v>0</v>
      </c>
      <c r="H26">
        <v>155.422</v>
      </c>
      <c r="I26">
        <v>155.542</v>
      </c>
      <c r="J26">
        <v>168.69200000000001</v>
      </c>
      <c r="K26">
        <v>168.702</v>
      </c>
      <c r="L26">
        <v>155.56899999999999</v>
      </c>
      <c r="M26">
        <v>155.41900000000001</v>
      </c>
      <c r="N26">
        <v>27.626999999999999</v>
      </c>
      <c r="O26">
        <v>27.756</v>
      </c>
      <c r="R26">
        <v>17.361999999999998</v>
      </c>
      <c r="S26">
        <v>17.45</v>
      </c>
      <c r="T26">
        <v>37.170999999999999</v>
      </c>
      <c r="U26">
        <v>38.101999999999997</v>
      </c>
      <c r="W26">
        <v>6.5000000000000002E-2</v>
      </c>
      <c r="X26">
        <v>-0.312</v>
      </c>
      <c r="Z26">
        <v>4.2000000000000003E-2</v>
      </c>
      <c r="AA26">
        <v>-6.4000000000000001E-2</v>
      </c>
      <c r="AB26">
        <v>2.8000000000000001E-2</v>
      </c>
      <c r="AC26">
        <v>-5.6000000000000001E-2</v>
      </c>
      <c r="AD26">
        <v>6.5000000000000002E-2</v>
      </c>
      <c r="AE26">
        <v>-0.312</v>
      </c>
      <c r="AF26">
        <v>3.1E-2</v>
      </c>
      <c r="AG26">
        <v>-1.0999999999999999E-2</v>
      </c>
      <c r="AH26">
        <v>-6.4000000000000001E-2</v>
      </c>
      <c r="AI26">
        <v>4.2000000000000003E-2</v>
      </c>
    </row>
    <row r="27" spans="1:35" x14ac:dyDescent="0.25">
      <c r="A27" t="s">
        <v>1082</v>
      </c>
      <c r="B27" t="s">
        <v>32</v>
      </c>
      <c r="C27" s="25">
        <v>43699.607442129629</v>
      </c>
      <c r="D27" s="741" t="s">
        <v>969</v>
      </c>
      <c r="E27" s="741">
        <f t="array" ref="E27">SUMPRODUCT(IF(AMP5_4[[#This Row],[Dim 1_1]:[T 8]]-$F$4:$AI$4&lt;0,1,0)+IF($F$5:$AI$5-AMP5_4[[#This Row],[Dim 1_1]:[T 8]]&lt;0,1,0),IF(ISNUMBER(AMP5_4[[#This Row],[Dim 1_1]:[T 8]])=TRUE,1,0))</f>
        <v>2</v>
      </c>
      <c r="F27">
        <v>41.390999999999998</v>
      </c>
      <c r="G27">
        <v>41.247</v>
      </c>
      <c r="H27">
        <v>156.01900000000001</v>
      </c>
      <c r="I27">
        <v>156.035</v>
      </c>
      <c r="L27">
        <v>156.13900000000001</v>
      </c>
      <c r="M27">
        <v>155.81100000000001</v>
      </c>
      <c r="N27">
        <v>27.422000000000001</v>
      </c>
      <c r="O27">
        <v>27.59</v>
      </c>
      <c r="R27">
        <v>17.256</v>
      </c>
      <c r="S27">
        <v>17.361000000000001</v>
      </c>
      <c r="T27">
        <v>33.642000000000003</v>
      </c>
      <c r="U27">
        <v>33.914000000000001</v>
      </c>
      <c r="W27">
        <v>-0.17599999999999999</v>
      </c>
      <c r="X27">
        <v>-0.22800000000000001</v>
      </c>
      <c r="Z27">
        <v>0.90800000000000003</v>
      </c>
      <c r="AA27">
        <v>-4.8000000000000001E-2</v>
      </c>
      <c r="AB27">
        <v>-0.22800000000000001</v>
      </c>
      <c r="AC27">
        <v>-0.2</v>
      </c>
      <c r="AD27">
        <v>-0.17599999999999999</v>
      </c>
      <c r="AE27">
        <v>-0.18</v>
      </c>
      <c r="AF27">
        <v>-3.3000000000000002E-2</v>
      </c>
      <c r="AG27">
        <v>-4.8000000000000001E-2</v>
      </c>
      <c r="AH27">
        <v>0.90800000000000003</v>
      </c>
      <c r="AI27">
        <v>0.17</v>
      </c>
    </row>
    <row r="28" spans="1:35" x14ac:dyDescent="0.25">
      <c r="A28" t="s">
        <v>1083</v>
      </c>
      <c r="B28" t="s">
        <v>31</v>
      </c>
      <c r="C28" s="25">
        <v>43699.609988425924</v>
      </c>
      <c r="D28" s="741" t="s">
        <v>969</v>
      </c>
      <c r="E28" s="741">
        <f t="array" ref="E28">SUMPRODUCT(IF(AMP5_4[[#This Row],[Dim 1_1]:[T 8]]-$F$4:$AI$4&lt;0,1,0)+IF($F$5:$AI$5-AMP5_4[[#This Row],[Dim 1_1]:[T 8]]&lt;0,1,0),IF(ISNUMBER(AMP5_4[[#This Row],[Dim 1_1]:[T 8]])=TRUE,1,0))</f>
        <v>0</v>
      </c>
      <c r="H28">
        <v>155.494</v>
      </c>
      <c r="I28">
        <v>155.56299999999999</v>
      </c>
      <c r="J28">
        <v>168.70400000000001</v>
      </c>
      <c r="K28">
        <v>168.73599999999999</v>
      </c>
      <c r="L28">
        <v>156.07</v>
      </c>
      <c r="M28">
        <v>155.91200000000001</v>
      </c>
      <c r="N28">
        <v>27.49</v>
      </c>
      <c r="O28">
        <v>27.678999999999998</v>
      </c>
      <c r="R28">
        <v>17.390999999999998</v>
      </c>
      <c r="S28">
        <v>17.521999999999998</v>
      </c>
      <c r="T28">
        <v>36.877000000000002</v>
      </c>
      <c r="U28">
        <v>38.944000000000003</v>
      </c>
      <c r="W28">
        <v>-7.3999999999999996E-2</v>
      </c>
      <c r="X28">
        <v>-0.40300000000000002</v>
      </c>
      <c r="Z28">
        <v>6.0000000000000001E-3</v>
      </c>
      <c r="AA28">
        <v>-0.159</v>
      </c>
      <c r="AB28">
        <v>-9.2999999999999999E-2</v>
      </c>
      <c r="AC28">
        <v>-0.16400000000000001</v>
      </c>
      <c r="AD28">
        <v>-7.3999999999999996E-2</v>
      </c>
      <c r="AE28">
        <v>-0.40300000000000002</v>
      </c>
      <c r="AF28">
        <v>6.0000000000000001E-3</v>
      </c>
      <c r="AG28">
        <v>-5.0999999999999997E-2</v>
      </c>
      <c r="AH28">
        <v>-0.159</v>
      </c>
      <c r="AI28">
        <v>-5.2999999999999999E-2</v>
      </c>
    </row>
    <row r="29" spans="1:35" x14ac:dyDescent="0.25">
      <c r="A29" t="s">
        <v>1223</v>
      </c>
      <c r="B29" t="s">
        <v>32</v>
      </c>
      <c r="C29" s="25">
        <v>43699.690509259257</v>
      </c>
      <c r="D29" s="741" t="s">
        <v>969</v>
      </c>
      <c r="E29" s="741">
        <f t="array" ref="E29">SUMPRODUCT(IF(AMP5_4[[#This Row],[Dim 1_1]:[T 8]]-$F$4:$AI$4&lt;0,1,0)+IF($F$5:$AI$5-AMP5_4[[#This Row],[Dim 1_1]:[T 8]]&lt;0,1,0),IF(ISNUMBER(AMP5_4[[#This Row],[Dim 1_1]:[T 8]])=TRUE,1,0))</f>
        <v>0</v>
      </c>
      <c r="F29">
        <v>41.247</v>
      </c>
      <c r="G29">
        <v>41.177</v>
      </c>
      <c r="H29">
        <v>155.739</v>
      </c>
      <c r="I29">
        <v>155.79300000000001</v>
      </c>
      <c r="L29">
        <v>155.935</v>
      </c>
      <c r="M29">
        <v>155.65199999999999</v>
      </c>
      <c r="N29">
        <v>27.242000000000001</v>
      </c>
      <c r="O29">
        <v>27.332999999999998</v>
      </c>
      <c r="R29">
        <v>17.294</v>
      </c>
      <c r="S29">
        <v>17.481999999999999</v>
      </c>
      <c r="T29">
        <v>33.067</v>
      </c>
      <c r="U29">
        <v>33.932000000000002</v>
      </c>
      <c r="W29">
        <v>2.5000000000000001E-2</v>
      </c>
      <c r="X29">
        <v>-0.16800000000000001</v>
      </c>
      <c r="Z29">
        <v>6.3E-2</v>
      </c>
      <c r="AA29">
        <v>-0.223</v>
      </c>
      <c r="AB29">
        <v>-2E-3</v>
      </c>
      <c r="AC29">
        <v>2.5000000000000001E-2</v>
      </c>
      <c r="AD29">
        <v>-0.114</v>
      </c>
      <c r="AE29">
        <v>-0.16800000000000001</v>
      </c>
      <c r="AF29">
        <v>6.3E-2</v>
      </c>
      <c r="AG29">
        <v>-6.0000000000000001E-3</v>
      </c>
      <c r="AH29">
        <v>-0.19900000000000001</v>
      </c>
      <c r="AI29">
        <v>-0.223</v>
      </c>
    </row>
    <row r="30" spans="1:35" x14ac:dyDescent="0.25">
      <c r="A30" t="s">
        <v>1224</v>
      </c>
      <c r="B30" t="s">
        <v>31</v>
      </c>
      <c r="C30" s="25">
        <v>43699.692615740743</v>
      </c>
      <c r="D30" s="741" t="s">
        <v>969</v>
      </c>
      <c r="E30" s="741">
        <f t="array" ref="E30">SUMPRODUCT(IF(AMP5_4[[#This Row],[Dim 1_1]:[T 8]]-$F$4:$AI$4&lt;0,1,0)+IF($F$5:$AI$5-AMP5_4[[#This Row],[Dim 1_1]:[T 8]]&lt;0,1,0),IF(ISNUMBER(AMP5_4[[#This Row],[Dim 1_1]:[T 8]])=TRUE,1,0))</f>
        <v>0</v>
      </c>
      <c r="H30">
        <v>155.292</v>
      </c>
      <c r="I30">
        <v>155.37700000000001</v>
      </c>
      <c r="J30">
        <v>168.26300000000001</v>
      </c>
      <c r="K30">
        <v>168.268</v>
      </c>
      <c r="L30">
        <v>155.44999999999999</v>
      </c>
      <c r="M30">
        <v>155.28200000000001</v>
      </c>
      <c r="N30">
        <v>27.690999999999999</v>
      </c>
      <c r="O30">
        <v>27.875</v>
      </c>
      <c r="R30">
        <v>17.361999999999998</v>
      </c>
      <c r="S30">
        <v>17.431999999999999</v>
      </c>
      <c r="T30">
        <v>38.356999999999999</v>
      </c>
      <c r="U30">
        <v>39.701000000000001</v>
      </c>
      <c r="W30">
        <v>0.16900000000000001</v>
      </c>
      <c r="X30">
        <v>-0.14399999999999999</v>
      </c>
      <c r="Z30">
        <v>0.108</v>
      </c>
      <c r="AA30">
        <v>-6.5000000000000002E-2</v>
      </c>
      <c r="AB30">
        <v>0.108</v>
      </c>
      <c r="AC30">
        <v>5.5E-2</v>
      </c>
      <c r="AD30">
        <v>0.16900000000000001</v>
      </c>
      <c r="AE30">
        <v>-0.14399999999999999</v>
      </c>
      <c r="AF30">
        <v>9.9000000000000005E-2</v>
      </c>
      <c r="AG30">
        <v>0.04</v>
      </c>
      <c r="AH30">
        <v>-6.5000000000000002E-2</v>
      </c>
      <c r="AI30">
        <v>0.108</v>
      </c>
    </row>
    <row r="31" spans="1:35" x14ac:dyDescent="0.25">
      <c r="A31" t="s">
        <v>1225</v>
      </c>
      <c r="B31" t="s">
        <v>32</v>
      </c>
      <c r="C31" s="25">
        <v>43699.762384259258</v>
      </c>
      <c r="D31" s="741" t="s">
        <v>969</v>
      </c>
      <c r="E31" s="741">
        <f t="array" ref="E31">SUMPRODUCT(IF(AMP5_4[[#This Row],[Dim 1_1]:[T 8]]-$F$4:$AI$4&lt;0,1,0)+IF($F$5:$AI$5-AMP5_4[[#This Row],[Dim 1_1]:[T 8]]&lt;0,1,0),IF(ISNUMBER(AMP5_4[[#This Row],[Dim 1_1]:[T 8]])=TRUE,1,0))</f>
        <v>0</v>
      </c>
      <c r="F31">
        <v>41.54</v>
      </c>
      <c r="G31">
        <v>41.597000000000001</v>
      </c>
      <c r="H31">
        <v>155.785</v>
      </c>
      <c r="I31">
        <v>155.846</v>
      </c>
      <c r="L31">
        <v>155.93700000000001</v>
      </c>
      <c r="M31">
        <v>155.672</v>
      </c>
      <c r="N31">
        <v>27.21</v>
      </c>
      <c r="O31">
        <v>27.297000000000001</v>
      </c>
      <c r="R31">
        <v>17.283000000000001</v>
      </c>
      <c r="S31">
        <v>17.477</v>
      </c>
      <c r="T31">
        <v>33.654000000000003</v>
      </c>
      <c r="U31">
        <v>33.542000000000002</v>
      </c>
      <c r="W31">
        <v>1E-3</v>
      </c>
      <c r="X31">
        <v>-0.27600000000000002</v>
      </c>
      <c r="Z31">
        <v>5.5E-2</v>
      </c>
      <c r="AA31">
        <v>-0.27800000000000002</v>
      </c>
      <c r="AB31">
        <v>-1.6E-2</v>
      </c>
      <c r="AC31">
        <v>1E-3</v>
      </c>
      <c r="AD31">
        <v>-0.17599999999999999</v>
      </c>
      <c r="AE31">
        <v>-0.27600000000000002</v>
      </c>
      <c r="AF31">
        <v>5.5E-2</v>
      </c>
      <c r="AG31">
        <v>-6.0000000000000001E-3</v>
      </c>
      <c r="AH31">
        <v>-0.27800000000000002</v>
      </c>
      <c r="AI31">
        <v>-0.26700000000000002</v>
      </c>
    </row>
    <row r="32" spans="1:35" x14ac:dyDescent="0.25">
      <c r="A32" t="s">
        <v>1226</v>
      </c>
      <c r="B32" t="s">
        <v>31</v>
      </c>
      <c r="C32" s="25">
        <v>43699.77480324074</v>
      </c>
      <c r="D32" s="741" t="s">
        <v>969</v>
      </c>
      <c r="E32" s="741">
        <f t="array" ref="E32">SUMPRODUCT(IF(AMP5_4[[#This Row],[Dim 1_1]:[T 8]]-$F$4:$AI$4&lt;0,1,0)+IF($F$5:$AI$5-AMP5_4[[#This Row],[Dim 1_1]:[T 8]]&lt;0,1,0),IF(ISNUMBER(AMP5_4[[#This Row],[Dim 1_1]:[T 8]])=TRUE,1,0))</f>
        <v>0</v>
      </c>
      <c r="H32">
        <v>155.33600000000001</v>
      </c>
      <c r="I32">
        <v>155.404</v>
      </c>
      <c r="J32">
        <v>168.58799999999999</v>
      </c>
      <c r="K32">
        <v>168.61799999999999</v>
      </c>
      <c r="L32">
        <v>155.48500000000001</v>
      </c>
      <c r="M32">
        <v>155.33000000000001</v>
      </c>
      <c r="N32">
        <v>27.698</v>
      </c>
      <c r="O32">
        <v>27.844999999999999</v>
      </c>
      <c r="R32">
        <v>17.395</v>
      </c>
      <c r="S32">
        <v>17.373999999999999</v>
      </c>
      <c r="T32">
        <v>38.323999999999998</v>
      </c>
      <c r="U32">
        <v>39.787999999999997</v>
      </c>
      <c r="W32">
        <v>0.20300000000000001</v>
      </c>
      <c r="X32">
        <v>-6.6000000000000003E-2</v>
      </c>
      <c r="Z32">
        <v>7.8E-2</v>
      </c>
      <c r="AA32">
        <v>-0.122</v>
      </c>
      <c r="AB32">
        <v>-1.4999999999999999E-2</v>
      </c>
      <c r="AC32">
        <v>-6.6000000000000003E-2</v>
      </c>
      <c r="AD32">
        <v>0.20300000000000001</v>
      </c>
      <c r="AE32">
        <v>-5.6000000000000001E-2</v>
      </c>
      <c r="AF32">
        <v>-0.06</v>
      </c>
      <c r="AG32">
        <v>-0.122</v>
      </c>
      <c r="AH32">
        <v>-3.3000000000000002E-2</v>
      </c>
      <c r="AI32">
        <v>7.8E-2</v>
      </c>
    </row>
    <row r="33" spans="1:35" x14ac:dyDescent="0.25">
      <c r="A33" t="s">
        <v>1227</v>
      </c>
      <c r="B33" t="s">
        <v>32</v>
      </c>
      <c r="C33" s="25">
        <v>43699.841446759259</v>
      </c>
      <c r="D33" s="741" t="s">
        <v>969</v>
      </c>
      <c r="E33" s="741">
        <f t="array" ref="E33">SUMPRODUCT(IF(AMP5_4[[#This Row],[Dim 1_1]:[T 8]]-$F$4:$AI$4&lt;0,1,0)+IF($F$5:$AI$5-AMP5_4[[#This Row],[Dim 1_1]:[T 8]]&lt;0,1,0),IF(ISNUMBER(AMP5_4[[#This Row],[Dim 1_1]:[T 8]])=TRUE,1,0))</f>
        <v>0</v>
      </c>
      <c r="F33">
        <v>41.697000000000003</v>
      </c>
      <c r="G33">
        <v>41.744999999999997</v>
      </c>
      <c r="H33">
        <v>155.82499999999999</v>
      </c>
      <c r="I33">
        <v>155.83199999999999</v>
      </c>
      <c r="L33">
        <v>155.994</v>
      </c>
      <c r="M33">
        <v>155.69499999999999</v>
      </c>
      <c r="N33">
        <v>27.215</v>
      </c>
      <c r="O33">
        <v>27.303999999999998</v>
      </c>
      <c r="R33">
        <v>17.291</v>
      </c>
      <c r="S33">
        <v>17.443999999999999</v>
      </c>
      <c r="T33">
        <v>33.292999999999999</v>
      </c>
      <c r="U33">
        <v>33.585999999999999</v>
      </c>
      <c r="W33">
        <v>5.7000000000000002E-2</v>
      </c>
      <c r="X33">
        <v>-0.246</v>
      </c>
      <c r="Z33">
        <v>-8.9999999999999993E-3</v>
      </c>
      <c r="AA33">
        <v>-0.27600000000000002</v>
      </c>
      <c r="AB33">
        <v>-1.4999999999999999E-2</v>
      </c>
      <c r="AC33">
        <v>5.7000000000000002E-2</v>
      </c>
      <c r="AD33">
        <v>-0.04</v>
      </c>
      <c r="AE33">
        <v>-0.246</v>
      </c>
      <c r="AF33">
        <v>-8.9999999999999993E-3</v>
      </c>
      <c r="AG33">
        <v>-0.12</v>
      </c>
      <c r="AH33">
        <v>-0.27</v>
      </c>
      <c r="AI33">
        <v>-0.27600000000000002</v>
      </c>
    </row>
    <row r="34" spans="1:35" x14ac:dyDescent="0.25">
      <c r="A34" t="s">
        <v>1228</v>
      </c>
      <c r="B34" t="s">
        <v>31</v>
      </c>
      <c r="C34" s="25">
        <v>43699.843449074076</v>
      </c>
      <c r="D34" s="741" t="s">
        <v>969</v>
      </c>
      <c r="E34" s="741">
        <f t="array" ref="E34">SUMPRODUCT(IF(AMP5_4[[#This Row],[Dim 1_1]:[T 8]]-$F$4:$AI$4&lt;0,1,0)+IF($F$5:$AI$5-AMP5_4[[#This Row],[Dim 1_1]:[T 8]]&lt;0,1,0),IF(ISNUMBER(AMP5_4[[#This Row],[Dim 1_1]:[T 8]])=TRUE,1,0))</f>
        <v>0</v>
      </c>
      <c r="H34">
        <v>155.38399999999999</v>
      </c>
      <c r="I34">
        <v>155.40700000000001</v>
      </c>
      <c r="J34">
        <v>168.75700000000001</v>
      </c>
      <c r="K34">
        <v>168.804</v>
      </c>
      <c r="L34">
        <v>155.548</v>
      </c>
      <c r="M34">
        <v>155.34700000000001</v>
      </c>
      <c r="N34">
        <v>27.588000000000001</v>
      </c>
      <c r="O34">
        <v>27.803999999999998</v>
      </c>
      <c r="R34">
        <v>17.402999999999999</v>
      </c>
      <c r="S34">
        <v>17.404</v>
      </c>
      <c r="T34">
        <v>37.375</v>
      </c>
      <c r="U34">
        <v>38.767000000000003</v>
      </c>
      <c r="W34">
        <v>0.16200000000000001</v>
      </c>
      <c r="X34">
        <v>-0.13700000000000001</v>
      </c>
      <c r="Z34">
        <v>6.4000000000000001E-2</v>
      </c>
      <c r="AA34">
        <v>-0.09</v>
      </c>
      <c r="AB34">
        <v>-0.08</v>
      </c>
      <c r="AC34">
        <v>-0.13500000000000001</v>
      </c>
      <c r="AD34">
        <v>0.16200000000000001</v>
      </c>
      <c r="AE34">
        <v>-0.13700000000000001</v>
      </c>
      <c r="AF34">
        <v>-3.6999999999999998E-2</v>
      </c>
      <c r="AG34">
        <v>-0.09</v>
      </c>
      <c r="AH34">
        <v>-2.9000000000000001E-2</v>
      </c>
      <c r="AI34">
        <v>6.4000000000000001E-2</v>
      </c>
    </row>
    <row r="35" spans="1:35" x14ac:dyDescent="0.25">
      <c r="A35" t="s">
        <v>1229</v>
      </c>
      <c r="B35" t="s">
        <v>32</v>
      </c>
      <c r="C35" s="25">
        <v>43699.927303240744</v>
      </c>
      <c r="D35" s="741" t="s">
        <v>969</v>
      </c>
      <c r="E35" s="741">
        <f t="array" ref="E35">SUMPRODUCT(IF(AMP5_4[[#This Row],[Dim 1_1]:[T 8]]-$F$4:$AI$4&lt;0,1,0)+IF($F$5:$AI$5-AMP5_4[[#This Row],[Dim 1_1]:[T 8]]&lt;0,1,0),IF(ISNUMBER(AMP5_4[[#This Row],[Dim 1_1]:[T 8]])=TRUE,1,0))</f>
        <v>0</v>
      </c>
      <c r="F35">
        <v>41.671999999999997</v>
      </c>
      <c r="G35">
        <v>41.801000000000002</v>
      </c>
      <c r="H35">
        <v>155.79499999999999</v>
      </c>
      <c r="I35">
        <v>155.84700000000001</v>
      </c>
      <c r="L35">
        <v>155.93899999999999</v>
      </c>
      <c r="M35">
        <v>155.721</v>
      </c>
      <c r="N35">
        <v>27.137</v>
      </c>
      <c r="O35">
        <v>27.221</v>
      </c>
      <c r="R35">
        <v>17.295000000000002</v>
      </c>
      <c r="S35">
        <v>17.428000000000001</v>
      </c>
      <c r="T35">
        <v>33.356000000000002</v>
      </c>
      <c r="U35">
        <v>33.637999999999998</v>
      </c>
      <c r="W35">
        <v>1.4E-2</v>
      </c>
      <c r="X35">
        <v>-0.216</v>
      </c>
      <c r="Z35">
        <v>0.11</v>
      </c>
      <c r="AA35">
        <v>-0.22600000000000001</v>
      </c>
      <c r="AB35">
        <v>-4.2000000000000003E-2</v>
      </c>
      <c r="AC35">
        <v>1.4E-2</v>
      </c>
      <c r="AD35">
        <v>-0.16300000000000001</v>
      </c>
      <c r="AE35">
        <v>-0.216</v>
      </c>
      <c r="AF35">
        <v>0.11</v>
      </c>
      <c r="AG35">
        <v>5.7000000000000002E-2</v>
      </c>
      <c r="AH35">
        <v>-0.22600000000000001</v>
      </c>
      <c r="AI35">
        <v>-0.17</v>
      </c>
    </row>
    <row r="36" spans="1:35" x14ac:dyDescent="0.25">
      <c r="A36" t="s">
        <v>1230</v>
      </c>
      <c r="B36" t="s">
        <v>31</v>
      </c>
      <c r="C36" s="25">
        <v>43699.929814814815</v>
      </c>
      <c r="D36" s="741" t="s">
        <v>969</v>
      </c>
      <c r="E36" s="741">
        <f t="array" ref="E36">SUMPRODUCT(IF(AMP5_4[[#This Row],[Dim 1_1]:[T 8]]-$F$4:$AI$4&lt;0,1,0)+IF($F$5:$AI$5-AMP5_4[[#This Row],[Dim 1_1]:[T 8]]&lt;0,1,0),IF(ISNUMBER(AMP5_4[[#This Row],[Dim 1_1]:[T 8]])=TRUE,1,0))</f>
        <v>0</v>
      </c>
      <c r="H36">
        <v>155.416</v>
      </c>
      <c r="I36">
        <v>155.38300000000001</v>
      </c>
      <c r="J36">
        <v>168.69300000000001</v>
      </c>
      <c r="K36">
        <v>168.821</v>
      </c>
      <c r="L36">
        <v>155.553</v>
      </c>
      <c r="M36">
        <v>155.33099999999999</v>
      </c>
      <c r="N36">
        <v>27.692</v>
      </c>
      <c r="O36">
        <v>27.882999999999999</v>
      </c>
      <c r="R36">
        <v>17.381</v>
      </c>
      <c r="S36">
        <v>17.417000000000002</v>
      </c>
      <c r="T36">
        <v>37.151000000000003</v>
      </c>
      <c r="U36">
        <v>38.456000000000003</v>
      </c>
      <c r="W36">
        <v>0.193</v>
      </c>
      <c r="X36">
        <v>-6.6000000000000003E-2</v>
      </c>
      <c r="Z36">
        <v>-0.05</v>
      </c>
      <c r="AA36">
        <v>-0.192</v>
      </c>
      <c r="AB36">
        <v>-2.9000000000000001E-2</v>
      </c>
      <c r="AC36">
        <v>-6.6000000000000003E-2</v>
      </c>
      <c r="AD36">
        <v>0.193</v>
      </c>
      <c r="AE36">
        <v>2.1000000000000001E-2</v>
      </c>
      <c r="AF36">
        <v>-0.13300000000000001</v>
      </c>
      <c r="AG36">
        <v>-0.192</v>
      </c>
      <c r="AH36">
        <v>-0.14000000000000001</v>
      </c>
      <c r="AI36">
        <v>-0.05</v>
      </c>
    </row>
    <row r="37" spans="1:35" x14ac:dyDescent="0.25">
      <c r="A37" t="s">
        <v>1231</v>
      </c>
      <c r="B37" t="s">
        <v>32</v>
      </c>
      <c r="C37" s="25">
        <v>43700.011944444443</v>
      </c>
      <c r="D37" s="741" t="s">
        <v>969</v>
      </c>
      <c r="E37" s="741">
        <f t="array" ref="E37">SUMPRODUCT(IF(AMP5_4[[#This Row],[Dim 1_1]:[T 8]]-$F$4:$AI$4&lt;0,1,0)+IF($F$5:$AI$5-AMP5_4[[#This Row],[Dim 1_1]:[T 8]]&lt;0,1,0),IF(ISNUMBER(AMP5_4[[#This Row],[Dim 1_1]:[T 8]])=TRUE,1,0))</f>
        <v>1</v>
      </c>
      <c r="F37">
        <v>41.683999999999997</v>
      </c>
      <c r="G37">
        <v>41.854999999999997</v>
      </c>
      <c r="H37">
        <v>155.852</v>
      </c>
      <c r="I37">
        <v>155.88999999999999</v>
      </c>
      <c r="L37">
        <v>156.006</v>
      </c>
      <c r="M37">
        <v>155.77000000000001</v>
      </c>
      <c r="N37">
        <v>27.114999999999998</v>
      </c>
      <c r="O37">
        <v>27.222999999999999</v>
      </c>
      <c r="R37">
        <v>17.391999999999999</v>
      </c>
      <c r="S37">
        <v>17.332000000000001</v>
      </c>
      <c r="T37">
        <v>33.271000000000001</v>
      </c>
      <c r="U37">
        <v>33.633000000000003</v>
      </c>
      <c r="W37">
        <v>3.4000000000000002E-2</v>
      </c>
      <c r="X37">
        <v>-0.10100000000000001</v>
      </c>
      <c r="Z37">
        <v>-9.6000000000000002E-2</v>
      </c>
      <c r="AA37">
        <v>-0.20799999999999999</v>
      </c>
      <c r="AB37">
        <v>-0.10100000000000001</v>
      </c>
      <c r="AC37">
        <v>-5.8999999999999997E-2</v>
      </c>
      <c r="AD37">
        <v>3.4000000000000002E-2</v>
      </c>
      <c r="AE37">
        <v>-5.6000000000000001E-2</v>
      </c>
      <c r="AF37">
        <v>-9.6000000000000002E-2</v>
      </c>
      <c r="AG37">
        <v>-0.20799999999999999</v>
      </c>
      <c r="AH37">
        <v>-0.17199999999999999</v>
      </c>
      <c r="AI37">
        <v>-0.14099999999999999</v>
      </c>
    </row>
    <row r="38" spans="1:35" x14ac:dyDescent="0.25">
      <c r="A38" t="s">
        <v>1232</v>
      </c>
      <c r="B38" t="s">
        <v>31</v>
      </c>
      <c r="C38" s="25">
        <v>43700.01425925926</v>
      </c>
      <c r="D38" s="741" t="s">
        <v>969</v>
      </c>
      <c r="E38" s="741">
        <f t="array" ref="E38">SUMPRODUCT(IF(AMP5_4[[#This Row],[Dim 1_1]:[T 8]]-$F$4:$AI$4&lt;0,1,0)+IF($F$5:$AI$5-AMP5_4[[#This Row],[Dim 1_1]:[T 8]]&lt;0,1,0),IF(ISNUMBER(AMP5_4[[#This Row],[Dim 1_1]:[T 8]])=TRUE,1,0))</f>
        <v>0</v>
      </c>
      <c r="H38">
        <v>155.51300000000001</v>
      </c>
      <c r="I38">
        <v>155.51400000000001</v>
      </c>
      <c r="J38">
        <v>168.74</v>
      </c>
      <c r="K38">
        <v>168.95500000000001</v>
      </c>
      <c r="L38">
        <v>155.72800000000001</v>
      </c>
      <c r="M38">
        <v>155.46799999999999</v>
      </c>
      <c r="N38">
        <v>27.54</v>
      </c>
      <c r="O38">
        <v>27.77</v>
      </c>
      <c r="R38">
        <v>17.388999999999999</v>
      </c>
      <c r="S38">
        <v>17.141999999999999</v>
      </c>
      <c r="T38">
        <v>34.451999999999998</v>
      </c>
      <c r="U38">
        <v>36.012</v>
      </c>
      <c r="W38">
        <v>0.17399999999999999</v>
      </c>
      <c r="X38">
        <v>-0.436</v>
      </c>
      <c r="Z38">
        <v>0.13200000000000001</v>
      </c>
      <c r="AA38">
        <v>-0.32500000000000001</v>
      </c>
      <c r="AB38">
        <v>-0.38400000000000001</v>
      </c>
      <c r="AC38">
        <v>-0.436</v>
      </c>
      <c r="AD38">
        <v>0.17399999999999999</v>
      </c>
      <c r="AE38">
        <v>-7.6999999999999999E-2</v>
      </c>
      <c r="AF38">
        <v>-0.28999999999999998</v>
      </c>
      <c r="AG38">
        <v>-0.32500000000000001</v>
      </c>
      <c r="AH38">
        <v>0.104</v>
      </c>
      <c r="AI38">
        <v>0.13200000000000001</v>
      </c>
    </row>
    <row r="39" spans="1:35" x14ac:dyDescent="0.25">
      <c r="A39" t="s">
        <v>1233</v>
      </c>
      <c r="B39" t="s">
        <v>32</v>
      </c>
      <c r="C39" s="25">
        <v>43700.312013888892</v>
      </c>
      <c r="D39" s="741" t="s">
        <v>969</v>
      </c>
      <c r="E39" s="741">
        <f t="array" ref="E39">SUMPRODUCT(IF(AMP5_4[[#This Row],[Dim 1_1]:[T 8]]-$F$4:$AI$4&lt;0,1,0)+IF($F$5:$AI$5-AMP5_4[[#This Row],[Dim 1_1]:[T 8]]&lt;0,1,0),IF(ISNUMBER(AMP5_4[[#This Row],[Dim 1_1]:[T 8]])=TRUE,1,0))</f>
        <v>0</v>
      </c>
      <c r="F39">
        <v>41.426000000000002</v>
      </c>
      <c r="G39">
        <v>41.58</v>
      </c>
      <c r="H39">
        <v>156.11500000000001</v>
      </c>
      <c r="I39">
        <v>156.11600000000001</v>
      </c>
      <c r="L39">
        <v>156.285</v>
      </c>
      <c r="M39">
        <v>156.006</v>
      </c>
      <c r="N39">
        <v>26.966000000000001</v>
      </c>
      <c r="O39">
        <v>26.952000000000002</v>
      </c>
      <c r="R39">
        <v>17.344000000000001</v>
      </c>
      <c r="S39">
        <v>17.152000000000001</v>
      </c>
      <c r="T39">
        <v>33.299999999999997</v>
      </c>
      <c r="U39">
        <v>33.956000000000003</v>
      </c>
      <c r="W39">
        <v>3.6999999999999998E-2</v>
      </c>
      <c r="X39">
        <v>-0.19800000000000001</v>
      </c>
      <c r="Z39">
        <v>-0.154</v>
      </c>
      <c r="AA39">
        <v>-0.435</v>
      </c>
      <c r="AB39">
        <v>-0.19800000000000001</v>
      </c>
      <c r="AC39">
        <v>-0.154</v>
      </c>
      <c r="AD39">
        <v>3.6999999999999998E-2</v>
      </c>
      <c r="AE39">
        <v>-0.1</v>
      </c>
      <c r="AF39">
        <v>-0.36499999999999999</v>
      </c>
      <c r="AG39">
        <v>-0.435</v>
      </c>
      <c r="AH39">
        <v>-0.35199999999999998</v>
      </c>
      <c r="AI39">
        <v>-0.154</v>
      </c>
    </row>
    <row r="40" spans="1:35" x14ac:dyDescent="0.25">
      <c r="A40" t="s">
        <v>1234</v>
      </c>
      <c r="B40" t="s">
        <v>31</v>
      </c>
      <c r="C40" s="25">
        <v>43700.314270833333</v>
      </c>
      <c r="D40" s="741" t="s">
        <v>969</v>
      </c>
      <c r="E40" s="741">
        <f t="array" ref="E40">SUMPRODUCT(IF(AMP5_4[[#This Row],[Dim 1_1]:[T 8]]-$F$4:$AI$4&lt;0,1,0)+IF($F$5:$AI$5-AMP5_4[[#This Row],[Dim 1_1]:[T 8]]&lt;0,1,0),IF(ISNUMBER(AMP5_4[[#This Row],[Dim 1_1]:[T 8]])=TRUE,1,0))</f>
        <v>0</v>
      </c>
      <c r="H40">
        <v>155.68899999999999</v>
      </c>
      <c r="I40">
        <v>155.75</v>
      </c>
      <c r="J40">
        <v>168.876</v>
      </c>
      <c r="K40">
        <v>169.06700000000001</v>
      </c>
      <c r="L40">
        <v>156.042</v>
      </c>
      <c r="M40">
        <v>155.65199999999999</v>
      </c>
      <c r="N40">
        <v>27.030999999999999</v>
      </c>
      <c r="O40">
        <v>27.361999999999998</v>
      </c>
      <c r="R40">
        <v>17.414000000000001</v>
      </c>
      <c r="S40">
        <v>17.202999999999999</v>
      </c>
      <c r="T40">
        <v>38.212000000000003</v>
      </c>
      <c r="U40">
        <v>38.469000000000001</v>
      </c>
      <c r="W40">
        <v>2.5999999999999999E-2</v>
      </c>
      <c r="X40">
        <v>-0.42099999999999999</v>
      </c>
      <c r="Z40">
        <v>0.155</v>
      </c>
      <c r="AA40">
        <v>-0.26800000000000002</v>
      </c>
      <c r="AB40">
        <v>-0.35699999999999998</v>
      </c>
      <c r="AC40">
        <v>-0.42099999999999999</v>
      </c>
      <c r="AD40">
        <v>2.5999999999999999E-2</v>
      </c>
      <c r="AE40">
        <v>-0.33100000000000002</v>
      </c>
      <c r="AF40">
        <v>-0.20300000000000001</v>
      </c>
      <c r="AG40">
        <v>-0.26800000000000002</v>
      </c>
      <c r="AH40">
        <v>0.155</v>
      </c>
      <c r="AI40">
        <v>1.2E-2</v>
      </c>
    </row>
    <row r="41" spans="1:35" x14ac:dyDescent="0.25">
      <c r="A41" t="s">
        <v>1235</v>
      </c>
      <c r="B41" t="s">
        <v>32</v>
      </c>
      <c r="C41" s="25">
        <v>43700.398356481484</v>
      </c>
      <c r="D41" s="741" t="s">
        <v>969</v>
      </c>
      <c r="E41" s="741">
        <f t="array" ref="E41">SUMPRODUCT(IF(AMP5_4[[#This Row],[Dim 1_1]:[T 8]]-$F$4:$AI$4&lt;0,1,0)+IF($F$5:$AI$5-AMP5_4[[#This Row],[Dim 1_1]:[T 8]]&lt;0,1,0),IF(ISNUMBER(AMP5_4[[#This Row],[Dim 1_1]:[T 8]])=TRUE,1,0))</f>
        <v>0</v>
      </c>
      <c r="F41">
        <v>41.228000000000002</v>
      </c>
      <c r="G41">
        <v>41.264000000000003</v>
      </c>
      <c r="H41">
        <v>156.239</v>
      </c>
      <c r="I41">
        <v>156.29300000000001</v>
      </c>
      <c r="L41">
        <v>156.41300000000001</v>
      </c>
      <c r="M41">
        <v>156.18199999999999</v>
      </c>
      <c r="N41">
        <v>26.7</v>
      </c>
      <c r="O41">
        <v>26.760999999999999</v>
      </c>
      <c r="R41">
        <v>17.311</v>
      </c>
      <c r="S41">
        <v>17.103999999999999</v>
      </c>
      <c r="T41">
        <v>33.375999999999998</v>
      </c>
      <c r="U41">
        <v>33.939</v>
      </c>
      <c r="W41">
        <v>-0.15</v>
      </c>
      <c r="X41">
        <v>-0.38200000000000001</v>
      </c>
      <c r="Z41">
        <v>-0.126</v>
      </c>
      <c r="AA41">
        <v>-0.35299999999999998</v>
      </c>
      <c r="AB41">
        <v>-0.312</v>
      </c>
      <c r="AC41">
        <v>-0.24</v>
      </c>
      <c r="AD41">
        <v>-0.15</v>
      </c>
      <c r="AE41">
        <v>-0.38200000000000001</v>
      </c>
      <c r="AF41">
        <v>-0.126</v>
      </c>
      <c r="AG41">
        <v>-0.224</v>
      </c>
      <c r="AH41">
        <v>-0.35299999999999998</v>
      </c>
      <c r="AI41">
        <v>-0.14399999999999999</v>
      </c>
    </row>
    <row r="42" spans="1:35" x14ac:dyDescent="0.25">
      <c r="A42" t="s">
        <v>1236</v>
      </c>
      <c r="B42" t="s">
        <v>31</v>
      </c>
      <c r="C42" s="25">
        <v>43700.402199074073</v>
      </c>
      <c r="D42" s="741" t="s">
        <v>969</v>
      </c>
      <c r="E42" s="741">
        <f t="array" ref="E42">SUMPRODUCT(IF(AMP5_4[[#This Row],[Dim 1_1]:[T 8]]-$F$4:$AI$4&lt;0,1,0)+IF($F$5:$AI$5-AMP5_4[[#This Row],[Dim 1_1]:[T 8]]&lt;0,1,0),IF(ISNUMBER(AMP5_4[[#This Row],[Dim 1_1]:[T 8]])=TRUE,1,0))</f>
        <v>0</v>
      </c>
      <c r="H42">
        <v>155.70699999999999</v>
      </c>
      <c r="I42">
        <v>155.74100000000001</v>
      </c>
      <c r="J42">
        <v>168.935</v>
      </c>
      <c r="K42">
        <v>169.041</v>
      </c>
      <c r="L42">
        <v>156.166</v>
      </c>
      <c r="M42">
        <v>155.715</v>
      </c>
      <c r="N42">
        <v>27.077000000000002</v>
      </c>
      <c r="O42">
        <v>27.404</v>
      </c>
      <c r="R42">
        <v>17.420000000000002</v>
      </c>
      <c r="S42">
        <v>17.213000000000001</v>
      </c>
      <c r="T42">
        <v>37.820999999999998</v>
      </c>
      <c r="U42">
        <v>39.015000000000001</v>
      </c>
      <c r="W42">
        <v>1.4999999999999999E-2</v>
      </c>
      <c r="X42">
        <v>-0.38</v>
      </c>
      <c r="Z42">
        <v>-1.9E-2</v>
      </c>
      <c r="AA42">
        <v>-0.47499999999999998</v>
      </c>
      <c r="AB42">
        <v>-0.32700000000000001</v>
      </c>
      <c r="AC42">
        <v>-0.38</v>
      </c>
      <c r="AD42">
        <v>1.4999999999999999E-2</v>
      </c>
      <c r="AE42">
        <v>-0.249</v>
      </c>
      <c r="AF42">
        <v>-0.41199999999999998</v>
      </c>
      <c r="AG42">
        <v>-0.47499999999999998</v>
      </c>
      <c r="AH42">
        <v>-1.9E-2</v>
      </c>
      <c r="AI42">
        <v>-0.24199999999999999</v>
      </c>
    </row>
    <row r="43" spans="1:35" x14ac:dyDescent="0.25">
      <c r="A43" t="s">
        <v>1237</v>
      </c>
      <c r="B43" t="s">
        <v>32</v>
      </c>
      <c r="C43" s="25">
        <v>43700.480393518519</v>
      </c>
      <c r="D43" s="741" t="s">
        <v>969</v>
      </c>
      <c r="E43" s="741">
        <f t="array" ref="E43">SUMPRODUCT(IF(AMP5_4[[#This Row],[Dim 1_1]:[T 8]]-$F$4:$AI$4&lt;0,1,0)+IF($F$5:$AI$5-AMP5_4[[#This Row],[Dim 1_1]:[T 8]]&lt;0,1,0),IF(ISNUMBER(AMP5_4[[#This Row],[Dim 1_1]:[T 8]])=TRUE,1,0))</f>
        <v>4</v>
      </c>
      <c r="F43">
        <v>40.832999999999998</v>
      </c>
      <c r="G43">
        <v>40.981999999999999</v>
      </c>
      <c r="H43">
        <v>156.441</v>
      </c>
      <c r="I43">
        <v>156.53200000000001</v>
      </c>
      <c r="L43">
        <v>156.61000000000001</v>
      </c>
      <c r="M43">
        <v>156.33600000000001</v>
      </c>
      <c r="N43">
        <v>26.55</v>
      </c>
      <c r="O43">
        <v>26.042000000000002</v>
      </c>
      <c r="R43">
        <v>17.257000000000001</v>
      </c>
      <c r="S43">
        <v>16.777000000000001</v>
      </c>
      <c r="T43">
        <v>33.241</v>
      </c>
      <c r="U43">
        <v>34.274999999999999</v>
      </c>
      <c r="W43">
        <v>0.23899999999999999</v>
      </c>
      <c r="X43">
        <v>-0.41099999999999998</v>
      </c>
      <c r="Z43">
        <v>0.112</v>
      </c>
      <c r="AA43">
        <v>-0.41099999999999998</v>
      </c>
      <c r="AB43">
        <v>-0.41099999999999998</v>
      </c>
      <c r="AC43">
        <v>-0.35099999999999998</v>
      </c>
      <c r="AD43">
        <v>0.23899999999999999</v>
      </c>
      <c r="AE43">
        <v>0.109</v>
      </c>
      <c r="AF43">
        <v>-0.315</v>
      </c>
      <c r="AG43">
        <v>-0.41099999999999998</v>
      </c>
      <c r="AH43">
        <v>0.111</v>
      </c>
      <c r="AI43">
        <v>0.112</v>
      </c>
    </row>
    <row r="44" spans="1:35" x14ac:dyDescent="0.25">
      <c r="A44" t="s">
        <v>1238</v>
      </c>
      <c r="B44" t="s">
        <v>31</v>
      </c>
      <c r="C44" s="25">
        <v>43700.483356481483</v>
      </c>
      <c r="D44" s="741" t="s">
        <v>969</v>
      </c>
      <c r="E44" s="741">
        <f t="array" ref="E44">SUMPRODUCT(IF(AMP5_4[[#This Row],[Dim 1_1]:[T 8]]-$F$4:$AI$4&lt;0,1,0)+IF($F$5:$AI$5-AMP5_4[[#This Row],[Dim 1_1]:[T 8]]&lt;0,1,0),IF(ISNUMBER(AMP5_4[[#This Row],[Dim 1_1]:[T 8]])=TRUE,1,0))</f>
        <v>5</v>
      </c>
      <c r="H44">
        <v>156.32</v>
      </c>
      <c r="I44">
        <v>156.13300000000001</v>
      </c>
      <c r="J44">
        <v>168.98500000000001</v>
      </c>
      <c r="K44">
        <v>169.137</v>
      </c>
      <c r="L44">
        <v>156.68299999999999</v>
      </c>
      <c r="M44">
        <v>156.50299999999999</v>
      </c>
      <c r="N44">
        <v>26.54</v>
      </c>
      <c r="O44">
        <v>26.975000000000001</v>
      </c>
      <c r="R44">
        <v>17.329999999999998</v>
      </c>
      <c r="S44">
        <v>17.321000000000002</v>
      </c>
      <c r="T44">
        <v>36.615000000000002</v>
      </c>
      <c r="U44">
        <v>38.384999999999998</v>
      </c>
      <c r="W44">
        <v>-0.39700000000000002</v>
      </c>
      <c r="X44">
        <v>-0.751</v>
      </c>
      <c r="Z44">
        <v>-0.52400000000000002</v>
      </c>
      <c r="AA44">
        <v>-0.65500000000000003</v>
      </c>
      <c r="AB44">
        <v>-0.61899999999999999</v>
      </c>
      <c r="AC44">
        <v>-0.56699999999999995</v>
      </c>
      <c r="AD44">
        <v>-0.39700000000000002</v>
      </c>
      <c r="AE44">
        <v>-0.751</v>
      </c>
      <c r="AF44">
        <v>-0.54100000000000004</v>
      </c>
      <c r="AG44">
        <v>-0.65500000000000003</v>
      </c>
      <c r="AH44">
        <v>-0.52400000000000002</v>
      </c>
      <c r="AI44">
        <v>-0.623</v>
      </c>
    </row>
    <row r="45" spans="1:35" x14ac:dyDescent="0.25">
      <c r="A45" t="s">
        <v>1712</v>
      </c>
      <c r="B45" t="s">
        <v>32</v>
      </c>
      <c r="C45" s="25">
        <v>43703.86824074074</v>
      </c>
      <c r="D45" s="741" t="s">
        <v>969</v>
      </c>
      <c r="E45" s="741">
        <f t="array" ref="E45">SUMPRODUCT(IF(AMP5_4[[#This Row],[Dim 1_1]:[T 8]]-$F$4:$AI$4&lt;0,1,0)+IF($F$5:$AI$5-AMP5_4[[#This Row],[Dim 1_1]:[T 8]]&lt;0,1,0),IF(ISNUMBER(AMP5_4[[#This Row],[Dim 1_1]:[T 8]])=TRUE,1,0))</f>
        <v>0</v>
      </c>
      <c r="F45">
        <v>41.356999999999999</v>
      </c>
      <c r="G45">
        <v>41.49</v>
      </c>
      <c r="H45">
        <v>155.69200000000001</v>
      </c>
      <c r="I45">
        <v>155.71199999999999</v>
      </c>
      <c r="L45">
        <v>155.76599999999999</v>
      </c>
      <c r="M45">
        <v>155.58699999999999</v>
      </c>
      <c r="N45">
        <v>27.062000000000001</v>
      </c>
      <c r="O45">
        <v>27.731000000000002</v>
      </c>
      <c r="R45">
        <v>17.196000000000002</v>
      </c>
      <c r="S45">
        <v>17.324000000000002</v>
      </c>
      <c r="T45">
        <v>33.639000000000003</v>
      </c>
      <c r="U45">
        <v>34.395000000000003</v>
      </c>
      <c r="W45">
        <v>4.3999999999999997E-2</v>
      </c>
      <c r="X45">
        <v>-0.161</v>
      </c>
      <c r="Z45">
        <v>0.22</v>
      </c>
      <c r="AA45">
        <v>5.0999999999999997E-2</v>
      </c>
      <c r="AB45">
        <v>3.9E-2</v>
      </c>
      <c r="AC45">
        <v>4.3999999999999997E-2</v>
      </c>
      <c r="AD45">
        <v>1.4999999999999999E-2</v>
      </c>
      <c r="AE45">
        <v>-0.161</v>
      </c>
      <c r="AF45">
        <v>0.22</v>
      </c>
      <c r="AG45">
        <v>0.184</v>
      </c>
      <c r="AH45">
        <v>5.0999999999999997E-2</v>
      </c>
      <c r="AI45">
        <v>0.13300000000000001</v>
      </c>
    </row>
    <row r="46" spans="1:35" x14ac:dyDescent="0.25">
      <c r="A46" t="s">
        <v>1713</v>
      </c>
      <c r="B46" t="s">
        <v>31</v>
      </c>
      <c r="C46" s="25">
        <v>43703.870324074072</v>
      </c>
      <c r="D46" s="741" t="s">
        <v>969</v>
      </c>
      <c r="E46" s="741">
        <f t="array" ref="E46">SUMPRODUCT(IF(AMP5_4[[#This Row],[Dim 1_1]:[T 8]]-$F$4:$AI$4&lt;0,1,0)+IF($F$5:$AI$5-AMP5_4[[#This Row],[Dim 1_1]:[T 8]]&lt;0,1,0),IF(ISNUMBER(AMP5_4[[#This Row],[Dim 1_1]:[T 8]])=TRUE,1,0))</f>
        <v>3</v>
      </c>
      <c r="H46">
        <v>155.58000000000001</v>
      </c>
      <c r="I46">
        <v>155.51400000000001</v>
      </c>
      <c r="J46">
        <v>168.45400000000001</v>
      </c>
      <c r="K46">
        <v>168.654</v>
      </c>
      <c r="L46">
        <v>155.36600000000001</v>
      </c>
      <c r="M46">
        <v>155.16499999999999</v>
      </c>
      <c r="N46">
        <v>27.664000000000001</v>
      </c>
      <c r="O46">
        <v>27.879000000000001</v>
      </c>
      <c r="R46">
        <v>17.276</v>
      </c>
      <c r="S46">
        <v>16.937000000000001</v>
      </c>
      <c r="T46">
        <v>37.228000000000002</v>
      </c>
      <c r="U46">
        <v>37.786000000000001</v>
      </c>
      <c r="W46">
        <v>0.6</v>
      </c>
      <c r="X46">
        <v>-7.9000000000000001E-2</v>
      </c>
      <c r="Z46">
        <v>-0.38400000000000001</v>
      </c>
      <c r="AA46">
        <v>-0.73399999999999999</v>
      </c>
      <c r="AB46">
        <v>2.5000000000000001E-2</v>
      </c>
      <c r="AC46">
        <v>-7.9000000000000001E-2</v>
      </c>
      <c r="AD46">
        <v>0.6</v>
      </c>
      <c r="AE46">
        <v>0.17299999999999999</v>
      </c>
      <c r="AF46">
        <v>-0.65400000000000003</v>
      </c>
      <c r="AG46">
        <v>-0.73399999999999999</v>
      </c>
      <c r="AH46">
        <v>-0.72599999999999998</v>
      </c>
      <c r="AI46">
        <v>-0.38400000000000001</v>
      </c>
    </row>
    <row r="47" spans="1:35" x14ac:dyDescent="0.25">
      <c r="A47" t="s">
        <v>1714</v>
      </c>
      <c r="B47" t="s">
        <v>32</v>
      </c>
      <c r="C47" s="25">
        <v>43703.968275462961</v>
      </c>
      <c r="D47" s="741" t="s">
        <v>969</v>
      </c>
      <c r="E47" s="741">
        <f t="array" ref="E47">SUMPRODUCT(IF(AMP5_4[[#This Row],[Dim 1_1]:[T 8]]-$F$4:$AI$4&lt;0,1,0)+IF($F$5:$AI$5-AMP5_4[[#This Row],[Dim 1_1]:[T 8]]&lt;0,1,0),IF(ISNUMBER(AMP5_4[[#This Row],[Dim 1_1]:[T 8]])=TRUE,1,0))</f>
        <v>2</v>
      </c>
      <c r="F47">
        <v>42.036999999999999</v>
      </c>
      <c r="G47">
        <v>41.838999999999999</v>
      </c>
      <c r="H47">
        <v>155.733</v>
      </c>
      <c r="I47">
        <v>155.75</v>
      </c>
      <c r="L47">
        <v>155.809</v>
      </c>
      <c r="M47">
        <v>155.59299999999999</v>
      </c>
      <c r="N47">
        <v>27.363</v>
      </c>
      <c r="O47">
        <v>27.489000000000001</v>
      </c>
      <c r="R47">
        <v>17.207999999999998</v>
      </c>
      <c r="S47">
        <v>17.32</v>
      </c>
      <c r="T47">
        <v>33.652999999999999</v>
      </c>
      <c r="U47">
        <v>34.064999999999998</v>
      </c>
      <c r="W47">
        <v>0.09</v>
      </c>
      <c r="X47">
        <v>-0.11799999999999999</v>
      </c>
      <c r="Z47">
        <v>0.16900000000000001</v>
      </c>
      <c r="AA47">
        <v>6.6000000000000003E-2</v>
      </c>
      <c r="AB47">
        <v>8.8999999999999996E-2</v>
      </c>
      <c r="AC47">
        <v>0.09</v>
      </c>
      <c r="AD47">
        <v>4.2999999999999997E-2</v>
      </c>
      <c r="AE47">
        <v>-0.11799999999999999</v>
      </c>
      <c r="AF47">
        <v>0.16900000000000001</v>
      </c>
      <c r="AG47">
        <v>0.13700000000000001</v>
      </c>
      <c r="AH47">
        <v>6.6000000000000003E-2</v>
      </c>
      <c r="AI47">
        <v>9.7000000000000003E-2</v>
      </c>
    </row>
    <row r="48" spans="1:35" x14ac:dyDescent="0.25">
      <c r="A48" t="s">
        <v>1715</v>
      </c>
      <c r="B48" t="s">
        <v>31</v>
      </c>
      <c r="C48" s="25">
        <v>43703.970046296294</v>
      </c>
      <c r="D48" s="741" t="s">
        <v>969</v>
      </c>
      <c r="E48" s="741">
        <f t="array" ref="E48">SUMPRODUCT(IF(AMP5_4[[#This Row],[Dim 1_1]:[T 8]]-$F$4:$AI$4&lt;0,1,0)+IF($F$5:$AI$5-AMP5_4[[#This Row],[Dim 1_1]:[T 8]]&lt;0,1,0),IF(ISNUMBER(AMP5_4[[#This Row],[Dim 1_1]:[T 8]])=TRUE,1,0))</f>
        <v>0</v>
      </c>
      <c r="H48">
        <v>155.46299999999999</v>
      </c>
      <c r="I48">
        <v>155.46899999999999</v>
      </c>
      <c r="J48">
        <v>169.02199999999999</v>
      </c>
      <c r="K48">
        <v>168.80199999999999</v>
      </c>
      <c r="L48">
        <v>155.46899999999999</v>
      </c>
      <c r="M48">
        <v>155.291</v>
      </c>
      <c r="N48">
        <v>27.754999999999999</v>
      </c>
      <c r="O48">
        <v>27.98</v>
      </c>
      <c r="R48">
        <v>17.218</v>
      </c>
      <c r="S48">
        <v>17.309999999999999</v>
      </c>
      <c r="T48">
        <v>37.706000000000003</v>
      </c>
      <c r="U48">
        <v>38.914999999999999</v>
      </c>
      <c r="W48">
        <v>0.32500000000000001</v>
      </c>
      <c r="X48">
        <v>-5.7000000000000002E-2</v>
      </c>
      <c r="Z48">
        <v>0.112</v>
      </c>
      <c r="AA48">
        <v>-1.4E-2</v>
      </c>
      <c r="AB48">
        <v>0.32500000000000001</v>
      </c>
      <c r="AC48">
        <v>0.26900000000000002</v>
      </c>
      <c r="AD48">
        <v>0.28199999999999997</v>
      </c>
      <c r="AE48">
        <v>-5.7000000000000002E-2</v>
      </c>
      <c r="AF48">
        <v>0.112</v>
      </c>
      <c r="AG48">
        <v>5.1999999999999998E-2</v>
      </c>
      <c r="AH48">
        <v>-1.4E-2</v>
      </c>
      <c r="AI48">
        <v>0.04</v>
      </c>
    </row>
    <row r="49" spans="1:35" x14ac:dyDescent="0.25">
      <c r="A49" t="s">
        <v>1716</v>
      </c>
      <c r="B49" t="s">
        <v>32</v>
      </c>
      <c r="C49" s="25">
        <v>43704.05709490741</v>
      </c>
      <c r="D49" s="741" t="s">
        <v>969</v>
      </c>
      <c r="E49" s="741">
        <f t="array" ref="E49">SUMPRODUCT(IF(AMP5_4[[#This Row],[Dim 1_1]:[T 8]]-$F$4:$AI$4&lt;0,1,0)+IF($F$5:$AI$5-AMP5_4[[#This Row],[Dim 1_1]:[T 8]]&lt;0,1,0),IF(ISNUMBER(AMP5_4[[#This Row],[Dim 1_1]:[T 8]])=TRUE,1,0))</f>
        <v>0</v>
      </c>
      <c r="F49">
        <v>41.491999999999997</v>
      </c>
      <c r="G49">
        <v>41.494</v>
      </c>
      <c r="H49">
        <v>155.82300000000001</v>
      </c>
      <c r="I49">
        <v>155.88900000000001</v>
      </c>
      <c r="L49">
        <v>155.90799999999999</v>
      </c>
      <c r="M49">
        <v>155.74700000000001</v>
      </c>
      <c r="N49">
        <v>27.260999999999999</v>
      </c>
      <c r="O49">
        <v>27.350999999999999</v>
      </c>
      <c r="R49">
        <v>17.209</v>
      </c>
      <c r="S49">
        <v>17.241</v>
      </c>
      <c r="T49">
        <v>33.637</v>
      </c>
      <c r="U49">
        <v>34.264000000000003</v>
      </c>
      <c r="W49">
        <v>5.1999999999999998E-2</v>
      </c>
      <c r="X49">
        <v>-9.1999999999999998E-2</v>
      </c>
      <c r="Z49">
        <v>1.9E-2</v>
      </c>
      <c r="AA49">
        <v>-7.2999999999999995E-2</v>
      </c>
      <c r="AB49">
        <v>-8.7999999999999995E-2</v>
      </c>
      <c r="AC49">
        <v>-9.1999999999999998E-2</v>
      </c>
      <c r="AD49">
        <v>5.1999999999999998E-2</v>
      </c>
      <c r="AE49">
        <v>-9.0999999999999998E-2</v>
      </c>
      <c r="AF49">
        <v>-5.8000000000000003E-2</v>
      </c>
      <c r="AG49">
        <v>-7.2999999999999995E-2</v>
      </c>
      <c r="AH49">
        <v>-2.7E-2</v>
      </c>
      <c r="AI49">
        <v>1.9E-2</v>
      </c>
    </row>
    <row r="50" spans="1:35" x14ac:dyDescent="0.25">
      <c r="A50" t="s">
        <v>1717</v>
      </c>
      <c r="B50" t="s">
        <v>31</v>
      </c>
      <c r="C50" s="25">
        <v>43704.05872685185</v>
      </c>
      <c r="D50" s="741" t="s">
        <v>969</v>
      </c>
      <c r="E50" s="741">
        <f t="array" ref="E50">SUMPRODUCT(IF(AMP5_4[[#This Row],[Dim 1_1]:[T 8]]-$F$4:$AI$4&lt;0,1,0)+IF($F$5:$AI$5-AMP5_4[[#This Row],[Dim 1_1]:[T 8]]&lt;0,1,0),IF(ISNUMBER(AMP5_4[[#This Row],[Dim 1_1]:[T 8]])=TRUE,1,0))</f>
        <v>0</v>
      </c>
      <c r="H50">
        <v>155.59399999999999</v>
      </c>
      <c r="I50">
        <v>155.505</v>
      </c>
      <c r="J50">
        <v>168.625</v>
      </c>
      <c r="K50">
        <v>168.64599999999999</v>
      </c>
      <c r="L50">
        <v>155.58799999999999</v>
      </c>
      <c r="M50">
        <v>155.34700000000001</v>
      </c>
      <c r="N50">
        <v>27.643000000000001</v>
      </c>
      <c r="O50">
        <v>27.952999999999999</v>
      </c>
      <c r="R50">
        <v>17.22</v>
      </c>
      <c r="S50">
        <v>17.286000000000001</v>
      </c>
      <c r="T50">
        <v>34.423999999999999</v>
      </c>
      <c r="U50">
        <v>39.271999999999998</v>
      </c>
      <c r="W50">
        <v>0.19500000000000001</v>
      </c>
      <c r="X50">
        <v>-0.08</v>
      </c>
      <c r="Z50">
        <v>-2.5000000000000001E-2</v>
      </c>
      <c r="AA50">
        <v>-0.10299999999999999</v>
      </c>
      <c r="AB50">
        <v>0.19500000000000001</v>
      </c>
      <c r="AC50">
        <v>0.14199999999999999</v>
      </c>
      <c r="AD50">
        <v>0.193</v>
      </c>
      <c r="AE50">
        <v>-0.08</v>
      </c>
      <c r="AF50">
        <v>-2.5000000000000001E-2</v>
      </c>
      <c r="AG50">
        <v>-0.08</v>
      </c>
      <c r="AH50">
        <v>-0.10299999999999999</v>
      </c>
      <c r="AI50">
        <v>-7.3999999999999996E-2</v>
      </c>
    </row>
    <row r="51" spans="1:35" x14ac:dyDescent="0.25">
      <c r="A51" t="s">
        <v>1718</v>
      </c>
      <c r="B51" t="s">
        <v>32</v>
      </c>
      <c r="C51" s="25">
        <v>43704.339375000003</v>
      </c>
      <c r="D51" s="741" t="s">
        <v>969</v>
      </c>
      <c r="E51" s="741">
        <f t="array" ref="E51">SUMPRODUCT(IF(AMP5_4[[#This Row],[Dim 1_1]:[T 8]]-$F$4:$AI$4&lt;0,1,0)+IF($F$5:$AI$5-AMP5_4[[#This Row],[Dim 1_1]:[T 8]]&lt;0,1,0),IF(ISNUMBER(AMP5_4[[#This Row],[Dim 1_1]:[T 8]])=TRUE,1,0))</f>
        <v>0</v>
      </c>
      <c r="F51">
        <v>41.548000000000002</v>
      </c>
      <c r="G51">
        <v>41.500999999999998</v>
      </c>
      <c r="H51">
        <v>155.78700000000001</v>
      </c>
      <c r="I51">
        <v>155.80199999999999</v>
      </c>
      <c r="L51">
        <v>155.83099999999999</v>
      </c>
      <c r="M51">
        <v>155.64099999999999</v>
      </c>
      <c r="N51">
        <v>27.311</v>
      </c>
      <c r="O51">
        <v>27.411000000000001</v>
      </c>
      <c r="R51">
        <v>17.23</v>
      </c>
      <c r="S51">
        <v>17.312999999999999</v>
      </c>
      <c r="T51">
        <v>33.677</v>
      </c>
      <c r="U51">
        <v>34.158999999999999</v>
      </c>
      <c r="W51">
        <v>3.1E-2</v>
      </c>
      <c r="X51">
        <v>-0.122</v>
      </c>
      <c r="Z51">
        <v>9.5000000000000001E-2</v>
      </c>
      <c r="AA51">
        <v>-5.0000000000000001E-3</v>
      </c>
      <c r="AB51">
        <v>0.01</v>
      </c>
      <c r="AC51">
        <v>0.03</v>
      </c>
      <c r="AD51">
        <v>3.1E-2</v>
      </c>
      <c r="AE51">
        <v>-0.122</v>
      </c>
      <c r="AF51">
        <v>9.5000000000000001E-2</v>
      </c>
      <c r="AG51">
        <v>7.0000000000000007E-2</v>
      </c>
      <c r="AH51">
        <v>-5.0000000000000001E-3</v>
      </c>
      <c r="AI51">
        <v>5.7000000000000002E-2</v>
      </c>
    </row>
    <row r="52" spans="1:35" x14ac:dyDescent="0.25">
      <c r="A52" t="s">
        <v>1719</v>
      </c>
      <c r="B52" t="s">
        <v>31</v>
      </c>
      <c r="C52" s="25">
        <v>43704.341597222221</v>
      </c>
      <c r="D52" s="741" t="s">
        <v>969</v>
      </c>
      <c r="E52" s="741">
        <f t="array" ref="E52">SUMPRODUCT(IF(AMP5_4[[#This Row],[Dim 1_1]:[T 8]]-$F$4:$AI$4&lt;0,1,0)+IF($F$5:$AI$5-AMP5_4[[#This Row],[Dim 1_1]:[T 8]]&lt;0,1,0),IF(ISNUMBER(AMP5_4[[#This Row],[Dim 1_1]:[T 8]])=TRUE,1,0))</f>
        <v>0</v>
      </c>
      <c r="H52">
        <v>155.47300000000001</v>
      </c>
      <c r="I52">
        <v>155.49700000000001</v>
      </c>
      <c r="J52">
        <v>168.61500000000001</v>
      </c>
      <c r="K52">
        <v>168.61099999999999</v>
      </c>
      <c r="L52">
        <v>155.505</v>
      </c>
      <c r="M52">
        <v>155.35</v>
      </c>
      <c r="N52">
        <v>27.704000000000001</v>
      </c>
      <c r="O52">
        <v>27.937999999999999</v>
      </c>
      <c r="R52">
        <v>17.251999999999999</v>
      </c>
      <c r="S52">
        <v>17.213000000000001</v>
      </c>
      <c r="T52">
        <v>36.755000000000003</v>
      </c>
      <c r="U52">
        <v>36.124000000000002</v>
      </c>
      <c r="W52">
        <v>0.42799999999999999</v>
      </c>
      <c r="X52">
        <v>0.115</v>
      </c>
      <c r="Z52">
        <v>0.20599999999999999</v>
      </c>
      <c r="AA52">
        <v>8.6999999999999994E-2</v>
      </c>
      <c r="AB52">
        <v>0.317</v>
      </c>
      <c r="AC52">
        <v>0.27200000000000002</v>
      </c>
      <c r="AD52">
        <v>0.42799999999999999</v>
      </c>
      <c r="AE52">
        <v>0.115</v>
      </c>
      <c r="AF52">
        <v>0.14699999999999999</v>
      </c>
      <c r="AG52">
        <v>8.6999999999999994E-2</v>
      </c>
      <c r="AH52">
        <v>0.16</v>
      </c>
      <c r="AI52">
        <v>0.20599999999999999</v>
      </c>
    </row>
    <row r="53" spans="1:35" x14ac:dyDescent="0.25">
      <c r="A53" t="s">
        <v>1720</v>
      </c>
      <c r="B53" t="s">
        <v>32</v>
      </c>
      <c r="C53" s="25">
        <v>43704.410787037035</v>
      </c>
      <c r="D53" s="741" t="s">
        <v>969</v>
      </c>
      <c r="E53" s="741">
        <f t="array" ref="E53">SUMPRODUCT(IF(AMP5_4[[#This Row],[Dim 1_1]:[T 8]]-$F$4:$AI$4&lt;0,1,0)+IF($F$5:$AI$5-AMP5_4[[#This Row],[Dim 1_1]:[T 8]]&lt;0,1,0),IF(ISNUMBER(AMP5_4[[#This Row],[Dim 1_1]:[T 8]])=TRUE,1,0))</f>
        <v>0</v>
      </c>
      <c r="F53">
        <v>41.680999999999997</v>
      </c>
      <c r="G53">
        <v>41.643999999999998</v>
      </c>
      <c r="H53">
        <v>155.798</v>
      </c>
      <c r="I53">
        <v>155.82499999999999</v>
      </c>
      <c r="L53">
        <v>155.86500000000001</v>
      </c>
      <c r="M53">
        <v>155.68299999999999</v>
      </c>
      <c r="N53">
        <v>27.318000000000001</v>
      </c>
      <c r="O53">
        <v>27.422999999999998</v>
      </c>
      <c r="R53">
        <v>17.206</v>
      </c>
      <c r="S53">
        <v>17.242000000000001</v>
      </c>
      <c r="T53">
        <v>33.398000000000003</v>
      </c>
      <c r="U53">
        <v>34.314999999999998</v>
      </c>
      <c r="W53">
        <v>5.8999999999999997E-2</v>
      </c>
      <c r="X53">
        <v>-8.2000000000000003E-2</v>
      </c>
      <c r="Z53">
        <v>5.5E-2</v>
      </c>
      <c r="AA53">
        <v>-1.0999999999999999E-2</v>
      </c>
      <c r="AB53">
        <v>-2.8000000000000001E-2</v>
      </c>
      <c r="AC53">
        <v>0</v>
      </c>
      <c r="AD53">
        <v>5.8999999999999997E-2</v>
      </c>
      <c r="AE53">
        <v>-8.2000000000000003E-2</v>
      </c>
      <c r="AF53">
        <v>2.7E-2</v>
      </c>
      <c r="AG53">
        <v>-6.0000000000000001E-3</v>
      </c>
      <c r="AH53">
        <v>-1.0999999999999999E-2</v>
      </c>
      <c r="AI53">
        <v>5.5E-2</v>
      </c>
    </row>
    <row r="54" spans="1:35" x14ac:dyDescent="0.25">
      <c r="A54" t="s">
        <v>1721</v>
      </c>
      <c r="B54" t="s">
        <v>31</v>
      </c>
      <c r="C54" s="25">
        <v>43704.412881944445</v>
      </c>
      <c r="D54" s="741" t="s">
        <v>969</v>
      </c>
      <c r="E54" s="741">
        <f t="array" ref="E54">SUMPRODUCT(IF(AMP5_4[[#This Row],[Dim 1_1]:[T 8]]-$F$4:$AI$4&lt;0,1,0)+IF($F$5:$AI$5-AMP5_4[[#This Row],[Dim 1_1]:[T 8]]&lt;0,1,0),IF(ISNUMBER(AMP5_4[[#This Row],[Dim 1_1]:[T 8]])=TRUE,1,0))</f>
        <v>0</v>
      </c>
      <c r="H54">
        <v>155.53800000000001</v>
      </c>
      <c r="I54">
        <v>155.511</v>
      </c>
      <c r="J54">
        <v>168.76499999999999</v>
      </c>
      <c r="K54">
        <v>168.81</v>
      </c>
      <c r="L54">
        <v>155.565</v>
      </c>
      <c r="M54">
        <v>155.36199999999999</v>
      </c>
      <c r="N54">
        <v>27.641999999999999</v>
      </c>
      <c r="O54">
        <v>27.925000000000001</v>
      </c>
      <c r="R54">
        <v>17.251999999999999</v>
      </c>
      <c r="S54">
        <v>17.279</v>
      </c>
      <c r="T54">
        <v>37.332999999999998</v>
      </c>
      <c r="U54">
        <v>36.71</v>
      </c>
      <c r="W54">
        <v>0.32500000000000001</v>
      </c>
      <c r="X54">
        <v>1.7000000000000001E-2</v>
      </c>
      <c r="Z54">
        <v>7.2999999999999995E-2</v>
      </c>
      <c r="AA54">
        <v>6.0000000000000001E-3</v>
      </c>
      <c r="AB54">
        <v>0.251</v>
      </c>
      <c r="AC54">
        <v>0.20200000000000001</v>
      </c>
      <c r="AD54">
        <v>0.32500000000000001</v>
      </c>
      <c r="AE54">
        <v>1.7000000000000001E-2</v>
      </c>
      <c r="AF54">
        <v>7.1999999999999995E-2</v>
      </c>
      <c r="AG54">
        <v>6.0000000000000001E-3</v>
      </c>
      <c r="AH54">
        <v>6.6000000000000003E-2</v>
      </c>
      <c r="AI54">
        <v>7.2999999999999995E-2</v>
      </c>
    </row>
    <row r="55" spans="1:35" x14ac:dyDescent="0.25">
      <c r="A55" t="s">
        <v>1722</v>
      </c>
      <c r="B55" t="s">
        <v>32</v>
      </c>
      <c r="C55" s="25">
        <v>43704.51489583333</v>
      </c>
      <c r="D55" s="741" t="s">
        <v>969</v>
      </c>
      <c r="E55" s="741">
        <f t="array" ref="E55">SUMPRODUCT(IF(AMP5_4[[#This Row],[Dim 1_1]:[T 8]]-$F$4:$AI$4&lt;0,1,0)+IF($F$5:$AI$5-AMP5_4[[#This Row],[Dim 1_1]:[T 8]]&lt;0,1,0),IF(ISNUMBER(AMP5_4[[#This Row],[Dim 1_1]:[T 8]])=TRUE,1,0))</f>
        <v>0</v>
      </c>
      <c r="F55">
        <v>41.719000000000001</v>
      </c>
      <c r="G55">
        <v>41.670999999999999</v>
      </c>
      <c r="H55">
        <v>155.733</v>
      </c>
      <c r="I55">
        <v>155.804</v>
      </c>
      <c r="L55">
        <v>155.81899999999999</v>
      </c>
      <c r="M55">
        <v>155.66300000000001</v>
      </c>
      <c r="N55">
        <v>27.363</v>
      </c>
      <c r="O55">
        <v>27.419</v>
      </c>
      <c r="R55">
        <v>17.2</v>
      </c>
      <c r="S55">
        <v>17.300999999999998</v>
      </c>
      <c r="T55">
        <v>32.987000000000002</v>
      </c>
      <c r="U55">
        <v>34.081000000000003</v>
      </c>
      <c r="W55">
        <v>1.4E-2</v>
      </c>
      <c r="X55">
        <v>-0.161</v>
      </c>
      <c r="Z55">
        <v>5.2999999999999999E-2</v>
      </c>
      <c r="AA55">
        <v>-7.2999999999999995E-2</v>
      </c>
      <c r="AB55">
        <v>-8.0000000000000002E-3</v>
      </c>
      <c r="AC55">
        <v>1.4E-2</v>
      </c>
      <c r="AD55">
        <v>-1.2E-2</v>
      </c>
      <c r="AE55">
        <v>-0.161</v>
      </c>
      <c r="AF55">
        <v>5.2999999999999999E-2</v>
      </c>
      <c r="AG55">
        <v>6.0000000000000001E-3</v>
      </c>
      <c r="AH55">
        <v>-7.2999999999999995E-2</v>
      </c>
      <c r="AI55">
        <v>-2.1999999999999999E-2</v>
      </c>
    </row>
    <row r="56" spans="1:35" x14ac:dyDescent="0.25">
      <c r="A56" t="s">
        <v>1723</v>
      </c>
      <c r="B56" t="s">
        <v>31</v>
      </c>
      <c r="C56" s="25">
        <v>43704.516909722224</v>
      </c>
      <c r="D56" s="741" t="s">
        <v>969</v>
      </c>
      <c r="E56" s="741">
        <f t="array" ref="E56">SUMPRODUCT(IF(AMP5_4[[#This Row],[Dim 1_1]:[T 8]]-$F$4:$AI$4&lt;0,1,0)+IF($F$5:$AI$5-AMP5_4[[#This Row],[Dim 1_1]:[T 8]]&lt;0,1,0),IF(ISNUMBER(AMP5_4[[#This Row],[Dim 1_1]:[T 8]])=TRUE,1,0))</f>
        <v>0</v>
      </c>
      <c r="H56">
        <v>155.47900000000001</v>
      </c>
      <c r="I56">
        <v>155.483</v>
      </c>
      <c r="J56">
        <v>168.852</v>
      </c>
      <c r="K56">
        <v>168.83</v>
      </c>
      <c r="L56">
        <v>155.535</v>
      </c>
      <c r="M56">
        <v>155.34299999999999</v>
      </c>
      <c r="N56">
        <v>27.678000000000001</v>
      </c>
      <c r="O56">
        <v>27.956</v>
      </c>
      <c r="R56">
        <v>17.253</v>
      </c>
      <c r="S56">
        <v>17.28</v>
      </c>
      <c r="T56">
        <v>38.119</v>
      </c>
      <c r="U56">
        <v>37.823999999999998</v>
      </c>
      <c r="W56">
        <v>0.33200000000000002</v>
      </c>
      <c r="X56">
        <v>-3.0000000000000001E-3</v>
      </c>
      <c r="Z56">
        <v>0.104</v>
      </c>
      <c r="AA56">
        <v>1.2999999999999999E-2</v>
      </c>
      <c r="AB56">
        <v>0.28799999999999998</v>
      </c>
      <c r="AC56">
        <v>0.24099999999999999</v>
      </c>
      <c r="AD56">
        <v>0.33200000000000002</v>
      </c>
      <c r="AE56">
        <v>-3.0000000000000001E-3</v>
      </c>
      <c r="AF56">
        <v>0.104</v>
      </c>
      <c r="AG56">
        <v>2.5999999999999999E-2</v>
      </c>
      <c r="AH56">
        <v>1.2999999999999999E-2</v>
      </c>
      <c r="AI56">
        <v>7.2999999999999995E-2</v>
      </c>
    </row>
    <row r="57" spans="1:35" x14ac:dyDescent="0.25">
      <c r="A57" t="s">
        <v>1724</v>
      </c>
      <c r="B57" t="s">
        <v>32</v>
      </c>
      <c r="C57" s="25">
        <v>43704.603159722225</v>
      </c>
      <c r="D57" s="741" t="s">
        <v>969</v>
      </c>
      <c r="E57" s="741">
        <f t="array" ref="E57">SUMPRODUCT(IF(AMP5_4[[#This Row],[Dim 1_1]:[T 8]]-$F$4:$AI$4&lt;0,1,0)+IF($F$5:$AI$5-AMP5_4[[#This Row],[Dim 1_1]:[T 8]]&lt;0,1,0),IF(ISNUMBER(AMP5_4[[#This Row],[Dim 1_1]:[T 8]])=TRUE,1,0))</f>
        <v>0</v>
      </c>
      <c r="F57">
        <v>41.72</v>
      </c>
      <c r="G57">
        <v>41.69</v>
      </c>
      <c r="H57">
        <v>155.77000000000001</v>
      </c>
      <c r="I57">
        <v>155.80799999999999</v>
      </c>
      <c r="L57">
        <v>155.83099999999999</v>
      </c>
      <c r="M57">
        <v>155.666</v>
      </c>
      <c r="N57">
        <v>27.359000000000002</v>
      </c>
      <c r="O57">
        <v>27.416</v>
      </c>
      <c r="R57">
        <v>17.195</v>
      </c>
      <c r="S57">
        <v>17.292000000000002</v>
      </c>
      <c r="T57">
        <v>33.404000000000003</v>
      </c>
      <c r="U57">
        <v>34.040999999999997</v>
      </c>
      <c r="W57">
        <v>5.5E-2</v>
      </c>
      <c r="X57">
        <v>-0.15</v>
      </c>
      <c r="Z57">
        <v>7.2999999999999995E-2</v>
      </c>
      <c r="AA57">
        <v>-5.7000000000000002E-2</v>
      </c>
      <c r="AB57">
        <v>1.7999999999999999E-2</v>
      </c>
      <c r="AC57">
        <v>5.5E-2</v>
      </c>
      <c r="AD57">
        <v>-0.01</v>
      </c>
      <c r="AE57">
        <v>-0.15</v>
      </c>
      <c r="AF57">
        <v>7.2999999999999995E-2</v>
      </c>
      <c r="AG57">
        <v>3.2000000000000001E-2</v>
      </c>
      <c r="AH57">
        <v>-5.7000000000000002E-2</v>
      </c>
      <c r="AI57">
        <v>-1.2E-2</v>
      </c>
    </row>
    <row r="58" spans="1:35" x14ac:dyDescent="0.25">
      <c r="A58" t="s">
        <v>1725</v>
      </c>
      <c r="B58" t="s">
        <v>31</v>
      </c>
      <c r="C58" s="25">
        <v>43704.60527777778</v>
      </c>
      <c r="D58" s="741" t="s">
        <v>969</v>
      </c>
      <c r="E58" s="741">
        <f t="array" ref="E58">SUMPRODUCT(IF(AMP5_4[[#This Row],[Dim 1_1]:[T 8]]-$F$4:$AI$4&lt;0,1,0)+IF($F$5:$AI$5-AMP5_4[[#This Row],[Dim 1_1]:[T 8]]&lt;0,1,0),IF(ISNUMBER(AMP5_4[[#This Row],[Dim 1_1]:[T 8]])=TRUE,1,0))</f>
        <v>0</v>
      </c>
      <c r="H58">
        <v>155.434</v>
      </c>
      <c r="I58">
        <v>155.459</v>
      </c>
      <c r="J58">
        <v>168.78899999999999</v>
      </c>
      <c r="K58">
        <v>168.87899999999999</v>
      </c>
      <c r="L58">
        <v>155.499</v>
      </c>
      <c r="M58">
        <v>155.339</v>
      </c>
      <c r="N58">
        <v>27.716000000000001</v>
      </c>
      <c r="O58">
        <v>27.946999999999999</v>
      </c>
      <c r="R58">
        <v>17.245000000000001</v>
      </c>
      <c r="S58">
        <v>17.335000000000001</v>
      </c>
      <c r="T58">
        <v>37.643999999999998</v>
      </c>
      <c r="U58">
        <v>39.435000000000002</v>
      </c>
      <c r="W58">
        <v>0.29199999999999998</v>
      </c>
      <c r="X58">
        <v>-2.5000000000000001E-2</v>
      </c>
      <c r="Z58">
        <v>6.0999999999999999E-2</v>
      </c>
      <c r="AA58">
        <v>-7.9000000000000001E-2</v>
      </c>
      <c r="AB58">
        <v>0.248</v>
      </c>
      <c r="AC58">
        <v>0.21299999999999999</v>
      </c>
      <c r="AD58">
        <v>0.29199999999999998</v>
      </c>
      <c r="AE58">
        <v>-2.5000000000000001E-2</v>
      </c>
      <c r="AF58">
        <v>6.0999999999999999E-2</v>
      </c>
      <c r="AG58">
        <v>-1E-3</v>
      </c>
      <c r="AH58">
        <v>-7.9000000000000001E-2</v>
      </c>
      <c r="AI58">
        <v>1.7999999999999999E-2</v>
      </c>
    </row>
    <row r="59" spans="1:35" x14ac:dyDescent="0.25">
      <c r="A59" t="s">
        <v>1726</v>
      </c>
      <c r="B59" t="s">
        <v>32</v>
      </c>
      <c r="C59" s="25">
        <v>43704.683182870373</v>
      </c>
      <c r="D59" s="741" t="s">
        <v>969</v>
      </c>
      <c r="E59" s="741">
        <f t="array" ref="E59">SUMPRODUCT(IF(AMP5_4[[#This Row],[Dim 1_1]:[T 8]]-$F$4:$AI$4&lt;0,1,0)+IF($F$5:$AI$5-AMP5_4[[#This Row],[Dim 1_1]:[T 8]]&lt;0,1,0),IF(ISNUMBER(AMP5_4[[#This Row],[Dim 1_1]:[T 8]])=TRUE,1,0))</f>
        <v>0</v>
      </c>
      <c r="F59">
        <v>41.652999999999999</v>
      </c>
      <c r="G59">
        <v>41.677999999999997</v>
      </c>
      <c r="H59">
        <v>155.78299999999999</v>
      </c>
      <c r="I59">
        <v>155.82</v>
      </c>
      <c r="L59">
        <v>155.85400000000001</v>
      </c>
      <c r="M59">
        <v>155.67699999999999</v>
      </c>
      <c r="N59">
        <v>27.315999999999999</v>
      </c>
      <c r="O59">
        <v>27.401</v>
      </c>
      <c r="R59">
        <v>17.202000000000002</v>
      </c>
      <c r="S59">
        <v>17.317</v>
      </c>
      <c r="T59">
        <v>33.396000000000001</v>
      </c>
      <c r="U59">
        <v>33.926000000000002</v>
      </c>
      <c r="W59">
        <v>3.5999999999999997E-2</v>
      </c>
      <c r="X59">
        <v>-0.14499999999999999</v>
      </c>
      <c r="Z59">
        <v>9.6000000000000002E-2</v>
      </c>
      <c r="AA59">
        <v>-0.04</v>
      </c>
      <c r="AB59">
        <v>1.4999999999999999E-2</v>
      </c>
      <c r="AC59">
        <v>3.5999999999999997E-2</v>
      </c>
      <c r="AD59">
        <v>-8.0000000000000002E-3</v>
      </c>
      <c r="AE59">
        <v>-0.14499999999999999</v>
      </c>
      <c r="AF59">
        <v>9.6000000000000002E-2</v>
      </c>
      <c r="AG59">
        <v>3.9E-2</v>
      </c>
      <c r="AH59">
        <v>-0.04</v>
      </c>
      <c r="AI59">
        <v>-4.0000000000000001E-3</v>
      </c>
    </row>
    <row r="60" spans="1:35" x14ac:dyDescent="0.25">
      <c r="A60" t="s">
        <v>1727</v>
      </c>
      <c r="B60" t="s">
        <v>31</v>
      </c>
      <c r="C60" s="25">
        <v>43704.684988425928</v>
      </c>
      <c r="D60" s="741" t="s">
        <v>969</v>
      </c>
      <c r="E60" s="741">
        <f t="array" ref="E60">SUMPRODUCT(IF(AMP5_4[[#This Row],[Dim 1_1]:[T 8]]-$F$4:$AI$4&lt;0,1,0)+IF($F$5:$AI$5-AMP5_4[[#This Row],[Dim 1_1]:[T 8]]&lt;0,1,0),IF(ISNUMBER(AMP5_4[[#This Row],[Dim 1_1]:[T 8]])=TRUE,1,0))</f>
        <v>0</v>
      </c>
      <c r="H60">
        <v>155.518</v>
      </c>
      <c r="I60">
        <v>155.50299999999999</v>
      </c>
      <c r="J60">
        <v>168.77099999999999</v>
      </c>
      <c r="K60">
        <v>168.762</v>
      </c>
      <c r="L60">
        <v>155.57300000000001</v>
      </c>
      <c r="M60">
        <v>155.37899999999999</v>
      </c>
      <c r="N60">
        <v>27.641999999999999</v>
      </c>
      <c r="O60">
        <v>27.920999999999999</v>
      </c>
      <c r="R60">
        <v>17.241</v>
      </c>
      <c r="S60">
        <v>17.221</v>
      </c>
      <c r="T60">
        <v>37.119999999999997</v>
      </c>
      <c r="U60">
        <v>37.618000000000002</v>
      </c>
      <c r="W60">
        <v>0.38300000000000001</v>
      </c>
      <c r="X60">
        <v>7.5999999999999998E-2</v>
      </c>
      <c r="Z60">
        <v>0.126</v>
      </c>
      <c r="AA60">
        <v>1.6E-2</v>
      </c>
      <c r="AB60">
        <v>0.23599999999999999</v>
      </c>
      <c r="AC60">
        <v>0.20100000000000001</v>
      </c>
      <c r="AD60">
        <v>0.38300000000000001</v>
      </c>
      <c r="AE60">
        <v>7.5999999999999998E-2</v>
      </c>
      <c r="AF60">
        <v>7.6999999999999999E-2</v>
      </c>
      <c r="AG60">
        <v>1.6E-2</v>
      </c>
      <c r="AH60">
        <v>3.1E-2</v>
      </c>
      <c r="AI60">
        <v>0.126</v>
      </c>
    </row>
    <row r="61" spans="1:35" x14ac:dyDescent="0.25">
      <c r="A61" t="s">
        <v>1728</v>
      </c>
      <c r="B61" t="s">
        <v>32</v>
      </c>
      <c r="C61" s="25">
        <v>43704.774027777778</v>
      </c>
      <c r="D61" s="741" t="s">
        <v>969</v>
      </c>
      <c r="E61" s="741">
        <f t="array" ref="E61">SUMPRODUCT(IF(AMP5_4[[#This Row],[Dim 1_1]:[T 8]]-$F$4:$AI$4&lt;0,1,0)+IF($F$5:$AI$5-AMP5_4[[#This Row],[Dim 1_1]:[T 8]]&lt;0,1,0),IF(ISNUMBER(AMP5_4[[#This Row],[Dim 1_1]:[T 8]])=TRUE,1,0))</f>
        <v>0</v>
      </c>
      <c r="F61">
        <v>41.606000000000002</v>
      </c>
      <c r="G61">
        <v>41.658999999999999</v>
      </c>
      <c r="H61">
        <v>155.851</v>
      </c>
      <c r="I61">
        <v>155.86199999999999</v>
      </c>
      <c r="L61">
        <v>155.92400000000001</v>
      </c>
      <c r="M61">
        <v>155.721</v>
      </c>
      <c r="N61">
        <v>27.274000000000001</v>
      </c>
      <c r="O61">
        <v>27.370999999999999</v>
      </c>
      <c r="R61">
        <v>17.204999999999998</v>
      </c>
      <c r="S61">
        <v>17.239000000000001</v>
      </c>
      <c r="T61">
        <v>33.664999999999999</v>
      </c>
      <c r="U61">
        <v>33.701000000000001</v>
      </c>
      <c r="W61">
        <v>0.04</v>
      </c>
      <c r="X61">
        <v>-0.121</v>
      </c>
      <c r="Z61">
        <v>3.0000000000000001E-3</v>
      </c>
      <c r="AA61">
        <v>-8.3000000000000004E-2</v>
      </c>
      <c r="AB61">
        <v>-4.3999999999999997E-2</v>
      </c>
      <c r="AC61">
        <v>-2.3E-2</v>
      </c>
      <c r="AD61">
        <v>0.04</v>
      </c>
      <c r="AE61">
        <v>-0.121</v>
      </c>
      <c r="AF61">
        <v>-8.3000000000000004E-2</v>
      </c>
      <c r="AG61">
        <v>-4.5999999999999999E-2</v>
      </c>
      <c r="AH61">
        <v>-3.2000000000000001E-2</v>
      </c>
      <c r="AI61">
        <v>3.0000000000000001E-3</v>
      </c>
    </row>
    <row r="62" spans="1:35" x14ac:dyDescent="0.25">
      <c r="A62" t="s">
        <v>1729</v>
      </c>
      <c r="B62" t="s">
        <v>31</v>
      </c>
      <c r="C62" s="25">
        <v>43704.775601851848</v>
      </c>
      <c r="D62" s="741" t="s">
        <v>969</v>
      </c>
      <c r="E62" s="741">
        <f t="array" ref="E62">SUMPRODUCT(IF(AMP5_4[[#This Row],[Dim 1_1]:[T 8]]-$F$4:$AI$4&lt;0,1,0)+IF($F$5:$AI$5-AMP5_4[[#This Row],[Dim 1_1]:[T 8]]&lt;0,1,0),IF(ISNUMBER(AMP5_4[[#This Row],[Dim 1_1]:[T 8]])=TRUE,1,0))</f>
        <v>0</v>
      </c>
      <c r="H62">
        <v>155.548</v>
      </c>
      <c r="I62">
        <v>155.54</v>
      </c>
      <c r="J62">
        <v>168.70500000000001</v>
      </c>
      <c r="K62">
        <v>168.809</v>
      </c>
      <c r="L62">
        <v>155.60499999999999</v>
      </c>
      <c r="M62">
        <v>155.42400000000001</v>
      </c>
      <c r="N62">
        <v>27.603000000000002</v>
      </c>
      <c r="O62">
        <v>27.88</v>
      </c>
      <c r="R62">
        <v>17.248000000000001</v>
      </c>
      <c r="S62">
        <v>17.366</v>
      </c>
      <c r="T62">
        <v>36.174999999999997</v>
      </c>
      <c r="U62">
        <v>36.08</v>
      </c>
      <c r="W62">
        <v>0.217</v>
      </c>
      <c r="X62">
        <v>-5.2999999999999999E-2</v>
      </c>
      <c r="Z62">
        <v>-2.3E-2</v>
      </c>
      <c r="AA62">
        <v>-8.8999999999999996E-2</v>
      </c>
      <c r="AB62">
        <v>0.14399999999999999</v>
      </c>
      <c r="AC62">
        <v>0.105</v>
      </c>
      <c r="AD62">
        <v>0.217</v>
      </c>
      <c r="AE62">
        <v>-5.2999999999999999E-2</v>
      </c>
      <c r="AF62">
        <v>-2.3E-2</v>
      </c>
      <c r="AG62">
        <v>-7.5999999999999998E-2</v>
      </c>
      <c r="AH62">
        <v>-8.8999999999999996E-2</v>
      </c>
      <c r="AI62">
        <v>-5.7000000000000002E-2</v>
      </c>
    </row>
    <row r="63" spans="1:35" x14ac:dyDescent="0.25">
      <c r="A63" t="s">
        <v>1730</v>
      </c>
      <c r="B63" t="s">
        <v>32</v>
      </c>
      <c r="C63" s="25">
        <v>43704.854641203703</v>
      </c>
      <c r="D63" s="741" t="s">
        <v>969</v>
      </c>
      <c r="E63" s="741">
        <f t="array" ref="E63">SUMPRODUCT(IF(AMP5_4[[#This Row],[Dim 1_1]:[T 8]]-$F$4:$AI$4&lt;0,1,0)+IF($F$5:$AI$5-AMP5_4[[#This Row],[Dim 1_1]:[T 8]]&lt;0,1,0),IF(ISNUMBER(AMP5_4[[#This Row],[Dim 1_1]:[T 8]])=TRUE,1,0))</f>
        <v>0</v>
      </c>
      <c r="F63">
        <v>41.643000000000001</v>
      </c>
      <c r="G63">
        <v>41.716999999999999</v>
      </c>
      <c r="H63">
        <v>155.822</v>
      </c>
      <c r="I63">
        <v>155.87200000000001</v>
      </c>
      <c r="L63">
        <v>155.90799999999999</v>
      </c>
      <c r="M63">
        <v>155.74199999999999</v>
      </c>
      <c r="N63">
        <v>27.282</v>
      </c>
      <c r="O63">
        <v>27.335000000000001</v>
      </c>
      <c r="R63">
        <v>17.202000000000002</v>
      </c>
      <c r="S63">
        <v>17.242999999999999</v>
      </c>
      <c r="T63">
        <v>33.479999999999997</v>
      </c>
      <c r="U63">
        <v>33.884</v>
      </c>
      <c r="W63">
        <v>2.1000000000000001E-2</v>
      </c>
      <c r="X63">
        <v>-0.111</v>
      </c>
      <c r="Z63">
        <v>1.4E-2</v>
      </c>
      <c r="AA63">
        <v>-5.7000000000000002E-2</v>
      </c>
      <c r="AB63">
        <v>-2.1999999999999999E-2</v>
      </c>
      <c r="AC63">
        <v>-1.9E-2</v>
      </c>
      <c r="AD63">
        <v>2.1000000000000001E-2</v>
      </c>
      <c r="AE63">
        <v>-0.111</v>
      </c>
      <c r="AF63">
        <v>1.4E-2</v>
      </c>
      <c r="AG63">
        <v>-4.1000000000000002E-2</v>
      </c>
      <c r="AH63">
        <v>-5.7000000000000002E-2</v>
      </c>
      <c r="AI63">
        <v>-1.6E-2</v>
      </c>
    </row>
    <row r="64" spans="1:35" x14ac:dyDescent="0.25">
      <c r="A64" t="s">
        <v>1731</v>
      </c>
      <c r="B64" t="s">
        <v>31</v>
      </c>
      <c r="C64" s="25">
        <v>43704.856354166666</v>
      </c>
      <c r="D64" s="741" t="s">
        <v>969</v>
      </c>
      <c r="E64" s="741">
        <f t="array" ref="E64">SUMPRODUCT(IF(AMP5_4[[#This Row],[Dim 1_1]:[T 8]]-$F$4:$AI$4&lt;0,1,0)+IF($F$5:$AI$5-AMP5_4[[#This Row],[Dim 1_1]:[T 8]]&lt;0,1,0),IF(ISNUMBER(AMP5_4[[#This Row],[Dim 1_1]:[T 8]])=TRUE,1,0))</f>
        <v>0</v>
      </c>
      <c r="H64">
        <v>155.595</v>
      </c>
      <c r="I64">
        <v>155.52500000000001</v>
      </c>
      <c r="J64">
        <v>168.73699999999999</v>
      </c>
      <c r="K64">
        <v>168.85900000000001</v>
      </c>
      <c r="L64">
        <v>155.58600000000001</v>
      </c>
      <c r="M64">
        <v>155.40899999999999</v>
      </c>
      <c r="N64">
        <v>27.606000000000002</v>
      </c>
      <c r="O64">
        <v>27.896999999999998</v>
      </c>
      <c r="R64">
        <v>17.271999999999998</v>
      </c>
      <c r="S64">
        <v>17.219000000000001</v>
      </c>
      <c r="T64">
        <v>37.350999999999999</v>
      </c>
      <c r="U64">
        <v>38.045000000000002</v>
      </c>
      <c r="W64">
        <v>0.35499999999999998</v>
      </c>
      <c r="X64">
        <v>8.4000000000000005E-2</v>
      </c>
      <c r="Z64">
        <v>3.5999999999999997E-2</v>
      </c>
      <c r="AA64">
        <v>-0.08</v>
      </c>
      <c r="AB64">
        <v>0.16400000000000001</v>
      </c>
      <c r="AC64">
        <v>0.124</v>
      </c>
      <c r="AD64">
        <v>0.35499999999999998</v>
      </c>
      <c r="AE64">
        <v>8.4000000000000005E-2</v>
      </c>
      <c r="AF64">
        <v>-2.5000000000000001E-2</v>
      </c>
      <c r="AG64">
        <v>-0.08</v>
      </c>
      <c r="AH64">
        <v>1.2999999999999999E-2</v>
      </c>
      <c r="AI64">
        <v>3.5999999999999997E-2</v>
      </c>
    </row>
    <row r="65" spans="1:35" x14ac:dyDescent="0.25">
      <c r="A65" t="s">
        <v>1732</v>
      </c>
      <c r="B65" t="s">
        <v>32</v>
      </c>
      <c r="C65" s="25">
        <v>43704.922581018516</v>
      </c>
      <c r="D65" s="741" t="s">
        <v>969</v>
      </c>
      <c r="E65" s="741">
        <f t="array" ref="E65">SUMPRODUCT(IF(AMP5_4[[#This Row],[Dim 1_1]:[T 8]]-$F$4:$AI$4&lt;0,1,0)+IF($F$5:$AI$5-AMP5_4[[#This Row],[Dim 1_1]:[T 8]]&lt;0,1,0),IF(ISNUMBER(AMP5_4[[#This Row],[Dim 1_1]:[T 8]])=TRUE,1,0))</f>
        <v>0</v>
      </c>
      <c r="F65">
        <v>41.677</v>
      </c>
      <c r="G65">
        <v>41.798999999999999</v>
      </c>
      <c r="H65">
        <v>155.82300000000001</v>
      </c>
      <c r="I65">
        <v>155.90100000000001</v>
      </c>
      <c r="L65">
        <v>155.90600000000001</v>
      </c>
      <c r="M65">
        <v>155.77600000000001</v>
      </c>
      <c r="N65">
        <v>27.254000000000001</v>
      </c>
      <c r="O65">
        <v>27.311</v>
      </c>
      <c r="R65">
        <v>17.190999999999999</v>
      </c>
      <c r="S65">
        <v>17.257000000000001</v>
      </c>
      <c r="T65">
        <v>33.39</v>
      </c>
      <c r="U65">
        <v>33.872999999999998</v>
      </c>
      <c r="W65">
        <v>-4.5999999999999999E-2</v>
      </c>
      <c r="X65">
        <v>-0.19400000000000001</v>
      </c>
      <c r="Z65">
        <v>8.9999999999999993E-3</v>
      </c>
      <c r="AA65">
        <v>-0.121</v>
      </c>
      <c r="AB65">
        <v>-6.9000000000000006E-2</v>
      </c>
      <c r="AC65">
        <v>-4.7E-2</v>
      </c>
      <c r="AD65">
        <v>-4.5999999999999999E-2</v>
      </c>
      <c r="AE65">
        <v>-0.19400000000000001</v>
      </c>
      <c r="AF65">
        <v>8.9999999999999993E-3</v>
      </c>
      <c r="AG65">
        <v>-2.9000000000000001E-2</v>
      </c>
      <c r="AH65">
        <v>-0.121</v>
      </c>
      <c r="AI65">
        <v>-5.1999999999999998E-2</v>
      </c>
    </row>
    <row r="66" spans="1:35" x14ac:dyDescent="0.25">
      <c r="A66" t="s">
        <v>1733</v>
      </c>
      <c r="B66" t="s">
        <v>31</v>
      </c>
      <c r="C66" s="25">
        <v>43704.924074074072</v>
      </c>
      <c r="D66" s="741" t="s">
        <v>969</v>
      </c>
      <c r="E66" s="741">
        <f t="array" ref="E66">SUMPRODUCT(IF(AMP5_4[[#This Row],[Dim 1_1]:[T 8]]-$F$4:$AI$4&lt;0,1,0)+IF($F$5:$AI$5-AMP5_4[[#This Row],[Dim 1_1]:[T 8]]&lt;0,1,0),IF(ISNUMBER(AMP5_4[[#This Row],[Dim 1_1]:[T 8]])=TRUE,1,0))</f>
        <v>0</v>
      </c>
      <c r="H66">
        <v>155.55699999999999</v>
      </c>
      <c r="I66">
        <v>155.53100000000001</v>
      </c>
      <c r="J66">
        <v>168.75399999999999</v>
      </c>
      <c r="K66">
        <v>169.047</v>
      </c>
      <c r="L66">
        <v>155.63900000000001</v>
      </c>
      <c r="M66">
        <v>155.441</v>
      </c>
      <c r="N66">
        <v>27.591999999999999</v>
      </c>
      <c r="O66">
        <v>27.902000000000001</v>
      </c>
      <c r="R66">
        <v>17.216999999999999</v>
      </c>
      <c r="S66">
        <v>17.231000000000002</v>
      </c>
      <c r="T66">
        <v>35.97</v>
      </c>
      <c r="U66">
        <v>37.084000000000003</v>
      </c>
      <c r="W66">
        <v>0.318</v>
      </c>
      <c r="X66">
        <v>3.9E-2</v>
      </c>
      <c r="Z66">
        <v>3.3000000000000002E-2</v>
      </c>
      <c r="AA66">
        <v>-4.4999999999999998E-2</v>
      </c>
      <c r="AB66">
        <v>0.16600000000000001</v>
      </c>
      <c r="AC66">
        <v>0.13</v>
      </c>
      <c r="AD66">
        <v>0.318</v>
      </c>
      <c r="AE66">
        <v>3.9E-2</v>
      </c>
      <c r="AF66">
        <v>1.7999999999999999E-2</v>
      </c>
      <c r="AG66">
        <v>-4.4999999999999998E-2</v>
      </c>
      <c r="AH66">
        <v>2E-3</v>
      </c>
      <c r="AI66">
        <v>3.3000000000000002E-2</v>
      </c>
    </row>
    <row r="67" spans="1:35" x14ac:dyDescent="0.25">
      <c r="A67" t="s">
        <v>1734</v>
      </c>
      <c r="B67" t="s">
        <v>32</v>
      </c>
      <c r="C67" s="25">
        <v>43705.028263888889</v>
      </c>
      <c r="D67" s="741" t="s">
        <v>969</v>
      </c>
      <c r="E67" s="741">
        <f t="array" ref="E67">SUMPRODUCT(IF(AMP5_4[[#This Row],[Dim 1_1]:[T 8]]-$F$4:$AI$4&lt;0,1,0)+IF($F$5:$AI$5-AMP5_4[[#This Row],[Dim 1_1]:[T 8]]&lt;0,1,0),IF(ISNUMBER(AMP5_4[[#This Row],[Dim 1_1]:[T 8]])=TRUE,1,0))</f>
        <v>0</v>
      </c>
      <c r="F67">
        <v>41.704999999999998</v>
      </c>
      <c r="G67">
        <v>41.779000000000003</v>
      </c>
      <c r="H67">
        <v>155.81399999999999</v>
      </c>
      <c r="I67">
        <v>155.91499999999999</v>
      </c>
      <c r="L67">
        <v>155.90600000000001</v>
      </c>
      <c r="M67">
        <v>155.798</v>
      </c>
      <c r="N67">
        <v>27.271999999999998</v>
      </c>
      <c r="O67">
        <v>27.271999999999998</v>
      </c>
      <c r="R67">
        <v>17.18</v>
      </c>
      <c r="S67">
        <v>17.215</v>
      </c>
      <c r="T67">
        <v>33.31</v>
      </c>
      <c r="U67">
        <v>34.067999999999998</v>
      </c>
      <c r="W67">
        <v>-2.1000000000000001E-2</v>
      </c>
      <c r="X67">
        <v>-0.19900000000000001</v>
      </c>
      <c r="Z67">
        <v>2.5000000000000001E-2</v>
      </c>
      <c r="AA67">
        <v>-0.03</v>
      </c>
      <c r="AB67">
        <v>-8.6999999999999994E-2</v>
      </c>
      <c r="AC67">
        <v>-6.6000000000000003E-2</v>
      </c>
      <c r="AD67">
        <v>-2.1000000000000001E-2</v>
      </c>
      <c r="AE67">
        <v>-0.19900000000000001</v>
      </c>
      <c r="AF67">
        <v>2.5000000000000001E-2</v>
      </c>
      <c r="AG67">
        <v>-2.5000000000000001E-2</v>
      </c>
      <c r="AH67">
        <v>-0.03</v>
      </c>
      <c r="AI67">
        <v>0.02</v>
      </c>
    </row>
    <row r="68" spans="1:35" x14ac:dyDescent="0.25">
      <c r="A68" t="s">
        <v>1735</v>
      </c>
      <c r="B68" t="s">
        <v>31</v>
      </c>
      <c r="C68" s="25">
        <v>43705.029803240737</v>
      </c>
      <c r="D68" s="741" t="s">
        <v>969</v>
      </c>
      <c r="E68" s="741">
        <f t="array" ref="E68">SUMPRODUCT(IF(AMP5_4[[#This Row],[Dim 1_1]:[T 8]]-$F$4:$AI$4&lt;0,1,0)+IF($F$5:$AI$5-AMP5_4[[#This Row],[Dim 1_1]:[T 8]]&lt;0,1,0),IF(ISNUMBER(AMP5_4[[#This Row],[Dim 1_1]:[T 8]])=TRUE,1,0))</f>
        <v>0</v>
      </c>
      <c r="H68">
        <v>155.52099999999999</v>
      </c>
      <c r="I68">
        <v>155.49</v>
      </c>
      <c r="J68">
        <v>168.78700000000001</v>
      </c>
      <c r="K68">
        <v>168.905</v>
      </c>
      <c r="L68">
        <v>155.58799999999999</v>
      </c>
      <c r="M68">
        <v>155.37899999999999</v>
      </c>
      <c r="N68">
        <v>27.613</v>
      </c>
      <c r="O68">
        <v>27.931000000000001</v>
      </c>
      <c r="R68">
        <v>17.262</v>
      </c>
      <c r="S68">
        <v>17.292999999999999</v>
      </c>
      <c r="T68">
        <v>37.837000000000003</v>
      </c>
      <c r="U68">
        <v>38.125999999999998</v>
      </c>
      <c r="W68">
        <v>0.309</v>
      </c>
      <c r="X68">
        <v>0.03</v>
      </c>
      <c r="Z68">
        <v>2.7E-2</v>
      </c>
      <c r="AA68">
        <v>-3.9E-2</v>
      </c>
      <c r="AB68">
        <v>0.17599999999999999</v>
      </c>
      <c r="AC68">
        <v>0.13400000000000001</v>
      </c>
      <c r="AD68">
        <v>0.309</v>
      </c>
      <c r="AE68">
        <v>0.03</v>
      </c>
      <c r="AF68">
        <v>1.4999999999999999E-2</v>
      </c>
      <c r="AG68">
        <v>-3.9E-2</v>
      </c>
      <c r="AH68">
        <v>-8.0000000000000002E-3</v>
      </c>
      <c r="AI68">
        <v>2.7E-2</v>
      </c>
    </row>
    <row r="69" spans="1:35" x14ac:dyDescent="0.25">
      <c r="A69" t="s">
        <v>1736</v>
      </c>
      <c r="B69" t="s">
        <v>32</v>
      </c>
      <c r="C69" s="25">
        <v>43705.343530092592</v>
      </c>
      <c r="D69" s="741" t="s">
        <v>969</v>
      </c>
      <c r="E69" s="741">
        <f t="array" ref="E69">SUMPRODUCT(IF(AMP5_4[[#This Row],[Dim 1_1]:[T 8]]-$F$4:$AI$4&lt;0,1,0)+IF($F$5:$AI$5-AMP5_4[[#This Row],[Dim 1_1]:[T 8]]&lt;0,1,0),IF(ISNUMBER(AMP5_4[[#This Row],[Dim 1_1]:[T 8]])=TRUE,1,0))</f>
        <v>0</v>
      </c>
      <c r="F69">
        <v>41.45</v>
      </c>
      <c r="G69">
        <v>41.606000000000002</v>
      </c>
      <c r="H69">
        <v>155.94999999999999</v>
      </c>
      <c r="I69">
        <v>155.97800000000001</v>
      </c>
      <c r="L69">
        <v>156.017</v>
      </c>
      <c r="M69">
        <v>155.839</v>
      </c>
      <c r="N69">
        <v>27.161999999999999</v>
      </c>
      <c r="O69">
        <v>27.238</v>
      </c>
      <c r="R69">
        <v>17.215</v>
      </c>
      <c r="S69">
        <v>17.175999999999998</v>
      </c>
      <c r="T69">
        <v>33.828000000000003</v>
      </c>
      <c r="U69">
        <v>33.936999999999998</v>
      </c>
      <c r="W69">
        <v>5.7000000000000002E-2</v>
      </c>
      <c r="X69">
        <v>-0.191</v>
      </c>
      <c r="Z69">
        <v>4.0000000000000001E-3</v>
      </c>
      <c r="AA69">
        <v>-0.20300000000000001</v>
      </c>
      <c r="AB69">
        <v>-0.191</v>
      </c>
      <c r="AC69">
        <v>-0.182</v>
      </c>
      <c r="AD69">
        <v>5.7000000000000002E-2</v>
      </c>
      <c r="AE69">
        <v>-0.16200000000000001</v>
      </c>
      <c r="AF69">
        <v>-0.157</v>
      </c>
      <c r="AG69">
        <v>-0.20300000000000001</v>
      </c>
      <c r="AH69">
        <v>-3.0000000000000001E-3</v>
      </c>
      <c r="AI69">
        <v>4.0000000000000001E-3</v>
      </c>
    </row>
    <row r="70" spans="1:35" x14ac:dyDescent="0.25">
      <c r="A70" t="s">
        <v>1737</v>
      </c>
      <c r="B70" t="s">
        <v>31</v>
      </c>
      <c r="C70" s="25">
        <v>43705.345601851855</v>
      </c>
      <c r="D70" s="741" t="s">
        <v>969</v>
      </c>
      <c r="E70" s="741">
        <f t="array" ref="E70">SUMPRODUCT(IF(AMP5_4[[#This Row],[Dim 1_1]:[T 8]]-$F$4:$AI$4&lt;0,1,0)+IF($F$5:$AI$5-AMP5_4[[#This Row],[Dim 1_1]:[T 8]]&lt;0,1,0),IF(ISNUMBER(AMP5_4[[#This Row],[Dim 1_1]:[T 8]])=TRUE,1,0))</f>
        <v>0</v>
      </c>
      <c r="H70">
        <v>155.70599999999999</v>
      </c>
      <c r="I70">
        <v>155.68</v>
      </c>
      <c r="J70">
        <v>168.79400000000001</v>
      </c>
      <c r="K70">
        <v>168.99799999999999</v>
      </c>
      <c r="L70">
        <v>155.76300000000001</v>
      </c>
      <c r="M70">
        <v>155.56200000000001</v>
      </c>
      <c r="N70">
        <v>27.405000000000001</v>
      </c>
      <c r="O70">
        <v>27.736999999999998</v>
      </c>
      <c r="R70">
        <v>17.283000000000001</v>
      </c>
      <c r="S70">
        <v>17.260999999999999</v>
      </c>
      <c r="T70">
        <v>36.468000000000004</v>
      </c>
      <c r="U70">
        <v>36.414999999999999</v>
      </c>
      <c r="W70">
        <v>0.38700000000000001</v>
      </c>
      <c r="X70">
        <v>5.8999999999999997E-2</v>
      </c>
      <c r="Z70">
        <v>0.113</v>
      </c>
      <c r="AA70">
        <v>-0.10100000000000001</v>
      </c>
      <c r="AB70">
        <v>0.106</v>
      </c>
      <c r="AC70">
        <v>5.8999999999999997E-2</v>
      </c>
      <c r="AD70">
        <v>0.38700000000000001</v>
      </c>
      <c r="AE70">
        <v>0.11799999999999999</v>
      </c>
      <c r="AF70">
        <v>-3.5000000000000003E-2</v>
      </c>
      <c r="AG70">
        <v>-0.10100000000000001</v>
      </c>
      <c r="AH70">
        <v>0.113</v>
      </c>
      <c r="AI70">
        <v>7.6999999999999999E-2</v>
      </c>
    </row>
    <row r="71" spans="1:35" x14ac:dyDescent="0.25">
      <c r="A71" t="s">
        <v>1738</v>
      </c>
      <c r="B71" t="s">
        <v>32</v>
      </c>
      <c r="C71" s="25">
        <v>43705.435763888891</v>
      </c>
      <c r="D71" s="741" t="s">
        <v>969</v>
      </c>
      <c r="E71" s="741">
        <f t="array" ref="E71">SUMPRODUCT(IF(AMP5_4[[#This Row],[Dim 1_1]:[T 8]]-$F$4:$AI$4&lt;0,1,0)+IF($F$5:$AI$5-AMP5_4[[#This Row],[Dim 1_1]:[T 8]]&lt;0,1,0),IF(ISNUMBER(AMP5_4[[#This Row],[Dim 1_1]:[T 8]])=TRUE,1,0))</f>
        <v>0</v>
      </c>
      <c r="F71">
        <v>41.576999999999998</v>
      </c>
      <c r="G71">
        <v>41.774999999999999</v>
      </c>
      <c r="H71">
        <v>155.76499999999999</v>
      </c>
      <c r="I71">
        <v>155.88800000000001</v>
      </c>
      <c r="L71">
        <v>155.863</v>
      </c>
      <c r="M71">
        <v>155.786</v>
      </c>
      <c r="N71">
        <v>27.312000000000001</v>
      </c>
      <c r="O71">
        <v>27.318000000000001</v>
      </c>
      <c r="R71">
        <v>17.190999999999999</v>
      </c>
      <c r="S71">
        <v>17.206</v>
      </c>
      <c r="T71">
        <v>33.509</v>
      </c>
      <c r="U71">
        <v>34.139000000000003</v>
      </c>
      <c r="W71">
        <v>0.01</v>
      </c>
      <c r="X71">
        <v>-0.104</v>
      </c>
      <c r="Z71">
        <v>4.4999999999999998E-2</v>
      </c>
      <c r="AA71">
        <v>-7.0000000000000007E-2</v>
      </c>
      <c r="AB71">
        <v>-3.1E-2</v>
      </c>
      <c r="AC71">
        <v>-3.0000000000000001E-3</v>
      </c>
      <c r="AD71">
        <v>0.01</v>
      </c>
      <c r="AE71">
        <v>-0.104</v>
      </c>
      <c r="AF71">
        <v>4.4999999999999998E-2</v>
      </c>
      <c r="AG71">
        <v>-1.2999999999999999E-2</v>
      </c>
      <c r="AH71">
        <v>-7.0000000000000007E-2</v>
      </c>
      <c r="AI71">
        <v>3.0000000000000001E-3</v>
      </c>
    </row>
    <row r="72" spans="1:35" x14ac:dyDescent="0.25">
      <c r="A72" t="s">
        <v>1739</v>
      </c>
      <c r="B72" t="s">
        <v>31</v>
      </c>
      <c r="C72" s="25">
        <v>43705.437928240739</v>
      </c>
      <c r="D72" s="741" t="s">
        <v>969</v>
      </c>
      <c r="E72" s="741">
        <f t="array" ref="E72">SUMPRODUCT(IF(AMP5_4[[#This Row],[Dim 1_1]:[T 8]]-$F$4:$AI$4&lt;0,1,0)+IF($F$5:$AI$5-AMP5_4[[#This Row],[Dim 1_1]:[T 8]]&lt;0,1,0),IF(ISNUMBER(AMP5_4[[#This Row],[Dim 1_1]:[T 8]])=TRUE,1,0))</f>
        <v>0</v>
      </c>
      <c r="H72">
        <v>155.51</v>
      </c>
      <c r="I72">
        <v>155.477</v>
      </c>
      <c r="J72">
        <v>168.62700000000001</v>
      </c>
      <c r="K72">
        <v>168.952</v>
      </c>
      <c r="L72">
        <v>155.57</v>
      </c>
      <c r="M72">
        <v>155.35499999999999</v>
      </c>
      <c r="N72">
        <v>27.617000000000001</v>
      </c>
      <c r="O72">
        <v>27.951000000000001</v>
      </c>
      <c r="R72">
        <v>17.27</v>
      </c>
      <c r="S72">
        <v>17.259</v>
      </c>
      <c r="T72">
        <v>35.527999999999999</v>
      </c>
      <c r="U72">
        <v>36.622</v>
      </c>
      <c r="W72">
        <v>0.434</v>
      </c>
      <c r="X72">
        <v>0.13600000000000001</v>
      </c>
      <c r="Z72">
        <v>5.0999999999999997E-2</v>
      </c>
      <c r="AA72">
        <v>-9.0999999999999998E-2</v>
      </c>
      <c r="AB72">
        <v>0.19700000000000001</v>
      </c>
      <c r="AC72">
        <v>0.16700000000000001</v>
      </c>
      <c r="AD72">
        <v>0.434</v>
      </c>
      <c r="AE72">
        <v>0.13600000000000001</v>
      </c>
      <c r="AF72">
        <v>-1.2999999999999999E-2</v>
      </c>
      <c r="AG72">
        <v>-9.0999999999999998E-2</v>
      </c>
      <c r="AH72">
        <v>3.1E-2</v>
      </c>
      <c r="AI72">
        <v>5.0999999999999997E-2</v>
      </c>
    </row>
    <row r="73" spans="1:35" x14ac:dyDescent="0.25">
      <c r="A73" t="s">
        <v>1945</v>
      </c>
      <c r="B73" t="s">
        <v>32</v>
      </c>
      <c r="C73" s="25">
        <v>43705.528171296297</v>
      </c>
      <c r="D73" s="741" t="s">
        <v>969</v>
      </c>
      <c r="E73" s="741">
        <f t="array" ref="E73">SUMPRODUCT(IF(AMP5_4[[#This Row],[Dim 1_1]:[T 8]]-$F$4:$AI$4&lt;0,1,0)+IF($F$5:$AI$5-AMP5_4[[#This Row],[Dim 1_1]:[T 8]]&lt;0,1,0),IF(ISNUMBER(AMP5_4[[#This Row],[Dim 1_1]:[T 8]])=TRUE,1,0))</f>
        <v>0</v>
      </c>
      <c r="F73">
        <v>41.631</v>
      </c>
      <c r="G73">
        <v>41.756999999999998</v>
      </c>
      <c r="H73">
        <v>155.78700000000001</v>
      </c>
      <c r="I73">
        <v>155.91399999999999</v>
      </c>
      <c r="L73">
        <v>155.881</v>
      </c>
      <c r="M73">
        <v>155.80699999999999</v>
      </c>
      <c r="N73">
        <v>27.302</v>
      </c>
      <c r="O73">
        <v>27.273</v>
      </c>
      <c r="R73">
        <v>17.187999999999999</v>
      </c>
      <c r="S73">
        <v>17.259</v>
      </c>
      <c r="T73">
        <v>33.655999999999999</v>
      </c>
      <c r="U73">
        <v>33.906999999999996</v>
      </c>
      <c r="W73">
        <v>-3.3000000000000002E-2</v>
      </c>
      <c r="X73">
        <v>-0.17100000000000001</v>
      </c>
      <c r="Z73">
        <v>1.2999999999999999E-2</v>
      </c>
      <c r="AA73">
        <v>-0.11</v>
      </c>
      <c r="AB73">
        <v>-6.0999999999999999E-2</v>
      </c>
      <c r="AC73">
        <v>-3.3000000000000002E-2</v>
      </c>
      <c r="AD73">
        <v>-8.2000000000000003E-2</v>
      </c>
      <c r="AE73">
        <v>-0.17100000000000001</v>
      </c>
      <c r="AF73">
        <v>1.2999999999999999E-2</v>
      </c>
      <c r="AG73">
        <v>-3.7999999999999999E-2</v>
      </c>
      <c r="AH73">
        <v>-0.11</v>
      </c>
      <c r="AI73">
        <v>-0.05</v>
      </c>
    </row>
    <row r="74" spans="1:35" x14ac:dyDescent="0.25">
      <c r="A74" t="s">
        <v>1946</v>
      </c>
      <c r="B74" t="s">
        <v>31</v>
      </c>
      <c r="C74" s="25">
        <v>43705.530231481483</v>
      </c>
      <c r="D74" s="741" t="s">
        <v>969</v>
      </c>
      <c r="E74" s="741">
        <f t="array" ref="E74">SUMPRODUCT(IF(AMP5_4[[#This Row],[Dim 1_1]:[T 8]]-$F$4:$AI$4&lt;0,1,0)+IF($F$5:$AI$5-AMP5_4[[#This Row],[Dim 1_1]:[T 8]]&lt;0,1,0),IF(ISNUMBER(AMP5_4[[#This Row],[Dim 1_1]:[T 8]])=TRUE,1,0))</f>
        <v>0</v>
      </c>
      <c r="H74">
        <v>155.51</v>
      </c>
      <c r="I74">
        <v>155.464</v>
      </c>
      <c r="J74">
        <v>168.74700000000001</v>
      </c>
      <c r="K74">
        <v>168.958</v>
      </c>
      <c r="L74">
        <v>155.59</v>
      </c>
      <c r="M74">
        <v>155.334</v>
      </c>
      <c r="N74">
        <v>27.61</v>
      </c>
      <c r="O74">
        <v>27.99</v>
      </c>
      <c r="R74">
        <v>17.277999999999999</v>
      </c>
      <c r="S74">
        <v>17.388000000000002</v>
      </c>
      <c r="T74">
        <v>37.255000000000003</v>
      </c>
      <c r="U74">
        <v>37.805999999999997</v>
      </c>
      <c r="W74">
        <v>0.30599999999999999</v>
      </c>
      <c r="X74">
        <v>2E-3</v>
      </c>
      <c r="Z74">
        <v>-1.9E-2</v>
      </c>
      <c r="AA74">
        <v>-0.10100000000000001</v>
      </c>
      <c r="AB74">
        <v>0.22700000000000001</v>
      </c>
      <c r="AC74">
        <v>0.19500000000000001</v>
      </c>
      <c r="AD74">
        <v>0.30599999999999999</v>
      </c>
      <c r="AE74">
        <v>2E-3</v>
      </c>
      <c r="AF74">
        <v>-1.9E-2</v>
      </c>
      <c r="AG74">
        <v>-8.2000000000000003E-2</v>
      </c>
      <c r="AH74">
        <v>-0.10100000000000001</v>
      </c>
      <c r="AI74">
        <v>-9.2999999999999999E-2</v>
      </c>
    </row>
    <row r="75" spans="1:35" x14ac:dyDescent="0.25">
      <c r="A75" t="s">
        <v>1947</v>
      </c>
      <c r="B75" t="s">
        <v>32</v>
      </c>
      <c r="C75" s="25">
        <v>43705.626666666663</v>
      </c>
      <c r="D75" s="741" t="s">
        <v>969</v>
      </c>
      <c r="E75" s="741">
        <f t="array" ref="E75">SUMPRODUCT(IF(AMP5_4[[#This Row],[Dim 1_1]:[T 8]]-$F$4:$AI$4&lt;0,1,0)+IF($F$5:$AI$5-AMP5_4[[#This Row],[Dim 1_1]:[T 8]]&lt;0,1,0),IF(ISNUMBER(AMP5_4[[#This Row],[Dim 1_1]:[T 8]])=TRUE,1,0))</f>
        <v>0</v>
      </c>
      <c r="F75">
        <v>41.643000000000001</v>
      </c>
      <c r="G75">
        <v>41.796999999999997</v>
      </c>
      <c r="H75">
        <v>155.85</v>
      </c>
      <c r="I75">
        <v>155.96</v>
      </c>
      <c r="L75">
        <v>155.91499999999999</v>
      </c>
      <c r="M75">
        <v>155.851</v>
      </c>
      <c r="N75">
        <v>27.256</v>
      </c>
      <c r="O75">
        <v>27.228999999999999</v>
      </c>
      <c r="R75">
        <v>17.186</v>
      </c>
      <c r="S75">
        <v>17.206</v>
      </c>
      <c r="T75">
        <v>33.377000000000002</v>
      </c>
      <c r="U75">
        <v>34.325000000000003</v>
      </c>
      <c r="W75">
        <v>-3.0000000000000001E-3</v>
      </c>
      <c r="X75">
        <v>-0.184</v>
      </c>
      <c r="Z75">
        <v>0.04</v>
      </c>
      <c r="AA75">
        <v>-0.06</v>
      </c>
      <c r="AB75">
        <v>-0.05</v>
      </c>
      <c r="AC75">
        <v>-2.7E-2</v>
      </c>
      <c r="AD75">
        <v>-3.0000000000000001E-3</v>
      </c>
      <c r="AE75">
        <v>-0.184</v>
      </c>
      <c r="AF75">
        <v>0.04</v>
      </c>
      <c r="AG75">
        <v>-0.02</v>
      </c>
      <c r="AH75">
        <v>-0.06</v>
      </c>
      <c r="AI75">
        <v>0.02</v>
      </c>
    </row>
    <row r="76" spans="1:35" x14ac:dyDescent="0.25">
      <c r="A76" t="s">
        <v>1948</v>
      </c>
      <c r="B76" t="s">
        <v>31</v>
      </c>
      <c r="C76" s="25">
        <v>43705.62871527778</v>
      </c>
      <c r="D76" s="741" t="s">
        <v>969</v>
      </c>
      <c r="E76" s="741">
        <f t="array" ref="E76">SUMPRODUCT(IF(AMP5_4[[#This Row],[Dim 1_1]:[T 8]]-$F$4:$AI$4&lt;0,1,0)+IF($F$5:$AI$5-AMP5_4[[#This Row],[Dim 1_1]:[T 8]]&lt;0,1,0),IF(ISNUMBER(AMP5_4[[#This Row],[Dim 1_1]:[T 8]])=TRUE,1,0))</f>
        <v>0</v>
      </c>
      <c r="H76">
        <v>155.55699999999999</v>
      </c>
      <c r="I76">
        <v>155.494</v>
      </c>
      <c r="J76">
        <v>168.80799999999999</v>
      </c>
      <c r="K76">
        <v>168.96</v>
      </c>
      <c r="L76">
        <v>155.65100000000001</v>
      </c>
      <c r="M76">
        <v>155.36199999999999</v>
      </c>
      <c r="N76">
        <v>27.577000000000002</v>
      </c>
      <c r="O76">
        <v>27.981999999999999</v>
      </c>
      <c r="R76">
        <v>17.27</v>
      </c>
      <c r="S76">
        <v>17.405999999999999</v>
      </c>
      <c r="T76">
        <v>38.110999999999997</v>
      </c>
      <c r="U76">
        <v>37.630000000000003</v>
      </c>
      <c r="W76">
        <v>0.33300000000000002</v>
      </c>
      <c r="X76">
        <v>0.105</v>
      </c>
      <c r="Z76">
        <v>-4.5999999999999999E-2</v>
      </c>
      <c r="AA76">
        <v>-0.124</v>
      </c>
      <c r="AB76">
        <v>0.184</v>
      </c>
      <c r="AC76">
        <v>0.13500000000000001</v>
      </c>
      <c r="AD76">
        <v>0.33300000000000002</v>
      </c>
      <c r="AE76">
        <v>0.105</v>
      </c>
      <c r="AF76">
        <v>-4.5999999999999999E-2</v>
      </c>
      <c r="AG76">
        <v>-0.124</v>
      </c>
      <c r="AH76">
        <v>-7.0000000000000007E-2</v>
      </c>
      <c r="AI76">
        <v>-0.08</v>
      </c>
    </row>
    <row r="77" spans="1:35" x14ac:dyDescent="0.25">
      <c r="A77" t="s">
        <v>1949</v>
      </c>
      <c r="B77" t="s">
        <v>32</v>
      </c>
      <c r="C77" s="25">
        <v>43705.723263888889</v>
      </c>
      <c r="D77" s="741" t="s">
        <v>969</v>
      </c>
      <c r="E77" s="741">
        <f t="array" ref="E77">SUMPRODUCT(IF(AMP5_4[[#This Row],[Dim 1_1]:[T 8]]-$F$4:$AI$4&lt;0,1,0)+IF($F$5:$AI$5-AMP5_4[[#This Row],[Dim 1_1]:[T 8]]&lt;0,1,0),IF(ISNUMBER(AMP5_4[[#This Row],[Dim 1_1]:[T 8]])=TRUE,1,0))</f>
        <v>0</v>
      </c>
      <c r="F77">
        <v>41.584000000000003</v>
      </c>
      <c r="G77">
        <v>41.767000000000003</v>
      </c>
      <c r="H77">
        <v>155.86500000000001</v>
      </c>
      <c r="I77">
        <v>156.017</v>
      </c>
      <c r="L77">
        <v>155.982</v>
      </c>
      <c r="M77">
        <v>155.917</v>
      </c>
      <c r="N77">
        <v>27.202999999999999</v>
      </c>
      <c r="O77">
        <v>27.166</v>
      </c>
      <c r="R77">
        <v>17.173999999999999</v>
      </c>
      <c r="S77">
        <v>17.132999999999999</v>
      </c>
      <c r="T77">
        <v>33.639000000000003</v>
      </c>
      <c r="U77">
        <v>33.996000000000002</v>
      </c>
      <c r="W77">
        <v>-2.3E-2</v>
      </c>
      <c r="X77">
        <v>-0.20899999999999999</v>
      </c>
      <c r="Z77">
        <v>4.7E-2</v>
      </c>
      <c r="AA77">
        <v>-4.7E-2</v>
      </c>
      <c r="AB77">
        <v>-0.14299999999999999</v>
      </c>
      <c r="AC77">
        <v>-9.7000000000000003E-2</v>
      </c>
      <c r="AD77">
        <v>-2.3E-2</v>
      </c>
      <c r="AE77">
        <v>-0.20899999999999999</v>
      </c>
      <c r="AF77">
        <v>1.6E-2</v>
      </c>
      <c r="AG77">
        <v>-4.2000000000000003E-2</v>
      </c>
      <c r="AH77">
        <v>-4.7E-2</v>
      </c>
      <c r="AI77">
        <v>4.7E-2</v>
      </c>
    </row>
    <row r="78" spans="1:35" x14ac:dyDescent="0.25">
      <c r="A78" t="s">
        <v>1950</v>
      </c>
      <c r="B78" t="s">
        <v>31</v>
      </c>
      <c r="C78" s="25">
        <v>43705.724803240744</v>
      </c>
      <c r="D78" s="741" t="s">
        <v>969</v>
      </c>
      <c r="E78" s="741">
        <f t="array" ref="E78">SUMPRODUCT(IF(AMP5_4[[#This Row],[Dim 1_1]:[T 8]]-$F$4:$AI$4&lt;0,1,0)+IF($F$5:$AI$5-AMP5_4[[#This Row],[Dim 1_1]:[T 8]]&lt;0,1,0),IF(ISNUMBER(AMP5_4[[#This Row],[Dim 1_1]:[T 8]])=TRUE,1,0))</f>
        <v>0</v>
      </c>
      <c r="H78">
        <v>155.60300000000001</v>
      </c>
      <c r="I78">
        <v>155.571</v>
      </c>
      <c r="J78">
        <v>168.74700000000001</v>
      </c>
      <c r="K78">
        <v>168.97300000000001</v>
      </c>
      <c r="L78">
        <v>155.70099999999999</v>
      </c>
      <c r="M78">
        <v>155.422</v>
      </c>
      <c r="N78">
        <v>27.526</v>
      </c>
      <c r="O78">
        <v>27.949000000000002</v>
      </c>
      <c r="R78">
        <v>17.251999999999999</v>
      </c>
      <c r="S78">
        <v>17.292999999999999</v>
      </c>
      <c r="T78">
        <v>36.74</v>
      </c>
      <c r="U78">
        <v>37.478999999999999</v>
      </c>
      <c r="W78">
        <v>0.30599999999999999</v>
      </c>
      <c r="X78">
        <v>1.2999999999999999E-2</v>
      </c>
      <c r="Z78">
        <v>-3.3000000000000002E-2</v>
      </c>
      <c r="AA78">
        <v>-0.12</v>
      </c>
      <c r="AB78">
        <v>0.14699999999999999</v>
      </c>
      <c r="AC78">
        <v>0.123</v>
      </c>
      <c r="AD78">
        <v>0.30599999999999999</v>
      </c>
      <c r="AE78">
        <v>1.2999999999999999E-2</v>
      </c>
      <c r="AF78">
        <v>-5.6000000000000001E-2</v>
      </c>
      <c r="AG78">
        <v>-0.12</v>
      </c>
      <c r="AH78">
        <v>-3.3000000000000002E-2</v>
      </c>
      <c r="AI78">
        <v>-7.4999999999999997E-2</v>
      </c>
    </row>
    <row r="79" spans="1:35" x14ac:dyDescent="0.25">
      <c r="A79" t="s">
        <v>1951</v>
      </c>
      <c r="B79" t="s">
        <v>32</v>
      </c>
      <c r="C79" s="25">
        <v>43705.827326388891</v>
      </c>
      <c r="D79" s="741" t="s">
        <v>969</v>
      </c>
      <c r="E79" s="741">
        <f t="array" ref="E79">SUMPRODUCT(IF(AMP5_4[[#This Row],[Dim 1_1]:[T 8]]-$F$4:$AI$4&lt;0,1,0)+IF($F$5:$AI$5-AMP5_4[[#This Row],[Dim 1_1]:[T 8]]&lt;0,1,0),IF(ISNUMBER(AMP5_4[[#This Row],[Dim 1_1]:[T 8]])=TRUE,1,0))</f>
        <v>0</v>
      </c>
      <c r="F79">
        <v>41.625</v>
      </c>
      <c r="G79">
        <v>41.655000000000001</v>
      </c>
      <c r="H79">
        <v>155.852</v>
      </c>
      <c r="I79">
        <v>155.983</v>
      </c>
      <c r="L79">
        <v>155.96799999999999</v>
      </c>
      <c r="M79">
        <v>155.91300000000001</v>
      </c>
      <c r="N79">
        <v>27.222000000000001</v>
      </c>
      <c r="O79">
        <v>27.198</v>
      </c>
      <c r="R79">
        <v>17.207000000000001</v>
      </c>
      <c r="S79">
        <v>17.123000000000001</v>
      </c>
      <c r="T79">
        <v>33.264000000000003</v>
      </c>
      <c r="U79">
        <v>34.08</v>
      </c>
      <c r="W79">
        <v>2.5999999999999999E-2</v>
      </c>
      <c r="X79">
        <v>-0.20899999999999999</v>
      </c>
      <c r="Z79">
        <v>5.8999999999999997E-2</v>
      </c>
      <c r="AA79">
        <v>-7.9000000000000001E-2</v>
      </c>
      <c r="AB79">
        <v>-9.9000000000000005E-2</v>
      </c>
      <c r="AC79">
        <v>-5.8999999999999997E-2</v>
      </c>
      <c r="AD79">
        <v>2.5999999999999999E-2</v>
      </c>
      <c r="AE79">
        <v>-0.20899999999999999</v>
      </c>
      <c r="AF79">
        <v>-3.5000000000000003E-2</v>
      </c>
      <c r="AG79">
        <v>-6.8000000000000005E-2</v>
      </c>
      <c r="AH79">
        <v>-7.9000000000000001E-2</v>
      </c>
      <c r="AI79">
        <v>5.8999999999999997E-2</v>
      </c>
    </row>
    <row r="80" spans="1:35" x14ac:dyDescent="0.25">
      <c r="A80" t="s">
        <v>1952</v>
      </c>
      <c r="B80" t="s">
        <v>31</v>
      </c>
      <c r="C80" s="25">
        <v>43705.82885416667</v>
      </c>
      <c r="D80" s="741" t="s">
        <v>969</v>
      </c>
      <c r="E80" s="741">
        <f t="array" ref="E80">SUMPRODUCT(IF(AMP5_4[[#This Row],[Dim 1_1]:[T 8]]-$F$4:$AI$4&lt;0,1,0)+IF($F$5:$AI$5-AMP5_4[[#This Row],[Dim 1_1]:[T 8]]&lt;0,1,0),IF(ISNUMBER(AMP5_4[[#This Row],[Dim 1_1]:[T 8]])=TRUE,1,0))</f>
        <v>0</v>
      </c>
      <c r="H80">
        <v>155.59</v>
      </c>
      <c r="I80">
        <v>155.601</v>
      </c>
      <c r="J80">
        <v>168.73</v>
      </c>
      <c r="K80">
        <v>168.58600000000001</v>
      </c>
      <c r="L80">
        <v>155.73099999999999</v>
      </c>
      <c r="M80">
        <v>155.41900000000001</v>
      </c>
      <c r="N80">
        <v>27.481999999999999</v>
      </c>
      <c r="O80">
        <v>27.946000000000002</v>
      </c>
      <c r="R80">
        <v>17.260000000000002</v>
      </c>
      <c r="S80">
        <v>17.312000000000001</v>
      </c>
      <c r="T80">
        <v>37.768999999999998</v>
      </c>
      <c r="U80">
        <v>38.682000000000002</v>
      </c>
      <c r="W80">
        <v>0.29299999999999998</v>
      </c>
      <c r="X80">
        <v>-8.2000000000000003E-2</v>
      </c>
      <c r="Z80">
        <v>-2.1000000000000001E-2</v>
      </c>
      <c r="AA80">
        <v>-0.14599999999999999</v>
      </c>
      <c r="AB80">
        <v>0.14099999999999999</v>
      </c>
      <c r="AC80">
        <v>0.115</v>
      </c>
      <c r="AD80">
        <v>0.29299999999999998</v>
      </c>
      <c r="AE80">
        <v>-8.2000000000000003E-2</v>
      </c>
      <c r="AF80">
        <v>-8.5999999999999993E-2</v>
      </c>
      <c r="AG80">
        <v>-0.14599999999999999</v>
      </c>
      <c r="AH80">
        <v>-2.1000000000000001E-2</v>
      </c>
      <c r="AI80">
        <v>-8.3000000000000004E-2</v>
      </c>
    </row>
    <row r="81" spans="1:35" x14ac:dyDescent="0.25">
      <c r="A81" t="s">
        <v>1953</v>
      </c>
      <c r="B81" t="s">
        <v>32</v>
      </c>
      <c r="C81" s="25">
        <v>43705.96402777778</v>
      </c>
      <c r="D81" s="741" t="s">
        <v>969</v>
      </c>
      <c r="E81" s="741">
        <f t="array" ref="E81">SUMPRODUCT(IF(AMP5_4[[#This Row],[Dim 1_1]:[T 8]]-$F$4:$AI$4&lt;0,1,0)+IF($F$5:$AI$5-AMP5_4[[#This Row],[Dim 1_1]:[T 8]]&lt;0,1,0),IF(ISNUMBER(AMP5_4[[#This Row],[Dim 1_1]:[T 8]])=TRUE,1,0))</f>
        <v>0</v>
      </c>
      <c r="F81">
        <v>41.442</v>
      </c>
      <c r="G81">
        <v>41.566000000000003</v>
      </c>
      <c r="H81">
        <v>155.98500000000001</v>
      </c>
      <c r="I81">
        <v>156.10599999999999</v>
      </c>
      <c r="L81">
        <v>156.05500000000001</v>
      </c>
      <c r="M81">
        <v>155.98500000000001</v>
      </c>
      <c r="N81">
        <v>27.111999999999998</v>
      </c>
      <c r="O81">
        <v>27.056999999999999</v>
      </c>
      <c r="R81">
        <v>17.228000000000002</v>
      </c>
      <c r="S81">
        <v>17.087</v>
      </c>
      <c r="T81">
        <v>33.295000000000002</v>
      </c>
      <c r="U81">
        <v>34.024999999999999</v>
      </c>
      <c r="W81">
        <v>-1.4999999999999999E-2</v>
      </c>
      <c r="X81">
        <v>-0.22</v>
      </c>
      <c r="Z81">
        <v>-1.4E-2</v>
      </c>
      <c r="AA81">
        <v>-0.19600000000000001</v>
      </c>
      <c r="AB81">
        <v>-0.22</v>
      </c>
      <c r="AC81">
        <v>-0.17599999999999999</v>
      </c>
      <c r="AD81">
        <v>-1.4999999999999999E-2</v>
      </c>
      <c r="AE81">
        <v>-0.21299999999999999</v>
      </c>
      <c r="AF81">
        <v>-0.16400000000000001</v>
      </c>
      <c r="AG81">
        <v>-0.19600000000000001</v>
      </c>
      <c r="AH81">
        <v>-0.152</v>
      </c>
      <c r="AI81">
        <v>-1.4E-2</v>
      </c>
    </row>
    <row r="82" spans="1:35" x14ac:dyDescent="0.25">
      <c r="A82" t="s">
        <v>1954</v>
      </c>
      <c r="B82" t="s">
        <v>31</v>
      </c>
      <c r="C82" s="25">
        <v>43705.965891203705</v>
      </c>
      <c r="D82" s="741" t="s">
        <v>969</v>
      </c>
      <c r="E82" s="741">
        <f t="array" ref="E82">SUMPRODUCT(IF(AMP5_4[[#This Row],[Dim 1_1]:[T 8]]-$F$4:$AI$4&lt;0,1,0)+IF($F$5:$AI$5-AMP5_4[[#This Row],[Dim 1_1]:[T 8]]&lt;0,1,0),IF(ISNUMBER(AMP5_4[[#This Row],[Dim 1_1]:[T 8]])=TRUE,1,0))</f>
        <v>0</v>
      </c>
      <c r="H82">
        <v>155.756</v>
      </c>
      <c r="I82">
        <v>155.69300000000001</v>
      </c>
      <c r="J82">
        <v>168.797</v>
      </c>
      <c r="K82">
        <v>168.96100000000001</v>
      </c>
      <c r="L82">
        <v>155.881</v>
      </c>
      <c r="M82">
        <v>155.57400000000001</v>
      </c>
      <c r="N82">
        <v>27.332000000000001</v>
      </c>
      <c r="O82">
        <v>27.771000000000001</v>
      </c>
      <c r="R82">
        <v>17.236000000000001</v>
      </c>
      <c r="S82">
        <v>17.22</v>
      </c>
      <c r="T82">
        <v>36.814999999999998</v>
      </c>
      <c r="U82">
        <v>36.561</v>
      </c>
      <c r="W82">
        <v>0.17199999999999999</v>
      </c>
      <c r="X82">
        <v>-0.156</v>
      </c>
      <c r="Z82">
        <v>-7.8E-2</v>
      </c>
      <c r="AA82">
        <v>-0.23100000000000001</v>
      </c>
      <c r="AB82">
        <v>-8.9999999999999993E-3</v>
      </c>
      <c r="AC82">
        <v>-3.3000000000000002E-2</v>
      </c>
      <c r="AD82">
        <v>0.17199999999999999</v>
      </c>
      <c r="AE82">
        <v>-0.156</v>
      </c>
      <c r="AF82">
        <v>-0.17499999999999999</v>
      </c>
      <c r="AG82">
        <v>-0.23100000000000001</v>
      </c>
      <c r="AH82">
        <v>-7.8E-2</v>
      </c>
      <c r="AI82">
        <v>-0.159</v>
      </c>
    </row>
    <row r="83" spans="1:35" x14ac:dyDescent="0.25">
      <c r="A83" t="s">
        <v>1955</v>
      </c>
      <c r="B83" t="s">
        <v>32</v>
      </c>
      <c r="C83" s="25">
        <v>43706.00271990741</v>
      </c>
      <c r="D83" s="741" t="s">
        <v>969</v>
      </c>
      <c r="E83" s="741">
        <f t="array" ref="E83">SUMPRODUCT(IF(AMP5_4[[#This Row],[Dim 1_1]:[T 8]]-$F$4:$AI$4&lt;0,1,0)+IF($F$5:$AI$5-AMP5_4[[#This Row],[Dim 1_1]:[T 8]]&lt;0,1,0),IF(ISNUMBER(AMP5_4[[#This Row],[Dim 1_1]:[T 8]])=TRUE,1,0))</f>
        <v>0</v>
      </c>
      <c r="F83">
        <v>41.720999999999997</v>
      </c>
      <c r="G83">
        <v>41.720999999999997</v>
      </c>
      <c r="H83">
        <v>155.773</v>
      </c>
      <c r="I83">
        <v>155.77099999999999</v>
      </c>
      <c r="L83">
        <v>155.821</v>
      </c>
      <c r="M83">
        <v>155.58799999999999</v>
      </c>
      <c r="N83">
        <v>27.350999999999999</v>
      </c>
      <c r="O83">
        <v>27.483000000000001</v>
      </c>
      <c r="R83">
        <v>17.193999999999999</v>
      </c>
      <c r="S83">
        <v>17.173999999999999</v>
      </c>
      <c r="T83">
        <v>33.487000000000002</v>
      </c>
      <c r="U83">
        <v>33.841999999999999</v>
      </c>
      <c r="W83">
        <v>0.17699999999999999</v>
      </c>
      <c r="X83">
        <v>0</v>
      </c>
      <c r="Z83">
        <v>0.16300000000000001</v>
      </c>
      <c r="AA83">
        <v>4.2000000000000003E-2</v>
      </c>
      <c r="AB83">
        <v>0</v>
      </c>
      <c r="AC83">
        <v>7.0000000000000007E-2</v>
      </c>
      <c r="AD83">
        <v>0.17699999999999999</v>
      </c>
      <c r="AE83">
        <v>5.0000000000000001E-3</v>
      </c>
      <c r="AF83">
        <v>8.3000000000000004E-2</v>
      </c>
      <c r="AG83">
        <v>4.2000000000000003E-2</v>
      </c>
      <c r="AH83">
        <v>6.4000000000000001E-2</v>
      </c>
      <c r="AI83">
        <v>0.16300000000000001</v>
      </c>
    </row>
    <row r="84" spans="1:35" x14ac:dyDescent="0.25">
      <c r="A84" t="s">
        <v>1956</v>
      </c>
      <c r="B84" t="s">
        <v>31</v>
      </c>
      <c r="C84" s="25">
        <v>43706.004212962966</v>
      </c>
      <c r="D84" s="741" t="s">
        <v>969</v>
      </c>
      <c r="E84" s="741">
        <f t="array" ref="E84">SUMPRODUCT(IF(AMP5_4[[#This Row],[Dim 1_1]:[T 8]]-$F$4:$AI$4&lt;0,1,0)+IF($F$5:$AI$5-AMP5_4[[#This Row],[Dim 1_1]:[T 8]]&lt;0,1,0),IF(ISNUMBER(AMP5_4[[#This Row],[Dim 1_1]:[T 8]])=TRUE,1,0))</f>
        <v>0</v>
      </c>
      <c r="H84">
        <v>155.36600000000001</v>
      </c>
      <c r="I84">
        <v>155.38300000000001</v>
      </c>
      <c r="J84">
        <v>168.59299999999999</v>
      </c>
      <c r="K84">
        <v>168.739</v>
      </c>
      <c r="L84">
        <v>155.351</v>
      </c>
      <c r="M84">
        <v>155.17400000000001</v>
      </c>
      <c r="N84">
        <v>27.823</v>
      </c>
      <c r="O84">
        <v>28.041</v>
      </c>
      <c r="R84">
        <v>17.260999999999999</v>
      </c>
      <c r="S84">
        <v>17.334</v>
      </c>
      <c r="T84">
        <v>38.670999999999999</v>
      </c>
      <c r="U84">
        <v>37.923000000000002</v>
      </c>
      <c r="W84">
        <v>0.34399999999999997</v>
      </c>
      <c r="X84">
        <v>-9.4E-2</v>
      </c>
      <c r="Z84">
        <v>5.8999999999999997E-2</v>
      </c>
      <c r="AA84">
        <v>-0.158</v>
      </c>
      <c r="AB84">
        <v>0.34399999999999997</v>
      </c>
      <c r="AC84">
        <v>0.32100000000000001</v>
      </c>
      <c r="AD84">
        <v>0.19700000000000001</v>
      </c>
      <c r="AE84">
        <v>-9.4E-2</v>
      </c>
      <c r="AF84">
        <v>5.8999999999999997E-2</v>
      </c>
      <c r="AG84">
        <v>2.5999999999999999E-2</v>
      </c>
      <c r="AH84">
        <v>-0.158</v>
      </c>
      <c r="AI84">
        <v>-8.5000000000000006E-2</v>
      </c>
    </row>
    <row r="85" spans="1:35" x14ac:dyDescent="0.25">
      <c r="A85" t="s">
        <v>1957</v>
      </c>
      <c r="B85" t="s">
        <v>31</v>
      </c>
      <c r="C85" s="25">
        <v>43706.056284722225</v>
      </c>
      <c r="D85" s="741" t="s">
        <v>969</v>
      </c>
      <c r="E85" s="741">
        <f t="array" ref="E85">SUMPRODUCT(IF(AMP5_4[[#This Row],[Dim 1_1]:[T 8]]-$F$4:$AI$4&lt;0,1,0)+IF($F$5:$AI$5-AMP5_4[[#This Row],[Dim 1_1]:[T 8]]&lt;0,1,0),IF(ISNUMBER(AMP5_4[[#This Row],[Dim 1_1]:[T 8]])=TRUE,1,0))</f>
        <v>1</v>
      </c>
      <c r="H85">
        <v>155.31399999999999</v>
      </c>
      <c r="I85">
        <v>155.328</v>
      </c>
      <c r="J85">
        <v>168.821</v>
      </c>
      <c r="K85">
        <v>168.78200000000001</v>
      </c>
      <c r="L85">
        <v>155.357</v>
      </c>
      <c r="M85">
        <v>155.12700000000001</v>
      </c>
      <c r="N85">
        <v>27.863</v>
      </c>
      <c r="O85">
        <v>28.145</v>
      </c>
      <c r="R85">
        <v>17.238</v>
      </c>
      <c r="S85">
        <v>17.38</v>
      </c>
      <c r="T85">
        <v>37.329000000000001</v>
      </c>
      <c r="U85">
        <v>37.887999999999998</v>
      </c>
      <c r="W85">
        <v>0.378</v>
      </c>
      <c r="X85">
        <v>-0.104</v>
      </c>
      <c r="Z85">
        <v>0.16400000000000001</v>
      </c>
      <c r="AA85">
        <v>-7.5999999999999998E-2</v>
      </c>
      <c r="AB85">
        <v>0.378</v>
      </c>
      <c r="AC85">
        <v>0.35399999999999998</v>
      </c>
      <c r="AD85">
        <v>0.22</v>
      </c>
      <c r="AE85">
        <v>-0.104</v>
      </c>
      <c r="AF85">
        <v>0.16400000000000001</v>
      </c>
      <c r="AG85">
        <v>0.113</v>
      </c>
      <c r="AH85">
        <v>-7.5999999999999998E-2</v>
      </c>
      <c r="AI85">
        <v>-1.4999999999999999E-2</v>
      </c>
    </row>
    <row r="86" spans="1:35" x14ac:dyDescent="0.25">
      <c r="A86" t="s">
        <v>1958</v>
      </c>
      <c r="B86" t="s">
        <v>32</v>
      </c>
      <c r="C86" s="25">
        <v>43706.059074074074</v>
      </c>
      <c r="D86" s="741" t="s">
        <v>969</v>
      </c>
      <c r="E86" s="741">
        <f t="array" ref="E86">SUMPRODUCT(IF(AMP5_4[[#This Row],[Dim 1_1]:[T 8]]-$F$4:$AI$4&lt;0,1,0)+IF($F$5:$AI$5-AMP5_4[[#This Row],[Dim 1_1]:[T 8]]&lt;0,1,0),IF(ISNUMBER(AMP5_4[[#This Row],[Dim 1_1]:[T 8]])=TRUE,1,0))</f>
        <v>2</v>
      </c>
      <c r="F86">
        <v>41.938000000000002</v>
      </c>
      <c r="G86">
        <v>41.83</v>
      </c>
      <c r="H86">
        <v>155.68799999999999</v>
      </c>
      <c r="I86">
        <v>155.72300000000001</v>
      </c>
      <c r="L86">
        <v>155.74799999999999</v>
      </c>
      <c r="M86">
        <v>155.57599999999999</v>
      </c>
      <c r="N86">
        <v>27.425000000000001</v>
      </c>
      <c r="O86">
        <v>27.507999999999999</v>
      </c>
      <c r="R86">
        <v>17.21</v>
      </c>
      <c r="S86">
        <v>17.279</v>
      </c>
      <c r="T86">
        <v>33.491</v>
      </c>
      <c r="U86">
        <v>33.843000000000004</v>
      </c>
      <c r="W86">
        <v>8.3000000000000004E-2</v>
      </c>
      <c r="X86">
        <v>-0.10100000000000001</v>
      </c>
      <c r="Z86">
        <v>0.13500000000000001</v>
      </c>
      <c r="AA86">
        <v>0.02</v>
      </c>
      <c r="AB86">
        <v>8.3000000000000004E-2</v>
      </c>
      <c r="AC86">
        <v>7.2999999999999995E-2</v>
      </c>
      <c r="AD86">
        <v>7.4999999999999997E-2</v>
      </c>
      <c r="AE86">
        <v>-0.10100000000000001</v>
      </c>
      <c r="AF86">
        <v>0.13500000000000001</v>
      </c>
      <c r="AG86">
        <v>0.106</v>
      </c>
      <c r="AH86">
        <v>0.02</v>
      </c>
      <c r="AI86">
        <v>0.114</v>
      </c>
    </row>
    <row r="87" spans="1:35" x14ac:dyDescent="0.25">
      <c r="A87" t="s">
        <v>2224</v>
      </c>
      <c r="B87" t="s">
        <v>32</v>
      </c>
      <c r="C87" s="25">
        <v>43706.362337962964</v>
      </c>
      <c r="D87" s="741" t="s">
        <v>969</v>
      </c>
      <c r="E87" s="741">
        <f t="array" ref="E87">SUMPRODUCT(IF(AMP5_4[[#This Row],[Dim 1_1]:[T 8]]-$F$4:$AI$4&lt;0,1,0)+IF($F$5:$AI$5-AMP5_4[[#This Row],[Dim 1_1]:[T 8]]&lt;0,1,0),IF(ISNUMBER(AMP5_4[[#This Row],[Dim 1_1]:[T 8]])=TRUE,1,0))</f>
        <v>0</v>
      </c>
      <c r="F87">
        <v>41.726999999999997</v>
      </c>
      <c r="G87">
        <v>41.652999999999999</v>
      </c>
      <c r="H87">
        <v>155.703</v>
      </c>
      <c r="I87">
        <v>155.709</v>
      </c>
      <c r="L87">
        <v>155.76300000000001</v>
      </c>
      <c r="M87">
        <v>155.548</v>
      </c>
      <c r="N87">
        <v>27.495000000000001</v>
      </c>
      <c r="O87">
        <v>27.556999999999999</v>
      </c>
      <c r="R87">
        <v>17.311</v>
      </c>
      <c r="S87">
        <v>17.311</v>
      </c>
      <c r="T87">
        <v>33.707000000000001</v>
      </c>
      <c r="U87">
        <v>34.121000000000002</v>
      </c>
      <c r="W87">
        <v>0.20399999999999999</v>
      </c>
      <c r="X87">
        <v>2.5000000000000001E-2</v>
      </c>
      <c r="Z87">
        <v>0.153</v>
      </c>
      <c r="AA87">
        <v>3.5000000000000003E-2</v>
      </c>
      <c r="AB87">
        <v>0.11</v>
      </c>
      <c r="AC87">
        <v>0.115</v>
      </c>
      <c r="AD87">
        <v>0.20399999999999999</v>
      </c>
      <c r="AE87">
        <v>2.5000000000000001E-2</v>
      </c>
      <c r="AF87">
        <v>0.153</v>
      </c>
      <c r="AG87">
        <v>9.5000000000000001E-2</v>
      </c>
      <c r="AH87">
        <v>3.5000000000000003E-2</v>
      </c>
      <c r="AI87">
        <v>0.13300000000000001</v>
      </c>
    </row>
    <row r="88" spans="1:35" x14ac:dyDescent="0.25">
      <c r="A88" t="s">
        <v>2225</v>
      </c>
      <c r="B88" t="s">
        <v>31</v>
      </c>
      <c r="C88" s="25">
        <v>43706.364432870374</v>
      </c>
      <c r="D88" s="741" t="s">
        <v>969</v>
      </c>
      <c r="E88" s="741">
        <f t="array" ref="E88">SUMPRODUCT(IF(AMP5_4[[#This Row],[Dim 1_1]:[T 8]]-$F$4:$AI$4&lt;0,1,0)+IF($F$5:$AI$5-AMP5_4[[#This Row],[Dim 1_1]:[T 8]]&lt;0,1,0),IF(ISNUMBER(AMP5_4[[#This Row],[Dim 1_1]:[T 8]])=TRUE,1,0))</f>
        <v>0</v>
      </c>
      <c r="H88">
        <v>155.64699999999999</v>
      </c>
      <c r="I88">
        <v>155.65</v>
      </c>
      <c r="J88">
        <v>168.797</v>
      </c>
      <c r="K88">
        <v>168.773</v>
      </c>
      <c r="L88">
        <v>155.64599999999999</v>
      </c>
      <c r="M88">
        <v>155.43</v>
      </c>
      <c r="N88">
        <v>27.617999999999999</v>
      </c>
      <c r="O88">
        <v>27.850999999999999</v>
      </c>
      <c r="R88">
        <v>17.256</v>
      </c>
      <c r="S88">
        <v>17.308</v>
      </c>
      <c r="T88">
        <v>37.722000000000001</v>
      </c>
      <c r="U88">
        <v>39.426000000000002</v>
      </c>
      <c r="W88">
        <v>0.22800000000000001</v>
      </c>
      <c r="X88">
        <v>-0.108</v>
      </c>
      <c r="Z88">
        <v>0.245</v>
      </c>
      <c r="AA88">
        <v>5.3999999999999999E-2</v>
      </c>
      <c r="AB88">
        <v>0.22800000000000001</v>
      </c>
      <c r="AC88">
        <v>0.20399999999999999</v>
      </c>
      <c r="AD88">
        <v>0.186</v>
      </c>
      <c r="AE88">
        <v>-0.108</v>
      </c>
      <c r="AF88">
        <v>0.245</v>
      </c>
      <c r="AG88">
        <v>0.187</v>
      </c>
      <c r="AH88">
        <v>5.3999999999999999E-2</v>
      </c>
      <c r="AI88">
        <v>7.5999999999999998E-2</v>
      </c>
    </row>
    <row r="89" spans="1:35" x14ac:dyDescent="0.25">
      <c r="A89" t="s">
        <v>2226</v>
      </c>
      <c r="B89" t="s">
        <v>32</v>
      </c>
      <c r="C89" s="25">
        <v>43706.470937500002</v>
      </c>
      <c r="D89" s="741" t="s">
        <v>969</v>
      </c>
      <c r="E89" s="741">
        <f t="array" ref="E89">SUMPRODUCT(IF(AMP5_4[[#This Row],[Dim 1_1]:[T 8]]-$F$4:$AI$4&lt;0,1,0)+IF($F$5:$AI$5-AMP5_4[[#This Row],[Dim 1_1]:[T 8]]&lt;0,1,0),IF(ISNUMBER(AMP5_4[[#This Row],[Dim 1_1]:[T 8]])=TRUE,1,0))</f>
        <v>0</v>
      </c>
      <c r="F89">
        <v>41.781999999999996</v>
      </c>
      <c r="G89">
        <v>41.718000000000004</v>
      </c>
      <c r="H89">
        <v>155.65100000000001</v>
      </c>
      <c r="I89">
        <v>155.65299999999999</v>
      </c>
      <c r="L89">
        <v>155.68299999999999</v>
      </c>
      <c r="M89">
        <v>155.46799999999999</v>
      </c>
      <c r="N89">
        <v>27.535</v>
      </c>
      <c r="O89">
        <v>27.61</v>
      </c>
      <c r="R89">
        <v>17.321999999999999</v>
      </c>
      <c r="S89">
        <v>17.256</v>
      </c>
      <c r="T89">
        <v>33.415999999999997</v>
      </c>
      <c r="U89">
        <v>33.847000000000001</v>
      </c>
      <c r="W89">
        <v>0.24399999999999999</v>
      </c>
      <c r="X89">
        <v>0.112</v>
      </c>
      <c r="Z89">
        <v>0.13700000000000001</v>
      </c>
      <c r="AA89">
        <v>-2.1999999999999999E-2</v>
      </c>
      <c r="AB89">
        <v>0.13700000000000001</v>
      </c>
      <c r="AC89">
        <v>0.14399999999999999</v>
      </c>
      <c r="AD89">
        <v>0.24399999999999999</v>
      </c>
      <c r="AE89">
        <v>0.112</v>
      </c>
      <c r="AF89">
        <v>0.13700000000000001</v>
      </c>
      <c r="AG89">
        <v>7.9000000000000001E-2</v>
      </c>
      <c r="AH89">
        <v>-2.1999999999999999E-2</v>
      </c>
      <c r="AI89">
        <v>0.112</v>
      </c>
    </row>
    <row r="90" spans="1:35" x14ac:dyDescent="0.25">
      <c r="A90" t="s">
        <v>2227</v>
      </c>
      <c r="B90" t="s">
        <v>31</v>
      </c>
      <c r="C90" s="25">
        <v>43706.472986111112</v>
      </c>
      <c r="D90" s="741" t="s">
        <v>969</v>
      </c>
      <c r="E90" s="741">
        <f t="array" ref="E90">SUMPRODUCT(IF(AMP5_4[[#This Row],[Dim 1_1]:[T 8]]-$F$4:$AI$4&lt;0,1,0)+IF($F$5:$AI$5-AMP5_4[[#This Row],[Dim 1_1]:[T 8]]&lt;0,1,0),IF(ISNUMBER(AMP5_4[[#This Row],[Dim 1_1]:[T 8]])=TRUE,1,0))</f>
        <v>0</v>
      </c>
      <c r="H90">
        <v>155.58199999999999</v>
      </c>
      <c r="I90">
        <v>155.61099999999999</v>
      </c>
      <c r="J90">
        <v>168.85300000000001</v>
      </c>
      <c r="K90">
        <v>168.887</v>
      </c>
      <c r="L90">
        <v>155.631</v>
      </c>
      <c r="M90">
        <v>155.41</v>
      </c>
      <c r="N90">
        <v>27.678000000000001</v>
      </c>
      <c r="O90">
        <v>27.888000000000002</v>
      </c>
      <c r="R90">
        <v>17.245000000000001</v>
      </c>
      <c r="S90">
        <v>17.361000000000001</v>
      </c>
      <c r="T90">
        <v>39.162999999999997</v>
      </c>
      <c r="U90">
        <v>41.506999999999998</v>
      </c>
      <c r="W90">
        <v>0.34399999999999997</v>
      </c>
      <c r="X90">
        <v>-9.9000000000000005E-2</v>
      </c>
      <c r="Z90">
        <v>0.27400000000000002</v>
      </c>
      <c r="AA90">
        <v>6.8000000000000005E-2</v>
      </c>
      <c r="AB90">
        <v>0.34399999999999997</v>
      </c>
      <c r="AC90">
        <v>0.30599999999999999</v>
      </c>
      <c r="AD90">
        <v>0.223</v>
      </c>
      <c r="AE90">
        <v>-9.9000000000000005E-2</v>
      </c>
      <c r="AF90">
        <v>0.27400000000000002</v>
      </c>
      <c r="AG90">
        <v>0.20300000000000001</v>
      </c>
      <c r="AH90">
        <v>6.8000000000000005E-2</v>
      </c>
      <c r="AI90">
        <v>7.0999999999999994E-2</v>
      </c>
    </row>
    <row r="91" spans="1:35" x14ac:dyDescent="0.25">
      <c r="A91" t="s">
        <v>2386</v>
      </c>
      <c r="B91" t="s">
        <v>32</v>
      </c>
      <c r="C91" s="25">
        <v>43706.593842592592</v>
      </c>
      <c r="D91" s="741" t="s">
        <v>2238</v>
      </c>
      <c r="E91" s="741">
        <f t="array" ref="E91">SUMPRODUCT(IF(AMP5_4[[#This Row],[Dim 1_1]:[T 8]]-$F$4:$AI$4&lt;0,1,0)+IF($F$5:$AI$5-AMP5_4[[#This Row],[Dim 1_1]:[T 8]]&lt;0,1,0),IF(ISNUMBER(AMP5_4[[#This Row],[Dim 1_1]:[T 8]])=TRUE,1,0))</f>
        <v>0</v>
      </c>
      <c r="F91">
        <v>41.527999999999999</v>
      </c>
      <c r="G91">
        <v>41.473999999999997</v>
      </c>
      <c r="H91">
        <v>155.80199999999999</v>
      </c>
      <c r="I91">
        <v>155.77500000000001</v>
      </c>
      <c r="L91">
        <v>155.84299999999999</v>
      </c>
      <c r="M91">
        <v>155.643</v>
      </c>
      <c r="N91">
        <v>27.41</v>
      </c>
      <c r="O91">
        <v>27.504999999999999</v>
      </c>
      <c r="R91">
        <v>17.238</v>
      </c>
      <c r="S91">
        <v>17.117999999999999</v>
      </c>
      <c r="T91">
        <v>33.341999999999999</v>
      </c>
      <c r="U91">
        <v>34.287999999999997</v>
      </c>
      <c r="W91">
        <v>0.17599999999999999</v>
      </c>
      <c r="X91">
        <v>-6.7000000000000004E-2</v>
      </c>
      <c r="Z91">
        <v>0.105</v>
      </c>
      <c r="AA91">
        <v>-0.10299999999999999</v>
      </c>
      <c r="AB91">
        <v>-6.7000000000000004E-2</v>
      </c>
      <c r="AC91">
        <v>-4.4999999999999998E-2</v>
      </c>
      <c r="AD91">
        <v>0.17599999999999999</v>
      </c>
      <c r="AE91">
        <v>4.0000000000000001E-3</v>
      </c>
      <c r="AF91">
        <v>-0.10299999999999999</v>
      </c>
      <c r="AG91">
        <v>-5.8999999999999997E-2</v>
      </c>
      <c r="AH91">
        <v>6.2E-2</v>
      </c>
      <c r="AI91">
        <v>0.105</v>
      </c>
    </row>
    <row r="92" spans="1:35" x14ac:dyDescent="0.25">
      <c r="A92" t="s">
        <v>2387</v>
      </c>
      <c r="B92" t="s">
        <v>31</v>
      </c>
      <c r="C92" s="25">
        <v>43706.596377314818</v>
      </c>
      <c r="D92" s="741" t="s">
        <v>2238</v>
      </c>
      <c r="E92" s="741">
        <f t="array" ref="E92">SUMPRODUCT(IF(AMP5_4[[#This Row],[Dim 1_1]:[T 8]]-$F$4:$AI$4&lt;0,1,0)+IF($F$5:$AI$5-AMP5_4[[#This Row],[Dim 1_1]:[T 8]]&lt;0,1,0),IF(ISNUMBER(AMP5_4[[#This Row],[Dim 1_1]:[T 8]])=TRUE,1,0))</f>
        <v>0</v>
      </c>
      <c r="H92">
        <v>155.77799999999999</v>
      </c>
      <c r="I92">
        <v>155.70500000000001</v>
      </c>
      <c r="J92">
        <v>168.69</v>
      </c>
      <c r="K92">
        <v>168.79499999999999</v>
      </c>
      <c r="L92">
        <v>155.77500000000001</v>
      </c>
      <c r="M92">
        <v>155.501</v>
      </c>
      <c r="N92">
        <v>27.518000000000001</v>
      </c>
      <c r="O92">
        <v>27.812000000000001</v>
      </c>
      <c r="R92">
        <v>17.263000000000002</v>
      </c>
      <c r="S92">
        <v>17.413</v>
      </c>
      <c r="T92">
        <v>37.152999999999999</v>
      </c>
      <c r="U92">
        <v>38.671999999999997</v>
      </c>
      <c r="W92">
        <v>0.104</v>
      </c>
      <c r="X92">
        <v>-0.28699999999999998</v>
      </c>
      <c r="Z92">
        <v>4.3999999999999997E-2</v>
      </c>
      <c r="AA92">
        <v>-0.19900000000000001</v>
      </c>
      <c r="AB92">
        <v>0.104</v>
      </c>
      <c r="AC92">
        <v>6.5000000000000002E-2</v>
      </c>
      <c r="AD92">
        <v>2.4E-2</v>
      </c>
      <c r="AE92">
        <v>-0.28699999999999998</v>
      </c>
      <c r="AF92">
        <v>4.3999999999999997E-2</v>
      </c>
      <c r="AG92">
        <v>-2.4E-2</v>
      </c>
      <c r="AH92">
        <v>-0.18099999999999999</v>
      </c>
      <c r="AI92">
        <v>-0.19900000000000001</v>
      </c>
    </row>
    <row r="93" spans="1:35" x14ac:dyDescent="0.25">
      <c r="A93" t="s">
        <v>2388</v>
      </c>
      <c r="B93" t="s">
        <v>32</v>
      </c>
      <c r="C93" s="25">
        <v>43706.744988425926</v>
      </c>
      <c r="D93" s="741" t="s">
        <v>2238</v>
      </c>
      <c r="E93" s="741">
        <f t="array" ref="E93">SUMPRODUCT(IF(AMP5_4[[#This Row],[Dim 1_1]:[T 8]]-$F$4:$AI$4&lt;0,1,0)+IF($F$5:$AI$5-AMP5_4[[#This Row],[Dim 1_1]:[T 8]]&lt;0,1,0),IF(ISNUMBER(AMP5_4[[#This Row],[Dim 1_1]:[T 8]])=TRUE,1,0))</f>
        <v>0</v>
      </c>
      <c r="F93">
        <v>41.5</v>
      </c>
      <c r="G93">
        <v>41.488</v>
      </c>
      <c r="H93">
        <v>155.71100000000001</v>
      </c>
      <c r="I93">
        <v>155.75399999999999</v>
      </c>
      <c r="L93">
        <v>155.798</v>
      </c>
      <c r="M93">
        <v>155.60400000000001</v>
      </c>
      <c r="N93">
        <v>27.47</v>
      </c>
      <c r="O93">
        <v>27.486999999999998</v>
      </c>
      <c r="R93">
        <v>17.288</v>
      </c>
      <c r="S93">
        <v>17.216999999999999</v>
      </c>
      <c r="T93">
        <v>33.591999999999999</v>
      </c>
      <c r="U93">
        <v>34.226999999999997</v>
      </c>
      <c r="W93">
        <v>0.17199999999999999</v>
      </c>
      <c r="X93">
        <v>-7.4999999999999997E-2</v>
      </c>
      <c r="Z93">
        <v>0.151</v>
      </c>
      <c r="AA93">
        <v>3.5000000000000003E-2</v>
      </c>
      <c r="AB93">
        <v>-2.9000000000000001E-2</v>
      </c>
      <c r="AC93">
        <v>-1E-3</v>
      </c>
      <c r="AD93">
        <v>0.17199999999999999</v>
      </c>
      <c r="AE93">
        <v>-7.4999999999999997E-2</v>
      </c>
      <c r="AF93">
        <v>9.4E-2</v>
      </c>
      <c r="AG93">
        <v>3.5000000000000003E-2</v>
      </c>
      <c r="AH93">
        <v>7.8E-2</v>
      </c>
      <c r="AI93">
        <v>0.151</v>
      </c>
    </row>
    <row r="94" spans="1:35" x14ac:dyDescent="0.25">
      <c r="A94" t="s">
        <v>2389</v>
      </c>
      <c r="B94" t="s">
        <v>31</v>
      </c>
      <c r="C94" s="25">
        <v>43706.747013888889</v>
      </c>
      <c r="D94" s="741" t="s">
        <v>2238</v>
      </c>
      <c r="E94" s="741">
        <f t="array" ref="E94">SUMPRODUCT(IF(AMP5_4[[#This Row],[Dim 1_1]:[T 8]]-$F$4:$AI$4&lt;0,1,0)+IF($F$5:$AI$5-AMP5_4[[#This Row],[Dim 1_1]:[T 8]]&lt;0,1,0),IF(ISNUMBER(AMP5_4[[#This Row],[Dim 1_1]:[T 8]])=TRUE,1,0))</f>
        <v>0</v>
      </c>
      <c r="H94">
        <v>155.66499999999999</v>
      </c>
      <c r="I94">
        <v>155.65799999999999</v>
      </c>
      <c r="J94">
        <v>168.589</v>
      </c>
      <c r="K94">
        <v>168.46100000000001</v>
      </c>
      <c r="L94">
        <v>155.72</v>
      </c>
      <c r="M94">
        <v>155.495</v>
      </c>
      <c r="N94">
        <v>27.536999999999999</v>
      </c>
      <c r="O94">
        <v>27.795000000000002</v>
      </c>
      <c r="R94">
        <v>17.251000000000001</v>
      </c>
      <c r="S94">
        <v>17.404</v>
      </c>
      <c r="T94">
        <v>37.271999999999998</v>
      </c>
      <c r="U94">
        <v>36.606000000000002</v>
      </c>
      <c r="W94">
        <v>0.22500000000000001</v>
      </c>
      <c r="X94">
        <v>-0.13900000000000001</v>
      </c>
      <c r="Z94">
        <v>0.28299999999999997</v>
      </c>
      <c r="AA94">
        <v>1.4E-2</v>
      </c>
      <c r="AB94">
        <v>0.22500000000000001</v>
      </c>
      <c r="AC94">
        <v>0.20200000000000001</v>
      </c>
      <c r="AD94">
        <v>0.13600000000000001</v>
      </c>
      <c r="AE94">
        <v>-0.13900000000000001</v>
      </c>
      <c r="AF94">
        <v>0.28299999999999997</v>
      </c>
      <c r="AG94">
        <v>0.23499999999999999</v>
      </c>
      <c r="AH94">
        <v>1.4E-2</v>
      </c>
      <c r="AI94">
        <v>0.06</v>
      </c>
    </row>
    <row r="95" spans="1:35" x14ac:dyDescent="0.25">
      <c r="A95" t="s">
        <v>2390</v>
      </c>
      <c r="B95" t="s">
        <v>32</v>
      </c>
      <c r="C95" s="25">
        <v>43706.828506944446</v>
      </c>
      <c r="D95" s="741" t="s">
        <v>2238</v>
      </c>
      <c r="E95" s="741">
        <f t="array" ref="E95">SUMPRODUCT(IF(AMP5_4[[#This Row],[Dim 1_1]:[T 8]]-$F$4:$AI$4&lt;0,1,0)+IF($F$5:$AI$5-AMP5_4[[#This Row],[Dim 1_1]:[T 8]]&lt;0,1,0),IF(ISNUMBER(AMP5_4[[#This Row],[Dim 1_1]:[T 8]])=TRUE,1,0))</f>
        <v>0</v>
      </c>
      <c r="F95">
        <v>41.555999999999997</v>
      </c>
      <c r="G95">
        <v>41.616999999999997</v>
      </c>
      <c r="H95">
        <v>155.74700000000001</v>
      </c>
      <c r="I95">
        <v>155.77500000000001</v>
      </c>
      <c r="L95">
        <v>155.81899999999999</v>
      </c>
      <c r="M95">
        <v>155.619</v>
      </c>
      <c r="N95">
        <v>27.436</v>
      </c>
      <c r="O95">
        <v>27.466999999999999</v>
      </c>
      <c r="R95">
        <v>17.271999999999998</v>
      </c>
      <c r="S95">
        <v>17.260999999999999</v>
      </c>
      <c r="T95">
        <v>33.575000000000003</v>
      </c>
      <c r="U95">
        <v>33.921999999999997</v>
      </c>
      <c r="W95">
        <v>7.5999999999999998E-2</v>
      </c>
      <c r="X95">
        <v>-8.3000000000000004E-2</v>
      </c>
      <c r="Z95">
        <v>7.3999999999999996E-2</v>
      </c>
      <c r="AA95">
        <v>-6.6000000000000003E-2</v>
      </c>
      <c r="AB95">
        <v>-8.9999999999999993E-3</v>
      </c>
      <c r="AC95">
        <v>1E-3</v>
      </c>
      <c r="AD95">
        <v>7.5999999999999998E-2</v>
      </c>
      <c r="AE95">
        <v>-8.3000000000000004E-2</v>
      </c>
      <c r="AF95">
        <v>7.3999999999999996E-2</v>
      </c>
      <c r="AG95">
        <v>2.5000000000000001E-2</v>
      </c>
      <c r="AH95">
        <v>-6.6000000000000003E-2</v>
      </c>
      <c r="AI95">
        <v>2.1999999999999999E-2</v>
      </c>
    </row>
    <row r="96" spans="1:35" x14ac:dyDescent="0.25">
      <c r="A96" t="s">
        <v>2391</v>
      </c>
      <c r="B96" t="s">
        <v>31</v>
      </c>
      <c r="C96" s="25">
        <v>43706.830555555556</v>
      </c>
      <c r="D96" s="741" t="s">
        <v>2238</v>
      </c>
      <c r="E96" s="741">
        <f t="array" ref="E96">SUMPRODUCT(IF(AMP5_4[[#This Row],[Dim 1_1]:[T 8]]-$F$4:$AI$4&lt;0,1,0)+IF($F$5:$AI$5-AMP5_4[[#This Row],[Dim 1_1]:[T 8]]&lt;0,1,0),IF(ISNUMBER(AMP5_4[[#This Row],[Dim 1_1]:[T 8]])=TRUE,1,0))</f>
        <v>0</v>
      </c>
      <c r="H96">
        <v>155.67699999999999</v>
      </c>
      <c r="I96">
        <v>155.69399999999999</v>
      </c>
      <c r="J96">
        <v>168.73</v>
      </c>
      <c r="K96">
        <v>168.73599999999999</v>
      </c>
      <c r="L96">
        <v>155.76599999999999</v>
      </c>
      <c r="M96">
        <v>155.536</v>
      </c>
      <c r="N96">
        <v>27.501000000000001</v>
      </c>
      <c r="O96">
        <v>27.771000000000001</v>
      </c>
      <c r="R96">
        <v>17.225000000000001</v>
      </c>
      <c r="S96">
        <v>17.414000000000001</v>
      </c>
      <c r="T96">
        <v>38.008000000000003</v>
      </c>
      <c r="U96">
        <v>38.438000000000002</v>
      </c>
      <c r="W96">
        <v>0.16</v>
      </c>
      <c r="X96">
        <v>-0.29099999999999998</v>
      </c>
      <c r="Z96">
        <v>0.252</v>
      </c>
      <c r="AA96">
        <v>-7.6999999999999999E-2</v>
      </c>
      <c r="AB96">
        <v>0.16</v>
      </c>
      <c r="AC96">
        <v>0.14499999999999999</v>
      </c>
      <c r="AD96">
        <v>1.4999999999999999E-2</v>
      </c>
      <c r="AE96">
        <v>-0.29099999999999998</v>
      </c>
      <c r="AF96">
        <v>0.252</v>
      </c>
      <c r="AG96">
        <v>0.19</v>
      </c>
      <c r="AH96">
        <v>-7.6999999999999999E-2</v>
      </c>
      <c r="AI96">
        <v>-6.4000000000000001E-2</v>
      </c>
    </row>
    <row r="97" spans="1:35" x14ac:dyDescent="0.25">
      <c r="A97" t="s">
        <v>2392</v>
      </c>
      <c r="B97" t="s">
        <v>32</v>
      </c>
      <c r="C97" s="25">
        <v>43706.938206018516</v>
      </c>
      <c r="D97" s="741" t="s">
        <v>2238</v>
      </c>
      <c r="E97" s="741">
        <f t="array" ref="E97">SUMPRODUCT(IF(AMP5_4[[#This Row],[Dim 1_1]:[T 8]]-$F$4:$AI$4&lt;0,1,0)+IF($F$5:$AI$5-AMP5_4[[#This Row],[Dim 1_1]:[T 8]]&lt;0,1,0),IF(ISNUMBER(AMP5_4[[#This Row],[Dim 1_1]:[T 8]])=TRUE,1,0))</f>
        <v>0</v>
      </c>
      <c r="F97">
        <v>41.627000000000002</v>
      </c>
      <c r="G97">
        <v>41.536999999999999</v>
      </c>
      <c r="H97">
        <v>155.71</v>
      </c>
      <c r="I97">
        <v>155.815</v>
      </c>
      <c r="L97">
        <v>155.78299999999999</v>
      </c>
      <c r="M97">
        <v>155.68199999999999</v>
      </c>
      <c r="N97">
        <v>27.433</v>
      </c>
      <c r="O97">
        <v>27.363</v>
      </c>
      <c r="R97">
        <v>17.288</v>
      </c>
      <c r="S97">
        <v>17.207000000000001</v>
      </c>
      <c r="T97">
        <v>33.517000000000003</v>
      </c>
      <c r="U97">
        <v>33.997999999999998</v>
      </c>
      <c r="W97">
        <v>0.10199999999999999</v>
      </c>
      <c r="X97">
        <v>-6.5000000000000002E-2</v>
      </c>
      <c r="Z97">
        <v>8.8999999999999996E-2</v>
      </c>
      <c r="AA97">
        <v>-1.2E-2</v>
      </c>
      <c r="AB97">
        <v>-2.4E-2</v>
      </c>
      <c r="AC97">
        <v>-2.1999999999999999E-2</v>
      </c>
      <c r="AD97">
        <v>0.10199999999999999</v>
      </c>
      <c r="AE97">
        <v>-6.5000000000000002E-2</v>
      </c>
      <c r="AF97">
        <v>6.8000000000000005E-2</v>
      </c>
      <c r="AG97">
        <v>3.1E-2</v>
      </c>
      <c r="AH97">
        <v>-1.2E-2</v>
      </c>
      <c r="AI97">
        <v>8.8999999999999996E-2</v>
      </c>
    </row>
    <row r="98" spans="1:35" x14ac:dyDescent="0.25">
      <c r="A98" t="s">
        <v>2393</v>
      </c>
      <c r="B98" t="s">
        <v>31</v>
      </c>
      <c r="C98" s="25">
        <v>43706.940787037034</v>
      </c>
      <c r="D98" s="741" t="s">
        <v>2238</v>
      </c>
      <c r="E98" s="741">
        <f t="array" ref="E98">SUMPRODUCT(IF(AMP5_4[[#This Row],[Dim 1_1]:[T 8]]-$F$4:$AI$4&lt;0,1,0)+IF($F$5:$AI$5-AMP5_4[[#This Row],[Dim 1_1]:[T 8]]&lt;0,1,0),IF(ISNUMBER(AMP5_4[[#This Row],[Dim 1_1]:[T 8]])=TRUE,1,0))</f>
        <v>0</v>
      </c>
      <c r="H98">
        <v>155.673</v>
      </c>
      <c r="I98">
        <v>155.67599999999999</v>
      </c>
      <c r="J98">
        <v>168.72499999999999</v>
      </c>
      <c r="K98">
        <v>168.76</v>
      </c>
      <c r="L98">
        <v>155.727</v>
      </c>
      <c r="M98">
        <v>155.46600000000001</v>
      </c>
      <c r="N98">
        <v>27.574000000000002</v>
      </c>
      <c r="O98">
        <v>27.837</v>
      </c>
      <c r="R98">
        <v>17.253</v>
      </c>
      <c r="S98">
        <v>17.352</v>
      </c>
      <c r="T98">
        <v>39.274000000000001</v>
      </c>
      <c r="U98">
        <v>41.344000000000001</v>
      </c>
      <c r="W98">
        <v>0.10199999999999999</v>
      </c>
      <c r="X98">
        <v>-0.28699999999999998</v>
      </c>
      <c r="Z98">
        <v>7.0999999999999994E-2</v>
      </c>
      <c r="AA98">
        <v>-0.17499999999999999</v>
      </c>
      <c r="AB98">
        <v>0.10199999999999999</v>
      </c>
      <c r="AC98">
        <v>0.08</v>
      </c>
      <c r="AD98">
        <v>2.1000000000000001E-2</v>
      </c>
      <c r="AE98">
        <v>-0.28699999999999998</v>
      </c>
      <c r="AF98">
        <v>7.0999999999999994E-2</v>
      </c>
      <c r="AG98">
        <v>0</v>
      </c>
      <c r="AH98">
        <v>-0.14499999999999999</v>
      </c>
      <c r="AI98">
        <v>-0.17499999999999999</v>
      </c>
    </row>
    <row r="99" spans="1:35" x14ac:dyDescent="0.25">
      <c r="A99" t="s">
        <v>2394</v>
      </c>
      <c r="B99" t="s">
        <v>32</v>
      </c>
      <c r="C99" s="25">
        <v>43706.994895833333</v>
      </c>
      <c r="D99" s="741" t="s">
        <v>2238</v>
      </c>
      <c r="E99" s="741">
        <f t="array" ref="E99">SUMPRODUCT(IF(AMP5_4[[#This Row],[Dim 1_1]:[T 8]]-$F$4:$AI$4&lt;0,1,0)+IF($F$5:$AI$5-AMP5_4[[#This Row],[Dim 1_1]:[T 8]]&lt;0,1,0),IF(ISNUMBER(AMP5_4[[#This Row],[Dim 1_1]:[T 8]])=TRUE,1,0))</f>
        <v>0</v>
      </c>
      <c r="F99">
        <v>41.567</v>
      </c>
      <c r="G99">
        <v>41.552999999999997</v>
      </c>
      <c r="H99">
        <v>155.786</v>
      </c>
      <c r="I99">
        <v>155.89699999999999</v>
      </c>
      <c r="L99">
        <v>155.864</v>
      </c>
      <c r="M99">
        <v>155.78899999999999</v>
      </c>
      <c r="N99">
        <v>27.405000000000001</v>
      </c>
      <c r="O99">
        <v>27.317</v>
      </c>
      <c r="R99">
        <v>17.274000000000001</v>
      </c>
      <c r="S99">
        <v>17.201000000000001</v>
      </c>
      <c r="T99">
        <v>33.216000000000001</v>
      </c>
      <c r="U99">
        <v>34.396000000000001</v>
      </c>
      <c r="W99">
        <v>2.7E-2</v>
      </c>
      <c r="X99">
        <v>-0.13100000000000001</v>
      </c>
      <c r="Z99">
        <v>2.1000000000000001E-2</v>
      </c>
      <c r="AA99">
        <v>-8.1000000000000003E-2</v>
      </c>
      <c r="AB99">
        <v>-9.7000000000000003E-2</v>
      </c>
      <c r="AC99">
        <v>-8.1000000000000003E-2</v>
      </c>
      <c r="AD99">
        <v>2.7E-2</v>
      </c>
      <c r="AE99">
        <v>-0.13100000000000001</v>
      </c>
      <c r="AF99">
        <v>2.1000000000000001E-2</v>
      </c>
      <c r="AG99">
        <v>-4.2000000000000003E-2</v>
      </c>
      <c r="AH99">
        <v>-8.1000000000000003E-2</v>
      </c>
      <c r="AI99">
        <v>1.0999999999999999E-2</v>
      </c>
    </row>
    <row r="100" spans="1:35" x14ac:dyDescent="0.25">
      <c r="A100" t="s">
        <v>2395</v>
      </c>
      <c r="B100" t="s">
        <v>31</v>
      </c>
      <c r="C100" s="25">
        <v>43706.996944444443</v>
      </c>
      <c r="D100" s="741" t="s">
        <v>2238</v>
      </c>
      <c r="E100" s="741">
        <f t="array" ref="E100">SUMPRODUCT(IF(AMP5_4[[#This Row],[Dim 1_1]:[T 8]]-$F$4:$AI$4&lt;0,1,0)+IF($F$5:$AI$5-AMP5_4[[#This Row],[Dim 1_1]:[T 8]]&lt;0,1,0),IF(ISNUMBER(AMP5_4[[#This Row],[Dim 1_1]:[T 8]])=TRUE,1,0))</f>
        <v>0</v>
      </c>
      <c r="H100">
        <v>155.72900000000001</v>
      </c>
      <c r="I100">
        <v>155.66900000000001</v>
      </c>
      <c r="J100">
        <v>168.75</v>
      </c>
      <c r="K100">
        <v>168.83799999999999</v>
      </c>
      <c r="L100">
        <v>155.762</v>
      </c>
      <c r="M100">
        <v>155.459</v>
      </c>
      <c r="N100">
        <v>27.513000000000002</v>
      </c>
      <c r="O100">
        <v>27.856999999999999</v>
      </c>
      <c r="R100">
        <v>17.245999999999999</v>
      </c>
      <c r="S100">
        <v>17.329000000000001</v>
      </c>
      <c r="T100">
        <v>37.890999999999998</v>
      </c>
      <c r="U100">
        <v>38.003</v>
      </c>
      <c r="W100">
        <v>0.13300000000000001</v>
      </c>
      <c r="X100">
        <v>-0.151</v>
      </c>
      <c r="Z100">
        <v>6.5000000000000002E-2</v>
      </c>
      <c r="AA100">
        <v>-3.7999999999999999E-2</v>
      </c>
      <c r="AB100">
        <v>6.7000000000000004E-2</v>
      </c>
      <c r="AC100">
        <v>5.2999999999999999E-2</v>
      </c>
      <c r="AD100">
        <v>0.13300000000000001</v>
      </c>
      <c r="AE100">
        <v>-0.151</v>
      </c>
      <c r="AF100">
        <v>6.5000000000000002E-2</v>
      </c>
      <c r="AG100">
        <v>-1E-3</v>
      </c>
      <c r="AH100">
        <v>-3.0000000000000001E-3</v>
      </c>
      <c r="AI100">
        <v>-3.7999999999999999E-2</v>
      </c>
    </row>
    <row r="101" spans="1:35" x14ac:dyDescent="0.25">
      <c r="A101" t="s">
        <v>2396</v>
      </c>
      <c r="B101" t="s">
        <v>32</v>
      </c>
      <c r="C101" s="25">
        <v>43707.352662037039</v>
      </c>
      <c r="D101" s="741" t="s">
        <v>2238</v>
      </c>
      <c r="E101" s="741">
        <f t="array" ref="E101">SUMPRODUCT(IF(AMP5_4[[#This Row],[Dim 1_1]:[T 8]]-$F$4:$AI$4&lt;0,1,0)+IF($F$5:$AI$5-AMP5_4[[#This Row],[Dim 1_1]:[T 8]]&lt;0,1,0),IF(ISNUMBER(AMP5_4[[#This Row],[Dim 1_1]:[T 8]])=TRUE,1,0))</f>
        <v>0</v>
      </c>
      <c r="F101">
        <v>41.393000000000001</v>
      </c>
      <c r="G101">
        <v>41.502000000000002</v>
      </c>
      <c r="H101">
        <v>155.881</v>
      </c>
      <c r="I101">
        <v>155.91</v>
      </c>
      <c r="L101">
        <v>155.94999999999999</v>
      </c>
      <c r="M101">
        <v>155.75899999999999</v>
      </c>
      <c r="N101">
        <v>27.331</v>
      </c>
      <c r="O101">
        <v>27.34</v>
      </c>
      <c r="R101">
        <v>17.285</v>
      </c>
      <c r="S101">
        <v>17.155000000000001</v>
      </c>
      <c r="T101">
        <v>33.716000000000001</v>
      </c>
      <c r="U101">
        <v>34.079000000000001</v>
      </c>
      <c r="W101">
        <v>0.2</v>
      </c>
      <c r="X101">
        <v>-5.1999999999999998E-2</v>
      </c>
      <c r="Z101">
        <v>4.2999999999999997E-2</v>
      </c>
      <c r="AA101">
        <v>-0.13400000000000001</v>
      </c>
      <c r="AB101">
        <v>-5.1999999999999998E-2</v>
      </c>
      <c r="AC101">
        <v>-2.4E-2</v>
      </c>
      <c r="AD101">
        <v>0.2</v>
      </c>
      <c r="AE101">
        <v>3.2000000000000001E-2</v>
      </c>
      <c r="AF101">
        <v>-7.6999999999999999E-2</v>
      </c>
      <c r="AG101">
        <v>-0.13400000000000001</v>
      </c>
      <c r="AH101">
        <v>5.0000000000000001E-3</v>
      </c>
      <c r="AI101">
        <v>4.2999999999999997E-2</v>
      </c>
    </row>
    <row r="102" spans="1:35" x14ac:dyDescent="0.25">
      <c r="A102" t="s">
        <v>2397</v>
      </c>
      <c r="B102" t="s">
        <v>31</v>
      </c>
      <c r="C102" s="25">
        <v>43707.362870370373</v>
      </c>
      <c r="D102" s="741" t="s">
        <v>2238</v>
      </c>
      <c r="E102" s="741">
        <f t="array" ref="E102">SUMPRODUCT(IF(AMP5_4[[#This Row],[Dim 1_1]:[T 8]]-$F$4:$AI$4&lt;0,1,0)+IF($F$5:$AI$5-AMP5_4[[#This Row],[Dim 1_1]:[T 8]]&lt;0,1,0),IF(ISNUMBER(AMP5_4[[#This Row],[Dim 1_1]:[T 8]])=TRUE,1,0))</f>
        <v>0</v>
      </c>
      <c r="H102">
        <v>155.91800000000001</v>
      </c>
      <c r="I102">
        <v>155.881</v>
      </c>
      <c r="J102">
        <v>168.68</v>
      </c>
      <c r="K102">
        <v>168.78800000000001</v>
      </c>
      <c r="L102">
        <v>155.92400000000001</v>
      </c>
      <c r="M102">
        <v>155.69999999999999</v>
      </c>
      <c r="N102">
        <v>27.318999999999999</v>
      </c>
      <c r="O102">
        <v>27.606999999999999</v>
      </c>
      <c r="R102">
        <v>17.256</v>
      </c>
      <c r="S102">
        <v>17.263999999999999</v>
      </c>
      <c r="T102">
        <v>34.25</v>
      </c>
      <c r="U102">
        <v>37.762999999999998</v>
      </c>
      <c r="W102">
        <v>7.6999999999999999E-2</v>
      </c>
      <c r="X102">
        <v>-0.17399999999999999</v>
      </c>
      <c r="Z102">
        <v>0.104</v>
      </c>
      <c r="AA102">
        <v>-7.0000000000000001E-3</v>
      </c>
      <c r="AB102">
        <v>-1.0999999999999999E-2</v>
      </c>
      <c r="AC102">
        <v>-1.7000000000000001E-2</v>
      </c>
      <c r="AD102">
        <v>7.6999999999999999E-2</v>
      </c>
      <c r="AE102">
        <v>-0.17399999999999999</v>
      </c>
      <c r="AF102">
        <v>0.104</v>
      </c>
      <c r="AG102">
        <v>3.4000000000000002E-2</v>
      </c>
      <c r="AH102">
        <v>2.8000000000000001E-2</v>
      </c>
      <c r="AI102">
        <v>-7.0000000000000001E-3</v>
      </c>
    </row>
    <row r="103" spans="1:35" x14ac:dyDescent="0.25">
      <c r="A103" t="s">
        <v>2398</v>
      </c>
      <c r="B103" t="s">
        <v>32</v>
      </c>
      <c r="C103" s="25">
        <v>43707.366631944446</v>
      </c>
      <c r="D103" s="741" t="s">
        <v>2238</v>
      </c>
      <c r="E103" s="741">
        <f t="array" ref="E103">SUMPRODUCT(IF(AMP5_4[[#This Row],[Dim 1_1]:[T 8]]-$F$4:$AI$4&lt;0,1,0)+IF($F$5:$AI$5-AMP5_4[[#This Row],[Dim 1_1]:[T 8]]&lt;0,1,0),IF(ISNUMBER(AMP5_4[[#This Row],[Dim 1_1]:[T 8]])=TRUE,1,0))</f>
        <v>0</v>
      </c>
      <c r="F103">
        <v>41.56</v>
      </c>
      <c r="G103">
        <v>41.588000000000001</v>
      </c>
      <c r="H103">
        <v>155.82599999999999</v>
      </c>
      <c r="I103">
        <v>155.886</v>
      </c>
      <c r="L103">
        <v>155.892</v>
      </c>
      <c r="M103">
        <v>155.75899999999999</v>
      </c>
      <c r="N103">
        <v>27.36</v>
      </c>
      <c r="O103">
        <v>27.352</v>
      </c>
      <c r="R103">
        <v>17.277000000000001</v>
      </c>
      <c r="S103">
        <v>17.271000000000001</v>
      </c>
      <c r="T103">
        <v>33.859000000000002</v>
      </c>
      <c r="U103">
        <v>33.75</v>
      </c>
      <c r="W103">
        <v>1.9E-2</v>
      </c>
      <c r="X103">
        <v>-0.157</v>
      </c>
      <c r="Z103">
        <v>8.9999999999999993E-3</v>
      </c>
      <c r="AA103">
        <v>-0.14699999999999999</v>
      </c>
      <c r="AB103">
        <v>-7.2999999999999995E-2</v>
      </c>
      <c r="AC103">
        <v>-4.7E-2</v>
      </c>
      <c r="AD103">
        <v>1.9E-2</v>
      </c>
      <c r="AE103">
        <v>-0.157</v>
      </c>
      <c r="AF103">
        <v>8.9999999999999993E-3</v>
      </c>
      <c r="AG103">
        <v>-6.4000000000000001E-2</v>
      </c>
      <c r="AH103">
        <v>-0.14699999999999999</v>
      </c>
      <c r="AI103">
        <v>-7.3999999999999996E-2</v>
      </c>
    </row>
    <row r="104" spans="1:35" x14ac:dyDescent="0.25">
      <c r="A104" t="s">
        <v>2399</v>
      </c>
      <c r="B104" t="s">
        <v>31</v>
      </c>
      <c r="C104" s="25">
        <v>43707.370173611111</v>
      </c>
      <c r="D104" s="741" t="s">
        <v>2238</v>
      </c>
      <c r="E104" s="741">
        <f t="array" ref="E104">SUMPRODUCT(IF(AMP5_4[[#This Row],[Dim 1_1]:[T 8]]-$F$4:$AI$4&lt;0,1,0)+IF($F$5:$AI$5-AMP5_4[[#This Row],[Dim 1_1]:[T 8]]&lt;0,1,0),IF(ISNUMBER(AMP5_4[[#This Row],[Dim 1_1]:[T 8]])=TRUE,1,0))</f>
        <v>0</v>
      </c>
      <c r="H104">
        <v>155.792</v>
      </c>
      <c r="I104">
        <v>155.77799999999999</v>
      </c>
      <c r="J104">
        <v>168.83699999999999</v>
      </c>
      <c r="K104">
        <v>168.96</v>
      </c>
      <c r="L104">
        <v>155.84399999999999</v>
      </c>
      <c r="M104">
        <v>155.60300000000001</v>
      </c>
      <c r="N104">
        <v>27.451000000000001</v>
      </c>
      <c r="O104">
        <v>27.742000000000001</v>
      </c>
      <c r="R104">
        <v>17.259</v>
      </c>
      <c r="S104">
        <v>17.385999999999999</v>
      </c>
      <c r="T104">
        <v>37.804000000000002</v>
      </c>
      <c r="U104">
        <v>38.417999999999999</v>
      </c>
      <c r="W104">
        <v>3.0000000000000001E-3</v>
      </c>
      <c r="X104">
        <v>-0.27800000000000002</v>
      </c>
      <c r="Z104">
        <v>-1.4999999999999999E-2</v>
      </c>
      <c r="AA104">
        <v>-0.222</v>
      </c>
      <c r="AB104">
        <v>3.0000000000000001E-3</v>
      </c>
      <c r="AC104">
        <v>-7.0000000000000001E-3</v>
      </c>
      <c r="AD104">
        <v>-1.4999999999999999E-2</v>
      </c>
      <c r="AE104">
        <v>-0.27800000000000002</v>
      </c>
      <c r="AF104">
        <v>-1.4999999999999999E-2</v>
      </c>
      <c r="AG104">
        <v>-9.5000000000000001E-2</v>
      </c>
      <c r="AH104">
        <v>-0.19400000000000001</v>
      </c>
      <c r="AI104">
        <v>-0.222</v>
      </c>
    </row>
    <row r="105" spans="1:35" x14ac:dyDescent="0.25">
      <c r="A105" t="s">
        <v>2544</v>
      </c>
      <c r="B105" t="s">
        <v>32</v>
      </c>
      <c r="C105" s="25">
        <v>43707.491249999999</v>
      </c>
      <c r="D105" s="741" t="s">
        <v>2238</v>
      </c>
      <c r="E105" s="741">
        <f t="array" ref="E105">SUMPRODUCT(IF(AMP5_4[[#This Row],[Dim 1_1]:[T 8]]-$F$4:$AI$4&lt;0,1,0)+IF($F$5:$AI$5-AMP5_4[[#This Row],[Dim 1_1]:[T 8]]&lt;0,1,0),IF(ISNUMBER(AMP5_4[[#This Row],[Dim 1_1]:[T 8]])=TRUE,1,0))</f>
        <v>0</v>
      </c>
      <c r="F105">
        <v>41.472999999999999</v>
      </c>
      <c r="G105">
        <v>41.557000000000002</v>
      </c>
      <c r="H105">
        <v>155.81399999999999</v>
      </c>
      <c r="I105">
        <v>155.857</v>
      </c>
      <c r="L105">
        <v>155.887</v>
      </c>
      <c r="M105">
        <v>155.74799999999999</v>
      </c>
      <c r="N105">
        <v>27.405999999999999</v>
      </c>
      <c r="O105">
        <v>27.366</v>
      </c>
      <c r="R105">
        <v>17.279</v>
      </c>
      <c r="S105">
        <v>17.134</v>
      </c>
      <c r="T105">
        <v>33.673999999999999</v>
      </c>
      <c r="U105">
        <v>33.972999999999999</v>
      </c>
      <c r="W105">
        <v>0.23799999999999999</v>
      </c>
      <c r="X105">
        <v>2E-3</v>
      </c>
      <c r="Z105">
        <v>0.107</v>
      </c>
      <c r="AA105">
        <v>-4.8000000000000001E-2</v>
      </c>
      <c r="AB105">
        <v>2E-3</v>
      </c>
      <c r="AC105">
        <v>3.0000000000000001E-3</v>
      </c>
      <c r="AD105">
        <v>0.23799999999999999</v>
      </c>
      <c r="AE105">
        <v>4.7E-2</v>
      </c>
      <c r="AF105">
        <v>3.0000000000000001E-3</v>
      </c>
      <c r="AG105">
        <v>-4.8000000000000001E-2</v>
      </c>
      <c r="AH105">
        <v>8.2000000000000003E-2</v>
      </c>
      <c r="AI105">
        <v>0.107</v>
      </c>
    </row>
    <row r="106" spans="1:35" x14ac:dyDescent="0.25">
      <c r="A106" t="s">
        <v>2545</v>
      </c>
      <c r="B106" t="s">
        <v>31</v>
      </c>
      <c r="C106" s="25">
        <v>43707.49359953704</v>
      </c>
      <c r="D106" s="741" t="s">
        <v>2238</v>
      </c>
      <c r="E106" s="741">
        <f t="array" ref="E106">SUMPRODUCT(IF(AMP5_4[[#This Row],[Dim 1_1]:[T 8]]-$F$4:$AI$4&lt;0,1,0)+IF($F$5:$AI$5-AMP5_4[[#This Row],[Dim 1_1]:[T 8]]&lt;0,1,0),IF(ISNUMBER(AMP5_4[[#This Row],[Dim 1_1]:[T 8]])=TRUE,1,0))</f>
        <v>0</v>
      </c>
      <c r="H106">
        <v>155.821</v>
      </c>
      <c r="I106">
        <v>155.78200000000001</v>
      </c>
      <c r="J106">
        <v>168.721</v>
      </c>
      <c r="K106">
        <v>168.82300000000001</v>
      </c>
      <c r="L106">
        <v>155.88800000000001</v>
      </c>
      <c r="M106">
        <v>155.614</v>
      </c>
      <c r="N106">
        <v>27.37</v>
      </c>
      <c r="O106">
        <v>27.724</v>
      </c>
      <c r="R106">
        <v>17.251999999999999</v>
      </c>
      <c r="S106">
        <v>17.311</v>
      </c>
      <c r="T106">
        <v>35.451999999999998</v>
      </c>
      <c r="U106">
        <v>36.664000000000001</v>
      </c>
      <c r="W106">
        <v>0.05</v>
      </c>
      <c r="X106">
        <v>-0.22900000000000001</v>
      </c>
      <c r="Z106">
        <v>0.13900000000000001</v>
      </c>
      <c r="AA106">
        <v>-7.8E-2</v>
      </c>
      <c r="AB106">
        <v>3.3000000000000002E-2</v>
      </c>
      <c r="AC106">
        <v>2.5999999999999999E-2</v>
      </c>
      <c r="AD106">
        <v>0.05</v>
      </c>
      <c r="AE106">
        <v>-0.22900000000000001</v>
      </c>
      <c r="AF106">
        <v>0.13900000000000001</v>
      </c>
      <c r="AG106">
        <v>5.1999999999999998E-2</v>
      </c>
      <c r="AH106">
        <v>-4.5999999999999999E-2</v>
      </c>
      <c r="AI106">
        <v>-7.8E-2</v>
      </c>
    </row>
    <row r="107" spans="1:35" x14ac:dyDescent="0.25">
      <c r="A107" t="s">
        <v>2546</v>
      </c>
      <c r="B107" t="s">
        <v>32</v>
      </c>
      <c r="C107" s="25">
        <v>43707.598356481481</v>
      </c>
      <c r="D107" s="741" t="s">
        <v>2238</v>
      </c>
      <c r="E107" s="741">
        <f t="array" ref="E107">SUMPRODUCT(IF(AMP5_4[[#This Row],[Dim 1_1]:[T 8]]-$F$4:$AI$4&lt;0,1,0)+IF($F$5:$AI$5-AMP5_4[[#This Row],[Dim 1_1]:[T 8]]&lt;0,1,0),IF(ISNUMBER(AMP5_4[[#This Row],[Dim 1_1]:[T 8]])=TRUE,1,0))</f>
        <v>0</v>
      </c>
      <c r="F107">
        <v>41.384999999999998</v>
      </c>
      <c r="G107">
        <v>41.427</v>
      </c>
      <c r="H107">
        <v>155.827</v>
      </c>
      <c r="I107">
        <v>155.88999999999999</v>
      </c>
      <c r="L107">
        <v>155.893</v>
      </c>
      <c r="M107">
        <v>155.767</v>
      </c>
      <c r="N107">
        <v>27.298999999999999</v>
      </c>
      <c r="O107">
        <v>27.298999999999999</v>
      </c>
      <c r="R107">
        <v>17.271000000000001</v>
      </c>
      <c r="S107">
        <v>17.152000000000001</v>
      </c>
      <c r="T107">
        <v>33.546999999999997</v>
      </c>
      <c r="U107">
        <v>33.945</v>
      </c>
      <c r="W107">
        <v>0.112</v>
      </c>
      <c r="X107">
        <v>-0.10299999999999999</v>
      </c>
      <c r="Z107">
        <v>9.6000000000000002E-2</v>
      </c>
      <c r="AA107">
        <v>-1.7999999999999999E-2</v>
      </c>
      <c r="AB107">
        <v>-0.10299999999999999</v>
      </c>
      <c r="AC107">
        <v>-9.2999999999999999E-2</v>
      </c>
      <c r="AD107">
        <v>0.112</v>
      </c>
      <c r="AE107">
        <v>-6.5000000000000002E-2</v>
      </c>
      <c r="AF107">
        <v>0.03</v>
      </c>
      <c r="AG107">
        <v>-1.7999999999999999E-2</v>
      </c>
      <c r="AH107">
        <v>5.0000000000000001E-3</v>
      </c>
      <c r="AI107">
        <v>9.6000000000000002E-2</v>
      </c>
    </row>
    <row r="108" spans="1:35" x14ac:dyDescent="0.25">
      <c r="A108" t="s">
        <v>2547</v>
      </c>
      <c r="B108" t="s">
        <v>31</v>
      </c>
      <c r="C108" s="25">
        <v>43707.600636574076</v>
      </c>
      <c r="D108" s="741" t="s">
        <v>2238</v>
      </c>
      <c r="E108" s="741">
        <f t="array" ref="E108">SUMPRODUCT(IF(AMP5_4[[#This Row],[Dim 1_1]:[T 8]]-$F$4:$AI$4&lt;0,1,0)+IF($F$5:$AI$5-AMP5_4[[#This Row],[Dim 1_1]:[T 8]]&lt;0,1,0),IF(ISNUMBER(AMP5_4[[#This Row],[Dim 1_1]:[T 8]])=TRUE,1,0))</f>
        <v>0</v>
      </c>
      <c r="H108">
        <v>155.82900000000001</v>
      </c>
      <c r="I108">
        <v>155.804</v>
      </c>
      <c r="J108">
        <v>168.64099999999999</v>
      </c>
      <c r="K108">
        <v>168.804</v>
      </c>
      <c r="L108">
        <v>155.87200000000001</v>
      </c>
      <c r="M108">
        <v>155.63</v>
      </c>
      <c r="N108">
        <v>27.457999999999998</v>
      </c>
      <c r="O108">
        <v>27.754000000000001</v>
      </c>
      <c r="R108">
        <v>17.259</v>
      </c>
      <c r="S108">
        <v>17.334</v>
      </c>
      <c r="T108">
        <v>35.158999999999999</v>
      </c>
      <c r="U108">
        <v>35.738999999999997</v>
      </c>
      <c r="W108">
        <v>5.1999999999999998E-2</v>
      </c>
      <c r="X108">
        <v>-0.21199999999999999</v>
      </c>
      <c r="Z108">
        <v>-2E-3</v>
      </c>
      <c r="AA108">
        <v>-0.182</v>
      </c>
      <c r="AB108">
        <v>3.6999999999999998E-2</v>
      </c>
      <c r="AC108">
        <v>2.7E-2</v>
      </c>
      <c r="AD108">
        <v>5.1999999999999998E-2</v>
      </c>
      <c r="AE108">
        <v>-0.21199999999999999</v>
      </c>
      <c r="AF108">
        <v>-2E-3</v>
      </c>
      <c r="AG108">
        <v>-7.5999999999999998E-2</v>
      </c>
      <c r="AH108">
        <v>-9.4E-2</v>
      </c>
      <c r="AI108">
        <v>-0.182</v>
      </c>
    </row>
    <row r="109" spans="1:35" x14ac:dyDescent="0.25">
      <c r="A109" t="s">
        <v>2548</v>
      </c>
      <c r="B109" t="s">
        <v>32</v>
      </c>
      <c r="C109" s="25">
        <v>43707.661539351851</v>
      </c>
      <c r="D109" s="741" t="s">
        <v>2238</v>
      </c>
      <c r="E109" s="741">
        <f t="array" ref="E109">SUMPRODUCT(IF(AMP5_4[[#This Row],[Dim 1_1]:[T 8]]-$F$4:$AI$4&lt;0,1,0)+IF($F$5:$AI$5-AMP5_4[[#This Row],[Dim 1_1]:[T 8]]&lt;0,1,0),IF(ISNUMBER(AMP5_4[[#This Row],[Dim 1_1]:[T 8]])=TRUE,1,0))</f>
        <v>0</v>
      </c>
      <c r="F109">
        <v>41.564999999999998</v>
      </c>
      <c r="G109">
        <v>41.655000000000001</v>
      </c>
      <c r="H109">
        <v>155.76900000000001</v>
      </c>
      <c r="I109">
        <v>155.875</v>
      </c>
      <c r="L109">
        <v>155.83799999999999</v>
      </c>
      <c r="M109">
        <v>155.74799999999999</v>
      </c>
      <c r="N109">
        <v>27.431000000000001</v>
      </c>
      <c r="O109">
        <v>27.337</v>
      </c>
      <c r="R109">
        <v>17.257999999999999</v>
      </c>
      <c r="S109">
        <v>17.177</v>
      </c>
      <c r="T109">
        <v>32.677</v>
      </c>
      <c r="U109">
        <v>34.732999999999997</v>
      </c>
      <c r="W109">
        <v>0.12</v>
      </c>
      <c r="X109">
        <v>-0.06</v>
      </c>
      <c r="Z109">
        <v>7.0000000000000007E-2</v>
      </c>
      <c r="AA109">
        <v>-5.3999999999999999E-2</v>
      </c>
      <c r="AB109">
        <v>-4.0000000000000001E-3</v>
      </c>
      <c r="AC109">
        <v>1.4E-2</v>
      </c>
      <c r="AD109">
        <v>0.12</v>
      </c>
      <c r="AE109">
        <v>-0.06</v>
      </c>
      <c r="AF109">
        <v>7.0000000000000007E-2</v>
      </c>
      <c r="AG109">
        <v>-1E-3</v>
      </c>
      <c r="AH109">
        <v>-5.3999999999999999E-2</v>
      </c>
      <c r="AI109">
        <v>4.8000000000000001E-2</v>
      </c>
    </row>
    <row r="110" spans="1:35" x14ac:dyDescent="0.25">
      <c r="A110" t="s">
        <v>2549</v>
      </c>
      <c r="B110" t="s">
        <v>31</v>
      </c>
      <c r="C110" s="25">
        <v>43707.663761574076</v>
      </c>
      <c r="D110" s="741" t="s">
        <v>2238</v>
      </c>
      <c r="E110" s="741">
        <f t="array" ref="E110">SUMPRODUCT(IF(AMP5_4[[#This Row],[Dim 1_1]:[T 8]]-$F$4:$AI$4&lt;0,1,0)+IF($F$5:$AI$5-AMP5_4[[#This Row],[Dim 1_1]:[T 8]]&lt;0,1,0),IF(ISNUMBER(AMP5_4[[#This Row],[Dim 1_1]:[T 8]])=TRUE,1,0))</f>
        <v>0</v>
      </c>
      <c r="H110">
        <v>155.714</v>
      </c>
      <c r="I110">
        <v>155.703</v>
      </c>
      <c r="J110">
        <v>168.714</v>
      </c>
      <c r="K110">
        <v>168.79499999999999</v>
      </c>
      <c r="L110">
        <v>155.82300000000001</v>
      </c>
      <c r="M110">
        <v>155.55099999999999</v>
      </c>
      <c r="N110">
        <v>27.47</v>
      </c>
      <c r="O110">
        <v>27.798999999999999</v>
      </c>
      <c r="R110">
        <v>17.239000000000001</v>
      </c>
      <c r="S110">
        <v>17.334</v>
      </c>
      <c r="T110">
        <v>35</v>
      </c>
      <c r="U110">
        <v>35.944000000000003</v>
      </c>
      <c r="W110">
        <v>5.8000000000000003E-2</v>
      </c>
      <c r="X110">
        <v>-0.308</v>
      </c>
      <c r="Z110">
        <v>0.10199999999999999</v>
      </c>
      <c r="AA110">
        <v>-0.124</v>
      </c>
      <c r="AB110">
        <v>5.8000000000000003E-2</v>
      </c>
      <c r="AC110">
        <v>4.2999999999999997E-2</v>
      </c>
      <c r="AD110">
        <v>4.3999999999999997E-2</v>
      </c>
      <c r="AE110">
        <v>-0.308</v>
      </c>
      <c r="AF110">
        <v>0.10199999999999999</v>
      </c>
      <c r="AG110">
        <v>0.01</v>
      </c>
      <c r="AH110">
        <v>-2.9000000000000001E-2</v>
      </c>
      <c r="AI110">
        <v>-0.124</v>
      </c>
    </row>
    <row r="111" spans="1:35" x14ac:dyDescent="0.25">
      <c r="A111" t="s">
        <v>2550</v>
      </c>
      <c r="B111" t="s">
        <v>32</v>
      </c>
      <c r="C111" s="25">
        <v>43708.325960648152</v>
      </c>
      <c r="D111" s="741" t="s">
        <v>2238</v>
      </c>
      <c r="E111" s="741">
        <f t="array" ref="E111">SUMPRODUCT(IF(AMP5_4[[#This Row],[Dim 1_1]:[T 8]]-$F$4:$AI$4&lt;0,1,0)+IF($F$5:$AI$5-AMP5_4[[#This Row],[Dim 1_1]:[T 8]]&lt;0,1,0),IF(ISNUMBER(AMP5_4[[#This Row],[Dim 1_1]:[T 8]])=TRUE,1,0))</f>
        <v>0</v>
      </c>
      <c r="F111">
        <v>41.576000000000001</v>
      </c>
      <c r="G111">
        <v>41.546999999999997</v>
      </c>
      <c r="H111">
        <v>155.82</v>
      </c>
      <c r="I111">
        <v>155.91300000000001</v>
      </c>
      <c r="L111">
        <v>155.88399999999999</v>
      </c>
      <c r="M111">
        <v>155.79900000000001</v>
      </c>
      <c r="N111">
        <v>27.42</v>
      </c>
      <c r="O111">
        <v>27.295999999999999</v>
      </c>
      <c r="R111">
        <v>17.277000000000001</v>
      </c>
      <c r="S111">
        <v>17.109000000000002</v>
      </c>
      <c r="T111">
        <v>33.411000000000001</v>
      </c>
      <c r="U111">
        <v>34.796999999999997</v>
      </c>
      <c r="W111">
        <v>0.253</v>
      </c>
      <c r="X111">
        <v>1.4999999999999999E-2</v>
      </c>
      <c r="Z111">
        <v>0.20399999999999999</v>
      </c>
      <c r="AA111">
        <v>2.5000000000000001E-2</v>
      </c>
      <c r="AB111">
        <v>1.4999999999999999E-2</v>
      </c>
      <c r="AC111">
        <v>5.0999999999999997E-2</v>
      </c>
      <c r="AD111">
        <v>0.253</v>
      </c>
      <c r="AE111">
        <v>0.06</v>
      </c>
      <c r="AF111">
        <v>0.11899999999999999</v>
      </c>
      <c r="AG111">
        <v>2.5000000000000001E-2</v>
      </c>
      <c r="AH111">
        <v>0.113</v>
      </c>
      <c r="AI111">
        <v>0.20399999999999999</v>
      </c>
    </row>
    <row r="112" spans="1:35" x14ac:dyDescent="0.25">
      <c r="A112" t="s">
        <v>2551</v>
      </c>
      <c r="B112" t="s">
        <v>31</v>
      </c>
      <c r="C112" s="25">
        <v>43708.328182870369</v>
      </c>
      <c r="D112" s="741" t="s">
        <v>2238</v>
      </c>
      <c r="E112" s="741">
        <f t="array" ref="E112">SUMPRODUCT(IF(AMP5_4[[#This Row],[Dim 1_1]:[T 8]]-$F$4:$AI$4&lt;0,1,0)+IF($F$5:$AI$5-AMP5_4[[#This Row],[Dim 1_1]:[T 8]]&lt;0,1,0),IF(ISNUMBER(AMP5_4[[#This Row],[Dim 1_1]:[T 8]])=TRUE,1,0))</f>
        <v>0</v>
      </c>
      <c r="H112">
        <v>155.71199999999999</v>
      </c>
      <c r="I112">
        <v>155.65700000000001</v>
      </c>
      <c r="J112">
        <v>168.73</v>
      </c>
      <c r="K112">
        <v>168.86199999999999</v>
      </c>
      <c r="L112">
        <v>155.821</v>
      </c>
      <c r="M112">
        <v>155.49</v>
      </c>
      <c r="N112">
        <v>27.431000000000001</v>
      </c>
      <c r="O112">
        <v>27.817</v>
      </c>
      <c r="R112">
        <v>17.274000000000001</v>
      </c>
      <c r="S112">
        <v>17.292999999999999</v>
      </c>
      <c r="T112">
        <v>35.128999999999998</v>
      </c>
      <c r="U112">
        <v>36.881</v>
      </c>
      <c r="W112">
        <v>0.191</v>
      </c>
      <c r="X112">
        <v>-0.22500000000000001</v>
      </c>
      <c r="Z112">
        <v>0.30399999999999999</v>
      </c>
      <c r="AA112">
        <v>5.3999999999999999E-2</v>
      </c>
      <c r="AB112">
        <v>0.191</v>
      </c>
      <c r="AC112">
        <v>0.183</v>
      </c>
      <c r="AD112">
        <v>0.112</v>
      </c>
      <c r="AE112">
        <v>-0.22500000000000001</v>
      </c>
      <c r="AF112">
        <v>0.30399999999999999</v>
      </c>
      <c r="AG112">
        <v>0.216</v>
      </c>
      <c r="AH112">
        <v>0.11700000000000001</v>
      </c>
      <c r="AI112">
        <v>5.3999999999999999E-2</v>
      </c>
    </row>
    <row r="113" spans="1:35" x14ac:dyDescent="0.25">
      <c r="A113" t="s">
        <v>2552</v>
      </c>
      <c r="B113" t="s">
        <v>32</v>
      </c>
      <c r="C113" s="25">
        <v>43708.434791666667</v>
      </c>
      <c r="D113" s="741" t="s">
        <v>2238</v>
      </c>
      <c r="E113" s="741">
        <f t="array" ref="E113">SUMPRODUCT(IF(AMP5_4[[#This Row],[Dim 1_1]:[T 8]]-$F$4:$AI$4&lt;0,1,0)+IF($F$5:$AI$5-AMP5_4[[#This Row],[Dim 1_1]:[T 8]]&lt;0,1,0),IF(ISNUMBER(AMP5_4[[#This Row],[Dim 1_1]:[T 8]])=TRUE,1,0))</f>
        <v>0</v>
      </c>
      <c r="F113">
        <v>41.451999999999998</v>
      </c>
      <c r="G113">
        <v>41.613999999999997</v>
      </c>
      <c r="H113">
        <v>155.934</v>
      </c>
      <c r="I113">
        <v>155.97</v>
      </c>
      <c r="L113">
        <v>155.999</v>
      </c>
      <c r="M113">
        <v>155.87299999999999</v>
      </c>
      <c r="N113">
        <v>27.178999999999998</v>
      </c>
      <c r="O113">
        <v>27.184000000000001</v>
      </c>
      <c r="R113">
        <v>17.23</v>
      </c>
      <c r="S113">
        <v>16.988</v>
      </c>
      <c r="T113">
        <v>33.667000000000002</v>
      </c>
      <c r="U113">
        <v>34.262999999999998</v>
      </c>
      <c r="W113">
        <v>0.23699999999999999</v>
      </c>
      <c r="X113">
        <v>-0.17399999999999999</v>
      </c>
      <c r="Z113">
        <v>0.188</v>
      </c>
      <c r="AA113">
        <v>-8.5000000000000006E-2</v>
      </c>
      <c r="AB113">
        <v>-0.16500000000000001</v>
      </c>
      <c r="AC113">
        <v>-0.17399999999999999</v>
      </c>
      <c r="AD113">
        <v>0.23699999999999999</v>
      </c>
      <c r="AE113">
        <v>6.3E-2</v>
      </c>
      <c r="AF113">
        <v>-3.4000000000000002E-2</v>
      </c>
      <c r="AG113">
        <v>-8.5000000000000006E-2</v>
      </c>
      <c r="AH113">
        <v>6.8000000000000005E-2</v>
      </c>
      <c r="AI113">
        <v>0.188</v>
      </c>
    </row>
    <row r="114" spans="1:35" x14ac:dyDescent="0.25">
      <c r="A114" t="s">
        <v>2553</v>
      </c>
      <c r="B114" t="s">
        <v>31</v>
      </c>
      <c r="C114" s="25">
        <v>43708.43712962963</v>
      </c>
      <c r="D114" s="741" t="s">
        <v>2238</v>
      </c>
      <c r="E114" s="741">
        <f t="array" ref="E114">SUMPRODUCT(IF(AMP5_4[[#This Row],[Dim 1_1]:[T 8]]-$F$4:$AI$4&lt;0,1,0)+IF($F$5:$AI$5-AMP5_4[[#This Row],[Dim 1_1]:[T 8]]&lt;0,1,0),IF(ISNUMBER(AMP5_4[[#This Row],[Dim 1_1]:[T 8]])=TRUE,1,0))</f>
        <v>0</v>
      </c>
      <c r="H114">
        <v>155.97</v>
      </c>
      <c r="I114">
        <v>155.886</v>
      </c>
      <c r="J114">
        <v>168.84100000000001</v>
      </c>
      <c r="K114">
        <v>168.98400000000001</v>
      </c>
      <c r="L114">
        <v>156.01900000000001</v>
      </c>
      <c r="M114">
        <v>155.72200000000001</v>
      </c>
      <c r="N114">
        <v>27.334</v>
      </c>
      <c r="O114">
        <v>27.696999999999999</v>
      </c>
      <c r="R114">
        <v>17.254000000000001</v>
      </c>
      <c r="S114">
        <v>17.343</v>
      </c>
      <c r="T114">
        <v>34.957999999999998</v>
      </c>
      <c r="U114">
        <v>37.841000000000001</v>
      </c>
      <c r="W114">
        <v>-4.0000000000000001E-3</v>
      </c>
      <c r="X114">
        <v>-0.312</v>
      </c>
      <c r="Z114">
        <v>-4.4999999999999998E-2</v>
      </c>
      <c r="AA114">
        <v>-0.253</v>
      </c>
      <c r="AB114">
        <v>-3.7999999999999999E-2</v>
      </c>
      <c r="AC114">
        <v>-3.5000000000000003E-2</v>
      </c>
      <c r="AD114">
        <v>-4.0000000000000001E-3</v>
      </c>
      <c r="AE114">
        <v>-0.312</v>
      </c>
      <c r="AF114">
        <v>-5.6000000000000001E-2</v>
      </c>
      <c r="AG114">
        <v>-0.13700000000000001</v>
      </c>
      <c r="AH114">
        <v>-4.4999999999999998E-2</v>
      </c>
      <c r="AI114">
        <v>-0.253</v>
      </c>
    </row>
    <row r="115" spans="1:35" x14ac:dyDescent="0.25">
      <c r="A115" t="s">
        <v>2554</v>
      </c>
      <c r="B115" t="s">
        <v>32</v>
      </c>
      <c r="C115" s="25">
        <v>43708.48505787037</v>
      </c>
      <c r="D115" s="741" t="s">
        <v>2238</v>
      </c>
      <c r="E115" s="741">
        <f t="array" ref="E115">SUMPRODUCT(IF(AMP5_4[[#This Row],[Dim 1_1]:[T 8]]-$F$4:$AI$4&lt;0,1,0)+IF($F$5:$AI$5-AMP5_4[[#This Row],[Dim 1_1]:[T 8]]&lt;0,1,0),IF(ISNUMBER(AMP5_4[[#This Row],[Dim 1_1]:[T 8]])=TRUE,1,0))</f>
        <v>0</v>
      </c>
      <c r="F115">
        <v>41.564999999999998</v>
      </c>
      <c r="G115">
        <v>41.558</v>
      </c>
      <c r="H115">
        <v>155.881</v>
      </c>
      <c r="I115">
        <v>155.93899999999999</v>
      </c>
      <c r="L115">
        <v>155.94200000000001</v>
      </c>
      <c r="M115">
        <v>155.83199999999999</v>
      </c>
      <c r="N115">
        <v>27.3</v>
      </c>
      <c r="O115">
        <v>27.259</v>
      </c>
      <c r="R115">
        <v>17.268999999999998</v>
      </c>
      <c r="S115">
        <v>17.010999999999999</v>
      </c>
      <c r="T115">
        <v>33.639000000000003</v>
      </c>
      <c r="U115">
        <v>34.210999999999999</v>
      </c>
      <c r="W115">
        <v>0.33400000000000002</v>
      </c>
      <c r="X115">
        <v>-7.0000000000000001E-3</v>
      </c>
      <c r="Z115">
        <v>0.20599999999999999</v>
      </c>
      <c r="AA115">
        <v>-6.7000000000000004E-2</v>
      </c>
      <c r="AB115">
        <v>-7.0000000000000001E-3</v>
      </c>
      <c r="AC115">
        <v>2.8000000000000001E-2</v>
      </c>
      <c r="AD115">
        <v>0.33400000000000002</v>
      </c>
      <c r="AE115">
        <v>0.14699999999999999</v>
      </c>
      <c r="AF115">
        <v>-0.01</v>
      </c>
      <c r="AG115">
        <v>-6.7000000000000004E-2</v>
      </c>
      <c r="AH115">
        <v>0.09</v>
      </c>
      <c r="AI115">
        <v>0.20599999999999999</v>
      </c>
    </row>
    <row r="116" spans="1:35" x14ac:dyDescent="0.25">
      <c r="A116" t="s">
        <v>2555</v>
      </c>
      <c r="B116" t="s">
        <v>31</v>
      </c>
      <c r="C116" s="25">
        <v>43708.488738425927</v>
      </c>
      <c r="D116" s="741" t="s">
        <v>2238</v>
      </c>
      <c r="E116" s="741">
        <f t="array" ref="E116">SUMPRODUCT(IF(AMP5_4[[#This Row],[Dim 1_1]:[T 8]]-$F$4:$AI$4&lt;0,1,0)+IF($F$5:$AI$5-AMP5_4[[#This Row],[Dim 1_1]:[T 8]]&lt;0,1,0),IF(ISNUMBER(AMP5_4[[#This Row],[Dim 1_1]:[T 8]])=TRUE,1,0))</f>
        <v>0</v>
      </c>
      <c r="H116">
        <v>155.839</v>
      </c>
      <c r="I116">
        <v>155.857</v>
      </c>
      <c r="J116">
        <v>168.95</v>
      </c>
      <c r="K116">
        <v>169.08199999999999</v>
      </c>
      <c r="L116">
        <v>155.994</v>
      </c>
      <c r="M116">
        <v>155.72399999999999</v>
      </c>
      <c r="N116">
        <v>27.312999999999999</v>
      </c>
      <c r="O116">
        <v>27.658000000000001</v>
      </c>
      <c r="R116">
        <v>17.247</v>
      </c>
      <c r="S116">
        <v>17.292000000000002</v>
      </c>
      <c r="T116">
        <v>39.273000000000003</v>
      </c>
      <c r="U116">
        <v>39.648000000000003</v>
      </c>
      <c r="W116">
        <v>-4.9000000000000002E-2</v>
      </c>
      <c r="X116">
        <v>-0.32800000000000001</v>
      </c>
      <c r="Z116">
        <v>-4.8000000000000001E-2</v>
      </c>
      <c r="AA116">
        <v>-0.20899999999999999</v>
      </c>
      <c r="AB116">
        <v>-7.9000000000000001E-2</v>
      </c>
      <c r="AC116">
        <v>-9.5000000000000001E-2</v>
      </c>
      <c r="AD116">
        <v>-4.9000000000000002E-2</v>
      </c>
      <c r="AE116">
        <v>-0.32800000000000001</v>
      </c>
      <c r="AF116">
        <v>-4.8000000000000001E-2</v>
      </c>
      <c r="AG116">
        <v>-0.121</v>
      </c>
      <c r="AH116">
        <v>-9.7000000000000003E-2</v>
      </c>
      <c r="AI116">
        <v>-0.20899999999999999</v>
      </c>
    </row>
    <row r="117" spans="1:35" x14ac:dyDescent="0.25">
      <c r="A117" t="s">
        <v>2556</v>
      </c>
      <c r="B117" t="s">
        <v>32</v>
      </c>
      <c r="C117" s="25">
        <v>43708.604548611111</v>
      </c>
      <c r="D117" s="741" t="s">
        <v>2238</v>
      </c>
      <c r="E117" s="741">
        <f t="array" ref="E117">SUMPRODUCT(IF(AMP5_4[[#This Row],[Dim 1_1]:[T 8]]-$F$4:$AI$4&lt;0,1,0)+IF($F$5:$AI$5-AMP5_4[[#This Row],[Dim 1_1]:[T 8]]&lt;0,1,0),IF(ISNUMBER(AMP5_4[[#This Row],[Dim 1_1]:[T 8]])=TRUE,1,0))</f>
        <v>0</v>
      </c>
      <c r="F117">
        <v>41.38</v>
      </c>
      <c r="G117">
        <v>41.417999999999999</v>
      </c>
      <c r="H117">
        <v>155.833</v>
      </c>
      <c r="I117">
        <v>155.92400000000001</v>
      </c>
      <c r="L117">
        <v>155.93199999999999</v>
      </c>
      <c r="M117">
        <v>155.828</v>
      </c>
      <c r="N117">
        <v>27.286999999999999</v>
      </c>
      <c r="O117">
        <v>27.26</v>
      </c>
      <c r="R117">
        <v>17.260999999999999</v>
      </c>
      <c r="S117">
        <v>16.989000000000001</v>
      </c>
      <c r="T117">
        <v>33.555</v>
      </c>
      <c r="U117">
        <v>34.201000000000001</v>
      </c>
      <c r="W117">
        <v>0.26800000000000002</v>
      </c>
      <c r="X117">
        <v>-0.05</v>
      </c>
      <c r="Z117">
        <v>0.13</v>
      </c>
      <c r="AA117">
        <v>-5.7000000000000002E-2</v>
      </c>
      <c r="AB117">
        <v>-0.05</v>
      </c>
      <c r="AC117">
        <v>-0.02</v>
      </c>
      <c r="AD117">
        <v>0.26800000000000002</v>
      </c>
      <c r="AE117">
        <v>8.6999999999999994E-2</v>
      </c>
      <c r="AF117">
        <v>3.5999999999999997E-2</v>
      </c>
      <c r="AG117">
        <v>-5.7000000000000002E-2</v>
      </c>
      <c r="AH117">
        <v>8.2000000000000003E-2</v>
      </c>
      <c r="AI117">
        <v>0.13</v>
      </c>
    </row>
    <row r="118" spans="1:35" x14ac:dyDescent="0.25">
      <c r="A118" t="s">
        <v>2557</v>
      </c>
      <c r="B118" t="s">
        <v>31</v>
      </c>
      <c r="C118" s="25">
        <v>43708.607175925928</v>
      </c>
      <c r="D118" s="741" t="s">
        <v>2238</v>
      </c>
      <c r="E118" s="741">
        <f t="array" ref="E118">SUMPRODUCT(IF(AMP5_4[[#This Row],[Dim 1_1]:[T 8]]-$F$4:$AI$4&lt;0,1,0)+IF($F$5:$AI$5-AMP5_4[[#This Row],[Dim 1_1]:[T 8]]&lt;0,1,0),IF(ISNUMBER(AMP5_4[[#This Row],[Dim 1_1]:[T 8]])=TRUE,1,0))</f>
        <v>0</v>
      </c>
      <c r="H118">
        <v>155.85599999999999</v>
      </c>
      <c r="I118">
        <v>155.84399999999999</v>
      </c>
      <c r="J118">
        <v>168.63900000000001</v>
      </c>
      <c r="K118">
        <v>168.77699999999999</v>
      </c>
      <c r="L118">
        <v>156.011</v>
      </c>
      <c r="M118">
        <v>155.70699999999999</v>
      </c>
      <c r="N118">
        <v>27.323</v>
      </c>
      <c r="O118">
        <v>27.664999999999999</v>
      </c>
      <c r="R118">
        <v>17.236999999999998</v>
      </c>
      <c r="S118">
        <v>17.39</v>
      </c>
      <c r="T118">
        <v>36.591999999999999</v>
      </c>
      <c r="U118">
        <v>36.125</v>
      </c>
      <c r="W118">
        <v>-2.1999999999999999E-2</v>
      </c>
      <c r="X118">
        <v>-0.36899999999999999</v>
      </c>
      <c r="Z118">
        <v>-2E-3</v>
      </c>
      <c r="AA118">
        <v>-0.26900000000000002</v>
      </c>
      <c r="AB118">
        <v>-2.1999999999999999E-2</v>
      </c>
      <c r="AC118">
        <v>-2.8000000000000001E-2</v>
      </c>
      <c r="AD118">
        <v>-9.5000000000000001E-2</v>
      </c>
      <c r="AE118">
        <v>-0.36899999999999999</v>
      </c>
      <c r="AF118">
        <v>-2E-3</v>
      </c>
      <c r="AG118">
        <v>-9.6000000000000002E-2</v>
      </c>
      <c r="AH118">
        <v>-0.155</v>
      </c>
      <c r="AI118">
        <v>-0.26900000000000002</v>
      </c>
    </row>
    <row r="119" spans="1:35" x14ac:dyDescent="0.25">
      <c r="A119" t="s">
        <v>2558</v>
      </c>
      <c r="B119" t="s">
        <v>32</v>
      </c>
      <c r="C119" s="25">
        <v>43708.651597222219</v>
      </c>
      <c r="D119" s="741" t="s">
        <v>2238</v>
      </c>
      <c r="E119" s="741">
        <f t="array" ref="E119">SUMPRODUCT(IF(AMP5_4[[#This Row],[Dim 1_1]:[T 8]]-$F$4:$AI$4&lt;0,1,0)+IF($F$5:$AI$5-AMP5_4[[#This Row],[Dim 1_1]:[T 8]]&lt;0,1,0),IF(ISNUMBER(AMP5_4[[#This Row],[Dim 1_1]:[T 8]])=TRUE,1,0))</f>
        <v>1</v>
      </c>
      <c r="F119">
        <v>41.459000000000003</v>
      </c>
      <c r="G119">
        <v>41.677</v>
      </c>
      <c r="H119">
        <v>155.84399999999999</v>
      </c>
      <c r="I119">
        <v>156.05000000000001</v>
      </c>
      <c r="L119">
        <v>155.94300000000001</v>
      </c>
      <c r="M119">
        <v>155.99</v>
      </c>
      <c r="N119">
        <v>27.382000000000001</v>
      </c>
      <c r="O119">
        <v>27.109000000000002</v>
      </c>
      <c r="R119">
        <v>17.248000000000001</v>
      </c>
      <c r="S119">
        <v>17.036000000000001</v>
      </c>
      <c r="T119">
        <v>31.498000000000001</v>
      </c>
      <c r="U119">
        <v>35.551000000000002</v>
      </c>
      <c r="W119">
        <v>-1.7999999999999999E-2</v>
      </c>
      <c r="X119">
        <v>-0.215</v>
      </c>
      <c r="Z119">
        <v>-0.17799999999999999</v>
      </c>
      <c r="AA119">
        <v>-0.38400000000000001</v>
      </c>
      <c r="AB119">
        <v>-0.215</v>
      </c>
      <c r="AC119">
        <v>-0.191</v>
      </c>
      <c r="AD119">
        <v>-1.7999999999999999E-2</v>
      </c>
      <c r="AE119">
        <v>-0.20899999999999999</v>
      </c>
      <c r="AF119">
        <v>-0.312</v>
      </c>
      <c r="AG119">
        <v>-0.38400000000000001</v>
      </c>
      <c r="AH119">
        <v>-0.27500000000000002</v>
      </c>
      <c r="AI119">
        <v>-0.17799999999999999</v>
      </c>
    </row>
    <row r="120" spans="1:35" x14ac:dyDescent="0.25">
      <c r="A120" t="s">
        <v>2559</v>
      </c>
      <c r="B120" t="s">
        <v>31</v>
      </c>
      <c r="C120" s="25">
        <v>43708.654398148145</v>
      </c>
      <c r="D120" s="741" t="s">
        <v>2238</v>
      </c>
      <c r="E120" s="741">
        <f t="array" ref="E120">SUMPRODUCT(IF(AMP5_4[[#This Row],[Dim 1_1]:[T 8]]-$F$4:$AI$4&lt;0,1,0)+IF($F$5:$AI$5-AMP5_4[[#This Row],[Dim 1_1]:[T 8]]&lt;0,1,0),IF(ISNUMBER(AMP5_4[[#This Row],[Dim 1_1]:[T 8]])=TRUE,1,0))</f>
        <v>0</v>
      </c>
      <c r="H120">
        <v>155.87100000000001</v>
      </c>
      <c r="I120">
        <v>155.77199999999999</v>
      </c>
      <c r="J120">
        <v>168.77</v>
      </c>
      <c r="K120">
        <v>168.92</v>
      </c>
      <c r="L120">
        <v>156.03899999999999</v>
      </c>
      <c r="M120">
        <v>155.56899999999999</v>
      </c>
      <c r="N120">
        <v>27.216999999999999</v>
      </c>
      <c r="O120">
        <v>27.760999999999999</v>
      </c>
      <c r="R120">
        <v>17.241</v>
      </c>
      <c r="S120">
        <v>17.286000000000001</v>
      </c>
      <c r="T120">
        <v>39.014000000000003</v>
      </c>
      <c r="U120">
        <v>37.655999999999999</v>
      </c>
      <c r="W120">
        <v>-3.6999999999999998E-2</v>
      </c>
      <c r="X120">
        <v>-0.433</v>
      </c>
      <c r="Z120">
        <v>4.3999999999999997E-2</v>
      </c>
      <c r="AA120">
        <v>-0.23100000000000001</v>
      </c>
      <c r="AB120">
        <v>-4.1000000000000002E-2</v>
      </c>
      <c r="AC120">
        <v>-3.6999999999999998E-2</v>
      </c>
      <c r="AD120">
        <v>-0.14499999999999999</v>
      </c>
      <c r="AE120">
        <v>-0.433</v>
      </c>
      <c r="AF120">
        <v>4.3999999999999997E-2</v>
      </c>
      <c r="AG120">
        <v>-0.02</v>
      </c>
      <c r="AH120">
        <v>-0.11600000000000001</v>
      </c>
      <c r="AI120">
        <v>-0.23100000000000001</v>
      </c>
    </row>
    <row r="121" spans="1:35" x14ac:dyDescent="0.25">
      <c r="A121" t="s">
        <v>2622</v>
      </c>
      <c r="B121" t="s">
        <v>32</v>
      </c>
      <c r="C121" s="25">
        <v>43711.441863425927</v>
      </c>
      <c r="D121" s="741" t="s">
        <v>2238</v>
      </c>
      <c r="E121" s="741">
        <f t="array" ref="E121">SUMPRODUCT(IF(AMP5_4[[#This Row],[Dim 1_1]:[T 8]]-$F$4:$AI$4&lt;0,1,0)+IF($F$5:$AI$5-AMP5_4[[#This Row],[Dim 1_1]:[T 8]]&lt;0,1,0),IF(ISNUMBER(AMP5_4[[#This Row],[Dim 1_1]:[T 8]])=TRUE,1,0))</f>
        <v>0</v>
      </c>
      <c r="F121">
        <v>41.087000000000003</v>
      </c>
      <c r="G121">
        <v>41.252000000000002</v>
      </c>
      <c r="H121">
        <v>155.93899999999999</v>
      </c>
      <c r="I121">
        <v>156.059</v>
      </c>
      <c r="L121">
        <v>156.00299999999999</v>
      </c>
      <c r="M121">
        <v>155.93199999999999</v>
      </c>
      <c r="N121">
        <v>27.315999999999999</v>
      </c>
      <c r="O121">
        <v>27.148</v>
      </c>
      <c r="R121">
        <v>17.324999999999999</v>
      </c>
      <c r="S121">
        <v>16.82</v>
      </c>
      <c r="T121">
        <v>33.173000000000002</v>
      </c>
      <c r="U121">
        <v>35.26</v>
      </c>
      <c r="W121">
        <v>0.434</v>
      </c>
      <c r="X121">
        <v>-0.05</v>
      </c>
      <c r="Z121">
        <v>0.36199999999999999</v>
      </c>
      <c r="AA121">
        <v>-0.17599999999999999</v>
      </c>
      <c r="AB121">
        <v>-0.05</v>
      </c>
      <c r="AC121">
        <v>-1.4E-2</v>
      </c>
      <c r="AD121">
        <v>0.434</v>
      </c>
      <c r="AE121">
        <v>0.22900000000000001</v>
      </c>
      <c r="AF121">
        <v>-0.113</v>
      </c>
      <c r="AG121">
        <v>-0.17599999999999999</v>
      </c>
      <c r="AH121">
        <v>0.17599999999999999</v>
      </c>
      <c r="AI121">
        <v>0.36199999999999999</v>
      </c>
    </row>
    <row r="122" spans="1:35" x14ac:dyDescent="0.25">
      <c r="A122" t="s">
        <v>2623</v>
      </c>
      <c r="B122" t="s">
        <v>31</v>
      </c>
      <c r="C122" s="25">
        <v>43711.445347222223</v>
      </c>
      <c r="D122" s="741" t="s">
        <v>2238</v>
      </c>
      <c r="E122" s="741">
        <f t="array" ref="E122">SUMPRODUCT(IF(AMP5_4[[#This Row],[Dim 1_1]:[T 8]]-$F$4:$AI$4&lt;0,1,0)+IF($F$5:$AI$5-AMP5_4[[#This Row],[Dim 1_1]:[T 8]]&lt;0,1,0),IF(ISNUMBER(AMP5_4[[#This Row],[Dim 1_1]:[T 8]])=TRUE,1,0))</f>
        <v>0</v>
      </c>
      <c r="H122">
        <v>155.892</v>
      </c>
      <c r="I122">
        <v>155.845</v>
      </c>
      <c r="J122">
        <v>168.48</v>
      </c>
      <c r="K122">
        <v>168.60300000000001</v>
      </c>
      <c r="L122">
        <v>156.08099999999999</v>
      </c>
      <c r="M122">
        <v>155.643</v>
      </c>
      <c r="N122">
        <v>27.138000000000002</v>
      </c>
      <c r="O122">
        <v>27.64</v>
      </c>
      <c r="R122">
        <v>17.265999999999998</v>
      </c>
      <c r="S122">
        <v>17.213000000000001</v>
      </c>
      <c r="T122">
        <v>39.143999999999998</v>
      </c>
      <c r="U122">
        <v>38.869999999999997</v>
      </c>
      <c r="W122">
        <v>-5.1999999999999998E-2</v>
      </c>
      <c r="X122">
        <v>-0.43099999999999999</v>
      </c>
      <c r="Z122">
        <v>0.157</v>
      </c>
      <c r="AA122">
        <v>-6.6000000000000003E-2</v>
      </c>
      <c r="AB122">
        <v>-5.8999999999999997E-2</v>
      </c>
      <c r="AC122">
        <v>-5.1999999999999998E-2</v>
      </c>
      <c r="AD122">
        <v>-0.125</v>
      </c>
      <c r="AE122">
        <v>-0.43099999999999999</v>
      </c>
      <c r="AF122">
        <v>0.157</v>
      </c>
      <c r="AG122">
        <v>8.1000000000000003E-2</v>
      </c>
      <c r="AH122">
        <v>6.7000000000000004E-2</v>
      </c>
      <c r="AI122">
        <v>-6.6000000000000003E-2</v>
      </c>
    </row>
    <row r="123" spans="1:35" x14ac:dyDescent="0.25">
      <c r="A123" t="s">
        <v>2742</v>
      </c>
      <c r="B123" t="s">
        <v>32</v>
      </c>
      <c r="C123" s="25">
        <v>43711.53806712963</v>
      </c>
      <c r="D123" s="741" t="s">
        <v>2238</v>
      </c>
      <c r="E123" s="741">
        <f t="array" ref="E123">SUMPRODUCT(IF(AMP5_4[[#This Row],[Dim 1_1]:[T 8]]-$F$4:$AI$4&lt;0,1,0)+IF($F$5:$AI$5-AMP5_4[[#This Row],[Dim 1_1]:[T 8]]&lt;0,1,0),IF(ISNUMBER(AMP5_4[[#This Row],[Dim 1_1]:[T 8]])=TRUE,1,0))</f>
        <v>0</v>
      </c>
      <c r="F123">
        <v>41.64</v>
      </c>
      <c r="G123">
        <v>41.7</v>
      </c>
      <c r="H123">
        <v>155.65600000000001</v>
      </c>
      <c r="I123">
        <v>155.6</v>
      </c>
      <c r="L123">
        <v>155.71600000000001</v>
      </c>
      <c r="M123">
        <v>155.43700000000001</v>
      </c>
      <c r="N123">
        <v>27.552</v>
      </c>
      <c r="O123">
        <v>27.677</v>
      </c>
      <c r="R123">
        <v>17.277999999999999</v>
      </c>
      <c r="S123">
        <v>17.306000000000001</v>
      </c>
      <c r="T123">
        <v>33.293999999999997</v>
      </c>
      <c r="U123">
        <v>34.408999999999999</v>
      </c>
      <c r="W123">
        <v>0.17100000000000001</v>
      </c>
      <c r="X123">
        <v>3.7999999999999999E-2</v>
      </c>
      <c r="Z123">
        <v>0.189</v>
      </c>
      <c r="AA123">
        <v>6.3E-2</v>
      </c>
      <c r="AB123">
        <v>0.11700000000000001</v>
      </c>
      <c r="AC123">
        <v>0.127</v>
      </c>
      <c r="AD123">
        <v>0.17100000000000001</v>
      </c>
      <c r="AE123">
        <v>3.7999999999999999E-2</v>
      </c>
      <c r="AF123">
        <v>0.189</v>
      </c>
      <c r="AG123">
        <v>0.14699999999999999</v>
      </c>
      <c r="AH123">
        <v>6.3E-2</v>
      </c>
      <c r="AI123">
        <v>0.158</v>
      </c>
    </row>
    <row r="124" spans="1:35" x14ac:dyDescent="0.25">
      <c r="A124" t="s">
        <v>2743</v>
      </c>
      <c r="B124" t="s">
        <v>31</v>
      </c>
      <c r="C124" s="25">
        <v>43711.54011574074</v>
      </c>
      <c r="D124" s="741" t="s">
        <v>2238</v>
      </c>
      <c r="E124" s="741">
        <f t="array" ref="E124">SUMPRODUCT(IF(AMP5_4[[#This Row],[Dim 1_1]:[T 8]]-$F$4:$AI$4&lt;0,1,0)+IF($F$5:$AI$5-AMP5_4[[#This Row],[Dim 1_1]:[T 8]]&lt;0,1,0),IF(ISNUMBER(AMP5_4[[#This Row],[Dim 1_1]:[T 8]])=TRUE,1,0))</f>
        <v>0</v>
      </c>
      <c r="H124">
        <v>155.78100000000001</v>
      </c>
      <c r="I124">
        <v>155.80699999999999</v>
      </c>
      <c r="J124">
        <v>168.86</v>
      </c>
      <c r="K124">
        <v>168.922</v>
      </c>
      <c r="L124">
        <v>155.83000000000001</v>
      </c>
      <c r="M124">
        <v>155.626</v>
      </c>
      <c r="N124">
        <v>27.471</v>
      </c>
      <c r="O124">
        <v>27.643000000000001</v>
      </c>
      <c r="R124">
        <v>17.213999999999999</v>
      </c>
      <c r="S124">
        <v>17.331</v>
      </c>
      <c r="T124">
        <v>37.908999999999999</v>
      </c>
      <c r="U124">
        <v>38.356999999999999</v>
      </c>
      <c r="W124">
        <v>0.27700000000000002</v>
      </c>
      <c r="X124">
        <v>-0.192</v>
      </c>
      <c r="Z124">
        <v>0.374</v>
      </c>
      <c r="AA124">
        <v>6.4000000000000001E-2</v>
      </c>
      <c r="AB124">
        <v>0.27700000000000002</v>
      </c>
      <c r="AC124">
        <v>0.215</v>
      </c>
      <c r="AD124">
        <v>0.125</v>
      </c>
      <c r="AE124">
        <v>-0.192</v>
      </c>
      <c r="AF124">
        <v>0.374</v>
      </c>
      <c r="AG124">
        <v>0.32300000000000001</v>
      </c>
      <c r="AH124">
        <v>6.4000000000000001E-2</v>
      </c>
      <c r="AI124">
        <v>0.128</v>
      </c>
    </row>
    <row r="125" spans="1:35" x14ac:dyDescent="0.25">
      <c r="A125" t="s">
        <v>2744</v>
      </c>
      <c r="B125" t="s">
        <v>32</v>
      </c>
      <c r="C125" s="25">
        <v>43711.680659722224</v>
      </c>
      <c r="D125" s="741" t="s">
        <v>2238</v>
      </c>
      <c r="E125" s="741">
        <f t="array" ref="E125">SUMPRODUCT(IF(AMP5_4[[#This Row],[Dim 1_1]:[T 8]]-$F$4:$AI$4&lt;0,1,0)+IF($F$5:$AI$5-AMP5_4[[#This Row],[Dim 1_1]:[T 8]]&lt;0,1,0),IF(ISNUMBER(AMP5_4[[#This Row],[Dim 1_1]:[T 8]])=TRUE,1,0))</f>
        <v>0</v>
      </c>
      <c r="F125">
        <v>41.506999999999998</v>
      </c>
      <c r="G125">
        <v>41.277000000000001</v>
      </c>
      <c r="H125">
        <v>155.65199999999999</v>
      </c>
      <c r="I125">
        <v>155.65</v>
      </c>
      <c r="L125">
        <v>155.714</v>
      </c>
      <c r="M125">
        <v>155.46299999999999</v>
      </c>
      <c r="N125">
        <v>27.54</v>
      </c>
      <c r="O125">
        <v>27.603000000000002</v>
      </c>
      <c r="R125">
        <v>17.294</v>
      </c>
      <c r="S125">
        <v>17.271000000000001</v>
      </c>
      <c r="T125">
        <v>33.347000000000001</v>
      </c>
      <c r="U125">
        <v>34.161000000000001</v>
      </c>
      <c r="W125">
        <v>0.214</v>
      </c>
      <c r="X125">
        <v>0.11700000000000001</v>
      </c>
      <c r="Z125">
        <v>0.22500000000000001</v>
      </c>
      <c r="AA125">
        <v>0.125</v>
      </c>
      <c r="AB125">
        <v>0.14699999999999999</v>
      </c>
      <c r="AC125">
        <v>0.153</v>
      </c>
      <c r="AD125">
        <v>0.214</v>
      </c>
      <c r="AE125">
        <v>0.11700000000000001</v>
      </c>
      <c r="AF125">
        <v>0.214</v>
      </c>
      <c r="AG125">
        <v>0.17799999999999999</v>
      </c>
      <c r="AH125">
        <v>0.125</v>
      </c>
      <c r="AI125">
        <v>0.22500000000000001</v>
      </c>
    </row>
    <row r="126" spans="1:35" x14ac:dyDescent="0.25">
      <c r="A126" t="s">
        <v>2745</v>
      </c>
      <c r="B126" t="s">
        <v>31</v>
      </c>
      <c r="C126" s="25">
        <v>43711.683692129627</v>
      </c>
      <c r="D126" s="741" t="s">
        <v>2238</v>
      </c>
      <c r="E126" s="741">
        <f t="array" ref="E126">SUMPRODUCT(IF(AMP5_4[[#This Row],[Dim 1_1]:[T 8]]-$F$4:$AI$4&lt;0,1,0)+IF($F$5:$AI$5-AMP5_4[[#This Row],[Dim 1_1]:[T 8]]&lt;0,1,0),IF(ISNUMBER(AMP5_4[[#This Row],[Dim 1_1]:[T 8]])=TRUE,1,0))</f>
        <v>0</v>
      </c>
      <c r="H126">
        <v>155.75800000000001</v>
      </c>
      <c r="I126">
        <v>155.77500000000001</v>
      </c>
      <c r="J126">
        <v>168.71299999999999</v>
      </c>
      <c r="K126">
        <v>168.58099999999999</v>
      </c>
      <c r="L126">
        <v>155.84399999999999</v>
      </c>
      <c r="M126">
        <v>155.642</v>
      </c>
      <c r="N126">
        <v>27.446000000000002</v>
      </c>
      <c r="O126">
        <v>27.632999999999999</v>
      </c>
      <c r="R126">
        <v>17.215</v>
      </c>
      <c r="S126">
        <v>17.353999999999999</v>
      </c>
      <c r="T126">
        <v>37.744</v>
      </c>
      <c r="U126">
        <v>39.999000000000002</v>
      </c>
      <c r="W126">
        <v>0.219</v>
      </c>
      <c r="X126">
        <v>-0.183</v>
      </c>
      <c r="Z126">
        <v>0.27400000000000002</v>
      </c>
      <c r="AA126">
        <v>6.6000000000000003E-2</v>
      </c>
      <c r="AB126">
        <v>0.219</v>
      </c>
      <c r="AC126">
        <v>0.2</v>
      </c>
      <c r="AD126">
        <v>0.111</v>
      </c>
      <c r="AE126">
        <v>-0.183</v>
      </c>
      <c r="AF126">
        <v>0.27400000000000002</v>
      </c>
      <c r="AG126">
        <v>0.27300000000000002</v>
      </c>
      <c r="AH126">
        <v>6.6000000000000003E-2</v>
      </c>
      <c r="AI126">
        <v>0.10299999999999999</v>
      </c>
    </row>
    <row r="127" spans="1:35" x14ac:dyDescent="0.25">
      <c r="A127" t="s">
        <v>2746</v>
      </c>
      <c r="B127" t="s">
        <v>32</v>
      </c>
      <c r="C127" s="25">
        <v>43711.761840277781</v>
      </c>
      <c r="D127" s="741" t="s">
        <v>2238</v>
      </c>
      <c r="E127" s="741">
        <f t="array" ref="E127">SUMPRODUCT(IF(AMP5_4[[#This Row],[Dim 1_1]:[T 8]]-$F$4:$AI$4&lt;0,1,0)+IF($F$5:$AI$5-AMP5_4[[#This Row],[Dim 1_1]:[T 8]]&lt;0,1,0),IF(ISNUMBER(AMP5_4[[#This Row],[Dim 1_1]:[T 8]])=TRUE,1,0))</f>
        <v>0</v>
      </c>
      <c r="F127">
        <v>41.524999999999999</v>
      </c>
      <c r="G127">
        <v>41.594999999999999</v>
      </c>
      <c r="H127">
        <v>155.661</v>
      </c>
      <c r="I127">
        <v>155.63800000000001</v>
      </c>
      <c r="L127">
        <v>155.72399999999999</v>
      </c>
      <c r="M127">
        <v>155.43799999999999</v>
      </c>
      <c r="N127">
        <v>27.521999999999998</v>
      </c>
      <c r="O127">
        <v>27.637</v>
      </c>
      <c r="R127">
        <v>17.280999999999999</v>
      </c>
      <c r="S127">
        <v>17.335999999999999</v>
      </c>
      <c r="T127">
        <v>33.284999999999997</v>
      </c>
      <c r="U127">
        <v>34.002000000000002</v>
      </c>
      <c r="W127">
        <v>0.14199999999999999</v>
      </c>
      <c r="X127">
        <v>7.5999999999999998E-2</v>
      </c>
      <c r="Z127">
        <v>0.20300000000000001</v>
      </c>
      <c r="AA127">
        <v>0.111</v>
      </c>
      <c r="AB127">
        <v>0.126</v>
      </c>
      <c r="AC127">
        <v>0.14199999999999999</v>
      </c>
      <c r="AD127">
        <v>0.14199999999999999</v>
      </c>
      <c r="AE127">
        <v>7.5999999999999998E-2</v>
      </c>
      <c r="AF127">
        <v>0.20300000000000001</v>
      </c>
      <c r="AG127">
        <v>0.16300000000000001</v>
      </c>
      <c r="AH127">
        <v>0.111</v>
      </c>
      <c r="AI127">
        <v>0.11799999999999999</v>
      </c>
    </row>
    <row r="128" spans="1:35" x14ac:dyDescent="0.25">
      <c r="A128" t="s">
        <v>2747</v>
      </c>
      <c r="B128" t="s">
        <v>31</v>
      </c>
      <c r="C128" s="25">
        <v>43711.763888888891</v>
      </c>
      <c r="D128" s="741" t="s">
        <v>2238</v>
      </c>
      <c r="E128" s="741">
        <f t="array" ref="E128">SUMPRODUCT(IF(AMP5_4[[#This Row],[Dim 1_1]:[T 8]]-$F$4:$AI$4&lt;0,1,0)+IF($F$5:$AI$5-AMP5_4[[#This Row],[Dim 1_1]:[T 8]]&lt;0,1,0),IF(ISNUMBER(AMP5_4[[#This Row],[Dim 1_1]:[T 8]])=TRUE,1,0))</f>
        <v>0</v>
      </c>
      <c r="H128">
        <v>155.785</v>
      </c>
      <c r="I128">
        <v>155.81299999999999</v>
      </c>
      <c r="J128">
        <v>168.79599999999999</v>
      </c>
      <c r="K128">
        <v>168.73</v>
      </c>
      <c r="L128">
        <v>155.84299999999999</v>
      </c>
      <c r="M128">
        <v>155.667</v>
      </c>
      <c r="N128">
        <v>27.445</v>
      </c>
      <c r="O128">
        <v>27.609000000000002</v>
      </c>
      <c r="R128">
        <v>17.236999999999998</v>
      </c>
      <c r="S128">
        <v>17.329999999999998</v>
      </c>
      <c r="T128">
        <v>38.722000000000001</v>
      </c>
      <c r="U128">
        <v>39.390999999999998</v>
      </c>
      <c r="W128">
        <v>0.18</v>
      </c>
      <c r="X128">
        <v>-0.16</v>
      </c>
      <c r="Z128">
        <v>0.26500000000000001</v>
      </c>
      <c r="AA128">
        <v>2.1000000000000001E-2</v>
      </c>
      <c r="AB128">
        <v>0.18</v>
      </c>
      <c r="AC128">
        <v>0.16500000000000001</v>
      </c>
      <c r="AD128">
        <v>0.17199999999999999</v>
      </c>
      <c r="AE128">
        <v>-0.16</v>
      </c>
      <c r="AF128">
        <v>0.26500000000000001</v>
      </c>
      <c r="AG128">
        <v>0.218</v>
      </c>
      <c r="AH128">
        <v>2.1000000000000001E-2</v>
      </c>
      <c r="AI128">
        <v>0.112</v>
      </c>
    </row>
    <row r="129" spans="1:35" x14ac:dyDescent="0.25">
      <c r="A129" t="s">
        <v>2748</v>
      </c>
      <c r="B129" t="s">
        <v>32</v>
      </c>
      <c r="C129" s="25">
        <v>43711.81627314815</v>
      </c>
      <c r="D129" s="741" t="s">
        <v>2238</v>
      </c>
      <c r="E129" s="741">
        <f t="array" ref="E129">SUMPRODUCT(IF(AMP5_4[[#This Row],[Dim 1_1]:[T 8]]-$F$4:$AI$4&lt;0,1,0)+IF($F$5:$AI$5-AMP5_4[[#This Row],[Dim 1_1]:[T 8]]&lt;0,1,0),IF(ISNUMBER(AMP5_4[[#This Row],[Dim 1_1]:[T 8]])=TRUE,1,0))</f>
        <v>0</v>
      </c>
      <c r="F129">
        <v>41.584000000000003</v>
      </c>
      <c r="G129">
        <v>41.564999999999998</v>
      </c>
      <c r="H129">
        <v>155.68799999999999</v>
      </c>
      <c r="I129">
        <v>155.71799999999999</v>
      </c>
      <c r="L129">
        <v>155.78399999999999</v>
      </c>
      <c r="M129">
        <v>155.59899999999999</v>
      </c>
      <c r="N129">
        <v>27.425999999999998</v>
      </c>
      <c r="O129">
        <v>27.571999999999999</v>
      </c>
      <c r="R129">
        <v>17.224</v>
      </c>
      <c r="S129">
        <v>17.245999999999999</v>
      </c>
      <c r="T129">
        <v>33.543999999999997</v>
      </c>
      <c r="U129">
        <v>33.970999999999997</v>
      </c>
      <c r="W129">
        <v>0.14399999999999999</v>
      </c>
      <c r="X129">
        <v>3.7999999999999999E-2</v>
      </c>
      <c r="Z129">
        <v>0.14599999999999999</v>
      </c>
      <c r="AA129">
        <v>4.4999999999999998E-2</v>
      </c>
      <c r="AB129">
        <v>0.11799999999999999</v>
      </c>
      <c r="AC129">
        <v>0.14399999999999999</v>
      </c>
      <c r="AD129">
        <v>9.8000000000000004E-2</v>
      </c>
      <c r="AE129">
        <v>3.7999999999999999E-2</v>
      </c>
      <c r="AF129">
        <v>9.7000000000000003E-2</v>
      </c>
      <c r="AG129">
        <v>4.4999999999999998E-2</v>
      </c>
      <c r="AH129">
        <v>6.4000000000000001E-2</v>
      </c>
      <c r="AI129">
        <v>0.14599999999999999</v>
      </c>
    </row>
    <row r="130" spans="1:35" x14ac:dyDescent="0.25">
      <c r="A130" t="s">
        <v>2749</v>
      </c>
      <c r="B130" t="s">
        <v>31</v>
      </c>
      <c r="C130" s="25">
        <v>43711.81832175926</v>
      </c>
      <c r="D130" s="741" t="s">
        <v>2238</v>
      </c>
      <c r="E130" s="741">
        <f t="array" ref="E130">SUMPRODUCT(IF(AMP5_4[[#This Row],[Dim 1_1]:[T 8]]-$F$4:$AI$4&lt;0,1,0)+IF($F$5:$AI$5-AMP5_4[[#This Row],[Dim 1_1]:[T 8]]&lt;0,1,0),IF(ISNUMBER(AMP5_4[[#This Row],[Dim 1_1]:[T 8]])=TRUE,1,0))</f>
        <v>0</v>
      </c>
      <c r="H130">
        <v>155.483</v>
      </c>
      <c r="I130">
        <v>155.47900000000001</v>
      </c>
      <c r="J130">
        <v>168.63800000000001</v>
      </c>
      <c r="K130">
        <v>168.56800000000001</v>
      </c>
      <c r="L130">
        <v>155.63900000000001</v>
      </c>
      <c r="M130">
        <v>155.40700000000001</v>
      </c>
      <c r="N130">
        <v>27.526</v>
      </c>
      <c r="O130">
        <v>27.834</v>
      </c>
      <c r="R130">
        <v>17.274999999999999</v>
      </c>
      <c r="S130">
        <v>17.259</v>
      </c>
      <c r="T130">
        <v>39.325000000000003</v>
      </c>
      <c r="U130">
        <v>40.118000000000002</v>
      </c>
      <c r="W130">
        <v>0.218</v>
      </c>
      <c r="X130">
        <v>0.161</v>
      </c>
      <c r="Z130">
        <v>0.23699999999999999</v>
      </c>
      <c r="AA130">
        <v>0.104</v>
      </c>
      <c r="AB130">
        <v>0.16600000000000001</v>
      </c>
      <c r="AC130">
        <v>0.218</v>
      </c>
      <c r="AD130">
        <v>0.18</v>
      </c>
      <c r="AE130">
        <v>0.161</v>
      </c>
      <c r="AF130">
        <v>0.23699999999999999</v>
      </c>
      <c r="AG130">
        <v>0.191</v>
      </c>
      <c r="AH130">
        <v>0.104</v>
      </c>
      <c r="AI130">
        <v>0.19400000000000001</v>
      </c>
    </row>
    <row r="131" spans="1:35" x14ac:dyDescent="0.25">
      <c r="A131" t="s">
        <v>2750</v>
      </c>
      <c r="B131" t="s">
        <v>32</v>
      </c>
      <c r="C131" s="25">
        <v>43711.820439814815</v>
      </c>
      <c r="D131" s="741" t="s">
        <v>2238</v>
      </c>
      <c r="E131" s="741">
        <f t="array" ref="E131">SUMPRODUCT(IF(AMP5_4[[#This Row],[Dim 1_1]:[T 8]]-$F$4:$AI$4&lt;0,1,0)+IF($F$5:$AI$5-AMP5_4[[#This Row],[Dim 1_1]:[T 8]]&lt;0,1,0),IF(ISNUMBER(AMP5_4[[#This Row],[Dim 1_1]:[T 8]])=TRUE,1,0))</f>
        <v>0</v>
      </c>
      <c r="F131">
        <v>41.442</v>
      </c>
      <c r="G131">
        <v>41.512999999999998</v>
      </c>
      <c r="H131">
        <v>155.709</v>
      </c>
      <c r="I131">
        <v>155.69399999999999</v>
      </c>
      <c r="L131">
        <v>155.774</v>
      </c>
      <c r="M131">
        <v>155.488</v>
      </c>
      <c r="N131">
        <v>27.472999999999999</v>
      </c>
      <c r="O131">
        <v>27.602</v>
      </c>
      <c r="R131">
        <v>17.274000000000001</v>
      </c>
      <c r="S131">
        <v>17.239999999999998</v>
      </c>
      <c r="T131">
        <v>33.204999999999998</v>
      </c>
      <c r="U131">
        <v>34.274000000000001</v>
      </c>
      <c r="W131">
        <v>0.215</v>
      </c>
      <c r="X131">
        <v>6.3E-2</v>
      </c>
      <c r="Z131">
        <v>0.14799999999999999</v>
      </c>
      <c r="AA131">
        <v>8.4000000000000005E-2</v>
      </c>
      <c r="AB131">
        <v>7.8E-2</v>
      </c>
      <c r="AC131">
        <v>9.7000000000000003E-2</v>
      </c>
      <c r="AD131">
        <v>0.215</v>
      </c>
      <c r="AE131">
        <v>6.3E-2</v>
      </c>
      <c r="AF131">
        <v>0.13800000000000001</v>
      </c>
      <c r="AG131">
        <v>8.4000000000000005E-2</v>
      </c>
      <c r="AH131">
        <v>9.7000000000000003E-2</v>
      </c>
      <c r="AI131">
        <v>0.14799999999999999</v>
      </c>
    </row>
    <row r="132" spans="1:35" x14ac:dyDescent="0.25">
      <c r="A132" t="s">
        <v>2751</v>
      </c>
      <c r="B132" t="s">
        <v>31</v>
      </c>
      <c r="C132" s="25">
        <v>43711.822476851848</v>
      </c>
      <c r="D132" s="741" t="s">
        <v>2238</v>
      </c>
      <c r="E132" s="741">
        <f t="array" ref="E132">SUMPRODUCT(IF(AMP5_4[[#This Row],[Dim 1_1]:[T 8]]-$F$4:$AI$4&lt;0,1,0)+IF($F$5:$AI$5-AMP5_4[[#This Row],[Dim 1_1]:[T 8]]&lt;0,1,0),IF(ISNUMBER(AMP5_4[[#This Row],[Dim 1_1]:[T 8]])=TRUE,1,0))</f>
        <v>0</v>
      </c>
      <c r="H132">
        <v>155.893</v>
      </c>
      <c r="I132">
        <v>155.886</v>
      </c>
      <c r="J132">
        <v>168.75</v>
      </c>
      <c r="K132">
        <v>168.61500000000001</v>
      </c>
      <c r="L132">
        <v>155.92099999999999</v>
      </c>
      <c r="M132">
        <v>155.74700000000001</v>
      </c>
      <c r="N132">
        <v>27.382000000000001</v>
      </c>
      <c r="O132">
        <v>27.547999999999998</v>
      </c>
      <c r="R132">
        <v>17.236999999999998</v>
      </c>
      <c r="S132">
        <v>17.283999999999999</v>
      </c>
      <c r="T132">
        <v>38.363999999999997</v>
      </c>
      <c r="U132">
        <v>39.247999999999998</v>
      </c>
      <c r="W132">
        <v>0.12</v>
      </c>
      <c r="X132">
        <v>-0.13700000000000001</v>
      </c>
      <c r="Z132">
        <v>0.16800000000000001</v>
      </c>
      <c r="AA132">
        <v>-3.2000000000000001E-2</v>
      </c>
      <c r="AB132">
        <v>0.12</v>
      </c>
      <c r="AC132">
        <v>0.10100000000000001</v>
      </c>
      <c r="AD132">
        <v>0.11799999999999999</v>
      </c>
      <c r="AE132">
        <v>-0.13700000000000001</v>
      </c>
      <c r="AF132">
        <v>0.16800000000000001</v>
      </c>
      <c r="AG132">
        <v>0.127</v>
      </c>
      <c r="AH132">
        <v>-3.2000000000000001E-2</v>
      </c>
      <c r="AI132">
        <v>5.8000000000000003E-2</v>
      </c>
    </row>
    <row r="133" spans="1:35" x14ac:dyDescent="0.25">
      <c r="D133" s="740"/>
      <c r="E133" s="740"/>
    </row>
  </sheetData>
  <mergeCells count="1">
    <mergeCell ref="E1:E2"/>
  </mergeCells>
  <conditionalFormatting sqref="AJ8:XFD8">
    <cfRule type="notContainsBlanks" priority="16" stopIfTrue="1">
      <formula>LEN(TRIM(AJ8))&gt;0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E1 E3:E1048576">
    <cfRule type="cellIs" dxfId="44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43" priority="10"/>
  </conditionalFormatting>
  <conditionalFormatting sqref="F6:S7 V6:AI7">
    <cfRule type="cellIs" dxfId="42" priority="5" stopIfTrue="1" operator="notBetween">
      <formula>0.35</formula>
      <formula>-0.35</formula>
    </cfRule>
    <cfRule type="cellIs" dxfId="41" priority="6" operator="notBetween">
      <formula>0.2</formula>
      <formula>-0.2</formula>
    </cfRule>
  </conditionalFormatting>
  <conditionalFormatting sqref="T6:U7">
    <cfRule type="cellIs" dxfId="40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39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>
    <tabColor rgb="FF00B050"/>
  </sheetPr>
  <dimension ref="A1:AI255"/>
  <sheetViews>
    <sheetView zoomScale="80" zoomScaleNormal="80" workbookViewId="0">
      <pane xSplit="2" ySplit="8" topLeftCell="AN138" activePane="bottomRight" state="frozenSplit"/>
      <selection pane="topRight" activeCell="C1" sqref="C1"/>
      <selection pane="bottomLeft" activeCell="A9" sqref="A9"/>
      <selection pane="bottomRight" activeCell="C9" sqref="C9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MIN(AMP6_2[Date])</f>
        <v>43698.536458333336</v>
      </c>
      <c r="D1" s="310"/>
      <c r="E1" s="794" t="s">
        <v>40</v>
      </c>
      <c r="F1" s="2">
        <f>IFERROR(AVERAGEIFS(AMP6_2[[#All],[Dim 1_1]],AMP6_2[[#All],[Blade Part Number]],$B1,AMP6_2[[#All],[Date]],"&gt;"&amp;$A$1,AMP6_2[[#All],[Date]],"&lt;"&amp;$A$2),"")</f>
        <v>41.417576923076915</v>
      </c>
      <c r="G1" s="2">
        <f>IFERROR(AVERAGEIFS(AMP6_2[[#All],[Dim 1_2]],AMP6_2[[#All],[Blade Part Number]],$B1,AMP6_2[[#All],[Date]],"&gt;"&amp;$A$1,AMP6_2[[#All],[Date]],"&lt;"&amp;$A$2),"")</f>
        <v>41.592269230769233</v>
      </c>
      <c r="H1" s="2">
        <f>IFERROR(AVERAGEIFS(AMP6_2[[#All],[Dim 2_1]],AMP6_2[[#All],[Blade Part Number]],$B1,AMP6_2[[#All],[Date]],"&gt;"&amp;$A$1,AMP6_2[[#All],[Date]],"&lt;"&amp;$A$2),"")</f>
        <v>155.72684615384617</v>
      </c>
      <c r="I1" s="2">
        <f>IFERROR(AVERAGEIFS(AMP6_2[[#All],[Dim 2_2]],AMP6_2[[#All],[Blade Part Number]],$B1,AMP6_2[[#All],[Date]],"&gt;"&amp;$A$1,AMP6_2[[#All],[Date]],"&lt;"&amp;$A$2),"")</f>
        <v>155.50438461538459</v>
      </c>
      <c r="J1" s="2" t="str">
        <f>IFERROR(AVERAGEIFS(AMP6_2[[#All],[Dim 3_1]],AMP6_2[[#All],[Blade Part Number]],$B1,AMP6_2[[#All],[Date]],"&gt;"&amp;$A$1,AMP6_2[[#All],[Date]],"&lt;"&amp;$A$2),"")</f>
        <v/>
      </c>
      <c r="K1" s="2" t="str">
        <f>IFERROR(AVERAGEIFS(AMP6_2[[#All],[Dim 3_2]],AMP6_2[[#All],[Blade Part Number]],$B1,AMP6_2[[#All],[Date]],"&gt;"&amp;$A$1,AMP6_2[[#All],[Date]],"&lt;"&amp;$A$2),"")</f>
        <v/>
      </c>
      <c r="L1" s="2">
        <f>IFERROR(AVERAGEIFS(AMP6_2[[#All],[Dim 4_1]],AMP6_2[[#All],[Blade Part Number]],$B1,AMP6_2[[#All],[Date]],"&gt;"&amp;$A$1,AMP6_2[[#All],[Date]],"&lt;"&amp;$A$2),"")</f>
        <v>155.8317307692308</v>
      </c>
      <c r="M1" s="2">
        <f>IFERROR(AVERAGEIFS(AMP6_2[[#All],[Dim 4_2]],AMP6_2[[#All],[Blade Part Number]],$B1,AMP6_2[[#All],[Date]],"&gt;"&amp;$A$1,AMP6_2[[#All],[Date]],"&lt;"&amp;$A$2),"")</f>
        <v>155.57065384615385</v>
      </c>
      <c r="N1" s="2">
        <f>IFERROR(AVERAGEIFS(AMP6_2[[#All],[Dim 5_1]],AMP6_2[[#All],[Blade Part Number]],$B1,AMP6_2[[#All],[Date]],"&gt;"&amp;$A$1,AMP6_2[[#All],[Date]],"&lt;"&amp;$A$2),"")</f>
        <v>27.378538461538461</v>
      </c>
      <c r="O1" s="2">
        <f>IFERROR(AVERAGEIFS(AMP6_2[[#All],[Dim 5_2]],AMP6_2[[#All],[Blade Part Number]],$B1,AMP6_2[[#All],[Date]],"&gt;"&amp;$A$1,AMP6_2[[#All],[Date]],"&lt;"&amp;$A$2),"")</f>
        <v>27.552961538461538</v>
      </c>
      <c r="P1" s="2" t="str">
        <f>IFERROR(AVERAGEIFS(AMP6_2[[#All],[Dim 6]],AMP6_2[[#All],[Blade Part Number]],$B1,AMP6_2[[#All],[Date]],"&gt;"&amp;$A$1,AMP6_2[[#All],[Date]],"&lt;"&amp;$A$2),"")</f>
        <v/>
      </c>
      <c r="Q1" s="2" t="str">
        <f>IFERROR(AVERAGEIFS(AMP6_2[[#All],[Dim 7]],AMP6_2[[#All],[Blade Part Number]],$B1,AMP6_2[[#All],[Date]],"&gt;"&amp;$A$1,AMP6_2[[#All],[Date]],"&lt;"&amp;$A$2),"")</f>
        <v/>
      </c>
      <c r="R1" s="2">
        <f>IFERROR(AVERAGEIFS(AMP6_2[[#All],[Dim 9_1]],AMP6_2[[#All],[Blade Part Number]],$B1,AMP6_2[[#All],[Date]],"&gt;"&amp;$A$1,AMP6_2[[#All],[Date]],"&lt;"&amp;$A$2),"")</f>
        <v>17.228653846153847</v>
      </c>
      <c r="S1" s="2">
        <f>IFERROR(AVERAGEIFS(AMP6_2[[#All],[Dim 9_2]],AMP6_2[[#All],[Blade Part Number]],$B1,AMP6_2[[#All],[Date]],"&gt;"&amp;$A$1,AMP6_2[[#All],[Date]],"&lt;"&amp;$A$2),"")</f>
        <v>17.285653846153846</v>
      </c>
      <c r="T1" s="2">
        <f>IFERROR(AVERAGEIFS(AMP6_2[[#All],[Dim 10_1]],AMP6_2[[#All],[Blade Part Number]],$B1,AMP6_2[[#All],[Date]],"&gt;"&amp;$A$1,AMP6_2[[#All],[Date]],"&lt;"&amp;$A$2),"")</f>
        <v>34.698461538461537</v>
      </c>
      <c r="U1" s="2">
        <f>IFERROR(AVERAGEIFS(AMP6_2[[#All],[Dim 10_2]],AMP6_2[[#All],[Blade Part Number]],$B1,AMP6_2[[#All],[Date]],"&gt;"&amp;$A$1,AMP6_2[[#All],[Date]],"&lt;"&amp;$A$2),"")</f>
        <v>34.945538461538469</v>
      </c>
      <c r="V1" s="2" t="str">
        <f>IFERROR(AVERAGEIFS(AMP6_2[[#All],[Dim 11]],AMP6_2[[#All],[Blade Part Number]],$B1,AMP6_2[[#All],[Date]],"&gt;"&amp;$A$1,AMP6_2[[#All],[Date]],"&lt;"&amp;$A$2),"")</f>
        <v/>
      </c>
      <c r="W1" s="2">
        <f>IFERROR(AVERAGEIFS(AMP6_2[[#All],[Dim 11 Max]],AMP6_2[[#All],[Blade Part Number]],$B1,AMP6_2[[#All],[Date]],"&gt;"&amp;$A$1,AMP6_2[[#All],[Date]],"&lt;"&amp;$A$2),"")</f>
        <v>0.17776923076923085</v>
      </c>
      <c r="X1" s="2">
        <f>IFERROR(AVERAGEIFS(AMP6_2[[#All],[Dim 11 Min]],AMP6_2[[#All],[Blade Part Number]],$B1,AMP6_2[[#All],[Date]],"&gt;"&amp;$A$1,AMP6_2[[#All],[Date]],"&lt;"&amp;$A$2),"")</f>
        <v>-2.3846153846153804E-3</v>
      </c>
      <c r="Y1" s="2" t="str">
        <f>IFERROR(AVERAGEIFS(AMP6_2[[#All],[Dim 12]],AMP6_2[[#All],[Blade Part Number]],$B1,AMP6_2[[#All],[Date]],"&gt;"&amp;$A$1,AMP6_2[[#All],[Date]],"&lt;"&amp;$A$2),"")</f>
        <v/>
      </c>
      <c r="Z1" s="2">
        <f>IFERROR(AVERAGEIFS(AMP6_2[[#All],[Dim 12 Max]],AMP6_2[[#All],[Blade Part Number]],$B1,AMP6_2[[#All],[Date]],"&gt;"&amp;$A$1,AMP6_2[[#All],[Date]],"&lt;"&amp;$A$2),"")</f>
        <v>0.33115384615384613</v>
      </c>
      <c r="AA1" s="2">
        <f>IFERROR(AVERAGEIFS(AMP6_2[[#All],[Dim 12 Min]],AMP6_2[[#All],[Blade Part Number]],$B1,AMP6_2[[#All],[Date]],"&gt;"&amp;$A$1,AMP6_2[[#All],[Date]],"&lt;"&amp;$A$2),"")</f>
        <v>0.10157692307692306</v>
      </c>
      <c r="AB1" s="2">
        <f>IFERROR(AVERAGEIFS(AMP6_2[[#All],[T 1]],AMP6_2[[#All],[Blade Part Number]],$B1,AMP6_2[[#All],[Date]],"&gt;"&amp;$A$1,AMP6_2[[#All],[Date]],"&lt;"&amp;$A$2),"")</f>
        <v>0.11519230769230766</v>
      </c>
      <c r="AC1" s="2">
        <f>IFERROR(AVERAGEIFS(AMP6_2[[#All],[T 2]],AMP6_2[[#All],[Blade Part Number]],$B1,AMP6_2[[#All],[Date]],"&gt;"&amp;$A$1,AMP6_2[[#All],[Date]],"&lt;"&amp;$A$2),"")</f>
        <v>0.14126923076923076</v>
      </c>
      <c r="AD1" s="2">
        <f>IFERROR(AVERAGEIFS(AMP6_2[[#All],[T 3]],AMP6_2[[#All],[Blade Part Number]],$B1,AMP6_2[[#All],[Date]],"&gt;"&amp;$A$1,AMP6_2[[#All],[Date]],"&lt;"&amp;$A$2),"")</f>
        <v>8.3653846153846148E-2</v>
      </c>
      <c r="AE1" s="2">
        <f>IFERROR(AVERAGEIFS(AMP6_2[[#All],[T 4]],AMP6_2[[#All],[Blade Part Number]],$B1,AMP6_2[[#All],[Date]],"&gt;"&amp;$A$1,AMP6_2[[#All],[Date]],"&lt;"&amp;$A$2),"")</f>
        <v>3.9961538461538458E-2</v>
      </c>
      <c r="AF1" s="2">
        <f>IFERROR(AVERAGEIFS(AMP6_2[[#All],[T 5]],AMP6_2[[#All],[Blade Part Number]],$B1,AMP6_2[[#All],[Date]],"&gt;"&amp;$A$1,AMP6_2[[#All],[Date]],"&lt;"&amp;$A$2),"")</f>
        <v>0.32130769230769229</v>
      </c>
      <c r="AG1" s="2">
        <f>IFERROR(AVERAGEIFS(AMP6_2[[#All],[T 6]],AMP6_2[[#All],[Blade Part Number]],$B1,AMP6_2[[#All],[Date]],"&gt;"&amp;$A$1,AMP6_2[[#All],[Date]],"&lt;"&amp;$A$2),"")</f>
        <v>0.2811153846153846</v>
      </c>
      <c r="AH1" s="2">
        <f>IFERROR(AVERAGEIFS(AMP6_2[[#All],[T 7]],AMP6_2[[#All],[Blade Part Number]],$B1,AMP6_2[[#All],[Date]],"&gt;"&amp;$A$1,AMP6_2[[#All],[Date]],"&lt;"&amp;$A$2),"")</f>
        <v>0.12407692307692307</v>
      </c>
      <c r="AI1" s="2">
        <f>IFERROR(AVERAGEIFS(AMP6_2[[#All],[T 8]],AMP6_2[[#All],[Blade Part Number]],$B1,AMP6_2[[#All],[Date]],"&gt;"&amp;$A$1,AMP6_2[[#All],[Date]],"&lt;"&amp;$A$2),"")</f>
        <v>0.13496153846153847</v>
      </c>
    </row>
    <row r="2" spans="1:35" x14ac:dyDescent="0.25">
      <c r="A2" s="1">
        <f>'Offset Solver'!E31</f>
        <v>73050</v>
      </c>
      <c r="B2" s="12" t="s">
        <v>31</v>
      </c>
      <c r="C2" s="25">
        <f>MAX(AMP6_2[Date])</f>
        <v>43712.331712962965</v>
      </c>
      <c r="D2" s="310"/>
      <c r="E2" s="794"/>
      <c r="F2" s="2" t="str">
        <f>IFERROR(AVERAGEIFS(AMP6_2[[#All],[Dim 1_1]],AMP6_2[[#All],[Blade Part Number]],$B2,AMP6_2[[#All],[Date]],"&gt;"&amp;$A$1,AMP6_2[[#All],[Date]],"&lt;"&amp;$A$2),"")</f>
        <v/>
      </c>
      <c r="G2" s="2" t="str">
        <f>IFERROR(AVERAGEIFS(AMP6_2[[#All],[Dim 1_2]],AMP6_2[[#All],[Blade Part Number]],$B2,AMP6_2[[#All],[Date]],"&gt;"&amp;$A$1,AMP6_2[[#All],[Date]],"&lt;"&amp;$A$2),"")</f>
        <v/>
      </c>
      <c r="H2" s="2">
        <f>IFERROR(AVERAGEIFS(AMP6_2[[#All],[Dim 2_1]],AMP6_2[[#All],[Blade Part Number]],$B2,AMP6_2[[#All],[Date]],"&gt;"&amp;$A$1,AMP6_2[[#All],[Date]],"&lt;"&amp;$A$2),"")</f>
        <v>155.57923076923078</v>
      </c>
      <c r="I2" s="2">
        <f>IFERROR(AVERAGEIFS(AMP6_2[[#All],[Dim 2_2]],AMP6_2[[#All],[Blade Part Number]],$B2,AMP6_2[[#All],[Date]],"&gt;"&amp;$A$1,AMP6_2[[#All],[Date]],"&lt;"&amp;$A$2),"")</f>
        <v>155.47261538461541</v>
      </c>
      <c r="J2" s="2">
        <f>IFERROR(AVERAGEIFS(AMP6_2[[#All],[Dim 3_1]],AMP6_2[[#All],[Blade Part Number]],$B2,AMP6_2[[#All],[Date]],"&gt;"&amp;$A$1,AMP6_2[[#All],[Date]],"&lt;"&amp;$A$2),"")</f>
        <v>168.63673076923072</v>
      </c>
      <c r="K2" s="2">
        <f>IFERROR(AVERAGEIFS(AMP6_2[[#All],[Dim 3_2]],AMP6_2[[#All],[Blade Part Number]],$B2,AMP6_2[[#All],[Date]],"&gt;"&amp;$A$1,AMP6_2[[#All],[Date]],"&lt;"&amp;$A$2),"")</f>
        <v>168.7929615384615</v>
      </c>
      <c r="L2" s="2">
        <f>IFERROR(AVERAGEIFS(AMP6_2[[#All],[Dim 4_1]],AMP6_2[[#All],[Blade Part Number]],$B2,AMP6_2[[#All],[Date]],"&gt;"&amp;$A$1,AMP6_2[[#All],[Date]],"&lt;"&amp;$A$2),"")</f>
        <v>155.71980769230771</v>
      </c>
      <c r="M2" s="2">
        <f>IFERROR(AVERAGEIFS(AMP6_2[[#All],[Dim 4_2]],AMP6_2[[#All],[Blade Part Number]],$B2,AMP6_2[[#All],[Date]],"&gt;"&amp;$A$1,AMP6_2[[#All],[Date]],"&lt;"&amp;$A$2),"")</f>
        <v>155.63623076923076</v>
      </c>
      <c r="N2" s="2">
        <f>IFERROR(AVERAGEIFS(AMP6_2[[#All],[Dim 5_1]],AMP6_2[[#All],[Blade Part Number]],$B2,AMP6_2[[#All],[Date]],"&gt;"&amp;$A$1,AMP6_2[[#All],[Date]],"&lt;"&amp;$A$2),"")</f>
        <v>27.511538461538461</v>
      </c>
      <c r="O2" s="2">
        <f>IFERROR(AVERAGEIFS(AMP6_2[[#All],[Dim 5_2]],AMP6_2[[#All],[Blade Part Number]],$B2,AMP6_2[[#All],[Date]],"&gt;"&amp;$A$1,AMP6_2[[#All],[Date]],"&lt;"&amp;$A$2),"")</f>
        <v>27.622038461538462</v>
      </c>
      <c r="P2" s="2" t="str">
        <f>IFERROR(AVERAGEIFS(AMP6_2[[#All],[Dim 6]],AMP6_2[[#All],[Blade Part Number]],$B2,AMP6_2[[#All],[Date]],"&gt;"&amp;$A$1,AMP6_2[[#All],[Date]],"&lt;"&amp;$A$2),"")</f>
        <v/>
      </c>
      <c r="Q2" s="2" t="str">
        <f>IFERROR(AVERAGEIFS(AMP6_2[[#All],[Dim 7]],AMP6_2[[#All],[Blade Part Number]],$B2,AMP6_2[[#All],[Date]],"&gt;"&amp;$A$1,AMP6_2[[#All],[Date]],"&lt;"&amp;$A$2),"")</f>
        <v/>
      </c>
      <c r="R2" s="2">
        <f>IFERROR(AVERAGEIFS(AMP6_2[[#All],[Dim 9_1]],AMP6_2[[#All],[Blade Part Number]],$B2,AMP6_2[[#All],[Date]],"&gt;"&amp;$A$1,AMP6_2[[#All],[Date]],"&lt;"&amp;$A$2),"")</f>
        <v>17.243807692307698</v>
      </c>
      <c r="S2" s="2">
        <f>IFERROR(AVERAGEIFS(AMP6_2[[#All],[Dim 9_2]],AMP6_2[[#All],[Blade Part Number]],$B2,AMP6_2[[#All],[Date]],"&gt;"&amp;$A$1,AMP6_2[[#All],[Date]],"&lt;"&amp;$A$2),"")</f>
        <v>17.222307692307691</v>
      </c>
      <c r="T2" s="2">
        <f>IFERROR(AVERAGEIFS(AMP6_2[[#All],[Dim 10_1]],AMP6_2[[#All],[Blade Part Number]],$B2,AMP6_2[[#All],[Date]],"&gt;"&amp;$A$1,AMP6_2[[#All],[Date]],"&lt;"&amp;$A$2),"")</f>
        <v>36.769307692307692</v>
      </c>
      <c r="U2" s="2">
        <f>IFERROR(AVERAGEIFS(AMP6_2[[#All],[Dim 10_2]],AMP6_2[[#All],[Blade Part Number]],$B2,AMP6_2[[#All],[Date]],"&gt;"&amp;$A$1,AMP6_2[[#All],[Date]],"&lt;"&amp;$A$2),"")</f>
        <v>37.947769230769232</v>
      </c>
      <c r="V2" s="2" t="str">
        <f>IFERROR(AVERAGEIFS(AMP6_2[[#All],[Dim 11]],AMP6_2[[#All],[Blade Part Number]],$B2,AMP6_2[[#All],[Date]],"&gt;"&amp;$A$1,AMP6_2[[#All],[Date]],"&lt;"&amp;$A$2),"")</f>
        <v/>
      </c>
      <c r="W2" s="2">
        <f>IFERROR(AVERAGEIFS(AMP6_2[[#All],[Dim 11 Max]],AMP6_2[[#All],[Blade Part Number]],$B2,AMP6_2[[#All],[Date]],"&gt;"&amp;$A$1,AMP6_2[[#All],[Date]],"&lt;"&amp;$A$2),"")</f>
        <v>0.16542307692307687</v>
      </c>
      <c r="X2" s="2">
        <f>IFERROR(AVERAGEIFS(AMP6_2[[#All],[Dim 11 Min]],AMP6_2[[#All],[Blade Part Number]],$B2,AMP6_2[[#All],[Date]],"&gt;"&amp;$A$1,AMP6_2[[#All],[Date]],"&lt;"&amp;$A$2),"")</f>
        <v>-3.707692307692307E-2</v>
      </c>
      <c r="Y2" s="2" t="str">
        <f>IFERROR(AVERAGEIFS(AMP6_2[[#All],[Dim 12]],AMP6_2[[#All],[Blade Part Number]],$B2,AMP6_2[[#All],[Date]],"&gt;"&amp;$A$1,AMP6_2[[#All],[Date]],"&lt;"&amp;$A$2),"")</f>
        <v/>
      </c>
      <c r="Z2" s="2">
        <f>IFERROR(AVERAGEIFS(AMP6_2[[#All],[Dim 12 Max]],AMP6_2[[#All],[Blade Part Number]],$B2,AMP6_2[[#All],[Date]],"&gt;"&amp;$A$1,AMP6_2[[#All],[Date]],"&lt;"&amp;$A$2),"")</f>
        <v>0.24407692307692305</v>
      </c>
      <c r="AA2" s="2">
        <f>IFERROR(AVERAGEIFS(AMP6_2[[#All],[Dim 12 Min]],AMP6_2[[#All],[Blade Part Number]],$B2,AMP6_2[[#All],[Date]],"&gt;"&amp;$A$1,AMP6_2[[#All],[Date]],"&lt;"&amp;$A$2),"")</f>
        <v>8.5384615384615399E-3</v>
      </c>
      <c r="AB2" s="2">
        <f>IFERROR(AVERAGEIFS(AMP6_2[[#All],[T 1]],AMP6_2[[#All],[Blade Part Number]],$B2,AMP6_2[[#All],[Date]],"&gt;"&amp;$A$1,AMP6_2[[#All],[Date]],"&lt;"&amp;$A$2),"")</f>
        <v>7.4461538461538468E-2</v>
      </c>
      <c r="AC2" s="2">
        <f>IFERROR(AVERAGEIFS(AMP6_2[[#All],[T 2]],AMP6_2[[#All],[Blade Part Number]],$B2,AMP6_2[[#All],[Date]],"&gt;"&amp;$A$1,AMP6_2[[#All],[Date]],"&lt;"&amp;$A$2),"")</f>
        <v>0.14153846153846156</v>
      </c>
      <c r="AD2" s="2">
        <f>IFERROR(AVERAGEIFS(AMP6_2[[#All],[T 3]],AMP6_2[[#All],[Blade Part Number]],$B2,AMP6_2[[#All],[Date]],"&gt;"&amp;$A$1,AMP6_2[[#All],[Date]],"&lt;"&amp;$A$2),"")</f>
        <v>-2.9653846153846145E-2</v>
      </c>
      <c r="AE2" s="2">
        <f>IFERROR(AVERAGEIFS(AMP6_2[[#All],[T 4]],AMP6_2[[#All],[Blade Part Number]],$B2,AMP6_2[[#All],[Date]],"&gt;"&amp;$A$1,AMP6_2[[#All],[Date]],"&lt;"&amp;$A$2),"")</f>
        <v>9.0961538461538469E-2</v>
      </c>
      <c r="AF2" s="2">
        <f>IFERROR(AVERAGEIFS(AMP6_2[[#All],[T 5]],AMP6_2[[#All],[Blade Part Number]],$B2,AMP6_2[[#All],[Date]],"&gt;"&amp;$A$1,AMP6_2[[#All],[Date]],"&lt;"&amp;$A$2),"")</f>
        <v>0.23815384615384613</v>
      </c>
      <c r="AG2" s="2">
        <f>IFERROR(AVERAGEIFS(AMP6_2[[#All],[T 6]],AMP6_2[[#All],[Blade Part Number]],$B2,AMP6_2[[#All],[Date]],"&gt;"&amp;$A$1,AMP6_2[[#All],[Date]],"&lt;"&amp;$A$2),"")</f>
        <v>0.16123076923076918</v>
      </c>
      <c r="AH2" s="2">
        <f>IFERROR(AVERAGEIFS(AMP6_2[[#All],[T 7]],AMP6_2[[#All],[Blade Part Number]],$B2,AMP6_2[[#All],[Date]],"&gt;"&amp;$A$1,AMP6_2[[#All],[Date]],"&lt;"&amp;$A$2),"")</f>
        <v>2.2615384615384617E-2</v>
      </c>
      <c r="AI2" s="2">
        <f>IFERROR(AVERAGEIFS(AMP6_2[[#All],[T 8]],AMP6_2[[#All],[Blade Part Number]],$B2,AMP6_2[[#All],[Date]],"&gt;"&amp;$A$1,AMP6_2[[#All],[Date]],"&lt;"&amp;$A$2),"")</f>
        <v>6.6076923076923089E-2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0.11757692307691769</v>
      </c>
      <c r="G6" s="11">
        <f t="shared" si="0"/>
        <v>0.29226923076923583</v>
      </c>
      <c r="H6" s="11">
        <f t="shared" si="0"/>
        <v>-7.315384615384346E-2</v>
      </c>
      <c r="I6" s="11">
        <f t="shared" si="0"/>
        <v>-0.29561538461541659</v>
      </c>
      <c r="J6" s="11" t="str">
        <f t="shared" si="0"/>
        <v/>
      </c>
      <c r="K6" s="11" t="str">
        <f t="shared" si="0"/>
        <v/>
      </c>
      <c r="L6" s="11">
        <f t="shared" si="0"/>
        <v>3.1730769230790656E-2</v>
      </c>
      <c r="M6" s="11">
        <f t="shared" si="0"/>
        <v>-0.22934615384616563</v>
      </c>
      <c r="N6" s="11">
        <f t="shared" si="0"/>
        <v>-2.1461538461537089E-2</v>
      </c>
      <c r="O6" s="11">
        <f t="shared" si="0"/>
        <v>0.1529615384615397</v>
      </c>
      <c r="P6" s="11" t="str">
        <f t="shared" si="0"/>
        <v/>
      </c>
      <c r="Q6" s="11" t="str">
        <f t="shared" si="0"/>
        <v/>
      </c>
      <c r="R6" s="11">
        <f t="shared" si="0"/>
        <v>-2.1346153846153015E-2</v>
      </c>
      <c r="S6" s="11">
        <f t="shared" si="0"/>
        <v>3.5653846153845592E-2</v>
      </c>
      <c r="T6" s="11">
        <f t="shared" si="0"/>
        <v>2.6984615384615367</v>
      </c>
      <c r="U6" s="11">
        <f t="shared" si="0"/>
        <v>2.9455384615384688</v>
      </c>
      <c r="V6" s="11" t="str">
        <f t="shared" si="0"/>
        <v/>
      </c>
      <c r="W6" s="11">
        <f t="shared" si="0"/>
        <v>0.17776923076923085</v>
      </c>
      <c r="X6" s="11">
        <f t="shared" si="0"/>
        <v>-2.3846153846153804E-3</v>
      </c>
      <c r="Y6" s="11" t="str">
        <f t="shared" si="0"/>
        <v/>
      </c>
      <c r="Z6" s="11">
        <f t="shared" si="0"/>
        <v>0.33115384615384613</v>
      </c>
      <c r="AA6" s="11">
        <f t="shared" si="0"/>
        <v>0.10157692307692306</v>
      </c>
      <c r="AB6" s="11">
        <f t="shared" si="0"/>
        <v>0.11519230769230766</v>
      </c>
      <c r="AC6" s="11">
        <f t="shared" si="0"/>
        <v>0.14126923076923076</v>
      </c>
      <c r="AD6" s="11">
        <f t="shared" si="0"/>
        <v>8.3653846153846148E-2</v>
      </c>
      <c r="AE6" s="11">
        <f t="shared" si="0"/>
        <v>3.9961538461538458E-2</v>
      </c>
      <c r="AF6" s="11">
        <f t="shared" si="0"/>
        <v>0.32130769230769229</v>
      </c>
      <c r="AG6" s="11">
        <f t="shared" si="0"/>
        <v>0.2811153846153846</v>
      </c>
      <c r="AH6" s="11">
        <f t="shared" si="0"/>
        <v>0.12407692307692307</v>
      </c>
      <c r="AI6" s="11">
        <f t="shared" si="0"/>
        <v>0.13496153846153847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-0.22076923076923549</v>
      </c>
      <c r="I7" s="11">
        <f t="shared" si="1"/>
        <v>-0.32738461538460228</v>
      </c>
      <c r="J7" s="11">
        <f t="shared" si="1"/>
        <v>-6.326923076926505E-2</v>
      </c>
      <c r="K7" s="11">
        <f t="shared" si="1"/>
        <v>9.2961538461509008E-2</v>
      </c>
      <c r="L7" s="11">
        <f t="shared" si="1"/>
        <v>-8.0192307692300346E-2</v>
      </c>
      <c r="M7" s="11">
        <f t="shared" si="1"/>
        <v>-0.16376923076924754</v>
      </c>
      <c r="N7" s="11">
        <f t="shared" si="1"/>
        <v>0.11153846153846203</v>
      </c>
      <c r="O7" s="11">
        <f t="shared" si="1"/>
        <v>0.22203846153846385</v>
      </c>
      <c r="P7" s="11" t="str">
        <f t="shared" si="1"/>
        <v/>
      </c>
      <c r="Q7" s="11" t="str">
        <f t="shared" si="1"/>
        <v/>
      </c>
      <c r="R7" s="11">
        <f t="shared" si="1"/>
        <v>-6.1923076923022791E-3</v>
      </c>
      <c r="S7" s="11">
        <f t="shared" si="1"/>
        <v>-2.7692307692309015E-2</v>
      </c>
      <c r="T7" s="11">
        <f t="shared" si="1"/>
        <v>4.7693076923076916</v>
      </c>
      <c r="U7" s="11">
        <f t="shared" si="1"/>
        <v>5.9477692307692323</v>
      </c>
      <c r="V7" s="11" t="str">
        <f t="shared" si="1"/>
        <v/>
      </c>
      <c r="W7" s="11">
        <f t="shared" si="1"/>
        <v>0.16542307692307687</v>
      </c>
      <c r="X7" s="11">
        <f t="shared" si="1"/>
        <v>-3.707692307692307E-2</v>
      </c>
      <c r="Y7" s="11" t="str">
        <f t="shared" si="1"/>
        <v/>
      </c>
      <c r="Z7" s="11">
        <f t="shared" si="1"/>
        <v>0.24407692307692305</v>
      </c>
      <c r="AA7" s="11">
        <f t="shared" si="1"/>
        <v>8.5384615384615399E-3</v>
      </c>
      <c r="AB7" s="11">
        <f t="shared" si="1"/>
        <v>7.4461538461538468E-2</v>
      </c>
      <c r="AC7" s="11">
        <f t="shared" si="1"/>
        <v>0.14153846153846156</v>
      </c>
      <c r="AD7" s="11">
        <f t="shared" si="1"/>
        <v>-2.9653846153846145E-2</v>
      </c>
      <c r="AE7" s="11">
        <f t="shared" si="1"/>
        <v>9.0961538461538469E-2</v>
      </c>
      <c r="AF7" s="11">
        <f t="shared" si="1"/>
        <v>0.23815384615384613</v>
      </c>
      <c r="AG7" s="11">
        <f t="shared" si="1"/>
        <v>0.16123076923076918</v>
      </c>
      <c r="AH7" s="11">
        <f t="shared" si="1"/>
        <v>2.2615384615384617E-2</v>
      </c>
      <c r="AI7" s="11">
        <f t="shared" si="1"/>
        <v>6.6076923076923089E-2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1084</v>
      </c>
      <c r="B9" t="s">
        <v>32</v>
      </c>
      <c r="C9" s="25">
        <v>43698.536458333336</v>
      </c>
      <c r="D9" s="741" t="s">
        <v>969</v>
      </c>
      <c r="E9" s="741">
        <f t="array" ref="E9">SUMPRODUCT(IF(AMP6_2[[#This Row],[Dim 1_1]:[T 8]]-$F$4:$AI$4&lt;0,1,0)+IF($F$5:$AI$5-AMP6_2[[#This Row],[Dim 1_1]:[T 8]]&lt;0,1,0),IF(ISNUMBER(AMP6_2[[#This Row],[Dim 1_1]:[T 8]])=TRUE,1,0))</f>
        <v>0</v>
      </c>
      <c r="F9">
        <v>41.29</v>
      </c>
      <c r="G9">
        <v>41.234999999999999</v>
      </c>
      <c r="H9">
        <v>155.82499999999999</v>
      </c>
      <c r="I9">
        <v>155.739</v>
      </c>
      <c r="L9">
        <v>155.779</v>
      </c>
      <c r="M9">
        <v>155.517</v>
      </c>
      <c r="N9">
        <v>27.385999999999999</v>
      </c>
      <c r="O9">
        <v>27.608000000000001</v>
      </c>
      <c r="R9">
        <v>17.242999999999999</v>
      </c>
      <c r="S9">
        <v>17.382000000000001</v>
      </c>
      <c r="T9">
        <v>34.521999999999998</v>
      </c>
      <c r="U9">
        <v>34.957999999999998</v>
      </c>
      <c r="W9">
        <v>0.22500000000000001</v>
      </c>
      <c r="X9">
        <v>-6.7000000000000004E-2</v>
      </c>
      <c r="Z9">
        <v>0.442</v>
      </c>
      <c r="AA9">
        <v>0.14899999999999999</v>
      </c>
      <c r="AB9">
        <v>0.20899999999999999</v>
      </c>
      <c r="AC9">
        <v>0.22500000000000001</v>
      </c>
      <c r="AD9">
        <v>3.6999999999999998E-2</v>
      </c>
      <c r="AE9">
        <v>-6.7000000000000004E-2</v>
      </c>
      <c r="AF9">
        <v>0.442</v>
      </c>
      <c r="AG9">
        <v>0.40799999999999997</v>
      </c>
      <c r="AH9">
        <v>0.14899999999999999</v>
      </c>
      <c r="AI9">
        <v>0.17100000000000001</v>
      </c>
    </row>
    <row r="10" spans="1:35" x14ac:dyDescent="0.25">
      <c r="A10" t="s">
        <v>1085</v>
      </c>
      <c r="B10" t="s">
        <v>31</v>
      </c>
      <c r="C10" s="25">
        <v>43698.538483796299</v>
      </c>
      <c r="D10" s="741" t="s">
        <v>969</v>
      </c>
      <c r="E10" s="741">
        <f t="array" ref="E10">SUMPRODUCT(IF(AMP6_2[[#This Row],[Dim 1_1]:[T 8]]-$F$4:$AI$4&lt;0,1,0)+IF($F$5:$AI$5-AMP6_2[[#This Row],[Dim 1_1]:[T 8]]&lt;0,1,0),IF(ISNUMBER(AMP6_2[[#This Row],[Dim 1_1]:[T 8]])=TRUE,1,0))</f>
        <v>0</v>
      </c>
      <c r="H10">
        <v>155.626</v>
      </c>
      <c r="I10">
        <v>155.59899999999999</v>
      </c>
      <c r="J10">
        <v>168.512</v>
      </c>
      <c r="K10">
        <v>168.56299999999999</v>
      </c>
      <c r="L10">
        <v>155.66999999999999</v>
      </c>
      <c r="M10">
        <v>155.572</v>
      </c>
      <c r="N10">
        <v>27.524000000000001</v>
      </c>
      <c r="O10">
        <v>27.651</v>
      </c>
      <c r="R10">
        <v>17.283999999999999</v>
      </c>
      <c r="S10">
        <v>17.228999999999999</v>
      </c>
      <c r="T10">
        <v>35.442</v>
      </c>
      <c r="U10">
        <v>37.875</v>
      </c>
      <c r="W10">
        <v>0.126</v>
      </c>
      <c r="X10">
        <v>-7.2999999999999995E-2</v>
      </c>
      <c r="Z10">
        <v>0.28399999999999997</v>
      </c>
      <c r="AA10">
        <v>5.6000000000000001E-2</v>
      </c>
      <c r="AB10">
        <v>9.0999999999999998E-2</v>
      </c>
      <c r="AC10">
        <v>0.126</v>
      </c>
      <c r="AD10">
        <v>-7.2999999999999995E-2</v>
      </c>
      <c r="AE10">
        <v>4.0000000000000001E-3</v>
      </c>
      <c r="AF10">
        <v>0.28399999999999997</v>
      </c>
      <c r="AG10">
        <v>0.214</v>
      </c>
      <c r="AH10">
        <v>5.6000000000000001E-2</v>
      </c>
      <c r="AI10">
        <v>0.105</v>
      </c>
    </row>
    <row r="11" spans="1:35" x14ac:dyDescent="0.25">
      <c r="A11" t="s">
        <v>1086</v>
      </c>
      <c r="B11" t="s">
        <v>32</v>
      </c>
      <c r="C11" s="25">
        <v>43698.633784722224</v>
      </c>
      <c r="D11" s="741" t="s">
        <v>969</v>
      </c>
      <c r="E11" s="741">
        <f t="array" ref="E11">SUMPRODUCT(IF(AMP6_2[[#This Row],[Dim 1_1]:[T 8]]-$F$4:$AI$4&lt;0,1,0)+IF($F$5:$AI$5-AMP6_2[[#This Row],[Dim 1_1]:[T 8]]&lt;0,1,0),IF(ISNUMBER(AMP6_2[[#This Row],[Dim 1_1]:[T 8]])=TRUE,1,0))</f>
        <v>0</v>
      </c>
      <c r="F11">
        <v>41.381999999999998</v>
      </c>
      <c r="G11">
        <v>41.384999999999998</v>
      </c>
      <c r="H11">
        <v>155.68899999999999</v>
      </c>
      <c r="I11">
        <v>155.589</v>
      </c>
      <c r="L11">
        <v>155.66999999999999</v>
      </c>
      <c r="M11">
        <v>155.357</v>
      </c>
      <c r="N11">
        <v>27.484999999999999</v>
      </c>
      <c r="O11">
        <v>27.707000000000001</v>
      </c>
      <c r="R11">
        <v>17.245999999999999</v>
      </c>
      <c r="S11">
        <v>17.341000000000001</v>
      </c>
      <c r="T11">
        <v>34.841999999999999</v>
      </c>
      <c r="U11">
        <v>35.045000000000002</v>
      </c>
      <c r="W11">
        <v>0.307</v>
      </c>
      <c r="X11">
        <v>7.1999999999999995E-2</v>
      </c>
      <c r="Z11">
        <v>0.45200000000000001</v>
      </c>
      <c r="AA11">
        <v>0.22700000000000001</v>
      </c>
      <c r="AB11">
        <v>0.253</v>
      </c>
      <c r="AC11">
        <v>0.26800000000000002</v>
      </c>
      <c r="AD11">
        <v>7.1999999999999995E-2</v>
      </c>
      <c r="AE11">
        <v>0.307</v>
      </c>
      <c r="AF11">
        <v>0.45200000000000001</v>
      </c>
      <c r="AG11">
        <v>0.42299999999999999</v>
      </c>
      <c r="AH11">
        <v>0.22700000000000001</v>
      </c>
      <c r="AI11">
        <v>0.308</v>
      </c>
    </row>
    <row r="12" spans="1:35" x14ac:dyDescent="0.25">
      <c r="A12" t="s">
        <v>1087</v>
      </c>
      <c r="B12" t="s">
        <v>31</v>
      </c>
      <c r="C12" s="25">
        <v>43698.635868055557</v>
      </c>
      <c r="D12" s="741" t="s">
        <v>969</v>
      </c>
      <c r="E12" s="741">
        <f t="array" ref="E12">SUMPRODUCT(IF(AMP6_2[[#This Row],[Dim 1_1]:[T 8]]-$F$4:$AI$4&lt;0,1,0)+IF($F$5:$AI$5-AMP6_2[[#This Row],[Dim 1_1]:[T 8]]&lt;0,1,0),IF(ISNUMBER(AMP6_2[[#This Row],[Dim 1_1]:[T 8]])=TRUE,1,0))</f>
        <v>0</v>
      </c>
      <c r="H12">
        <v>155.57499999999999</v>
      </c>
      <c r="I12">
        <v>155.59100000000001</v>
      </c>
      <c r="J12">
        <v>168.42599999999999</v>
      </c>
      <c r="K12">
        <v>168.333</v>
      </c>
      <c r="L12">
        <v>155.596</v>
      </c>
      <c r="M12">
        <v>155.50800000000001</v>
      </c>
      <c r="N12">
        <v>27.57</v>
      </c>
      <c r="O12">
        <v>27.675000000000001</v>
      </c>
      <c r="R12">
        <v>17.242999999999999</v>
      </c>
      <c r="S12">
        <v>17.375</v>
      </c>
      <c r="T12">
        <v>35.484000000000002</v>
      </c>
      <c r="U12">
        <v>36.552999999999997</v>
      </c>
      <c r="W12">
        <v>0.152</v>
      </c>
      <c r="X12">
        <v>-0.183</v>
      </c>
      <c r="Z12">
        <v>0.35799999999999998</v>
      </c>
      <c r="AA12">
        <v>9.5000000000000001E-2</v>
      </c>
      <c r="AB12">
        <v>0.11</v>
      </c>
      <c r="AC12">
        <v>0.152</v>
      </c>
      <c r="AD12">
        <v>-0.183</v>
      </c>
      <c r="AE12">
        <v>-0.05</v>
      </c>
      <c r="AF12">
        <v>0.35799999999999998</v>
      </c>
      <c r="AG12">
        <v>0.29499999999999998</v>
      </c>
      <c r="AH12">
        <v>9.5000000000000001E-2</v>
      </c>
      <c r="AI12">
        <v>0.13500000000000001</v>
      </c>
    </row>
    <row r="13" spans="1:35" x14ac:dyDescent="0.25">
      <c r="A13" t="s">
        <v>1088</v>
      </c>
      <c r="B13" t="s">
        <v>32</v>
      </c>
      <c r="C13" s="25">
        <v>43698.809710648151</v>
      </c>
      <c r="D13" s="741" t="s">
        <v>969</v>
      </c>
      <c r="E13" s="741">
        <f t="array" ref="E13">SUMPRODUCT(IF(AMP6_2[[#This Row],[Dim 1_1]:[T 8]]-$F$4:$AI$4&lt;0,1,0)+IF($F$5:$AI$5-AMP6_2[[#This Row],[Dim 1_1]:[T 8]]&lt;0,1,0),IF(ISNUMBER(AMP6_2[[#This Row],[Dim 1_1]:[T 8]])=TRUE,1,0))</f>
        <v>0</v>
      </c>
      <c r="F13">
        <v>41.3</v>
      </c>
      <c r="G13">
        <v>41.052999999999997</v>
      </c>
      <c r="H13">
        <v>155.84299999999999</v>
      </c>
      <c r="I13">
        <v>155.73099999999999</v>
      </c>
      <c r="L13">
        <v>155.82400000000001</v>
      </c>
      <c r="M13">
        <v>155.535</v>
      </c>
      <c r="N13">
        <v>27.352</v>
      </c>
      <c r="O13">
        <v>27.547000000000001</v>
      </c>
      <c r="R13">
        <v>17.231999999999999</v>
      </c>
      <c r="S13">
        <v>17.329999999999998</v>
      </c>
      <c r="T13">
        <v>34.752000000000002</v>
      </c>
      <c r="U13">
        <v>34.843000000000004</v>
      </c>
      <c r="W13">
        <v>0.19700000000000001</v>
      </c>
      <c r="X13">
        <v>0.01</v>
      </c>
      <c r="Z13">
        <v>0.36299999999999999</v>
      </c>
      <c r="AA13">
        <v>0.13300000000000001</v>
      </c>
      <c r="AB13">
        <v>0.17599999999999999</v>
      </c>
      <c r="AC13">
        <v>0.19700000000000001</v>
      </c>
      <c r="AD13">
        <v>8.1000000000000003E-2</v>
      </c>
      <c r="AE13">
        <v>0.01</v>
      </c>
      <c r="AF13">
        <v>0.36299999999999999</v>
      </c>
      <c r="AG13">
        <v>0.33700000000000002</v>
      </c>
      <c r="AH13">
        <v>0.14599999999999999</v>
      </c>
      <c r="AI13">
        <v>0.13300000000000001</v>
      </c>
    </row>
    <row r="14" spans="1:35" x14ac:dyDescent="0.25">
      <c r="A14" t="s">
        <v>1089</v>
      </c>
      <c r="B14" t="s">
        <v>31</v>
      </c>
      <c r="C14" s="25">
        <v>43698.811736111114</v>
      </c>
      <c r="D14" s="741" t="s">
        <v>969</v>
      </c>
      <c r="E14" s="741">
        <f t="array" ref="E14">SUMPRODUCT(IF(AMP6_2[[#This Row],[Dim 1_1]:[T 8]]-$F$4:$AI$4&lt;0,1,0)+IF($F$5:$AI$5-AMP6_2[[#This Row],[Dim 1_1]:[T 8]]&lt;0,1,0),IF(ISNUMBER(AMP6_2[[#This Row],[Dim 1_1]:[T 8]])=TRUE,1,0))</f>
        <v>0</v>
      </c>
      <c r="H14">
        <v>155.69999999999999</v>
      </c>
      <c r="I14">
        <v>155.67500000000001</v>
      </c>
      <c r="J14">
        <v>168.506</v>
      </c>
      <c r="K14">
        <v>168.464</v>
      </c>
      <c r="L14">
        <v>155.697</v>
      </c>
      <c r="M14">
        <v>155.642</v>
      </c>
      <c r="N14">
        <v>27.497</v>
      </c>
      <c r="O14">
        <v>27.597000000000001</v>
      </c>
      <c r="R14">
        <v>17.268999999999998</v>
      </c>
      <c r="S14">
        <v>17.204000000000001</v>
      </c>
      <c r="T14">
        <v>37.277999999999999</v>
      </c>
      <c r="U14">
        <v>37.802999999999997</v>
      </c>
      <c r="W14">
        <v>-1.9E-2</v>
      </c>
      <c r="X14">
        <v>-0.186</v>
      </c>
      <c r="Z14">
        <v>0.14899999999999999</v>
      </c>
      <c r="AA14">
        <v>-2.7E-2</v>
      </c>
      <c r="AB14">
        <v>-6.3E-2</v>
      </c>
      <c r="AC14">
        <v>-1.9E-2</v>
      </c>
      <c r="AD14">
        <v>-0.17599999999999999</v>
      </c>
      <c r="AE14">
        <v>-0.186</v>
      </c>
      <c r="AF14">
        <v>0.14899999999999999</v>
      </c>
      <c r="AG14">
        <v>0.09</v>
      </c>
      <c r="AH14">
        <v>1.6E-2</v>
      </c>
      <c r="AI14">
        <v>-2.7E-2</v>
      </c>
    </row>
    <row r="15" spans="1:35" x14ac:dyDescent="0.25">
      <c r="A15" t="s">
        <v>1090</v>
      </c>
      <c r="B15" t="s">
        <v>32</v>
      </c>
      <c r="C15" s="25">
        <v>43698.844641203701</v>
      </c>
      <c r="D15" s="741" t="s">
        <v>969</v>
      </c>
      <c r="E15" s="741">
        <f t="array" ref="E15">SUMPRODUCT(IF(AMP6_2[[#This Row],[Dim 1_1]:[T 8]]-$F$4:$AI$4&lt;0,1,0)+IF($F$5:$AI$5-AMP6_2[[#This Row],[Dim 1_1]:[T 8]]&lt;0,1,0),IF(ISNUMBER(AMP6_2[[#This Row],[Dim 1_1]:[T 8]])=TRUE,1,0))</f>
        <v>0</v>
      </c>
      <c r="F15">
        <v>41.401000000000003</v>
      </c>
      <c r="G15">
        <v>41.293999999999997</v>
      </c>
      <c r="H15">
        <v>155.804</v>
      </c>
      <c r="I15">
        <v>155.70599999999999</v>
      </c>
      <c r="L15">
        <v>155.73699999999999</v>
      </c>
      <c r="M15">
        <v>155.46199999999999</v>
      </c>
      <c r="N15">
        <v>27.434000000000001</v>
      </c>
      <c r="O15">
        <v>27.65</v>
      </c>
      <c r="R15">
        <v>17.207999999999998</v>
      </c>
      <c r="S15">
        <v>17.387</v>
      </c>
      <c r="T15">
        <v>34.701000000000001</v>
      </c>
      <c r="U15">
        <v>34.895000000000003</v>
      </c>
      <c r="W15">
        <v>0.255</v>
      </c>
      <c r="X15">
        <v>-1.4999999999999999E-2</v>
      </c>
      <c r="Z15">
        <v>0.44900000000000001</v>
      </c>
      <c r="AA15">
        <v>0.126</v>
      </c>
      <c r="AB15">
        <v>0.22500000000000001</v>
      </c>
      <c r="AC15">
        <v>0.255</v>
      </c>
      <c r="AD15">
        <v>1.7000000000000001E-2</v>
      </c>
      <c r="AE15">
        <v>-1.4999999999999999E-2</v>
      </c>
      <c r="AF15">
        <v>0.44900000000000001</v>
      </c>
      <c r="AG15">
        <v>0.4</v>
      </c>
      <c r="AH15">
        <v>0.13100000000000001</v>
      </c>
      <c r="AI15">
        <v>0.126</v>
      </c>
    </row>
    <row r="16" spans="1:35" x14ac:dyDescent="0.25">
      <c r="A16" t="s">
        <v>1091</v>
      </c>
      <c r="B16" t="s">
        <v>31</v>
      </c>
      <c r="C16" s="25">
        <v>43698.846712962964</v>
      </c>
      <c r="D16" s="741" t="s">
        <v>969</v>
      </c>
      <c r="E16" s="741">
        <f t="array" ref="E16">SUMPRODUCT(IF(AMP6_2[[#This Row],[Dim 1_1]:[T 8]]-$F$4:$AI$4&lt;0,1,0)+IF($F$5:$AI$5-AMP6_2[[#This Row],[Dim 1_1]:[T 8]]&lt;0,1,0),IF(ISNUMBER(AMP6_2[[#This Row],[Dim 1_1]:[T 8]])=TRUE,1,0))</f>
        <v>0</v>
      </c>
      <c r="H16">
        <v>155.625</v>
      </c>
      <c r="I16">
        <v>155.62</v>
      </c>
      <c r="J16">
        <v>168.48599999999999</v>
      </c>
      <c r="K16">
        <v>168.459</v>
      </c>
      <c r="L16">
        <v>155.65899999999999</v>
      </c>
      <c r="M16">
        <v>155.60300000000001</v>
      </c>
      <c r="N16">
        <v>27.513000000000002</v>
      </c>
      <c r="O16">
        <v>27.594999999999999</v>
      </c>
      <c r="R16">
        <v>17.276</v>
      </c>
      <c r="S16">
        <v>17.189</v>
      </c>
      <c r="T16">
        <v>35.841000000000001</v>
      </c>
      <c r="U16">
        <v>36.618000000000002</v>
      </c>
      <c r="W16">
        <v>0.08</v>
      </c>
      <c r="X16">
        <v>-0.14099999999999999</v>
      </c>
      <c r="Z16">
        <v>0.26900000000000002</v>
      </c>
      <c r="AA16">
        <v>4.8000000000000001E-2</v>
      </c>
      <c r="AB16">
        <v>3.5000000000000003E-2</v>
      </c>
      <c r="AC16">
        <v>0.08</v>
      </c>
      <c r="AD16">
        <v>-0.14099999999999999</v>
      </c>
      <c r="AE16">
        <v>-3.9E-2</v>
      </c>
      <c r="AF16">
        <v>0.26900000000000002</v>
      </c>
      <c r="AG16">
        <v>0.20899999999999999</v>
      </c>
      <c r="AH16">
        <v>4.8000000000000001E-2</v>
      </c>
      <c r="AI16">
        <v>0.104</v>
      </c>
    </row>
    <row r="17" spans="1:35" x14ac:dyDescent="0.25">
      <c r="A17" t="s">
        <v>1092</v>
      </c>
      <c r="B17" t="s">
        <v>32</v>
      </c>
      <c r="C17" s="25">
        <v>43698.893078703702</v>
      </c>
      <c r="D17" s="741" t="s">
        <v>969</v>
      </c>
      <c r="E17" s="741">
        <f t="array" ref="E17">SUMPRODUCT(IF(AMP6_2[[#This Row],[Dim 1_1]:[T 8]]-$F$4:$AI$4&lt;0,1,0)+IF($F$5:$AI$5-AMP6_2[[#This Row],[Dim 1_1]:[T 8]]&lt;0,1,0),IF(ISNUMBER(AMP6_2[[#This Row],[Dim 1_1]:[T 8]])=TRUE,1,0))</f>
        <v>0</v>
      </c>
      <c r="F17">
        <v>41.244999999999997</v>
      </c>
      <c r="G17">
        <v>41.195999999999998</v>
      </c>
      <c r="H17">
        <v>155.81</v>
      </c>
      <c r="I17">
        <v>155.71</v>
      </c>
      <c r="L17">
        <v>155.75700000000001</v>
      </c>
      <c r="M17">
        <v>155.495</v>
      </c>
      <c r="N17">
        <v>27.407</v>
      </c>
      <c r="O17">
        <v>27.606000000000002</v>
      </c>
      <c r="R17">
        <v>17.254000000000001</v>
      </c>
      <c r="S17">
        <v>17.311</v>
      </c>
      <c r="T17">
        <v>34.259</v>
      </c>
      <c r="U17">
        <v>35.338999999999999</v>
      </c>
      <c r="W17">
        <v>0.19</v>
      </c>
      <c r="X17">
        <v>2.5999999999999999E-2</v>
      </c>
      <c r="Z17">
        <v>0.375</v>
      </c>
      <c r="AA17">
        <v>0.19</v>
      </c>
      <c r="AB17">
        <v>0.16400000000000001</v>
      </c>
      <c r="AC17">
        <v>0.19</v>
      </c>
      <c r="AD17">
        <v>8.5999999999999993E-2</v>
      </c>
      <c r="AE17">
        <v>2.5999999999999999E-2</v>
      </c>
      <c r="AF17">
        <v>0.375</v>
      </c>
      <c r="AG17">
        <v>0.34100000000000003</v>
      </c>
      <c r="AH17">
        <v>0.19</v>
      </c>
      <c r="AI17">
        <v>0.19800000000000001</v>
      </c>
    </row>
    <row r="18" spans="1:35" x14ac:dyDescent="0.25">
      <c r="A18" t="s">
        <v>1093</v>
      </c>
      <c r="B18" t="s">
        <v>31</v>
      </c>
      <c r="C18" s="25">
        <v>43698.895370370374</v>
      </c>
      <c r="D18" s="741" t="s">
        <v>969</v>
      </c>
      <c r="E18" s="741">
        <f t="array" ref="E18">SUMPRODUCT(IF(AMP6_2[[#This Row],[Dim 1_1]:[T 8]]-$F$4:$AI$4&lt;0,1,0)+IF($F$5:$AI$5-AMP6_2[[#This Row],[Dim 1_1]:[T 8]]&lt;0,1,0),IF(ISNUMBER(AMP6_2[[#This Row],[Dim 1_1]:[T 8]])=TRUE,1,0))</f>
        <v>0</v>
      </c>
      <c r="H18">
        <v>155.65700000000001</v>
      </c>
      <c r="I18">
        <v>155.64699999999999</v>
      </c>
      <c r="J18">
        <v>168.41200000000001</v>
      </c>
      <c r="K18">
        <v>168.37100000000001</v>
      </c>
      <c r="L18">
        <v>155.71100000000001</v>
      </c>
      <c r="M18">
        <v>155.65</v>
      </c>
      <c r="N18">
        <v>27.509</v>
      </c>
      <c r="O18">
        <v>27.605</v>
      </c>
      <c r="R18">
        <v>17.282</v>
      </c>
      <c r="S18">
        <v>17.260000000000002</v>
      </c>
      <c r="T18">
        <v>35.420999999999999</v>
      </c>
      <c r="U18">
        <v>36.299999999999997</v>
      </c>
      <c r="W18">
        <v>8.6999999999999994E-2</v>
      </c>
      <c r="X18">
        <v>-0.19</v>
      </c>
      <c r="Z18">
        <v>0.24199999999999999</v>
      </c>
      <c r="AA18">
        <v>-6.5000000000000002E-2</v>
      </c>
      <c r="AB18">
        <v>0.04</v>
      </c>
      <c r="AC18">
        <v>8.6999999999999994E-2</v>
      </c>
      <c r="AD18">
        <v>-0.19</v>
      </c>
      <c r="AE18">
        <v>-0.113</v>
      </c>
      <c r="AF18">
        <v>0.24199999999999999</v>
      </c>
      <c r="AG18">
        <v>0.17199999999999999</v>
      </c>
      <c r="AH18">
        <v>-6.5000000000000002E-2</v>
      </c>
      <c r="AI18">
        <v>-2E-3</v>
      </c>
    </row>
    <row r="19" spans="1:35" x14ac:dyDescent="0.25">
      <c r="A19" t="s">
        <v>1094</v>
      </c>
      <c r="B19" t="s">
        <v>32</v>
      </c>
      <c r="C19" s="25">
        <v>43698.99013888889</v>
      </c>
      <c r="D19" s="741" t="s">
        <v>969</v>
      </c>
      <c r="E19" s="741">
        <f t="array" ref="E19">SUMPRODUCT(IF(AMP6_2[[#This Row],[Dim 1_1]:[T 8]]-$F$4:$AI$4&lt;0,1,0)+IF($F$5:$AI$5-AMP6_2[[#This Row],[Dim 1_1]:[T 8]]&lt;0,1,0),IF(ISNUMBER(AMP6_2[[#This Row],[Dim 1_1]:[T 8]])=TRUE,1,0))</f>
        <v>0</v>
      </c>
      <c r="F19">
        <v>41.261000000000003</v>
      </c>
      <c r="G19">
        <v>41.118000000000002</v>
      </c>
      <c r="H19">
        <v>155.83600000000001</v>
      </c>
      <c r="I19">
        <v>155.74600000000001</v>
      </c>
      <c r="L19">
        <v>155.81800000000001</v>
      </c>
      <c r="M19">
        <v>155.55799999999999</v>
      </c>
      <c r="N19">
        <v>27.373999999999999</v>
      </c>
      <c r="O19">
        <v>27.552</v>
      </c>
      <c r="R19">
        <v>17.242000000000001</v>
      </c>
      <c r="S19">
        <v>17.396000000000001</v>
      </c>
      <c r="T19">
        <v>34.567</v>
      </c>
      <c r="U19">
        <v>34.832999999999998</v>
      </c>
      <c r="W19">
        <v>0.14299999999999999</v>
      </c>
      <c r="X19">
        <v>-4.9000000000000002E-2</v>
      </c>
      <c r="Z19">
        <v>0.32500000000000001</v>
      </c>
      <c r="AA19">
        <v>-3.0000000000000001E-3</v>
      </c>
      <c r="AB19">
        <v>0.107</v>
      </c>
      <c r="AC19">
        <v>0.14299999999999999</v>
      </c>
      <c r="AD19">
        <v>-1.0999999999999999E-2</v>
      </c>
      <c r="AE19">
        <v>-4.9000000000000002E-2</v>
      </c>
      <c r="AF19">
        <v>0.32500000000000001</v>
      </c>
      <c r="AG19">
        <v>0.26</v>
      </c>
      <c r="AH19">
        <v>6.5000000000000002E-2</v>
      </c>
      <c r="AI19">
        <v>-3.0000000000000001E-3</v>
      </c>
    </row>
    <row r="20" spans="1:35" x14ac:dyDescent="0.25">
      <c r="A20" t="s">
        <v>1095</v>
      </c>
      <c r="B20" t="s">
        <v>31</v>
      </c>
      <c r="C20" s="25">
        <v>43698.992766203701</v>
      </c>
      <c r="D20" s="741" t="s">
        <v>969</v>
      </c>
      <c r="E20" s="741">
        <f t="array" ref="E20">SUMPRODUCT(IF(AMP6_2[[#This Row],[Dim 1_1]:[T 8]]-$F$4:$AI$4&lt;0,1,0)+IF($F$5:$AI$5-AMP6_2[[#This Row],[Dim 1_1]:[T 8]]&lt;0,1,0),IF(ISNUMBER(AMP6_2[[#This Row],[Dim 1_1]:[T 8]])=TRUE,1,0))</f>
        <v>0</v>
      </c>
      <c r="H20">
        <v>155.69399999999999</v>
      </c>
      <c r="I20">
        <v>155.68899999999999</v>
      </c>
      <c r="J20">
        <v>168.51300000000001</v>
      </c>
      <c r="K20">
        <v>168.53100000000001</v>
      </c>
      <c r="L20">
        <v>155.73500000000001</v>
      </c>
      <c r="M20">
        <v>155.70699999999999</v>
      </c>
      <c r="N20">
        <v>27.454999999999998</v>
      </c>
      <c r="O20">
        <v>27.515999999999998</v>
      </c>
      <c r="R20">
        <v>17.263000000000002</v>
      </c>
      <c r="S20">
        <v>17.178000000000001</v>
      </c>
      <c r="T20">
        <v>37.432000000000002</v>
      </c>
      <c r="U20">
        <v>38.834000000000003</v>
      </c>
      <c r="W20">
        <v>-2.5000000000000001E-2</v>
      </c>
      <c r="X20">
        <v>-0.2</v>
      </c>
      <c r="Z20">
        <v>0.19600000000000001</v>
      </c>
      <c r="AA20">
        <v>-5.6000000000000001E-2</v>
      </c>
      <c r="AB20">
        <v>-7.0999999999999994E-2</v>
      </c>
      <c r="AC20">
        <v>-2.5000000000000001E-2</v>
      </c>
      <c r="AD20">
        <v>-0.2</v>
      </c>
      <c r="AE20">
        <v>-0.16300000000000001</v>
      </c>
      <c r="AF20">
        <v>0.19600000000000001</v>
      </c>
      <c r="AG20">
        <v>0.129</v>
      </c>
      <c r="AH20">
        <v>-5.6000000000000001E-2</v>
      </c>
      <c r="AI20">
        <v>-3.0000000000000001E-3</v>
      </c>
    </row>
    <row r="21" spans="1:35" x14ac:dyDescent="0.25">
      <c r="A21" t="s">
        <v>1096</v>
      </c>
      <c r="B21" t="s">
        <v>32</v>
      </c>
      <c r="C21" s="25">
        <v>43699.057986111111</v>
      </c>
      <c r="D21" s="741" t="s">
        <v>969</v>
      </c>
      <c r="E21" s="741">
        <f t="array" ref="E21">SUMPRODUCT(IF(AMP6_2[[#This Row],[Dim 1_1]:[T 8]]-$F$4:$AI$4&lt;0,1,0)+IF($F$5:$AI$5-AMP6_2[[#This Row],[Dim 1_1]:[T 8]]&lt;0,1,0),IF(ISNUMBER(AMP6_2[[#This Row],[Dim 1_1]:[T 8]])=TRUE,1,0))</f>
        <v>0</v>
      </c>
      <c r="F21">
        <v>41.384</v>
      </c>
      <c r="G21">
        <v>41.290999999999997</v>
      </c>
      <c r="H21">
        <v>155.83699999999999</v>
      </c>
      <c r="I21">
        <v>155.697</v>
      </c>
      <c r="L21">
        <v>155.79</v>
      </c>
      <c r="M21">
        <v>155.483</v>
      </c>
      <c r="N21">
        <v>27.4</v>
      </c>
      <c r="O21">
        <v>27.611999999999998</v>
      </c>
      <c r="R21">
        <v>17.222000000000001</v>
      </c>
      <c r="S21">
        <v>17.370999999999999</v>
      </c>
      <c r="T21">
        <v>34.396999999999998</v>
      </c>
      <c r="U21">
        <v>35.048999999999999</v>
      </c>
      <c r="W21">
        <v>0.23799999999999999</v>
      </c>
      <c r="X21">
        <v>4.0000000000000001E-3</v>
      </c>
      <c r="Z21">
        <v>0.39800000000000002</v>
      </c>
      <c r="AA21">
        <v>0.13900000000000001</v>
      </c>
      <c r="AB21">
        <v>0.21199999999999999</v>
      </c>
      <c r="AC21">
        <v>0.23799999999999999</v>
      </c>
      <c r="AD21">
        <v>0.106</v>
      </c>
      <c r="AE21">
        <v>4.0000000000000001E-3</v>
      </c>
      <c r="AF21">
        <v>0.39800000000000002</v>
      </c>
      <c r="AG21">
        <v>0.34499999999999997</v>
      </c>
      <c r="AH21">
        <v>0.221</v>
      </c>
      <c r="AI21">
        <v>0.13900000000000001</v>
      </c>
    </row>
    <row r="22" spans="1:35" x14ac:dyDescent="0.25">
      <c r="A22" t="s">
        <v>1097</v>
      </c>
      <c r="B22" t="s">
        <v>31</v>
      </c>
      <c r="C22" s="25">
        <v>43699.060902777775</v>
      </c>
      <c r="D22" s="741" t="s">
        <v>969</v>
      </c>
      <c r="E22" s="741">
        <f t="array" ref="E22">SUMPRODUCT(IF(AMP6_2[[#This Row],[Dim 1_1]:[T 8]]-$F$4:$AI$4&lt;0,1,0)+IF($F$5:$AI$5-AMP6_2[[#This Row],[Dim 1_1]:[T 8]]&lt;0,1,0),IF(ISNUMBER(AMP6_2[[#This Row],[Dim 1_1]:[T 8]])=TRUE,1,0))</f>
        <v>0</v>
      </c>
      <c r="H22">
        <v>155.666</v>
      </c>
      <c r="I22">
        <v>155.62</v>
      </c>
      <c r="J22">
        <v>168.571</v>
      </c>
      <c r="K22">
        <v>168.52699999999999</v>
      </c>
      <c r="L22">
        <v>155.69</v>
      </c>
      <c r="M22">
        <v>155.57599999999999</v>
      </c>
      <c r="N22">
        <v>27.498999999999999</v>
      </c>
      <c r="O22">
        <v>27.658999999999999</v>
      </c>
      <c r="R22">
        <v>17.257999999999999</v>
      </c>
      <c r="S22">
        <v>17.128</v>
      </c>
      <c r="T22">
        <v>36.856000000000002</v>
      </c>
      <c r="U22">
        <v>37.225000000000001</v>
      </c>
      <c r="W22">
        <v>0.14599999999999999</v>
      </c>
      <c r="X22">
        <v>-9.1999999999999998E-2</v>
      </c>
      <c r="Z22">
        <v>0.26900000000000002</v>
      </c>
      <c r="AA22">
        <v>0</v>
      </c>
      <c r="AB22">
        <v>9.9000000000000005E-2</v>
      </c>
      <c r="AC22">
        <v>0.14599999999999999</v>
      </c>
      <c r="AD22">
        <v>-9.1999999999999998E-2</v>
      </c>
      <c r="AE22">
        <v>-8.0000000000000002E-3</v>
      </c>
      <c r="AF22">
        <v>0.26900000000000002</v>
      </c>
      <c r="AG22">
        <v>0.20100000000000001</v>
      </c>
      <c r="AH22">
        <v>0</v>
      </c>
      <c r="AI22">
        <v>7.0000000000000007E-2</v>
      </c>
    </row>
    <row r="23" spans="1:35" x14ac:dyDescent="0.25">
      <c r="A23" t="s">
        <v>1098</v>
      </c>
      <c r="B23" t="s">
        <v>32</v>
      </c>
      <c r="C23" s="25">
        <v>43699.346631944441</v>
      </c>
      <c r="D23" s="741" t="s">
        <v>969</v>
      </c>
      <c r="E23" s="741">
        <f t="array" ref="E23">SUMPRODUCT(IF(AMP6_2[[#This Row],[Dim 1_1]:[T 8]]-$F$4:$AI$4&lt;0,1,0)+IF($F$5:$AI$5-AMP6_2[[#This Row],[Dim 1_1]:[T 8]]&lt;0,1,0),IF(ISNUMBER(AMP6_2[[#This Row],[Dim 1_1]:[T 8]])=TRUE,1,0))</f>
        <v>0</v>
      </c>
      <c r="F23">
        <v>41.115000000000002</v>
      </c>
      <c r="G23">
        <v>41.055</v>
      </c>
      <c r="H23">
        <v>155.83600000000001</v>
      </c>
      <c r="I23">
        <v>155.756</v>
      </c>
      <c r="L23">
        <v>155.81899999999999</v>
      </c>
      <c r="M23">
        <v>155.553</v>
      </c>
      <c r="N23">
        <v>27.355</v>
      </c>
      <c r="O23">
        <v>27.527000000000001</v>
      </c>
      <c r="R23">
        <v>17.228999999999999</v>
      </c>
      <c r="S23">
        <v>17.335000000000001</v>
      </c>
      <c r="T23">
        <v>34.716999999999999</v>
      </c>
      <c r="U23">
        <v>35.097999999999999</v>
      </c>
      <c r="W23">
        <v>0.14000000000000001</v>
      </c>
      <c r="X23">
        <v>-0.11899999999999999</v>
      </c>
      <c r="Z23">
        <v>0.30499999999999999</v>
      </c>
      <c r="AA23">
        <v>0.08</v>
      </c>
      <c r="AB23">
        <v>0.11899999999999999</v>
      </c>
      <c r="AC23">
        <v>0.14000000000000001</v>
      </c>
      <c r="AD23">
        <v>1E-3</v>
      </c>
      <c r="AE23">
        <v>-0.11899999999999999</v>
      </c>
      <c r="AF23">
        <v>0.30499999999999999</v>
      </c>
      <c r="AG23">
        <v>0.28299999999999997</v>
      </c>
      <c r="AH23">
        <v>0.108</v>
      </c>
      <c r="AI23">
        <v>0.08</v>
      </c>
    </row>
    <row r="24" spans="1:35" x14ac:dyDescent="0.25">
      <c r="A24" t="s">
        <v>1099</v>
      </c>
      <c r="B24" t="s">
        <v>31</v>
      </c>
      <c r="C24" s="25">
        <v>43699.348726851851</v>
      </c>
      <c r="D24" s="741" t="s">
        <v>969</v>
      </c>
      <c r="E24" s="741">
        <f t="array" ref="E24">SUMPRODUCT(IF(AMP6_2[[#This Row],[Dim 1_1]:[T 8]]-$F$4:$AI$4&lt;0,1,0)+IF($F$5:$AI$5-AMP6_2[[#This Row],[Dim 1_1]:[T 8]]&lt;0,1,0),IF(ISNUMBER(AMP6_2[[#This Row],[Dim 1_1]:[T 8]])=TRUE,1,0))</f>
        <v>0</v>
      </c>
      <c r="H24">
        <v>155.661</v>
      </c>
      <c r="I24">
        <v>155.69900000000001</v>
      </c>
      <c r="J24">
        <v>168.28100000000001</v>
      </c>
      <c r="K24">
        <v>168.262</v>
      </c>
      <c r="L24">
        <v>155.69499999999999</v>
      </c>
      <c r="M24">
        <v>155.65</v>
      </c>
      <c r="N24">
        <v>27.501000000000001</v>
      </c>
      <c r="O24">
        <v>27.582000000000001</v>
      </c>
      <c r="R24">
        <v>17.254000000000001</v>
      </c>
      <c r="S24">
        <v>17.201000000000001</v>
      </c>
      <c r="T24">
        <v>34.014000000000003</v>
      </c>
      <c r="U24">
        <v>38.779000000000003</v>
      </c>
      <c r="W24">
        <v>4.0000000000000001E-3</v>
      </c>
      <c r="X24">
        <v>-0.2</v>
      </c>
      <c r="Z24">
        <v>0.16400000000000001</v>
      </c>
      <c r="AA24">
        <v>-8.5000000000000006E-2</v>
      </c>
      <c r="AB24">
        <v>-3.4000000000000002E-2</v>
      </c>
      <c r="AC24">
        <v>4.0000000000000001E-3</v>
      </c>
      <c r="AD24">
        <v>-0.2</v>
      </c>
      <c r="AE24">
        <v>-8.6999999999999994E-2</v>
      </c>
      <c r="AF24">
        <v>0.16400000000000001</v>
      </c>
      <c r="AG24">
        <v>0.105</v>
      </c>
      <c r="AH24">
        <v>-8.5000000000000006E-2</v>
      </c>
      <c r="AI24">
        <v>2.8000000000000001E-2</v>
      </c>
    </row>
    <row r="25" spans="1:35" x14ac:dyDescent="0.25">
      <c r="A25" t="s">
        <v>1100</v>
      </c>
      <c r="B25" t="s">
        <v>32</v>
      </c>
      <c r="C25" s="25">
        <v>43699.43241898148</v>
      </c>
      <c r="D25" s="741" t="s">
        <v>969</v>
      </c>
      <c r="E25" s="741">
        <f t="array" ref="E25">SUMPRODUCT(IF(AMP6_2[[#This Row],[Dim 1_1]:[T 8]]-$F$4:$AI$4&lt;0,1,0)+IF($F$5:$AI$5-AMP6_2[[#This Row],[Dim 1_1]:[T 8]]&lt;0,1,0),IF(ISNUMBER(AMP6_2[[#This Row],[Dim 1_1]:[T 8]])=TRUE,1,0))</f>
        <v>0</v>
      </c>
      <c r="F25">
        <v>41.274999999999999</v>
      </c>
      <c r="G25">
        <v>41.174999999999997</v>
      </c>
      <c r="H25">
        <v>155.86199999999999</v>
      </c>
      <c r="I25">
        <v>155.71600000000001</v>
      </c>
      <c r="L25">
        <v>155.85300000000001</v>
      </c>
      <c r="M25">
        <v>155.50399999999999</v>
      </c>
      <c r="N25">
        <v>27.326000000000001</v>
      </c>
      <c r="O25">
        <v>27.617999999999999</v>
      </c>
      <c r="R25">
        <v>17.260999999999999</v>
      </c>
      <c r="S25">
        <v>17.337</v>
      </c>
      <c r="T25">
        <v>34.680999999999997</v>
      </c>
      <c r="U25">
        <v>34.869999999999997</v>
      </c>
      <c r="W25">
        <v>0.14899999999999999</v>
      </c>
      <c r="X25">
        <v>7.9000000000000001E-2</v>
      </c>
      <c r="Z25">
        <v>0.33</v>
      </c>
      <c r="AA25">
        <v>0.16400000000000001</v>
      </c>
      <c r="AB25">
        <v>0.109</v>
      </c>
      <c r="AC25">
        <v>0.14899999999999999</v>
      </c>
      <c r="AD25">
        <v>7.9000000000000001E-2</v>
      </c>
      <c r="AE25">
        <v>0.11</v>
      </c>
      <c r="AF25">
        <v>0.33</v>
      </c>
      <c r="AG25">
        <v>0.29499999999999998</v>
      </c>
      <c r="AH25">
        <v>0.184</v>
      </c>
      <c r="AI25">
        <v>0.16400000000000001</v>
      </c>
    </row>
    <row r="26" spans="1:35" x14ac:dyDescent="0.25">
      <c r="A26" t="s">
        <v>1101</v>
      </c>
      <c r="B26" t="s">
        <v>31</v>
      </c>
      <c r="C26" s="25">
        <v>43699.434710648151</v>
      </c>
      <c r="D26" s="741" t="s">
        <v>969</v>
      </c>
      <c r="E26" s="741">
        <f t="array" ref="E26">SUMPRODUCT(IF(AMP6_2[[#This Row],[Dim 1_1]:[T 8]]-$F$4:$AI$4&lt;0,1,0)+IF($F$5:$AI$5-AMP6_2[[#This Row],[Dim 1_1]:[T 8]]&lt;0,1,0),IF(ISNUMBER(AMP6_2[[#This Row],[Dim 1_1]:[T 8]])=TRUE,1,0))</f>
        <v>0</v>
      </c>
      <c r="H26">
        <v>155.71799999999999</v>
      </c>
      <c r="I26">
        <v>155.69800000000001</v>
      </c>
      <c r="J26">
        <v>168.55199999999999</v>
      </c>
      <c r="K26">
        <v>168.53399999999999</v>
      </c>
      <c r="L26">
        <v>155.75200000000001</v>
      </c>
      <c r="M26">
        <v>155.71100000000001</v>
      </c>
      <c r="N26">
        <v>27.452000000000002</v>
      </c>
      <c r="O26">
        <v>27.538</v>
      </c>
      <c r="R26">
        <v>17.29</v>
      </c>
      <c r="S26">
        <v>17.202000000000002</v>
      </c>
      <c r="T26">
        <v>36.701999999999998</v>
      </c>
      <c r="U26">
        <v>38.573</v>
      </c>
      <c r="W26">
        <v>1.6E-2</v>
      </c>
      <c r="X26">
        <v>-0.11700000000000001</v>
      </c>
      <c r="Z26">
        <v>0.22700000000000001</v>
      </c>
      <c r="AA26">
        <v>4.8000000000000001E-2</v>
      </c>
      <c r="AB26">
        <v>-1.2E-2</v>
      </c>
      <c r="AC26">
        <v>1.6E-2</v>
      </c>
      <c r="AD26">
        <v>-0.11700000000000001</v>
      </c>
      <c r="AE26">
        <v>-8.5999999999999993E-2</v>
      </c>
      <c r="AF26">
        <v>0.22700000000000001</v>
      </c>
      <c r="AG26">
        <v>0.17299999999999999</v>
      </c>
      <c r="AH26">
        <v>4.8000000000000001E-2</v>
      </c>
      <c r="AI26">
        <v>0.113</v>
      </c>
    </row>
    <row r="27" spans="1:35" x14ac:dyDescent="0.25">
      <c r="A27" t="s">
        <v>1102</v>
      </c>
      <c r="B27" t="s">
        <v>32</v>
      </c>
      <c r="C27" s="25">
        <v>43699.555694444447</v>
      </c>
      <c r="D27" s="741" t="s">
        <v>969</v>
      </c>
      <c r="E27" s="741">
        <f t="array" ref="E27">SUMPRODUCT(IF(AMP6_2[[#This Row],[Dim 1_1]:[T 8]]-$F$4:$AI$4&lt;0,1,0)+IF($F$5:$AI$5-AMP6_2[[#This Row],[Dim 1_1]:[T 8]]&lt;0,1,0),IF(ISNUMBER(AMP6_2[[#This Row],[Dim 1_1]:[T 8]])=TRUE,1,0))</f>
        <v>3</v>
      </c>
      <c r="F27">
        <v>41.478000000000002</v>
      </c>
      <c r="G27">
        <v>41.392000000000003</v>
      </c>
      <c r="H27">
        <v>155.62100000000001</v>
      </c>
      <c r="I27">
        <v>155.52500000000001</v>
      </c>
      <c r="L27">
        <v>155.6</v>
      </c>
      <c r="M27">
        <v>155.333</v>
      </c>
      <c r="N27">
        <v>27.57</v>
      </c>
      <c r="O27">
        <v>27.72</v>
      </c>
      <c r="R27">
        <v>17.268000000000001</v>
      </c>
      <c r="S27">
        <v>17.486999999999998</v>
      </c>
      <c r="T27">
        <v>34.765000000000001</v>
      </c>
      <c r="U27">
        <v>34.744999999999997</v>
      </c>
      <c r="W27">
        <v>0.56699999999999995</v>
      </c>
      <c r="X27">
        <v>0.17699999999999999</v>
      </c>
      <c r="Z27">
        <v>0.88400000000000001</v>
      </c>
      <c r="AA27">
        <v>0.48799999999999999</v>
      </c>
      <c r="AB27">
        <v>0.55100000000000005</v>
      </c>
      <c r="AC27">
        <v>0.56699999999999995</v>
      </c>
      <c r="AD27">
        <v>0.34300000000000003</v>
      </c>
      <c r="AE27">
        <v>0.17699999999999999</v>
      </c>
      <c r="AF27">
        <v>0.88400000000000001</v>
      </c>
      <c r="AG27">
        <v>0.86299999999999999</v>
      </c>
      <c r="AH27">
        <v>0.48799999999999999</v>
      </c>
      <c r="AI27">
        <v>0.56499999999999995</v>
      </c>
    </row>
    <row r="28" spans="1:35" x14ac:dyDescent="0.25">
      <c r="A28" t="s">
        <v>1103</v>
      </c>
      <c r="B28" t="s">
        <v>31</v>
      </c>
      <c r="C28" s="25">
        <v>43699.559745370374</v>
      </c>
      <c r="D28" s="741" t="s">
        <v>969</v>
      </c>
      <c r="E28" s="741">
        <f t="array" ref="E28">SUMPRODUCT(IF(AMP6_2[[#This Row],[Dim 1_1]:[T 8]]-$F$4:$AI$4&lt;0,1,0)+IF($F$5:$AI$5-AMP6_2[[#This Row],[Dim 1_1]:[T 8]]&lt;0,1,0),IF(ISNUMBER(AMP6_2[[#This Row],[Dim 1_1]:[T 8]])=TRUE,1,0))</f>
        <v>2</v>
      </c>
      <c r="H28">
        <v>155.41200000000001</v>
      </c>
      <c r="I28">
        <v>155.321</v>
      </c>
      <c r="J28">
        <v>168.36199999999999</v>
      </c>
      <c r="K28">
        <v>168.108</v>
      </c>
      <c r="L28">
        <v>155.43199999999999</v>
      </c>
      <c r="M28">
        <v>155.29499999999999</v>
      </c>
      <c r="N28">
        <v>27.742999999999999</v>
      </c>
      <c r="O28">
        <v>27.916</v>
      </c>
      <c r="R28">
        <v>17.273</v>
      </c>
      <c r="S28">
        <v>17.259</v>
      </c>
      <c r="T28">
        <v>38.499000000000002</v>
      </c>
      <c r="U28">
        <v>40.228999999999999</v>
      </c>
      <c r="W28">
        <v>0.48899999999999999</v>
      </c>
      <c r="X28">
        <v>0.30399999999999999</v>
      </c>
      <c r="Z28">
        <v>0.73099999999999998</v>
      </c>
      <c r="AA28">
        <v>0.44400000000000001</v>
      </c>
      <c r="AB28">
        <v>0.41899999999999998</v>
      </c>
      <c r="AC28">
        <v>0.48899999999999999</v>
      </c>
      <c r="AD28">
        <v>0.30399999999999999</v>
      </c>
      <c r="AE28">
        <v>0.42099999999999999</v>
      </c>
      <c r="AF28">
        <v>0.73099999999999998</v>
      </c>
      <c r="AG28">
        <v>0.67200000000000004</v>
      </c>
      <c r="AH28">
        <v>0.44400000000000001</v>
      </c>
      <c r="AI28">
        <v>0.52500000000000002</v>
      </c>
    </row>
    <row r="29" spans="1:35" x14ac:dyDescent="0.25">
      <c r="A29" t="s">
        <v>1104</v>
      </c>
      <c r="B29" t="s">
        <v>32</v>
      </c>
      <c r="C29" s="25">
        <v>43699.635208333333</v>
      </c>
      <c r="D29" s="741" t="s">
        <v>969</v>
      </c>
      <c r="E29" s="741">
        <f t="array" ref="E29">SUMPRODUCT(IF(AMP6_2[[#This Row],[Dim 1_1]:[T 8]]-$F$4:$AI$4&lt;0,1,0)+IF($F$5:$AI$5-AMP6_2[[#This Row],[Dim 1_1]:[T 8]]&lt;0,1,0),IF(ISNUMBER(AMP6_2[[#This Row],[Dim 1_1]:[T 8]])=TRUE,1,0))</f>
        <v>3</v>
      </c>
      <c r="F29">
        <v>41.55</v>
      </c>
      <c r="G29">
        <v>41.588999999999999</v>
      </c>
      <c r="H29">
        <v>155.67400000000001</v>
      </c>
      <c r="I29">
        <v>155.59100000000001</v>
      </c>
      <c r="L29">
        <v>155.65799999999999</v>
      </c>
      <c r="M29">
        <v>155.43700000000001</v>
      </c>
      <c r="N29">
        <v>27.51</v>
      </c>
      <c r="O29">
        <v>27.65</v>
      </c>
      <c r="R29">
        <v>17.242000000000001</v>
      </c>
      <c r="S29">
        <v>17.375</v>
      </c>
      <c r="T29">
        <v>34.674999999999997</v>
      </c>
      <c r="U29">
        <v>34.890999999999998</v>
      </c>
      <c r="W29">
        <v>0.47099999999999997</v>
      </c>
      <c r="X29">
        <v>0.253</v>
      </c>
      <c r="Z29">
        <v>0.79400000000000004</v>
      </c>
      <c r="AA29">
        <v>0.52600000000000002</v>
      </c>
      <c r="AB29">
        <v>0.45300000000000001</v>
      </c>
      <c r="AC29">
        <v>0.47099999999999997</v>
      </c>
      <c r="AD29">
        <v>0.31</v>
      </c>
      <c r="AE29">
        <v>0.253</v>
      </c>
      <c r="AF29">
        <v>0.79400000000000004</v>
      </c>
      <c r="AG29">
        <v>0.77700000000000002</v>
      </c>
      <c r="AH29">
        <v>0.52600000000000002</v>
      </c>
      <c r="AI29">
        <v>0.57599999999999996</v>
      </c>
    </row>
    <row r="30" spans="1:35" x14ac:dyDescent="0.25">
      <c r="A30" t="s">
        <v>1105</v>
      </c>
      <c r="B30" t="s">
        <v>31</v>
      </c>
      <c r="C30" s="25">
        <v>43699.637858796297</v>
      </c>
      <c r="D30" s="741" t="s">
        <v>969</v>
      </c>
      <c r="E30" s="741">
        <f t="array" ref="E30">SUMPRODUCT(IF(AMP6_2[[#This Row],[Dim 1_1]:[T 8]]-$F$4:$AI$4&lt;0,1,0)+IF($F$5:$AI$5-AMP6_2[[#This Row],[Dim 1_1]:[T 8]]&lt;0,1,0),IF(ISNUMBER(AMP6_2[[#This Row],[Dim 1_1]:[T 8]])=TRUE,1,0))</f>
        <v>0</v>
      </c>
      <c r="H30">
        <v>155.453</v>
      </c>
      <c r="I30">
        <v>155.38800000000001</v>
      </c>
      <c r="J30">
        <v>168.511</v>
      </c>
      <c r="K30">
        <v>168.709</v>
      </c>
      <c r="L30">
        <v>155.49600000000001</v>
      </c>
      <c r="M30">
        <v>155.36699999999999</v>
      </c>
      <c r="N30">
        <v>27.690999999999999</v>
      </c>
      <c r="O30">
        <v>27.835999999999999</v>
      </c>
      <c r="R30">
        <v>17.253</v>
      </c>
      <c r="S30">
        <v>17.358000000000001</v>
      </c>
      <c r="T30">
        <v>37.823999999999998</v>
      </c>
      <c r="U30">
        <v>39.139000000000003</v>
      </c>
      <c r="W30">
        <v>0.39500000000000002</v>
      </c>
      <c r="X30">
        <v>0.126</v>
      </c>
      <c r="Z30">
        <v>0.60499999999999998</v>
      </c>
      <c r="AA30">
        <v>0.26400000000000001</v>
      </c>
      <c r="AB30">
        <v>0.32800000000000001</v>
      </c>
      <c r="AC30">
        <v>0.39500000000000002</v>
      </c>
      <c r="AD30">
        <v>0.126</v>
      </c>
      <c r="AE30">
        <v>0.27300000000000002</v>
      </c>
      <c r="AF30">
        <v>0.60499999999999998</v>
      </c>
      <c r="AG30">
        <v>0.55400000000000005</v>
      </c>
      <c r="AH30">
        <v>0.26400000000000001</v>
      </c>
      <c r="AI30">
        <v>0.32900000000000001</v>
      </c>
    </row>
    <row r="31" spans="1:35" x14ac:dyDescent="0.25">
      <c r="A31" t="s">
        <v>1239</v>
      </c>
      <c r="B31" t="s">
        <v>32</v>
      </c>
      <c r="C31" s="25">
        <v>43699.716365740744</v>
      </c>
      <c r="D31" s="741" t="s">
        <v>969</v>
      </c>
      <c r="E31" s="741">
        <f t="array" ref="E31">SUMPRODUCT(IF(AMP6_2[[#This Row],[Dim 1_1]:[T 8]]-$F$4:$AI$4&lt;0,1,0)+IF($F$5:$AI$5-AMP6_2[[#This Row],[Dim 1_1]:[T 8]]&lt;0,1,0),IF(ISNUMBER(AMP6_2[[#This Row],[Dim 1_1]:[T 8]])=TRUE,1,0))</f>
        <v>0</v>
      </c>
      <c r="F31">
        <v>41.536000000000001</v>
      </c>
      <c r="G31">
        <v>41.609000000000002</v>
      </c>
      <c r="H31">
        <v>155.672</v>
      </c>
      <c r="I31">
        <v>155.58000000000001</v>
      </c>
      <c r="L31">
        <v>155.65899999999999</v>
      </c>
      <c r="M31">
        <v>155.43600000000001</v>
      </c>
      <c r="N31">
        <v>27.527000000000001</v>
      </c>
      <c r="O31">
        <v>27.667000000000002</v>
      </c>
      <c r="R31">
        <v>17.257999999999999</v>
      </c>
      <c r="S31">
        <v>17.36</v>
      </c>
      <c r="T31">
        <v>34.65</v>
      </c>
      <c r="U31">
        <v>34.837000000000003</v>
      </c>
      <c r="W31">
        <v>0.38600000000000001</v>
      </c>
      <c r="X31">
        <v>0.11899999999999999</v>
      </c>
      <c r="Z31">
        <v>0.52400000000000002</v>
      </c>
      <c r="AA31">
        <v>0.29499999999999998</v>
      </c>
      <c r="AB31">
        <v>0.36699999999999999</v>
      </c>
      <c r="AC31">
        <v>0.38600000000000001</v>
      </c>
      <c r="AD31">
        <v>0.248</v>
      </c>
      <c r="AE31">
        <v>0.11899999999999999</v>
      </c>
      <c r="AF31">
        <v>0.52400000000000002</v>
      </c>
      <c r="AG31">
        <v>0.499</v>
      </c>
      <c r="AH31">
        <v>0.29499999999999998</v>
      </c>
      <c r="AI31">
        <v>0.315</v>
      </c>
    </row>
    <row r="32" spans="1:35" x14ac:dyDescent="0.25">
      <c r="A32" t="s">
        <v>1240</v>
      </c>
      <c r="B32" t="s">
        <v>31</v>
      </c>
      <c r="C32" s="25">
        <v>43699.718449074076</v>
      </c>
      <c r="D32" s="741" t="s">
        <v>969</v>
      </c>
      <c r="E32" s="741">
        <f t="array" ref="E32">SUMPRODUCT(IF(AMP6_2[[#This Row],[Dim 1_1]:[T 8]]-$F$4:$AI$4&lt;0,1,0)+IF($F$5:$AI$5-AMP6_2[[#This Row],[Dim 1_1]:[T 8]]&lt;0,1,0),IF(ISNUMBER(AMP6_2[[#This Row],[Dim 1_1]:[T 8]])=TRUE,1,0))</f>
        <v>0</v>
      </c>
      <c r="H32">
        <v>155.44</v>
      </c>
      <c r="I32">
        <v>155.36600000000001</v>
      </c>
      <c r="J32">
        <v>168.524</v>
      </c>
      <c r="K32">
        <v>168.625</v>
      </c>
      <c r="L32">
        <v>155.5</v>
      </c>
      <c r="M32">
        <v>155.34899999999999</v>
      </c>
      <c r="N32">
        <v>27.704999999999998</v>
      </c>
      <c r="O32">
        <v>27.88</v>
      </c>
      <c r="R32">
        <v>17.245999999999999</v>
      </c>
      <c r="S32">
        <v>17.233000000000001</v>
      </c>
      <c r="T32">
        <v>38.14</v>
      </c>
      <c r="U32">
        <v>38.497</v>
      </c>
      <c r="W32">
        <v>0.252</v>
      </c>
      <c r="X32">
        <v>7.2999999999999995E-2</v>
      </c>
      <c r="Z32">
        <v>0.32900000000000001</v>
      </c>
      <c r="AA32">
        <v>6.0999999999999999E-2</v>
      </c>
      <c r="AB32">
        <v>0.17799999999999999</v>
      </c>
      <c r="AC32">
        <v>0.252</v>
      </c>
      <c r="AD32">
        <v>7.2999999999999995E-2</v>
      </c>
      <c r="AE32">
        <v>0.20899999999999999</v>
      </c>
      <c r="AF32">
        <v>0.32900000000000001</v>
      </c>
      <c r="AG32">
        <v>0.27200000000000002</v>
      </c>
      <c r="AH32">
        <v>6.0999999999999999E-2</v>
      </c>
      <c r="AI32">
        <v>0.13100000000000001</v>
      </c>
    </row>
    <row r="33" spans="1:35" x14ac:dyDescent="0.25">
      <c r="A33" t="s">
        <v>1959</v>
      </c>
      <c r="B33" t="s">
        <v>32</v>
      </c>
      <c r="C33" s="25">
        <v>43705.74009259259</v>
      </c>
      <c r="D33" s="741" t="s">
        <v>969</v>
      </c>
      <c r="E33" s="741">
        <f t="array" ref="E33">SUMPRODUCT(IF(AMP6_2[[#This Row],[Dim 1_1]:[T 8]]-$F$4:$AI$4&lt;0,1,0)+IF($F$5:$AI$5-AMP6_2[[#This Row],[Dim 1_1]:[T 8]]&lt;0,1,0),IF(ISNUMBER(AMP6_2[[#This Row],[Dim 1_1]:[T 8]])=TRUE,1,0))</f>
        <v>0</v>
      </c>
      <c r="F33">
        <v>41.164999999999999</v>
      </c>
      <c r="G33">
        <v>41.228999999999999</v>
      </c>
      <c r="H33">
        <v>155.452</v>
      </c>
      <c r="I33">
        <v>155.161</v>
      </c>
      <c r="L33">
        <v>155.904</v>
      </c>
      <c r="M33">
        <v>155.60599999999999</v>
      </c>
      <c r="N33">
        <v>27.344999999999999</v>
      </c>
      <c r="O33">
        <v>27.472999999999999</v>
      </c>
      <c r="R33">
        <v>17.225000000000001</v>
      </c>
      <c r="S33">
        <v>17.265000000000001</v>
      </c>
      <c r="T33">
        <v>35.088999999999999</v>
      </c>
      <c r="U33">
        <v>34.713000000000001</v>
      </c>
      <c r="W33">
        <v>0.13800000000000001</v>
      </c>
      <c r="X33">
        <v>-2E-3</v>
      </c>
      <c r="Z33">
        <v>0.38500000000000001</v>
      </c>
      <c r="AA33">
        <v>0.14699999999999999</v>
      </c>
      <c r="AB33">
        <v>0.106</v>
      </c>
      <c r="AC33">
        <v>0.13800000000000001</v>
      </c>
      <c r="AD33">
        <v>4.9000000000000002E-2</v>
      </c>
      <c r="AE33">
        <v>-2E-3</v>
      </c>
      <c r="AF33">
        <v>0.38500000000000001</v>
      </c>
      <c r="AG33">
        <v>0.35299999999999998</v>
      </c>
      <c r="AH33">
        <v>0.14699999999999999</v>
      </c>
      <c r="AI33">
        <v>0.188</v>
      </c>
    </row>
    <row r="34" spans="1:35" x14ac:dyDescent="0.25">
      <c r="A34" t="s">
        <v>1960</v>
      </c>
      <c r="B34" t="s">
        <v>31</v>
      </c>
      <c r="C34" s="25">
        <v>43705.741655092592</v>
      </c>
      <c r="D34" s="741" t="s">
        <v>969</v>
      </c>
      <c r="E34" s="741">
        <f t="array" ref="E34">SUMPRODUCT(IF(AMP6_2[[#This Row],[Dim 1_1]:[T 8]]-$F$4:$AI$4&lt;0,1,0)+IF($F$5:$AI$5-AMP6_2[[#This Row],[Dim 1_1]:[T 8]]&lt;0,1,0),IF(ISNUMBER(AMP6_2[[#This Row],[Dim 1_1]:[T 8]])=TRUE,1,0))</f>
        <v>1</v>
      </c>
      <c r="H34">
        <v>155.11099999999999</v>
      </c>
      <c r="I34">
        <v>154.929</v>
      </c>
      <c r="J34">
        <v>168.35300000000001</v>
      </c>
      <c r="K34">
        <v>168.46100000000001</v>
      </c>
      <c r="L34">
        <v>155.56299999999999</v>
      </c>
      <c r="M34">
        <v>155.51499999999999</v>
      </c>
      <c r="N34">
        <v>27.716999999999999</v>
      </c>
      <c r="O34">
        <v>27.695</v>
      </c>
      <c r="R34">
        <v>17.228999999999999</v>
      </c>
      <c r="S34">
        <v>17.184000000000001</v>
      </c>
      <c r="T34">
        <v>36.094000000000001</v>
      </c>
      <c r="U34">
        <v>37.215000000000003</v>
      </c>
      <c r="W34">
        <v>0.47199999999999998</v>
      </c>
      <c r="X34">
        <v>0.28100000000000003</v>
      </c>
      <c r="Z34">
        <v>0.39200000000000002</v>
      </c>
      <c r="AA34">
        <v>0.19500000000000001</v>
      </c>
      <c r="AB34">
        <v>0.30099999999999999</v>
      </c>
      <c r="AC34">
        <v>0.374</v>
      </c>
      <c r="AD34">
        <v>0.28100000000000003</v>
      </c>
      <c r="AE34">
        <v>0.47199999999999998</v>
      </c>
      <c r="AF34">
        <v>0.39200000000000002</v>
      </c>
      <c r="AG34">
        <v>0.31900000000000001</v>
      </c>
      <c r="AH34">
        <v>0.19500000000000001</v>
      </c>
      <c r="AI34">
        <v>0.28799999999999998</v>
      </c>
    </row>
    <row r="35" spans="1:35" x14ac:dyDescent="0.25">
      <c r="A35" t="s">
        <v>1961</v>
      </c>
      <c r="B35" t="s">
        <v>32</v>
      </c>
      <c r="C35" s="25">
        <v>43705.805150462962</v>
      </c>
      <c r="D35" s="741" t="s">
        <v>969</v>
      </c>
      <c r="E35" s="741">
        <f t="array" ref="E35">SUMPRODUCT(IF(AMP6_2[[#This Row],[Dim 1_1]:[T 8]]-$F$4:$AI$4&lt;0,1,0)+IF($F$5:$AI$5-AMP6_2[[#This Row],[Dim 1_1]:[T 8]]&lt;0,1,0),IF(ISNUMBER(AMP6_2[[#This Row],[Dim 1_1]:[T 8]])=TRUE,1,0))</f>
        <v>1</v>
      </c>
      <c r="F35">
        <v>41.511000000000003</v>
      </c>
      <c r="G35">
        <v>41.886000000000003</v>
      </c>
      <c r="H35">
        <v>155.45699999999999</v>
      </c>
      <c r="I35">
        <v>155.102</v>
      </c>
      <c r="L35">
        <v>155.94</v>
      </c>
      <c r="M35">
        <v>155.57300000000001</v>
      </c>
      <c r="N35">
        <v>27.274999999999999</v>
      </c>
      <c r="O35">
        <v>27.524000000000001</v>
      </c>
      <c r="R35">
        <v>17.198</v>
      </c>
      <c r="S35">
        <v>17.265999999999998</v>
      </c>
      <c r="T35">
        <v>34.613999999999997</v>
      </c>
      <c r="U35">
        <v>34.982999999999997</v>
      </c>
      <c r="W35">
        <v>0.17799999999999999</v>
      </c>
      <c r="X35">
        <v>4.0000000000000001E-3</v>
      </c>
      <c r="Z35">
        <v>0.41899999999999998</v>
      </c>
      <c r="AA35">
        <v>0.114</v>
      </c>
      <c r="AB35">
        <v>0.154</v>
      </c>
      <c r="AC35">
        <v>0.17799999999999999</v>
      </c>
      <c r="AD35">
        <v>6.5000000000000002E-2</v>
      </c>
      <c r="AE35">
        <v>4.0000000000000001E-3</v>
      </c>
      <c r="AF35">
        <v>0.41899999999999998</v>
      </c>
      <c r="AG35">
        <v>0.374</v>
      </c>
      <c r="AH35">
        <v>0.114</v>
      </c>
      <c r="AI35">
        <v>0.188</v>
      </c>
    </row>
    <row r="36" spans="1:35" x14ac:dyDescent="0.25">
      <c r="A36" t="s">
        <v>1962</v>
      </c>
      <c r="B36" t="s">
        <v>31</v>
      </c>
      <c r="C36" s="25">
        <v>43705.812314814815</v>
      </c>
      <c r="D36" s="741" t="s">
        <v>969</v>
      </c>
      <c r="E36" s="741">
        <f t="array" ref="E36">SUMPRODUCT(IF(AMP6_2[[#This Row],[Dim 1_1]:[T 8]]-$F$4:$AI$4&lt;0,1,0)+IF($F$5:$AI$5-AMP6_2[[#This Row],[Dim 1_1]:[T 8]]&lt;0,1,0),IF(ISNUMBER(AMP6_2[[#This Row],[Dim 1_1]:[T 8]])=TRUE,1,0))</f>
        <v>1</v>
      </c>
      <c r="H36">
        <v>155.17099999999999</v>
      </c>
      <c r="I36">
        <v>154.99700000000001</v>
      </c>
      <c r="J36">
        <v>168.65299999999999</v>
      </c>
      <c r="K36">
        <v>169.05500000000001</v>
      </c>
      <c r="L36">
        <v>155.57499999999999</v>
      </c>
      <c r="M36">
        <v>155.57900000000001</v>
      </c>
      <c r="N36">
        <v>27.756</v>
      </c>
      <c r="O36">
        <v>27.718</v>
      </c>
      <c r="R36">
        <v>17.238</v>
      </c>
      <c r="S36">
        <v>16.956</v>
      </c>
      <c r="T36">
        <v>35.585000000000001</v>
      </c>
      <c r="U36">
        <v>36.847999999999999</v>
      </c>
      <c r="W36">
        <v>0.63500000000000001</v>
      </c>
      <c r="X36">
        <v>0.247</v>
      </c>
      <c r="Z36">
        <v>0.34</v>
      </c>
      <c r="AA36">
        <v>0.108</v>
      </c>
      <c r="AB36">
        <v>0.247</v>
      </c>
      <c r="AC36">
        <v>0.32100000000000001</v>
      </c>
      <c r="AD36">
        <v>0.43</v>
      </c>
      <c r="AE36">
        <v>0.63500000000000001</v>
      </c>
      <c r="AF36">
        <v>0.186</v>
      </c>
      <c r="AG36">
        <v>0.108</v>
      </c>
      <c r="AH36">
        <v>0.28100000000000003</v>
      </c>
      <c r="AI36">
        <v>0.34</v>
      </c>
    </row>
    <row r="37" spans="1:35" x14ac:dyDescent="0.25">
      <c r="A37" t="s">
        <v>1963</v>
      </c>
      <c r="B37" t="s">
        <v>32</v>
      </c>
      <c r="C37" s="25">
        <v>43705.884502314817</v>
      </c>
      <c r="D37" s="741" t="s">
        <v>969</v>
      </c>
      <c r="E37" s="741">
        <f t="array" ref="E37">SUMPRODUCT(IF(AMP6_2[[#This Row],[Dim 1_1]:[T 8]]-$F$4:$AI$4&lt;0,1,0)+IF($F$5:$AI$5-AMP6_2[[#This Row],[Dim 1_1]:[T 8]]&lt;0,1,0),IF(ISNUMBER(AMP6_2[[#This Row],[Dim 1_1]:[T 8]])=TRUE,1,0))</f>
        <v>2</v>
      </c>
      <c r="F37">
        <v>41.866</v>
      </c>
      <c r="G37">
        <v>42.206000000000003</v>
      </c>
      <c r="H37">
        <v>155.44900000000001</v>
      </c>
      <c r="I37">
        <v>155.12100000000001</v>
      </c>
      <c r="L37">
        <v>155.90899999999999</v>
      </c>
      <c r="M37">
        <v>155.58000000000001</v>
      </c>
      <c r="N37">
        <v>27.384</v>
      </c>
      <c r="O37">
        <v>27.577999999999999</v>
      </c>
      <c r="R37">
        <v>17.209</v>
      </c>
      <c r="S37">
        <v>17.381</v>
      </c>
      <c r="T37">
        <v>34.987000000000002</v>
      </c>
      <c r="U37">
        <v>34.384999999999998</v>
      </c>
      <c r="W37">
        <v>0.20399999999999999</v>
      </c>
      <c r="X37">
        <v>-1.4999999999999999E-2</v>
      </c>
      <c r="Z37">
        <v>0.315</v>
      </c>
      <c r="AA37">
        <v>-3.5000000000000003E-2</v>
      </c>
      <c r="AB37">
        <v>0.17100000000000001</v>
      </c>
      <c r="AC37">
        <v>0.20399999999999999</v>
      </c>
      <c r="AD37">
        <v>-6.0000000000000001E-3</v>
      </c>
      <c r="AE37">
        <v>-1.4999999999999999E-2</v>
      </c>
      <c r="AF37">
        <v>0.315</v>
      </c>
      <c r="AG37">
        <v>0.27400000000000002</v>
      </c>
      <c r="AH37">
        <v>-3.5000000000000003E-2</v>
      </c>
      <c r="AI37">
        <v>-1.7999999999999999E-2</v>
      </c>
    </row>
    <row r="38" spans="1:35" x14ac:dyDescent="0.25">
      <c r="A38" t="s">
        <v>1964</v>
      </c>
      <c r="B38" t="s">
        <v>31</v>
      </c>
      <c r="C38" s="25">
        <v>43705.886157407411</v>
      </c>
      <c r="D38" s="741" t="s">
        <v>969</v>
      </c>
      <c r="E38" s="741">
        <f t="array" ref="E38">SUMPRODUCT(IF(AMP6_2[[#This Row],[Dim 1_1]:[T 8]]-$F$4:$AI$4&lt;0,1,0)+IF($F$5:$AI$5-AMP6_2[[#This Row],[Dim 1_1]:[T 8]]&lt;0,1,0),IF(ISNUMBER(AMP6_2[[#This Row],[Dim 1_1]:[T 8]])=TRUE,1,0))</f>
        <v>1</v>
      </c>
      <c r="H38">
        <v>155.13200000000001</v>
      </c>
      <c r="I38">
        <v>155.02699999999999</v>
      </c>
      <c r="J38">
        <v>169.00700000000001</v>
      </c>
      <c r="K38">
        <v>169.25899999999999</v>
      </c>
      <c r="L38">
        <v>155.614</v>
      </c>
      <c r="M38">
        <v>155.577</v>
      </c>
      <c r="N38">
        <v>27.646000000000001</v>
      </c>
      <c r="O38">
        <v>27.663</v>
      </c>
      <c r="R38">
        <v>17.218</v>
      </c>
      <c r="S38">
        <v>17.187999999999999</v>
      </c>
      <c r="T38">
        <v>38.435000000000002</v>
      </c>
      <c r="U38">
        <v>38.417000000000002</v>
      </c>
      <c r="W38">
        <v>0.311</v>
      </c>
      <c r="X38">
        <v>0.17</v>
      </c>
      <c r="Z38">
        <v>0.52900000000000003</v>
      </c>
      <c r="AA38">
        <v>0.182</v>
      </c>
      <c r="AB38">
        <v>0.17100000000000001</v>
      </c>
      <c r="AC38">
        <v>0.24399999999999999</v>
      </c>
      <c r="AD38">
        <v>0.17</v>
      </c>
      <c r="AE38">
        <v>0.311</v>
      </c>
      <c r="AF38">
        <v>0.52900000000000003</v>
      </c>
      <c r="AG38">
        <v>0.24399999999999999</v>
      </c>
      <c r="AH38">
        <v>0.30599999999999999</v>
      </c>
      <c r="AI38">
        <v>0.182</v>
      </c>
    </row>
    <row r="39" spans="1:35" x14ac:dyDescent="0.25">
      <c r="A39" t="s">
        <v>1965</v>
      </c>
      <c r="B39" t="s">
        <v>32</v>
      </c>
      <c r="C39" s="25">
        <v>43705.9924537037</v>
      </c>
      <c r="D39" s="741" t="s">
        <v>969</v>
      </c>
      <c r="E39" s="741">
        <f t="array" ref="E39">SUMPRODUCT(IF(AMP6_2[[#This Row],[Dim 1_1]:[T 8]]-$F$4:$AI$4&lt;0,1,0)+IF($F$5:$AI$5-AMP6_2[[#This Row],[Dim 1_1]:[T 8]]&lt;0,1,0),IF(ISNUMBER(AMP6_2[[#This Row],[Dim 1_1]:[T 8]])=TRUE,1,0))</f>
        <v>1</v>
      </c>
      <c r="F39">
        <v>41.750999999999998</v>
      </c>
      <c r="G39">
        <v>42.109000000000002</v>
      </c>
      <c r="H39">
        <v>155.47200000000001</v>
      </c>
      <c r="I39">
        <v>155.10599999999999</v>
      </c>
      <c r="L39">
        <v>155.94399999999999</v>
      </c>
      <c r="M39">
        <v>155.59299999999999</v>
      </c>
      <c r="N39">
        <v>27.318000000000001</v>
      </c>
      <c r="O39">
        <v>27.536000000000001</v>
      </c>
      <c r="R39">
        <v>17.202999999999999</v>
      </c>
      <c r="S39">
        <v>17.248999999999999</v>
      </c>
      <c r="T39">
        <v>34.466999999999999</v>
      </c>
      <c r="U39">
        <v>35.158000000000001</v>
      </c>
      <c r="W39">
        <v>0.16900000000000001</v>
      </c>
      <c r="X39">
        <v>5.5E-2</v>
      </c>
      <c r="Z39">
        <v>0.41099999999999998</v>
      </c>
      <c r="AA39">
        <v>0.16400000000000001</v>
      </c>
      <c r="AB39">
        <v>0.13500000000000001</v>
      </c>
      <c r="AC39">
        <v>0.16900000000000001</v>
      </c>
      <c r="AD39">
        <v>8.4000000000000005E-2</v>
      </c>
      <c r="AE39">
        <v>5.5E-2</v>
      </c>
      <c r="AF39">
        <v>0.41099999999999998</v>
      </c>
      <c r="AG39">
        <v>0.36499999999999999</v>
      </c>
      <c r="AH39">
        <v>0.16400000000000001</v>
      </c>
      <c r="AI39">
        <v>0.18</v>
      </c>
    </row>
    <row r="40" spans="1:35" x14ac:dyDescent="0.25">
      <c r="A40" t="s">
        <v>1966</v>
      </c>
      <c r="B40" t="s">
        <v>31</v>
      </c>
      <c r="C40" s="25">
        <v>43705.994131944448</v>
      </c>
      <c r="D40" s="741" t="s">
        <v>969</v>
      </c>
      <c r="E40" s="741">
        <f t="array" ref="E40">SUMPRODUCT(IF(AMP6_2[[#This Row],[Dim 1_1]:[T 8]]-$F$4:$AI$4&lt;0,1,0)+IF($F$5:$AI$5-AMP6_2[[#This Row],[Dim 1_1]:[T 8]]&lt;0,1,0),IF(ISNUMBER(AMP6_2[[#This Row],[Dim 1_1]:[T 8]])=TRUE,1,0))</f>
        <v>1</v>
      </c>
      <c r="H40">
        <v>155.21299999999999</v>
      </c>
      <c r="I40">
        <v>155.01</v>
      </c>
      <c r="J40">
        <v>168.928</v>
      </c>
      <c r="K40">
        <v>169.285</v>
      </c>
      <c r="L40">
        <v>155.673</v>
      </c>
      <c r="M40">
        <v>155.61600000000001</v>
      </c>
      <c r="N40">
        <v>27.602</v>
      </c>
      <c r="O40">
        <v>27.625</v>
      </c>
      <c r="R40">
        <v>17.238</v>
      </c>
      <c r="S40">
        <v>17.23</v>
      </c>
      <c r="T40">
        <v>38.832000000000001</v>
      </c>
      <c r="U40">
        <v>38.161000000000001</v>
      </c>
      <c r="W40">
        <v>0.308</v>
      </c>
      <c r="X40">
        <v>0.18</v>
      </c>
      <c r="Z40">
        <v>0.33200000000000002</v>
      </c>
      <c r="AA40">
        <v>0.106</v>
      </c>
      <c r="AB40">
        <v>0.19900000000000001</v>
      </c>
      <c r="AC40">
        <v>0.28199999999999997</v>
      </c>
      <c r="AD40">
        <v>0.18</v>
      </c>
      <c r="AE40">
        <v>0.308</v>
      </c>
      <c r="AF40">
        <v>0.33200000000000002</v>
      </c>
      <c r="AG40">
        <v>0.25700000000000001</v>
      </c>
      <c r="AH40">
        <v>0.106</v>
      </c>
      <c r="AI40">
        <v>0.184</v>
      </c>
    </row>
    <row r="41" spans="1:35" x14ac:dyDescent="0.25">
      <c r="A41" t="s">
        <v>2228</v>
      </c>
      <c r="B41" t="s">
        <v>32</v>
      </c>
      <c r="C41" s="25">
        <v>43706.366574074076</v>
      </c>
      <c r="D41" s="741" t="s">
        <v>969</v>
      </c>
      <c r="E41" s="741">
        <f t="array" ref="E41">SUMPRODUCT(IF(AMP6_2[[#This Row],[Dim 1_1]:[T 8]]-$F$4:$AI$4&lt;0,1,0)+IF($F$5:$AI$5-AMP6_2[[#This Row],[Dim 1_1]:[T 8]]&lt;0,1,0),IF(ISNUMBER(AMP6_2[[#This Row],[Dim 1_1]:[T 8]])=TRUE,1,0))</f>
        <v>1</v>
      </c>
      <c r="F41">
        <v>41.427999999999997</v>
      </c>
      <c r="G41">
        <v>41.814</v>
      </c>
      <c r="H41">
        <v>155.68799999999999</v>
      </c>
      <c r="I41">
        <v>155.34100000000001</v>
      </c>
      <c r="L41">
        <v>155.89099999999999</v>
      </c>
      <c r="M41">
        <v>155.67500000000001</v>
      </c>
      <c r="N41">
        <v>27.268999999999998</v>
      </c>
      <c r="O41">
        <v>27.417999999999999</v>
      </c>
      <c r="R41">
        <v>17.181000000000001</v>
      </c>
      <c r="S41">
        <v>17.238</v>
      </c>
      <c r="T41">
        <v>34.860999999999997</v>
      </c>
      <c r="U41">
        <v>34.9</v>
      </c>
      <c r="W41">
        <v>4.4999999999999998E-2</v>
      </c>
      <c r="X41">
        <v>-5.6000000000000001E-2</v>
      </c>
      <c r="Z41">
        <v>0.216</v>
      </c>
      <c r="AA41">
        <v>-0.106</v>
      </c>
      <c r="AB41">
        <v>2.1999999999999999E-2</v>
      </c>
      <c r="AC41">
        <v>4.4999999999999998E-2</v>
      </c>
      <c r="AD41">
        <v>0.01</v>
      </c>
      <c r="AE41">
        <v>-5.6000000000000001E-2</v>
      </c>
      <c r="AF41">
        <v>0.216</v>
      </c>
      <c r="AG41">
        <v>0.16900000000000001</v>
      </c>
      <c r="AH41">
        <v>-0.106</v>
      </c>
      <c r="AI41">
        <v>-8.5999999999999993E-2</v>
      </c>
    </row>
    <row r="42" spans="1:35" x14ac:dyDescent="0.25">
      <c r="A42" t="s">
        <v>2229</v>
      </c>
      <c r="B42" t="s">
        <v>31</v>
      </c>
      <c r="C42" s="25">
        <v>43706.369502314818</v>
      </c>
      <c r="D42" s="741" t="s">
        <v>969</v>
      </c>
      <c r="E42" s="741">
        <f t="array" ref="E42">SUMPRODUCT(IF(AMP6_2[[#This Row],[Dim 1_1]:[T 8]]-$F$4:$AI$4&lt;0,1,0)+IF($F$5:$AI$5-AMP6_2[[#This Row],[Dim 1_1]:[T 8]]&lt;0,1,0),IF(ISNUMBER(AMP6_2[[#This Row],[Dim 1_1]:[T 8]])=TRUE,1,0))</f>
        <v>0</v>
      </c>
      <c r="H42">
        <v>155.61199999999999</v>
      </c>
      <c r="I42">
        <v>155.404</v>
      </c>
      <c r="J42">
        <v>168.74</v>
      </c>
      <c r="K42">
        <v>169.084</v>
      </c>
      <c r="L42">
        <v>155.74100000000001</v>
      </c>
      <c r="M42">
        <v>155.61799999999999</v>
      </c>
      <c r="N42">
        <v>27.459</v>
      </c>
      <c r="O42">
        <v>27.606999999999999</v>
      </c>
      <c r="R42">
        <v>17.276</v>
      </c>
      <c r="S42">
        <v>17.445</v>
      </c>
      <c r="T42">
        <v>37.148000000000003</v>
      </c>
      <c r="U42">
        <v>37.088999999999999</v>
      </c>
      <c r="W42">
        <v>0.17</v>
      </c>
      <c r="X42">
        <v>0.04</v>
      </c>
      <c r="Z42">
        <v>3.1E-2</v>
      </c>
      <c r="AA42">
        <v>-0.10100000000000001</v>
      </c>
      <c r="AB42">
        <v>4.2999999999999997E-2</v>
      </c>
      <c r="AC42">
        <v>0.124</v>
      </c>
      <c r="AD42">
        <v>0.04</v>
      </c>
      <c r="AE42">
        <v>0.17</v>
      </c>
      <c r="AF42">
        <v>3.1E-2</v>
      </c>
      <c r="AG42">
        <v>-4.7E-2</v>
      </c>
      <c r="AH42">
        <v>-7.4999999999999997E-2</v>
      </c>
      <c r="AI42">
        <v>-0.10100000000000001</v>
      </c>
    </row>
    <row r="43" spans="1:35" x14ac:dyDescent="0.25">
      <c r="A43" t="s">
        <v>2230</v>
      </c>
      <c r="B43" t="s">
        <v>32</v>
      </c>
      <c r="C43" s="25">
        <v>43706.445439814815</v>
      </c>
      <c r="D43" s="741" t="s">
        <v>969</v>
      </c>
      <c r="E43" s="741">
        <f t="array" ref="E43">SUMPRODUCT(IF(AMP6_2[[#This Row],[Dim 1_1]:[T 8]]-$F$4:$AI$4&lt;0,1,0)+IF($F$5:$AI$5-AMP6_2[[#This Row],[Dim 1_1]:[T 8]]&lt;0,1,0),IF(ISNUMBER(AMP6_2[[#This Row],[Dim 1_1]:[T 8]])=TRUE,1,0))</f>
        <v>1</v>
      </c>
      <c r="F43">
        <v>41.512</v>
      </c>
      <c r="G43">
        <v>41.875999999999998</v>
      </c>
      <c r="H43">
        <v>155.72800000000001</v>
      </c>
      <c r="I43">
        <v>155.35499999999999</v>
      </c>
      <c r="L43">
        <v>155.90199999999999</v>
      </c>
      <c r="M43">
        <v>155.72399999999999</v>
      </c>
      <c r="N43">
        <v>27.288</v>
      </c>
      <c r="O43">
        <v>27.408000000000001</v>
      </c>
      <c r="R43">
        <v>17.209</v>
      </c>
      <c r="S43">
        <v>17.175000000000001</v>
      </c>
      <c r="T43">
        <v>34.853000000000002</v>
      </c>
      <c r="U43">
        <v>34.762999999999998</v>
      </c>
      <c r="W43">
        <v>0.379</v>
      </c>
      <c r="X43">
        <v>0.26900000000000002</v>
      </c>
      <c r="Z43">
        <v>0.58599999999999997</v>
      </c>
      <c r="AA43">
        <v>0.35899999999999999</v>
      </c>
      <c r="AB43">
        <v>0.26900000000000002</v>
      </c>
      <c r="AC43">
        <v>0.29599999999999999</v>
      </c>
      <c r="AD43">
        <v>0.379</v>
      </c>
      <c r="AE43">
        <v>0.373</v>
      </c>
      <c r="AF43">
        <v>0.58599999999999997</v>
      </c>
      <c r="AG43">
        <v>0.53700000000000003</v>
      </c>
      <c r="AH43">
        <v>0.35899999999999999</v>
      </c>
      <c r="AI43">
        <v>0.38800000000000001</v>
      </c>
    </row>
    <row r="44" spans="1:35" x14ac:dyDescent="0.25">
      <c r="A44" t="s">
        <v>2231</v>
      </c>
      <c r="B44" t="s">
        <v>31</v>
      </c>
      <c r="C44" s="25">
        <v>43706.448194444441</v>
      </c>
      <c r="D44" s="741" t="s">
        <v>969</v>
      </c>
      <c r="E44" s="741">
        <f t="array" ref="E44">SUMPRODUCT(IF(AMP6_2[[#This Row],[Dim 1_1]:[T 8]]-$F$4:$AI$4&lt;0,1,0)+IF($F$5:$AI$5-AMP6_2[[#This Row],[Dim 1_1]:[T 8]]&lt;0,1,0),IF(ISNUMBER(AMP6_2[[#This Row],[Dim 1_1]:[T 8]])=TRUE,1,0))</f>
        <v>0</v>
      </c>
      <c r="H44">
        <v>155.61099999999999</v>
      </c>
      <c r="I44">
        <v>155.417</v>
      </c>
      <c r="J44">
        <v>168.87100000000001</v>
      </c>
      <c r="K44">
        <v>169.202</v>
      </c>
      <c r="L44">
        <v>155.839</v>
      </c>
      <c r="M44">
        <v>155.69999999999999</v>
      </c>
      <c r="N44">
        <v>27.361000000000001</v>
      </c>
      <c r="O44">
        <v>27.545999999999999</v>
      </c>
      <c r="R44">
        <v>17.251999999999999</v>
      </c>
      <c r="S44">
        <v>17.417000000000002</v>
      </c>
      <c r="T44">
        <v>37.581000000000003</v>
      </c>
      <c r="U44">
        <v>37.518000000000001</v>
      </c>
      <c r="W44">
        <v>4.9000000000000002E-2</v>
      </c>
      <c r="X44">
        <v>-9.9000000000000005E-2</v>
      </c>
      <c r="Z44">
        <v>4.2999999999999997E-2</v>
      </c>
      <c r="AA44">
        <v>-0.21099999999999999</v>
      </c>
      <c r="AB44">
        <v>-3.3000000000000002E-2</v>
      </c>
      <c r="AC44">
        <v>4.9000000000000002E-2</v>
      </c>
      <c r="AD44">
        <v>-9.9000000000000005E-2</v>
      </c>
      <c r="AE44">
        <v>1.2999999999999999E-2</v>
      </c>
      <c r="AF44">
        <v>4.2999999999999997E-2</v>
      </c>
      <c r="AG44">
        <v>-4.2999999999999997E-2</v>
      </c>
      <c r="AH44">
        <v>-0.21099999999999999</v>
      </c>
      <c r="AI44">
        <v>-0.17799999999999999</v>
      </c>
    </row>
    <row r="45" spans="1:35" x14ac:dyDescent="0.25">
      <c r="A45" t="s">
        <v>2400</v>
      </c>
      <c r="B45" t="s">
        <v>32</v>
      </c>
      <c r="C45" s="25">
        <v>43706.749085648145</v>
      </c>
      <c r="D45" s="741" t="s">
        <v>2238</v>
      </c>
      <c r="E45" s="741">
        <f t="array" ref="E45">SUMPRODUCT(IF(AMP6_2[[#This Row],[Dim 1_1]:[T 8]]-$F$4:$AI$4&lt;0,1,0)+IF($F$5:$AI$5-AMP6_2[[#This Row],[Dim 1_1]:[T 8]]&lt;0,1,0),IF(ISNUMBER(AMP6_2[[#This Row],[Dim 1_1]:[T 8]])=TRUE,1,0))</f>
        <v>1</v>
      </c>
      <c r="F45">
        <v>41.537999999999997</v>
      </c>
      <c r="G45">
        <v>41.898000000000003</v>
      </c>
      <c r="H45">
        <v>155.71799999999999</v>
      </c>
      <c r="I45">
        <v>155.38399999999999</v>
      </c>
      <c r="L45">
        <v>155.88200000000001</v>
      </c>
      <c r="M45">
        <v>155.73500000000001</v>
      </c>
      <c r="N45">
        <v>27.291</v>
      </c>
      <c r="O45">
        <v>27.398</v>
      </c>
      <c r="R45">
        <v>17.222999999999999</v>
      </c>
      <c r="S45">
        <v>17.146000000000001</v>
      </c>
      <c r="T45">
        <v>34.627000000000002</v>
      </c>
      <c r="U45">
        <v>34.948</v>
      </c>
      <c r="W45">
        <v>9.0999999999999998E-2</v>
      </c>
      <c r="X45">
        <v>8.9999999999999993E-3</v>
      </c>
      <c r="Z45">
        <v>0.187</v>
      </c>
      <c r="AA45">
        <v>-5.6000000000000001E-2</v>
      </c>
      <c r="AB45">
        <v>8.9999999999999993E-3</v>
      </c>
      <c r="AC45">
        <v>2.5000000000000001E-2</v>
      </c>
      <c r="AD45">
        <v>9.0999999999999998E-2</v>
      </c>
      <c r="AE45">
        <v>1.4E-2</v>
      </c>
      <c r="AF45">
        <v>0.187</v>
      </c>
      <c r="AG45">
        <v>0.13300000000000001</v>
      </c>
      <c r="AH45">
        <v>-5.6000000000000001E-2</v>
      </c>
      <c r="AI45">
        <v>-3.6999999999999998E-2</v>
      </c>
    </row>
    <row r="46" spans="1:35" x14ac:dyDescent="0.25">
      <c r="A46" t="s">
        <v>2401</v>
      </c>
      <c r="B46" t="s">
        <v>31</v>
      </c>
      <c r="C46" s="25">
        <v>43706.751284722224</v>
      </c>
      <c r="D46" s="741" t="s">
        <v>2238</v>
      </c>
      <c r="E46" s="741">
        <f t="array" ref="E46">SUMPRODUCT(IF(AMP6_2[[#This Row],[Dim 1_1]:[T 8]]-$F$4:$AI$4&lt;0,1,0)+IF($F$5:$AI$5-AMP6_2[[#This Row],[Dim 1_1]:[T 8]]&lt;0,1,0),IF(ISNUMBER(AMP6_2[[#This Row],[Dim 1_1]:[T 8]])=TRUE,1,0))</f>
        <v>0</v>
      </c>
      <c r="H46">
        <v>155.62899999999999</v>
      </c>
      <c r="I46">
        <v>155.429</v>
      </c>
      <c r="J46">
        <v>168.91300000000001</v>
      </c>
      <c r="K46">
        <v>169.255</v>
      </c>
      <c r="L46">
        <v>155.80199999999999</v>
      </c>
      <c r="M46">
        <v>155.70099999999999</v>
      </c>
      <c r="N46">
        <v>27.381</v>
      </c>
      <c r="O46">
        <v>27.539000000000001</v>
      </c>
      <c r="R46">
        <v>17.257000000000001</v>
      </c>
      <c r="S46">
        <v>17.43</v>
      </c>
      <c r="T46">
        <v>35.540999999999997</v>
      </c>
      <c r="U46">
        <v>36.795999999999999</v>
      </c>
      <c r="W46">
        <v>0.105</v>
      </c>
      <c r="X46">
        <v>-0.13300000000000001</v>
      </c>
      <c r="Z46">
        <v>8.4000000000000005E-2</v>
      </c>
      <c r="AA46">
        <v>-0.24</v>
      </c>
      <c r="AB46">
        <v>2.5000000000000001E-2</v>
      </c>
      <c r="AC46">
        <v>0.105</v>
      </c>
      <c r="AD46">
        <v>-0.13300000000000001</v>
      </c>
      <c r="AE46">
        <v>4.2999999999999997E-2</v>
      </c>
      <c r="AF46">
        <v>8.4000000000000005E-2</v>
      </c>
      <c r="AG46">
        <v>1E-3</v>
      </c>
      <c r="AH46">
        <v>-0.24</v>
      </c>
      <c r="AI46">
        <v>-0.16400000000000001</v>
      </c>
    </row>
    <row r="47" spans="1:35" x14ac:dyDescent="0.25">
      <c r="A47" t="s">
        <v>2402</v>
      </c>
      <c r="B47" t="s">
        <v>32</v>
      </c>
      <c r="C47" s="25">
        <v>43706.857928240737</v>
      </c>
      <c r="D47" s="741" t="s">
        <v>2238</v>
      </c>
      <c r="E47" s="741">
        <f t="array" ref="E47">SUMPRODUCT(IF(AMP6_2[[#This Row],[Dim 1_1]:[T 8]]-$F$4:$AI$4&lt;0,1,0)+IF($F$5:$AI$5-AMP6_2[[#This Row],[Dim 1_1]:[T 8]]&lt;0,1,0),IF(ISNUMBER(AMP6_2[[#This Row],[Dim 1_1]:[T 8]])=TRUE,1,0))</f>
        <v>1</v>
      </c>
      <c r="F47">
        <v>41.668999999999997</v>
      </c>
      <c r="G47">
        <v>42.091000000000001</v>
      </c>
      <c r="H47">
        <v>155.74100000000001</v>
      </c>
      <c r="I47">
        <v>155.39699999999999</v>
      </c>
      <c r="L47">
        <v>155.93799999999999</v>
      </c>
      <c r="M47">
        <v>155.73099999999999</v>
      </c>
      <c r="N47">
        <v>27.245999999999999</v>
      </c>
      <c r="O47">
        <v>27.372</v>
      </c>
      <c r="R47">
        <v>17.207999999999998</v>
      </c>
      <c r="S47">
        <v>17.081</v>
      </c>
      <c r="T47">
        <v>34.706000000000003</v>
      </c>
      <c r="U47">
        <v>34.969000000000001</v>
      </c>
      <c r="W47">
        <v>7.2999999999999995E-2</v>
      </c>
      <c r="X47">
        <v>-8.7999999999999995E-2</v>
      </c>
      <c r="Z47">
        <v>0.1</v>
      </c>
      <c r="AA47">
        <v>-0.122</v>
      </c>
      <c r="AB47">
        <v>-8.7999999999999995E-2</v>
      </c>
      <c r="AC47">
        <v>-6.6000000000000003E-2</v>
      </c>
      <c r="AD47">
        <v>7.2999999999999995E-2</v>
      </c>
      <c r="AE47">
        <v>1.7999999999999999E-2</v>
      </c>
      <c r="AF47">
        <v>0.1</v>
      </c>
      <c r="AG47">
        <v>5.5E-2</v>
      </c>
      <c r="AH47">
        <v>-0.122</v>
      </c>
      <c r="AI47">
        <v>-7.1999999999999995E-2</v>
      </c>
    </row>
    <row r="48" spans="1:35" x14ac:dyDescent="0.25">
      <c r="A48" t="s">
        <v>2403</v>
      </c>
      <c r="B48" t="s">
        <v>31</v>
      </c>
      <c r="C48" s="25">
        <v>43706.865127314813</v>
      </c>
      <c r="D48" s="741" t="s">
        <v>2238</v>
      </c>
      <c r="E48" s="741">
        <f t="array" ref="E48">SUMPRODUCT(IF(AMP6_2[[#This Row],[Dim 1_1]:[T 8]]-$F$4:$AI$4&lt;0,1,0)+IF($F$5:$AI$5-AMP6_2[[#This Row],[Dim 1_1]:[T 8]]&lt;0,1,0),IF(ISNUMBER(AMP6_2[[#This Row],[Dim 1_1]:[T 8]])=TRUE,1,0))</f>
        <v>0</v>
      </c>
      <c r="H48">
        <v>155.58000000000001</v>
      </c>
      <c r="I48">
        <v>155.41900000000001</v>
      </c>
      <c r="J48">
        <v>169.01</v>
      </c>
      <c r="K48">
        <v>169.358</v>
      </c>
      <c r="L48">
        <v>155.79900000000001</v>
      </c>
      <c r="M48">
        <v>155.70500000000001</v>
      </c>
      <c r="N48">
        <v>27.402999999999999</v>
      </c>
      <c r="O48">
        <v>27.545000000000002</v>
      </c>
      <c r="R48">
        <v>17.271999999999998</v>
      </c>
      <c r="S48">
        <v>17.337</v>
      </c>
      <c r="T48">
        <v>35.887</v>
      </c>
      <c r="U48">
        <v>37.331000000000003</v>
      </c>
      <c r="W48">
        <v>0.1</v>
      </c>
      <c r="X48">
        <v>-7.6999999999999999E-2</v>
      </c>
      <c r="Z48">
        <v>5.0999999999999997E-2</v>
      </c>
      <c r="AA48">
        <v>-0.11</v>
      </c>
      <c r="AB48">
        <v>-5.7000000000000002E-2</v>
      </c>
      <c r="AC48">
        <v>5.0999999999999997E-2</v>
      </c>
      <c r="AD48">
        <v>-7.6999999999999999E-2</v>
      </c>
      <c r="AE48">
        <v>0.1</v>
      </c>
      <c r="AF48">
        <v>5.0999999999999997E-2</v>
      </c>
      <c r="AG48">
        <v>-1.6E-2</v>
      </c>
      <c r="AH48">
        <v>-0.11</v>
      </c>
      <c r="AI48">
        <v>-7.3999999999999996E-2</v>
      </c>
    </row>
    <row r="49" spans="1:35" x14ac:dyDescent="0.25">
      <c r="A49" t="s">
        <v>2624</v>
      </c>
      <c r="B49" t="s">
        <v>31</v>
      </c>
      <c r="C49" s="25">
        <v>43711.346238425926</v>
      </c>
      <c r="D49" s="741" t="s">
        <v>2238</v>
      </c>
      <c r="E49" s="741">
        <f t="array" ref="E49">SUMPRODUCT(IF(AMP6_2[[#This Row],[Dim 1_1]:[T 8]]-$F$4:$AI$4&lt;0,1,0)+IF($F$5:$AI$5-AMP6_2[[#This Row],[Dim 1_1]:[T 8]]&lt;0,1,0),IF(ISNUMBER(AMP6_2[[#This Row],[Dim 1_1]:[T 8]])=TRUE,1,0))</f>
        <v>0</v>
      </c>
      <c r="H49">
        <v>155.77699999999999</v>
      </c>
      <c r="I49">
        <v>155.59</v>
      </c>
      <c r="J49">
        <v>168.84100000000001</v>
      </c>
      <c r="K49">
        <v>169.13300000000001</v>
      </c>
      <c r="L49">
        <v>155.88900000000001</v>
      </c>
      <c r="M49">
        <v>155.74700000000001</v>
      </c>
      <c r="N49">
        <v>27.437000000000001</v>
      </c>
      <c r="O49">
        <v>27.611000000000001</v>
      </c>
      <c r="R49">
        <v>17.210999999999999</v>
      </c>
      <c r="S49">
        <v>17.117999999999999</v>
      </c>
      <c r="T49">
        <v>37.773000000000003</v>
      </c>
      <c r="U49">
        <v>38.844000000000001</v>
      </c>
      <c r="W49">
        <v>0.16600000000000001</v>
      </c>
      <c r="X49">
        <v>-4.2000000000000003E-2</v>
      </c>
      <c r="Z49">
        <v>0.14099999999999999</v>
      </c>
      <c r="AA49">
        <v>-5.2999999999999999E-2</v>
      </c>
      <c r="AB49">
        <v>0.06</v>
      </c>
      <c r="AC49">
        <v>0.14499999999999999</v>
      </c>
      <c r="AD49">
        <v>-4.2000000000000003E-2</v>
      </c>
      <c r="AE49">
        <v>0.16600000000000001</v>
      </c>
      <c r="AF49">
        <v>0.14099999999999999</v>
      </c>
      <c r="AG49">
        <v>7.3999999999999996E-2</v>
      </c>
      <c r="AH49">
        <v>-5.2999999999999999E-2</v>
      </c>
      <c r="AI49">
        <v>1.4E-2</v>
      </c>
    </row>
    <row r="50" spans="1:35" x14ac:dyDescent="0.25">
      <c r="A50" t="s">
        <v>2625</v>
      </c>
      <c r="B50" t="s">
        <v>32</v>
      </c>
      <c r="C50" s="25">
        <v>43711.348368055558</v>
      </c>
      <c r="D50" s="741" t="s">
        <v>2238</v>
      </c>
      <c r="E50" s="741">
        <f t="array" ref="E50">SUMPRODUCT(IF(AMP6_2[[#This Row],[Dim 1_1]:[T 8]]-$F$4:$AI$4&lt;0,1,0)+IF($F$5:$AI$5-AMP6_2[[#This Row],[Dim 1_1]:[T 8]]&lt;0,1,0),IF(ISNUMBER(AMP6_2[[#This Row],[Dim 1_1]:[T 8]])=TRUE,1,0))</f>
        <v>1</v>
      </c>
      <c r="F50">
        <v>41.497</v>
      </c>
      <c r="G50">
        <v>41.893000000000001</v>
      </c>
      <c r="H50">
        <v>155.80500000000001</v>
      </c>
      <c r="I50">
        <v>155.57400000000001</v>
      </c>
      <c r="L50">
        <v>155.90600000000001</v>
      </c>
      <c r="M50">
        <v>155.74</v>
      </c>
      <c r="N50">
        <v>27.359000000000002</v>
      </c>
      <c r="O50">
        <v>27.448</v>
      </c>
      <c r="R50">
        <v>17.216000000000001</v>
      </c>
      <c r="S50">
        <v>17.277999999999999</v>
      </c>
      <c r="T50">
        <v>34.819000000000003</v>
      </c>
      <c r="U50">
        <v>35.140999999999998</v>
      </c>
      <c r="W50">
        <v>-7.5999999999999998E-2</v>
      </c>
      <c r="X50">
        <v>-0.14899999999999999</v>
      </c>
      <c r="Z50">
        <v>6.0999999999999999E-2</v>
      </c>
      <c r="AA50">
        <v>-9.8000000000000004E-2</v>
      </c>
      <c r="AB50">
        <v>-0.14899999999999999</v>
      </c>
      <c r="AC50">
        <v>-0.11700000000000001</v>
      </c>
      <c r="AD50">
        <v>-7.5999999999999998E-2</v>
      </c>
      <c r="AE50">
        <v>-0.13900000000000001</v>
      </c>
      <c r="AF50">
        <v>6.0999999999999999E-2</v>
      </c>
      <c r="AG50">
        <v>2.4E-2</v>
      </c>
      <c r="AH50">
        <v>-9.8000000000000004E-2</v>
      </c>
      <c r="AI50">
        <v>-4.8000000000000001E-2</v>
      </c>
    </row>
    <row r="51" spans="1:35" x14ac:dyDescent="0.25">
      <c r="A51" t="s">
        <v>2626</v>
      </c>
      <c r="B51" t="s">
        <v>32</v>
      </c>
      <c r="C51" s="25">
        <v>43711.447476851848</v>
      </c>
      <c r="D51" s="741" t="s">
        <v>2238</v>
      </c>
      <c r="E51" s="741">
        <f t="array" ref="E51">SUMPRODUCT(IF(AMP6_2[[#This Row],[Dim 1_1]:[T 8]]-$F$4:$AI$4&lt;0,1,0)+IF($F$5:$AI$5-AMP6_2[[#This Row],[Dim 1_1]:[T 8]]&lt;0,1,0),IF(ISNUMBER(AMP6_2[[#This Row],[Dim 1_1]:[T 8]])=TRUE,1,0))</f>
        <v>1</v>
      </c>
      <c r="F51">
        <v>41.398000000000003</v>
      </c>
      <c r="G51">
        <v>41.905000000000001</v>
      </c>
      <c r="H51">
        <v>155.80500000000001</v>
      </c>
      <c r="I51">
        <v>155.47900000000001</v>
      </c>
      <c r="L51">
        <v>155.94300000000001</v>
      </c>
      <c r="M51">
        <v>155.63499999999999</v>
      </c>
      <c r="N51">
        <v>27.364000000000001</v>
      </c>
      <c r="O51">
        <v>27.582000000000001</v>
      </c>
      <c r="R51">
        <v>17.210999999999999</v>
      </c>
      <c r="S51">
        <v>17.195</v>
      </c>
      <c r="T51">
        <v>34.945</v>
      </c>
      <c r="U51">
        <v>35.039000000000001</v>
      </c>
      <c r="W51">
        <v>6.9000000000000006E-2</v>
      </c>
      <c r="X51">
        <v>-7.6999999999999999E-2</v>
      </c>
      <c r="Z51">
        <v>4.2999999999999997E-2</v>
      </c>
      <c r="AA51">
        <v>-7.0000000000000001E-3</v>
      </c>
      <c r="AB51">
        <v>-7.6999999999999999E-2</v>
      </c>
      <c r="AC51">
        <v>-3.3000000000000002E-2</v>
      </c>
      <c r="AD51">
        <v>6.9000000000000006E-2</v>
      </c>
      <c r="AE51">
        <v>3.5000000000000003E-2</v>
      </c>
      <c r="AF51">
        <v>4.2999999999999997E-2</v>
      </c>
      <c r="AG51">
        <v>-7.0000000000000001E-3</v>
      </c>
      <c r="AH51">
        <v>1.4E-2</v>
      </c>
      <c r="AI51">
        <v>0.02</v>
      </c>
    </row>
    <row r="52" spans="1:35" x14ac:dyDescent="0.25">
      <c r="A52" t="s">
        <v>2627</v>
      </c>
      <c r="B52" t="s">
        <v>31</v>
      </c>
      <c r="C52" s="25">
        <v>43711.450428240743</v>
      </c>
      <c r="D52" s="741" t="s">
        <v>2238</v>
      </c>
      <c r="E52" s="741">
        <f t="array" ref="E52">SUMPRODUCT(IF(AMP6_2[[#This Row],[Dim 1_1]:[T 8]]-$F$4:$AI$4&lt;0,1,0)+IF($F$5:$AI$5-AMP6_2[[#This Row],[Dim 1_1]:[T 8]]&lt;0,1,0),IF(ISNUMBER(AMP6_2[[#This Row],[Dim 1_1]:[T 8]])=TRUE,1,0))</f>
        <v>0</v>
      </c>
      <c r="H52">
        <v>155.88</v>
      </c>
      <c r="I52">
        <v>155.68600000000001</v>
      </c>
      <c r="J52">
        <v>168.76</v>
      </c>
      <c r="K52">
        <v>168.98699999999999</v>
      </c>
      <c r="L52">
        <v>155.946</v>
      </c>
      <c r="M52">
        <v>155.88399999999999</v>
      </c>
      <c r="N52">
        <v>27.337</v>
      </c>
      <c r="O52">
        <v>27.47</v>
      </c>
      <c r="R52">
        <v>17.193999999999999</v>
      </c>
      <c r="S52">
        <v>17.067</v>
      </c>
      <c r="T52">
        <v>37.606000000000002</v>
      </c>
      <c r="U52">
        <v>37.738</v>
      </c>
      <c r="W52">
        <v>2.1000000000000001E-2</v>
      </c>
      <c r="X52">
        <v>-0.128</v>
      </c>
      <c r="Z52">
        <v>0.112</v>
      </c>
      <c r="AA52">
        <v>-7.5999999999999998E-2</v>
      </c>
      <c r="AB52">
        <v>-6.9000000000000006E-2</v>
      </c>
      <c r="AC52">
        <v>2.1000000000000001E-2</v>
      </c>
      <c r="AD52">
        <v>-0.128</v>
      </c>
      <c r="AE52">
        <v>-4.1000000000000002E-2</v>
      </c>
      <c r="AF52">
        <v>0.112</v>
      </c>
      <c r="AG52">
        <v>2.9000000000000001E-2</v>
      </c>
      <c r="AH52">
        <v>-7.5999999999999998E-2</v>
      </c>
      <c r="AI52">
        <v>-5.0999999999999997E-2</v>
      </c>
    </row>
    <row r="53" spans="1:35" x14ac:dyDescent="0.25">
      <c r="A53" t="s">
        <v>2752</v>
      </c>
      <c r="B53" t="s">
        <v>32</v>
      </c>
      <c r="C53" s="25">
        <v>43711.831423611111</v>
      </c>
      <c r="D53" s="741" t="s">
        <v>2238</v>
      </c>
      <c r="E53" s="741">
        <f t="array" ref="E53">SUMPRODUCT(IF(AMP6_2[[#This Row],[Dim 1_1]:[T 8]]-$F$4:$AI$4&lt;0,1,0)+IF($F$5:$AI$5-AMP6_2[[#This Row],[Dim 1_1]:[T 8]]&lt;0,1,0),IF(ISNUMBER(AMP6_2[[#This Row],[Dim 1_1]:[T 8]])=TRUE,1,0))</f>
        <v>1</v>
      </c>
      <c r="F53">
        <v>41.381</v>
      </c>
      <c r="G53">
        <v>41.942999999999998</v>
      </c>
      <c r="H53">
        <v>155.869</v>
      </c>
      <c r="I53">
        <v>155.56399999999999</v>
      </c>
      <c r="L53">
        <v>155.93600000000001</v>
      </c>
      <c r="M53">
        <v>155.697</v>
      </c>
      <c r="N53">
        <v>27.358000000000001</v>
      </c>
      <c r="O53">
        <v>27.527000000000001</v>
      </c>
      <c r="R53">
        <v>17.212</v>
      </c>
      <c r="S53">
        <v>17.231999999999999</v>
      </c>
      <c r="T53">
        <v>34.634</v>
      </c>
      <c r="U53">
        <v>34.844999999999999</v>
      </c>
      <c r="W53">
        <v>-5.1999999999999998E-2</v>
      </c>
      <c r="X53">
        <v>-0.13500000000000001</v>
      </c>
      <c r="Z53">
        <v>-1.7000000000000001E-2</v>
      </c>
      <c r="AA53">
        <v>-0.10299999999999999</v>
      </c>
      <c r="AB53">
        <v>-0.13500000000000001</v>
      </c>
      <c r="AC53">
        <v>-9.9000000000000005E-2</v>
      </c>
      <c r="AD53">
        <v>-5.1999999999999998E-2</v>
      </c>
      <c r="AE53">
        <v>-9.1999999999999998E-2</v>
      </c>
      <c r="AF53">
        <v>-1.7000000000000001E-2</v>
      </c>
      <c r="AG53">
        <v>-6.9000000000000006E-2</v>
      </c>
      <c r="AH53">
        <v>-9.8000000000000004E-2</v>
      </c>
      <c r="AI53">
        <v>-0.10299999999999999</v>
      </c>
    </row>
    <row r="54" spans="1:35" x14ac:dyDescent="0.25">
      <c r="A54" t="s">
        <v>2753</v>
      </c>
      <c r="B54" t="s">
        <v>31</v>
      </c>
      <c r="C54" s="25">
        <v>43711.833495370367</v>
      </c>
      <c r="D54" s="741" t="s">
        <v>2238</v>
      </c>
      <c r="E54" s="741">
        <f t="array" ref="E54">SUMPRODUCT(IF(AMP6_2[[#This Row],[Dim 1_1]:[T 8]]-$F$4:$AI$4&lt;0,1,0)+IF($F$5:$AI$5-AMP6_2[[#This Row],[Dim 1_1]:[T 8]]&lt;0,1,0),IF(ISNUMBER(AMP6_2[[#This Row],[Dim 1_1]:[T 8]])=TRUE,1,0))</f>
        <v>0</v>
      </c>
      <c r="H54">
        <v>155.80199999999999</v>
      </c>
      <c r="I54">
        <v>155.67699999999999</v>
      </c>
      <c r="J54">
        <v>168.86500000000001</v>
      </c>
      <c r="K54">
        <v>169.18799999999999</v>
      </c>
      <c r="L54">
        <v>155.92699999999999</v>
      </c>
      <c r="M54">
        <v>155.88499999999999</v>
      </c>
      <c r="N54">
        <v>27.361999999999998</v>
      </c>
      <c r="O54">
        <v>27.486999999999998</v>
      </c>
      <c r="R54">
        <v>17.183</v>
      </c>
      <c r="S54">
        <v>17.158999999999999</v>
      </c>
      <c r="T54">
        <v>38.198</v>
      </c>
      <c r="U54">
        <v>39.118000000000002</v>
      </c>
      <c r="W54">
        <v>3.2000000000000001E-2</v>
      </c>
      <c r="X54">
        <v>-0.193</v>
      </c>
      <c r="Z54">
        <v>0.108</v>
      </c>
      <c r="AA54">
        <v>-0.14499999999999999</v>
      </c>
      <c r="AB54">
        <v>-5.6000000000000001E-2</v>
      </c>
      <c r="AC54">
        <v>3.2000000000000001E-2</v>
      </c>
      <c r="AD54">
        <v>-0.193</v>
      </c>
      <c r="AE54">
        <v>-0.05</v>
      </c>
      <c r="AF54">
        <v>0.108</v>
      </c>
      <c r="AG54">
        <v>3.5999999999999997E-2</v>
      </c>
      <c r="AH54">
        <v>-0.14499999999999999</v>
      </c>
      <c r="AI54">
        <v>-0.10299999999999999</v>
      </c>
    </row>
    <row r="55" spans="1:35" x14ac:dyDescent="0.25">
      <c r="A55" t="s">
        <v>2754</v>
      </c>
      <c r="B55" t="s">
        <v>32</v>
      </c>
      <c r="C55" s="25">
        <v>43711.946886574071</v>
      </c>
      <c r="D55" s="741" t="s">
        <v>2238</v>
      </c>
      <c r="E55" s="741">
        <f t="array" ref="E55">SUMPRODUCT(IF(AMP6_2[[#This Row],[Dim 1_1]:[T 8]]-$F$4:$AI$4&lt;0,1,0)+IF($F$5:$AI$5-AMP6_2[[#This Row],[Dim 1_1]:[T 8]]&lt;0,1,0),IF(ISNUMBER(AMP6_2[[#This Row],[Dim 1_1]:[T 8]])=TRUE,1,0))</f>
        <v>1</v>
      </c>
      <c r="F55">
        <v>41.371000000000002</v>
      </c>
      <c r="G55">
        <v>41.811</v>
      </c>
      <c r="H55">
        <v>155.87299999999999</v>
      </c>
      <c r="I55">
        <v>155.54900000000001</v>
      </c>
      <c r="L55">
        <v>155.92500000000001</v>
      </c>
      <c r="M55">
        <v>155.684</v>
      </c>
      <c r="N55">
        <v>27.338000000000001</v>
      </c>
      <c r="O55">
        <v>27.466999999999999</v>
      </c>
      <c r="R55">
        <v>17.231999999999999</v>
      </c>
      <c r="S55">
        <v>17.084</v>
      </c>
      <c r="T55">
        <v>34.768000000000001</v>
      </c>
      <c r="U55">
        <v>35.021999999999998</v>
      </c>
      <c r="W55">
        <v>0.11799999999999999</v>
      </c>
      <c r="X55">
        <v>-0.14799999999999999</v>
      </c>
      <c r="Z55">
        <v>3.3000000000000002E-2</v>
      </c>
      <c r="AA55">
        <v>-0.112</v>
      </c>
      <c r="AB55">
        <v>-0.14799999999999999</v>
      </c>
      <c r="AC55">
        <v>-0.115</v>
      </c>
      <c r="AD55">
        <v>0.10199999999999999</v>
      </c>
      <c r="AE55">
        <v>0.11799999999999999</v>
      </c>
      <c r="AF55">
        <v>-4.7E-2</v>
      </c>
      <c r="AG55">
        <v>-0.112</v>
      </c>
      <c r="AH55">
        <v>3.3000000000000002E-2</v>
      </c>
      <c r="AI55">
        <v>2.1000000000000001E-2</v>
      </c>
    </row>
    <row r="56" spans="1:35" x14ac:dyDescent="0.25">
      <c r="A56" t="s">
        <v>2755</v>
      </c>
      <c r="B56" t="s">
        <v>31</v>
      </c>
      <c r="C56" s="25">
        <v>43711.949050925927</v>
      </c>
      <c r="D56" s="741" t="s">
        <v>2238</v>
      </c>
      <c r="E56" s="741">
        <f t="array" ref="E56">SUMPRODUCT(IF(AMP6_2[[#This Row],[Dim 1_1]:[T 8]]-$F$4:$AI$4&lt;0,1,0)+IF($F$5:$AI$5-AMP6_2[[#This Row],[Dim 1_1]:[T 8]]&lt;0,1,0),IF(ISNUMBER(AMP6_2[[#This Row],[Dim 1_1]:[T 8]])=TRUE,1,0))</f>
        <v>0</v>
      </c>
      <c r="H56">
        <v>155.80000000000001</v>
      </c>
      <c r="I56">
        <v>155.67099999999999</v>
      </c>
      <c r="J56">
        <v>168.76400000000001</v>
      </c>
      <c r="K56">
        <v>169.18199999999999</v>
      </c>
      <c r="L56">
        <v>155.95599999999999</v>
      </c>
      <c r="M56">
        <v>155.90600000000001</v>
      </c>
      <c r="N56">
        <v>27.324999999999999</v>
      </c>
      <c r="O56">
        <v>27.446999999999999</v>
      </c>
      <c r="R56">
        <v>17.196000000000002</v>
      </c>
      <c r="S56">
        <v>17.132000000000001</v>
      </c>
      <c r="T56">
        <v>36.411000000000001</v>
      </c>
      <c r="U56">
        <v>36.944000000000003</v>
      </c>
      <c r="W56">
        <v>-3.7999999999999999E-2</v>
      </c>
      <c r="X56">
        <v>-0.21099999999999999</v>
      </c>
      <c r="Z56">
        <v>2.5999999999999999E-2</v>
      </c>
      <c r="AA56">
        <v>-0.16700000000000001</v>
      </c>
      <c r="AB56">
        <v>-0.111</v>
      </c>
      <c r="AC56">
        <v>-3.7999999999999999E-2</v>
      </c>
      <c r="AD56">
        <v>-0.21099999999999999</v>
      </c>
      <c r="AE56">
        <v>-0.11799999999999999</v>
      </c>
      <c r="AF56">
        <v>2.5999999999999999E-2</v>
      </c>
      <c r="AG56">
        <v>-5.6000000000000001E-2</v>
      </c>
      <c r="AH56">
        <v>-0.16700000000000001</v>
      </c>
      <c r="AI56">
        <v>-0.14099999999999999</v>
      </c>
    </row>
    <row r="57" spans="1:35" x14ac:dyDescent="0.25">
      <c r="A57" t="s">
        <v>2756</v>
      </c>
      <c r="B57" t="s">
        <v>32</v>
      </c>
      <c r="C57" s="25">
        <v>43712.062893518516</v>
      </c>
      <c r="D57" s="741" t="s">
        <v>2238</v>
      </c>
      <c r="E57" s="741">
        <f t="array" ref="E57">SUMPRODUCT(IF(AMP6_2[[#This Row],[Dim 1_1]:[T 8]]-$F$4:$AI$4&lt;0,1,0)+IF($F$5:$AI$5-AMP6_2[[#This Row],[Dim 1_1]:[T 8]]&lt;0,1,0),IF(ISNUMBER(AMP6_2[[#This Row],[Dim 1_1]:[T 8]])=TRUE,1,0))</f>
        <v>0</v>
      </c>
      <c r="F57">
        <v>41.305999999999997</v>
      </c>
      <c r="G57">
        <v>41.656999999999996</v>
      </c>
      <c r="H57">
        <v>155.738</v>
      </c>
      <c r="I57">
        <v>155.476</v>
      </c>
      <c r="L57">
        <v>155.80600000000001</v>
      </c>
      <c r="M57">
        <v>155.63999999999999</v>
      </c>
      <c r="N57">
        <v>27.449000000000002</v>
      </c>
      <c r="O57">
        <v>27.553000000000001</v>
      </c>
      <c r="R57">
        <v>17.271999999999998</v>
      </c>
      <c r="S57">
        <v>17.222999999999999</v>
      </c>
      <c r="T57">
        <v>34.61</v>
      </c>
      <c r="U57">
        <v>35.036999999999999</v>
      </c>
      <c r="W57">
        <v>-9.4E-2</v>
      </c>
      <c r="X57">
        <v>-0.19</v>
      </c>
      <c r="Z57">
        <v>6.8000000000000005E-2</v>
      </c>
      <c r="AA57">
        <v>-9.8000000000000004E-2</v>
      </c>
      <c r="AB57">
        <v>-0.19</v>
      </c>
      <c r="AC57">
        <v>-0.17599999999999999</v>
      </c>
      <c r="AD57">
        <v>-9.4E-2</v>
      </c>
      <c r="AE57">
        <v>-0.14099999999999999</v>
      </c>
      <c r="AF57">
        <v>-6.4000000000000001E-2</v>
      </c>
      <c r="AG57">
        <v>-9.8000000000000004E-2</v>
      </c>
      <c r="AH57">
        <v>6.8000000000000005E-2</v>
      </c>
      <c r="AI57">
        <v>-4.5999999999999999E-2</v>
      </c>
    </row>
    <row r="58" spans="1:35" x14ac:dyDescent="0.25">
      <c r="A58" t="s">
        <v>2757</v>
      </c>
      <c r="B58" t="s">
        <v>31</v>
      </c>
      <c r="C58" s="25">
        <v>43712.064930555556</v>
      </c>
      <c r="D58" s="741" t="s">
        <v>2238</v>
      </c>
      <c r="E58" s="741">
        <f t="array" ref="E58">SUMPRODUCT(IF(AMP6_2[[#This Row],[Dim 1_1]:[T 8]]-$F$4:$AI$4&lt;0,1,0)+IF($F$5:$AI$5-AMP6_2[[#This Row],[Dim 1_1]:[T 8]]&lt;0,1,0),IF(ISNUMBER(AMP6_2[[#This Row],[Dim 1_1]:[T 8]])=TRUE,1,0))</f>
        <v>0</v>
      </c>
      <c r="H58">
        <v>155.75800000000001</v>
      </c>
      <c r="I58">
        <v>155.57900000000001</v>
      </c>
      <c r="J58">
        <v>168.624</v>
      </c>
      <c r="K58">
        <v>168.92</v>
      </c>
      <c r="L58">
        <v>155.88999999999999</v>
      </c>
      <c r="M58">
        <v>155.77199999999999</v>
      </c>
      <c r="N58">
        <v>27.428999999999998</v>
      </c>
      <c r="O58">
        <v>27.556999999999999</v>
      </c>
      <c r="R58">
        <v>17.195</v>
      </c>
      <c r="S58">
        <v>17.146000000000001</v>
      </c>
      <c r="T58">
        <v>36.088999999999999</v>
      </c>
      <c r="U58">
        <v>40.375</v>
      </c>
      <c r="W58">
        <v>7.5999999999999998E-2</v>
      </c>
      <c r="X58">
        <v>-0.128</v>
      </c>
      <c r="Z58">
        <v>8.5999999999999993E-2</v>
      </c>
      <c r="AA58">
        <v>-0.14799999999999999</v>
      </c>
      <c r="AB58">
        <v>-1.0999999999999999E-2</v>
      </c>
      <c r="AC58">
        <v>7.5999999999999998E-2</v>
      </c>
      <c r="AD58">
        <v>-0.128</v>
      </c>
      <c r="AE58">
        <v>2.5999999999999999E-2</v>
      </c>
      <c r="AF58">
        <v>8.5999999999999993E-2</v>
      </c>
      <c r="AG58">
        <v>0.02</v>
      </c>
      <c r="AH58">
        <v>-0.14799999999999999</v>
      </c>
      <c r="AI58">
        <v>-0.10299999999999999</v>
      </c>
    </row>
    <row r="59" spans="1:35" x14ac:dyDescent="0.25">
      <c r="A59" t="s">
        <v>2758</v>
      </c>
      <c r="B59" t="s">
        <v>32</v>
      </c>
      <c r="C59" s="25">
        <v>43712.329560185186</v>
      </c>
      <c r="D59" s="741" t="s">
        <v>2238</v>
      </c>
      <c r="E59" s="741">
        <f t="array" ref="E59">SUMPRODUCT(IF(AMP6_2[[#This Row],[Dim 1_1]:[T 8]]-$F$4:$AI$4&lt;0,1,0)+IF($F$5:$AI$5-AMP6_2[[#This Row],[Dim 1_1]:[T 8]]&lt;0,1,0),IF(ISNUMBER(AMP6_2[[#This Row],[Dim 1_1]:[T 8]])=TRUE,1,0))</f>
        <v>0</v>
      </c>
      <c r="F59">
        <v>41.247</v>
      </c>
      <c r="G59">
        <v>41.689</v>
      </c>
      <c r="H59">
        <v>155.79400000000001</v>
      </c>
      <c r="I59">
        <v>155.41900000000001</v>
      </c>
      <c r="L59">
        <v>155.83500000000001</v>
      </c>
      <c r="M59">
        <v>155.554</v>
      </c>
      <c r="N59">
        <v>27.431999999999999</v>
      </c>
      <c r="O59">
        <v>27.629000000000001</v>
      </c>
      <c r="R59">
        <v>17.241</v>
      </c>
      <c r="S59">
        <v>17.202000000000002</v>
      </c>
      <c r="T59">
        <v>34.652000000000001</v>
      </c>
      <c r="U59">
        <v>35.277999999999999</v>
      </c>
      <c r="W59">
        <v>0.112</v>
      </c>
      <c r="X59">
        <v>-2.9000000000000001E-2</v>
      </c>
      <c r="Z59">
        <v>0.16200000000000001</v>
      </c>
      <c r="AA59">
        <v>0.08</v>
      </c>
      <c r="AB59">
        <v>-2.9000000000000001E-2</v>
      </c>
      <c r="AC59">
        <v>-5.0000000000000001E-3</v>
      </c>
      <c r="AD59">
        <v>0.112</v>
      </c>
      <c r="AE59">
        <v>0.111</v>
      </c>
      <c r="AF59">
        <v>0.11799999999999999</v>
      </c>
      <c r="AG59">
        <v>0.08</v>
      </c>
      <c r="AH59">
        <v>0.112</v>
      </c>
      <c r="AI59">
        <v>0.16200000000000001</v>
      </c>
    </row>
    <row r="60" spans="1:35" x14ac:dyDescent="0.25">
      <c r="A60" t="s">
        <v>2759</v>
      </c>
      <c r="B60" t="s">
        <v>31</v>
      </c>
      <c r="C60" s="25">
        <v>43712.331712962965</v>
      </c>
      <c r="D60" s="741" t="s">
        <v>2238</v>
      </c>
      <c r="E60" s="741">
        <f t="array" ref="E60">SUMPRODUCT(IF(AMP6_2[[#This Row],[Dim 1_1]:[T 8]]-$F$4:$AI$4&lt;0,1,0)+IF($F$5:$AI$5-AMP6_2[[#This Row],[Dim 1_1]:[T 8]]&lt;0,1,0),IF(ISNUMBER(AMP6_2[[#This Row],[Dim 1_1]:[T 8]])=TRUE,1,0))</f>
        <v>0</v>
      </c>
      <c r="H60">
        <v>155.75700000000001</v>
      </c>
      <c r="I60">
        <v>155.54</v>
      </c>
      <c r="J60">
        <v>168.57</v>
      </c>
      <c r="K60">
        <v>168.762</v>
      </c>
      <c r="L60">
        <v>155.86799999999999</v>
      </c>
      <c r="M60">
        <v>155.70699999999999</v>
      </c>
      <c r="N60">
        <v>27.425999999999998</v>
      </c>
      <c r="O60">
        <v>27.613</v>
      </c>
      <c r="R60">
        <v>17.189</v>
      </c>
      <c r="S60">
        <v>17.155000000000001</v>
      </c>
      <c r="T60">
        <v>35.889000000000003</v>
      </c>
      <c r="U60">
        <v>37.823</v>
      </c>
      <c r="W60">
        <v>0.191</v>
      </c>
      <c r="X60">
        <v>8.0000000000000002E-3</v>
      </c>
      <c r="Z60">
        <v>0.248</v>
      </c>
      <c r="AA60">
        <v>9.9000000000000005E-2</v>
      </c>
      <c r="AB60">
        <v>0.107</v>
      </c>
      <c r="AC60">
        <v>0.191</v>
      </c>
      <c r="AD60">
        <v>8.0000000000000002E-3</v>
      </c>
      <c r="AE60">
        <v>0.155</v>
      </c>
      <c r="AF60">
        <v>0.248</v>
      </c>
      <c r="AG60">
        <v>0.18</v>
      </c>
      <c r="AH60">
        <v>9.9000000000000005E-2</v>
      </c>
      <c r="AI60">
        <v>0.11700000000000001</v>
      </c>
    </row>
    <row r="61" spans="1:35" x14ac:dyDescent="0.25">
      <c r="D61" s="740"/>
      <c r="E61" s="740"/>
    </row>
    <row r="138" spans="4:4" x14ac:dyDescent="0.25">
      <c r="D138" s="25"/>
    </row>
    <row r="139" spans="4:4" x14ac:dyDescent="0.25">
      <c r="D139" s="25"/>
    </row>
    <row r="140" spans="4:4" x14ac:dyDescent="0.25">
      <c r="D140" s="25"/>
    </row>
    <row r="141" spans="4:4" x14ac:dyDescent="0.25">
      <c r="D141" s="25"/>
    </row>
    <row r="142" spans="4:4" x14ac:dyDescent="0.25">
      <c r="D142" s="25"/>
    </row>
    <row r="143" spans="4:4" x14ac:dyDescent="0.25">
      <c r="D143" s="25"/>
    </row>
    <row r="144" spans="4:4" x14ac:dyDescent="0.25">
      <c r="D144" s="25"/>
    </row>
    <row r="145" spans="4:4" x14ac:dyDescent="0.25">
      <c r="D145" s="25"/>
    </row>
    <row r="146" spans="4:4" x14ac:dyDescent="0.25">
      <c r="D146" s="25"/>
    </row>
    <row r="147" spans="4:4" x14ac:dyDescent="0.25">
      <c r="D147" s="25"/>
    </row>
    <row r="148" spans="4:4" x14ac:dyDescent="0.25">
      <c r="D148" s="25"/>
    </row>
    <row r="149" spans="4:4" x14ac:dyDescent="0.25">
      <c r="D149" s="25"/>
    </row>
    <row r="150" spans="4:4" x14ac:dyDescent="0.25">
      <c r="D150" s="25"/>
    </row>
    <row r="151" spans="4:4" x14ac:dyDescent="0.25">
      <c r="D151" s="25"/>
    </row>
    <row r="152" spans="4:4" x14ac:dyDescent="0.25">
      <c r="D152" s="25"/>
    </row>
    <row r="153" spans="4:4" x14ac:dyDescent="0.25">
      <c r="D153" s="25"/>
    </row>
    <row r="154" spans="4:4" x14ac:dyDescent="0.25">
      <c r="D154" s="25"/>
    </row>
    <row r="155" spans="4:4" x14ac:dyDescent="0.25">
      <c r="D155" s="25"/>
    </row>
    <row r="156" spans="4:4" x14ac:dyDescent="0.25">
      <c r="D156" s="25"/>
    </row>
    <row r="157" spans="4:4" x14ac:dyDescent="0.25">
      <c r="D157" s="25"/>
    </row>
    <row r="158" spans="4:4" x14ac:dyDescent="0.25">
      <c r="D158" s="25"/>
    </row>
    <row r="159" spans="4:4" x14ac:dyDescent="0.25">
      <c r="D159" s="25"/>
    </row>
    <row r="160" spans="4:4" x14ac:dyDescent="0.25">
      <c r="D160" s="25"/>
    </row>
    <row r="161" spans="4:4" x14ac:dyDescent="0.25">
      <c r="D161" s="25"/>
    </row>
    <row r="162" spans="4:4" x14ac:dyDescent="0.25">
      <c r="D162" s="25"/>
    </row>
    <row r="163" spans="4:4" x14ac:dyDescent="0.25">
      <c r="D163" s="25"/>
    </row>
    <row r="164" spans="4:4" x14ac:dyDescent="0.25">
      <c r="D164" s="25"/>
    </row>
    <row r="165" spans="4:4" x14ac:dyDescent="0.25">
      <c r="D165" s="25"/>
    </row>
    <row r="166" spans="4:4" x14ac:dyDescent="0.25">
      <c r="D166" s="25"/>
    </row>
    <row r="167" spans="4:4" x14ac:dyDescent="0.25">
      <c r="D167" s="25"/>
    </row>
    <row r="168" spans="4:4" x14ac:dyDescent="0.25">
      <c r="D168" s="25"/>
    </row>
    <row r="169" spans="4:4" x14ac:dyDescent="0.25">
      <c r="D169" s="25"/>
    </row>
    <row r="170" spans="4:4" x14ac:dyDescent="0.25">
      <c r="D170" s="25"/>
    </row>
    <row r="171" spans="4:4" x14ac:dyDescent="0.25">
      <c r="D171" s="25"/>
    </row>
    <row r="172" spans="4:4" x14ac:dyDescent="0.25">
      <c r="D172" s="25"/>
    </row>
    <row r="173" spans="4:4" x14ac:dyDescent="0.25">
      <c r="D173" s="25"/>
    </row>
    <row r="174" spans="4:4" x14ac:dyDescent="0.25">
      <c r="D174" s="25"/>
    </row>
    <row r="175" spans="4:4" x14ac:dyDescent="0.25">
      <c r="D175" s="25"/>
    </row>
    <row r="176" spans="4:4" x14ac:dyDescent="0.25">
      <c r="D176" s="25"/>
    </row>
    <row r="177" spans="4:4" x14ac:dyDescent="0.25">
      <c r="D177" s="25"/>
    </row>
    <row r="178" spans="4:4" x14ac:dyDescent="0.25">
      <c r="D178" s="25"/>
    </row>
    <row r="179" spans="4:4" x14ac:dyDescent="0.25">
      <c r="D179" s="25"/>
    </row>
    <row r="180" spans="4:4" x14ac:dyDescent="0.25">
      <c r="D180" s="25"/>
    </row>
    <row r="181" spans="4:4" x14ac:dyDescent="0.25">
      <c r="D181" s="25"/>
    </row>
    <row r="182" spans="4:4" x14ac:dyDescent="0.25">
      <c r="D182" s="25"/>
    </row>
    <row r="183" spans="4:4" x14ac:dyDescent="0.25">
      <c r="D183" s="25"/>
    </row>
    <row r="184" spans="4:4" x14ac:dyDescent="0.25">
      <c r="D184" s="25"/>
    </row>
    <row r="185" spans="4:4" x14ac:dyDescent="0.25">
      <c r="D185" s="25"/>
    </row>
    <row r="186" spans="4:4" x14ac:dyDescent="0.25">
      <c r="D186" s="25"/>
    </row>
    <row r="187" spans="4:4" x14ac:dyDescent="0.25">
      <c r="D187" s="25"/>
    </row>
    <row r="188" spans="4:4" x14ac:dyDescent="0.25">
      <c r="D188" s="25"/>
    </row>
    <row r="189" spans="4:4" x14ac:dyDescent="0.25">
      <c r="D189" s="25"/>
    </row>
    <row r="190" spans="4:4" x14ac:dyDescent="0.25">
      <c r="D190" s="25"/>
    </row>
    <row r="191" spans="4:4" x14ac:dyDescent="0.25">
      <c r="D191" s="25"/>
    </row>
    <row r="192" spans="4:4" x14ac:dyDescent="0.25">
      <c r="D192" s="25"/>
    </row>
    <row r="193" spans="4:4" x14ac:dyDescent="0.25">
      <c r="D193" s="25"/>
    </row>
    <row r="194" spans="4:4" x14ac:dyDescent="0.25">
      <c r="D194" s="25"/>
    </row>
    <row r="195" spans="4:4" x14ac:dyDescent="0.25">
      <c r="D195" s="25"/>
    </row>
    <row r="196" spans="4:4" x14ac:dyDescent="0.25">
      <c r="D196" s="25"/>
    </row>
    <row r="197" spans="4:4" x14ac:dyDescent="0.25">
      <c r="D197" s="25"/>
    </row>
    <row r="198" spans="4:4" x14ac:dyDescent="0.25">
      <c r="D198" s="25"/>
    </row>
    <row r="199" spans="4:4" x14ac:dyDescent="0.25">
      <c r="D199" s="25"/>
    </row>
    <row r="200" spans="4:4" x14ac:dyDescent="0.25">
      <c r="D200" s="25"/>
    </row>
    <row r="201" spans="4:4" x14ac:dyDescent="0.25">
      <c r="D201" s="25"/>
    </row>
    <row r="202" spans="4:4" x14ac:dyDescent="0.25">
      <c r="D202" s="25"/>
    </row>
    <row r="203" spans="4:4" x14ac:dyDescent="0.25">
      <c r="D203" s="25"/>
    </row>
    <row r="204" spans="4:4" x14ac:dyDescent="0.25">
      <c r="D204" s="25"/>
    </row>
    <row r="205" spans="4:4" x14ac:dyDescent="0.25">
      <c r="D205" s="25"/>
    </row>
    <row r="206" spans="4:4" x14ac:dyDescent="0.25">
      <c r="D206" s="25"/>
    </row>
    <row r="207" spans="4:4" x14ac:dyDescent="0.25">
      <c r="D207" s="25"/>
    </row>
    <row r="208" spans="4:4" x14ac:dyDescent="0.25">
      <c r="D208" s="25"/>
    </row>
    <row r="209" spans="4:4" x14ac:dyDescent="0.25">
      <c r="D209" s="25"/>
    </row>
    <row r="210" spans="4:4" x14ac:dyDescent="0.25">
      <c r="D210" s="25"/>
    </row>
    <row r="211" spans="4:4" x14ac:dyDescent="0.25">
      <c r="D211" s="25"/>
    </row>
    <row r="212" spans="4:4" x14ac:dyDescent="0.25">
      <c r="D212" s="25"/>
    </row>
    <row r="213" spans="4:4" x14ac:dyDescent="0.25">
      <c r="D213" s="25"/>
    </row>
    <row r="214" spans="4:4" x14ac:dyDescent="0.25">
      <c r="D214" s="25"/>
    </row>
    <row r="215" spans="4:4" x14ac:dyDescent="0.25">
      <c r="D215" s="25"/>
    </row>
    <row r="216" spans="4:4" x14ac:dyDescent="0.25">
      <c r="D216" s="25"/>
    </row>
    <row r="217" spans="4:4" x14ac:dyDescent="0.25">
      <c r="D217" s="25"/>
    </row>
    <row r="218" spans="4:4" x14ac:dyDescent="0.25">
      <c r="D218" s="25"/>
    </row>
    <row r="219" spans="4:4" x14ac:dyDescent="0.25">
      <c r="D219" s="25"/>
    </row>
    <row r="220" spans="4:4" x14ac:dyDescent="0.25">
      <c r="D220" s="25"/>
    </row>
    <row r="221" spans="4:4" x14ac:dyDescent="0.25">
      <c r="D221" s="25"/>
    </row>
    <row r="222" spans="4:4" x14ac:dyDescent="0.25">
      <c r="D222" s="25"/>
    </row>
    <row r="223" spans="4:4" x14ac:dyDescent="0.25">
      <c r="D223" s="25"/>
    </row>
    <row r="224" spans="4:4" x14ac:dyDescent="0.25">
      <c r="D224" s="25"/>
    </row>
    <row r="225" spans="4:4" x14ac:dyDescent="0.25">
      <c r="D225" s="25"/>
    </row>
    <row r="226" spans="4:4" x14ac:dyDescent="0.25">
      <c r="D226" s="25"/>
    </row>
    <row r="227" spans="4:4" x14ac:dyDescent="0.25">
      <c r="D227" s="25"/>
    </row>
    <row r="228" spans="4:4" x14ac:dyDescent="0.25">
      <c r="D228" s="25"/>
    </row>
    <row r="229" spans="4:4" x14ac:dyDescent="0.25">
      <c r="D229" s="25"/>
    </row>
    <row r="230" spans="4:4" x14ac:dyDescent="0.25">
      <c r="D230" s="25"/>
    </row>
    <row r="231" spans="4:4" x14ac:dyDescent="0.25">
      <c r="D231" s="25"/>
    </row>
    <row r="232" spans="4:4" x14ac:dyDescent="0.25">
      <c r="D232" s="25"/>
    </row>
    <row r="233" spans="4:4" x14ac:dyDescent="0.25">
      <c r="D233" s="25"/>
    </row>
    <row r="234" spans="4:4" x14ac:dyDescent="0.25">
      <c r="D234" s="25"/>
    </row>
    <row r="235" spans="4:4" x14ac:dyDescent="0.25">
      <c r="D235" s="25"/>
    </row>
    <row r="236" spans="4:4" x14ac:dyDescent="0.25">
      <c r="D236" s="25"/>
    </row>
    <row r="237" spans="4:4" x14ac:dyDescent="0.25">
      <c r="D237" s="25"/>
    </row>
    <row r="238" spans="4:4" x14ac:dyDescent="0.25">
      <c r="D238" s="25"/>
    </row>
    <row r="239" spans="4:4" x14ac:dyDescent="0.25">
      <c r="D239" s="25"/>
    </row>
    <row r="240" spans="4:4" x14ac:dyDescent="0.25">
      <c r="D240" s="25"/>
    </row>
    <row r="241" spans="4:4" x14ac:dyDescent="0.25">
      <c r="D241" s="25"/>
    </row>
    <row r="242" spans="4:4" x14ac:dyDescent="0.25">
      <c r="D242" s="25"/>
    </row>
    <row r="243" spans="4:4" x14ac:dyDescent="0.25">
      <c r="D243" s="25"/>
    </row>
    <row r="244" spans="4:4" x14ac:dyDescent="0.25">
      <c r="D244" s="25"/>
    </row>
    <row r="245" spans="4:4" x14ac:dyDescent="0.25">
      <c r="D245" s="25"/>
    </row>
    <row r="246" spans="4:4" x14ac:dyDescent="0.25">
      <c r="D246" s="25"/>
    </row>
    <row r="247" spans="4:4" x14ac:dyDescent="0.25">
      <c r="D247" s="25"/>
    </row>
    <row r="248" spans="4:4" x14ac:dyDescent="0.25">
      <c r="D248" s="25"/>
    </row>
    <row r="249" spans="4:4" x14ac:dyDescent="0.25">
      <c r="D249" s="25"/>
    </row>
    <row r="250" spans="4:4" x14ac:dyDescent="0.25">
      <c r="D250" s="25"/>
    </row>
    <row r="251" spans="4:4" x14ac:dyDescent="0.25">
      <c r="D251" s="25"/>
    </row>
    <row r="252" spans="4:4" x14ac:dyDescent="0.25">
      <c r="D252" s="25"/>
    </row>
    <row r="253" spans="4:4" x14ac:dyDescent="0.25">
      <c r="D253" s="25"/>
    </row>
    <row r="254" spans="4:4" x14ac:dyDescent="0.25">
      <c r="D254" s="25"/>
    </row>
    <row r="255" spans="4:4" x14ac:dyDescent="0.25">
      <c r="D255" s="25"/>
    </row>
  </sheetData>
  <mergeCells count="1">
    <mergeCell ref="E1:E2"/>
  </mergeCells>
  <conditionalFormatting sqref="AJ8:XFD8 B10:D11 B13:D60">
    <cfRule type="notContainsBlanks" priority="16" stopIfTrue="1">
      <formula>LEN(TRIM(B8))&gt;0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E1 E3:E1048576">
    <cfRule type="cellIs" dxfId="38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37" priority="10"/>
  </conditionalFormatting>
  <conditionalFormatting sqref="F6:S7 V6:AI7">
    <cfRule type="cellIs" dxfId="36" priority="5" stopIfTrue="1" operator="notBetween">
      <formula>0.35</formula>
      <formula>-0.35</formula>
    </cfRule>
    <cfRule type="cellIs" dxfId="35" priority="6" operator="notBetween">
      <formula>0.2</formula>
      <formula>-0.2</formula>
    </cfRule>
  </conditionalFormatting>
  <conditionalFormatting sqref="T6:U7">
    <cfRule type="cellIs" dxfId="34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33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8">
    <tabColor rgb="FF00B050"/>
  </sheetPr>
  <dimension ref="A1:AI407"/>
  <sheetViews>
    <sheetView zoomScale="90" zoomScaleNormal="90" workbookViewId="0">
      <pane xSplit="2" ySplit="8" topLeftCell="AQ202" activePane="bottomRight" state="frozenSplit"/>
      <selection pane="topRight" activeCell="C1" sqref="C1"/>
      <selection pane="bottomLeft" activeCell="A9" sqref="A9"/>
      <selection pane="bottomRight" activeCell="S52" sqref="S52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MIN(AMP6_4[Date])</f>
        <v>43698.532372685186</v>
      </c>
      <c r="D1" s="310"/>
      <c r="E1" s="794" t="s">
        <v>40</v>
      </c>
      <c r="F1" s="2">
        <f>IFERROR(AVERAGEIFS(AMP6_4[[#All],[Dim 1_1]],AMP6_4[[#All],[Blade Part Number]],$B1,AMP6_4[[#All],[Date]],"&gt;"&amp;$A$1,AMP6_4[[#All],[Date]],"&lt;"&amp;$A$2),"")</f>
        <v>41.171923076923079</v>
      </c>
      <c r="G1" s="2">
        <f>IFERROR(AVERAGEIFS(AMP6_4[[#All],[Dim 1_2]],AMP6_4[[#All],[Blade Part Number]],$B1,AMP6_4[[#All],[Date]],"&gt;"&amp;$A$1,AMP6_4[[#All],[Date]],"&lt;"&amp;$A$2),"")</f>
        <v>41.342423076923076</v>
      </c>
      <c r="H1" s="2">
        <f>IFERROR(AVERAGEIFS(AMP6_4[[#All],[Dim 2_1]],AMP6_4[[#All],[Blade Part Number]],$B1,AMP6_4[[#All],[Date]],"&gt;"&amp;$A$1,AMP6_4[[#All],[Date]],"&lt;"&amp;$A$2),"")</f>
        <v>155.68153846153842</v>
      </c>
      <c r="I1" s="2">
        <f>IFERROR(AVERAGEIFS(AMP6_4[[#All],[Dim 2_2]],AMP6_4[[#All],[Blade Part Number]],$B1,AMP6_4[[#All],[Date]],"&gt;"&amp;$A$1,AMP6_4[[#All],[Date]],"&lt;"&amp;$A$2),"")</f>
        <v>155.45200000000003</v>
      </c>
      <c r="J1" s="2" t="str">
        <f>IFERROR(AVERAGEIFS(AMP6_4[[#All],[Dim 3_1]],AMP6_4[[#All],[Blade Part Number]],$B1,AMP6_4[[#All],[Date]],"&gt;"&amp;$A$1,AMP6_4[[#All],[Date]],"&lt;"&amp;$A$2),"")</f>
        <v/>
      </c>
      <c r="K1" s="2" t="str">
        <f>IFERROR(AVERAGEIFS(AMP6_4[[#All],[Dim 3_2]],AMP6_4[[#All],[Blade Part Number]],$B1,AMP6_4[[#All],[Date]],"&gt;"&amp;$A$1,AMP6_4[[#All],[Date]],"&lt;"&amp;$A$2),"")</f>
        <v/>
      </c>
      <c r="L1" s="2">
        <f>IFERROR(AVERAGEIFS(AMP6_4[[#All],[Dim 4_1]],AMP6_4[[#All],[Blade Part Number]],$B1,AMP6_4[[#All],[Date]],"&gt;"&amp;$A$1,AMP6_4[[#All],[Date]],"&lt;"&amp;$A$2),"")</f>
        <v>155.84546153846154</v>
      </c>
      <c r="M1" s="2">
        <f>IFERROR(AVERAGEIFS(AMP6_4[[#All],[Dim 4_2]],AMP6_4[[#All],[Blade Part Number]],$B1,AMP6_4[[#All],[Date]],"&gt;"&amp;$A$1,AMP6_4[[#All],[Date]],"&lt;"&amp;$A$2),"")</f>
        <v>155.50542307692305</v>
      </c>
      <c r="N1" s="2">
        <f>IFERROR(AVERAGEIFS(AMP6_4[[#All],[Dim 5_1]],AMP6_4[[#All],[Blade Part Number]],$B1,AMP6_4[[#All],[Date]],"&gt;"&amp;$A$1,AMP6_4[[#All],[Date]],"&lt;"&amp;$A$2),"")</f>
        <v>27.346153846153836</v>
      </c>
      <c r="O1" s="2">
        <f>IFERROR(AVERAGEIFS(AMP6_4[[#All],[Dim 5_2]],AMP6_4[[#All],[Blade Part Number]],$B1,AMP6_4[[#All],[Date]],"&gt;"&amp;$A$1,AMP6_4[[#All],[Date]],"&lt;"&amp;$A$2),"")</f>
        <v>27.579730769230771</v>
      </c>
      <c r="P1" s="2" t="str">
        <f>IFERROR(AVERAGEIFS(AMP6_4[[#All],[Dim 6]],AMP6_4[[#All],[Blade Part Number]],$B1,AMP6_4[[#All],[Date]],"&gt;"&amp;$A$1,AMP6_4[[#All],[Date]],"&lt;"&amp;$A$2),"")</f>
        <v/>
      </c>
      <c r="Q1" s="2" t="str">
        <f>IFERROR(AVERAGEIFS(AMP6_4[[#All],[Dim 7]],AMP6_4[[#All],[Blade Part Number]],$B1,AMP6_4[[#All],[Date]],"&gt;"&amp;$A$1,AMP6_4[[#All],[Date]],"&lt;"&amp;$A$2),"")</f>
        <v/>
      </c>
      <c r="R1" s="2">
        <f>IFERROR(AVERAGEIFS(AMP6_4[[#All],[Dim 9_1]],AMP6_4[[#All],[Blade Part Number]],$B1,AMP6_4[[#All],[Date]],"&gt;"&amp;$A$1,AMP6_4[[#All],[Date]],"&lt;"&amp;$A$2),"")</f>
        <v>17.262961538461539</v>
      </c>
      <c r="S1" s="2">
        <f>IFERROR(AVERAGEIFS(AMP6_4[[#All],[Dim 9_2]],AMP6_4[[#All],[Blade Part Number]],$B1,AMP6_4[[#All],[Date]],"&gt;"&amp;$A$1,AMP6_4[[#All],[Date]],"&lt;"&amp;$A$2),"")</f>
        <v>17.283846153846152</v>
      </c>
      <c r="T1" s="2">
        <f>IFERROR(AVERAGEIFS(AMP6_4[[#All],[Dim 10_1]],AMP6_4[[#All],[Blade Part Number]],$B1,AMP6_4[[#All],[Date]],"&gt;"&amp;$A$1,AMP6_4[[#All],[Date]],"&lt;"&amp;$A$2),"")</f>
        <v>35.65880769230769</v>
      </c>
      <c r="U1" s="2">
        <f>IFERROR(AVERAGEIFS(AMP6_4[[#All],[Dim 10_2]],AMP6_4[[#All],[Blade Part Number]],$B1,AMP6_4[[#All],[Date]],"&gt;"&amp;$A$1,AMP6_4[[#All],[Date]],"&lt;"&amp;$A$2),"")</f>
        <v>36.41496153846154</v>
      </c>
      <c r="V1" s="2" t="str">
        <f>IFERROR(AVERAGEIFS(AMP6_4[[#All],[Dim 11]],AMP6_4[[#All],[Blade Part Number]],$B1,AMP6_4[[#All],[Date]],"&gt;"&amp;$A$1,AMP6_4[[#All],[Date]],"&lt;"&amp;$A$2),"")</f>
        <v/>
      </c>
      <c r="W1" s="2">
        <f>IFERROR(AVERAGEIFS(AMP6_4[[#All],[Dim 11 Max]],AMP6_4[[#All],[Blade Part Number]],$B1,AMP6_4[[#All],[Date]],"&gt;"&amp;$A$1,AMP6_4[[#All],[Date]],"&lt;"&amp;$A$2),"")</f>
        <v>0.26884615384615385</v>
      </c>
      <c r="X1" s="2">
        <f>IFERROR(AVERAGEIFS(AMP6_4[[#All],[Dim 11 Min]],AMP6_4[[#All],[Blade Part Number]],$B1,AMP6_4[[#All],[Date]],"&gt;"&amp;$A$1,AMP6_4[[#All],[Date]],"&lt;"&amp;$A$2),"")</f>
        <v>0.12050000000000002</v>
      </c>
      <c r="Y1" s="2" t="str">
        <f>IFERROR(AVERAGEIFS(AMP6_4[[#All],[Dim 12]],AMP6_4[[#All],[Blade Part Number]],$B1,AMP6_4[[#All],[Date]],"&gt;"&amp;$A$1,AMP6_4[[#All],[Date]],"&lt;"&amp;$A$2),"")</f>
        <v/>
      </c>
      <c r="Z1" s="2">
        <f>IFERROR(AVERAGEIFS(AMP6_4[[#All],[Dim 12 Max]],AMP6_4[[#All],[Blade Part Number]],$B1,AMP6_4[[#All],[Date]],"&gt;"&amp;$A$1,AMP6_4[[#All],[Date]],"&lt;"&amp;$A$2),"")</f>
        <v>0.40100000000000002</v>
      </c>
      <c r="AA1" s="2">
        <f>IFERROR(AVERAGEIFS(AMP6_4[[#All],[Dim 12 Min]],AMP6_4[[#All],[Blade Part Number]],$B1,AMP6_4[[#All],[Date]],"&gt;"&amp;$A$1,AMP6_4[[#All],[Date]],"&lt;"&amp;$A$2),"")</f>
        <v>0.27592307692307688</v>
      </c>
      <c r="AB1" s="2">
        <f>IFERROR(AVERAGEIFS(AMP6_4[[#All],[T 1]],AMP6_4[[#All],[Blade Part Number]],$B1,AMP6_4[[#All],[Date]],"&gt;"&amp;$A$1,AMP6_4[[#All],[Date]],"&lt;"&amp;$A$2),"")</f>
        <v>0.21384615384615385</v>
      </c>
      <c r="AC1" s="2">
        <f>IFERROR(AVERAGEIFS(AMP6_4[[#All],[T 2]],AMP6_4[[#All],[Blade Part Number]],$B1,AMP6_4[[#All],[Date]],"&gt;"&amp;$A$1,AMP6_4[[#All],[Date]],"&lt;"&amp;$A$2),"")</f>
        <v>0.24280769230769225</v>
      </c>
      <c r="AD1" s="2">
        <f>IFERROR(AVERAGEIFS(AMP6_4[[#All],[T 3]],AMP6_4[[#All],[Blade Part Number]],$B1,AMP6_4[[#All],[Date]],"&gt;"&amp;$A$1,AMP6_4[[#All],[Date]],"&lt;"&amp;$A$2),"")</f>
        <v>0.20661538461538453</v>
      </c>
      <c r="AE1" s="2">
        <f>IFERROR(AVERAGEIFS(AMP6_4[[#All],[T 4]],AMP6_4[[#All],[Blade Part Number]],$B1,AMP6_4[[#All],[Date]],"&gt;"&amp;$A$1,AMP6_4[[#All],[Date]],"&lt;"&amp;$A$2),"")</f>
        <v>0.13930769230769233</v>
      </c>
      <c r="AF1" s="2">
        <f>IFERROR(AVERAGEIFS(AMP6_4[[#All],[T 5]],AMP6_4[[#All],[Blade Part Number]],$B1,AMP6_4[[#All],[Date]],"&gt;"&amp;$A$1,AMP6_4[[#All],[Date]],"&lt;"&amp;$A$2),"")</f>
        <v>0.37276923076923085</v>
      </c>
      <c r="AG1" s="2">
        <f>IFERROR(AVERAGEIFS(AMP6_4[[#All],[T 6]],AMP6_4[[#All],[Blade Part Number]],$B1,AMP6_4[[#All],[Date]],"&gt;"&amp;$A$1,AMP6_4[[#All],[Date]],"&lt;"&amp;$A$2),"")</f>
        <v>0.33319230769230768</v>
      </c>
      <c r="AH1" s="2">
        <f>IFERROR(AVERAGEIFS(AMP6_4[[#All],[T 7]],AMP6_4[[#All],[Blade Part Number]],$B1,AMP6_4[[#All],[Date]],"&gt;"&amp;$A$1,AMP6_4[[#All],[Date]],"&lt;"&amp;$A$2),"")</f>
        <v>0.29703846153846153</v>
      </c>
      <c r="AI1" s="2">
        <f>IFERROR(AVERAGEIFS(AMP6_4[[#All],[T 8]],AMP6_4[[#All],[Blade Part Number]],$B1,AMP6_4[[#All],[Date]],"&gt;"&amp;$A$1,AMP6_4[[#All],[Date]],"&lt;"&amp;$A$2),"")</f>
        <v>0.36215384615384616</v>
      </c>
    </row>
    <row r="2" spans="1:35" x14ac:dyDescent="0.25">
      <c r="A2" s="1">
        <f>'Offset Solver'!E31</f>
        <v>73050</v>
      </c>
      <c r="B2" s="12" t="s">
        <v>31</v>
      </c>
      <c r="C2" s="25">
        <f>MAX(AMP6_4[Date])</f>
        <v>43712.318611111114</v>
      </c>
      <c r="D2" s="310"/>
      <c r="E2" s="794"/>
      <c r="F2" s="2" t="str">
        <f>IFERROR(AVERAGEIFS(AMP6_4[[#All],[Dim 1_1]],AMP6_4[[#All],[Blade Part Number]],$B2,AMP6_4[[#All],[Date]],"&gt;"&amp;$A$1,AMP6_4[[#All],[Date]],"&lt;"&amp;$A$2),"")</f>
        <v/>
      </c>
      <c r="G2" s="2" t="str">
        <f>IFERROR(AVERAGEIFS(AMP6_4[[#All],[Dim 1_2]],AMP6_4[[#All],[Blade Part Number]],$B2,AMP6_4[[#All],[Date]],"&gt;"&amp;$A$1,AMP6_4[[#All],[Date]],"&lt;"&amp;$A$2),"")</f>
        <v/>
      </c>
      <c r="H2" s="2">
        <f>IFERROR(AVERAGEIFS(AMP6_4[[#All],[Dim 2_1]],AMP6_4[[#All],[Blade Part Number]],$B2,AMP6_4[[#All],[Date]],"&gt;"&amp;$A$1,AMP6_4[[#All],[Date]],"&lt;"&amp;$A$2),"")</f>
        <v>155.87361538461539</v>
      </c>
      <c r="I2" s="2">
        <f>IFERROR(AVERAGEIFS(AMP6_4[[#All],[Dim 2_2]],AMP6_4[[#All],[Blade Part Number]],$B2,AMP6_4[[#All],[Date]],"&gt;"&amp;$A$1,AMP6_4[[#All],[Date]],"&lt;"&amp;$A$2),"")</f>
        <v>155.82473076923077</v>
      </c>
      <c r="J2" s="2">
        <f>IFERROR(AVERAGEIFS(AMP6_4[[#All],[Dim 3_1]],AMP6_4[[#All],[Blade Part Number]],$B2,AMP6_4[[#All],[Date]],"&gt;"&amp;$A$1,AMP6_4[[#All],[Date]],"&lt;"&amp;$A$2),"")</f>
        <v>168.84173076923076</v>
      </c>
      <c r="K2" s="2">
        <f>IFERROR(AVERAGEIFS(AMP6_4[[#All],[Dim 3_2]],AMP6_4[[#All],[Blade Part Number]],$B2,AMP6_4[[#All],[Date]],"&gt;"&amp;$A$1,AMP6_4[[#All],[Date]],"&lt;"&amp;$A$2),"")</f>
        <v>168.97934615384614</v>
      </c>
      <c r="L2" s="2">
        <f>IFERROR(AVERAGEIFS(AMP6_4[[#All],[Dim 4_1]],AMP6_4[[#All],[Blade Part Number]],$B2,AMP6_4[[#All],[Date]],"&gt;"&amp;$A$1,AMP6_4[[#All],[Date]],"&lt;"&amp;$A$2),"")</f>
        <v>156.02938461538463</v>
      </c>
      <c r="M2" s="2">
        <f>IFERROR(AVERAGEIFS(AMP6_4[[#All],[Dim 4_2]],AMP6_4[[#All],[Blade Part Number]],$B2,AMP6_4[[#All],[Date]],"&gt;"&amp;$A$1,AMP6_4[[#All],[Date]],"&lt;"&amp;$A$2),"")</f>
        <v>156.04180769230771</v>
      </c>
      <c r="N2" s="2">
        <f>IFERROR(AVERAGEIFS(AMP6_4[[#All],[Dim 5_1]],AMP6_4[[#All],[Blade Part Number]],$B2,AMP6_4[[#All],[Date]],"&gt;"&amp;$A$1,AMP6_4[[#All],[Date]],"&lt;"&amp;$A$2),"")</f>
        <v>27.175807692307686</v>
      </c>
      <c r="O2" s="2">
        <f>IFERROR(AVERAGEIFS(AMP6_4[[#All],[Dim 5_2]],AMP6_4[[#All],[Blade Part Number]],$B2,AMP6_4[[#All],[Date]],"&gt;"&amp;$A$1,AMP6_4[[#All],[Date]],"&lt;"&amp;$A$2),"")</f>
        <v>27.215730769230763</v>
      </c>
      <c r="P2" s="2" t="str">
        <f>IFERROR(AVERAGEIFS(AMP6_4[[#All],[Dim 6]],AMP6_4[[#All],[Blade Part Number]],$B2,AMP6_4[[#All],[Date]],"&gt;"&amp;$A$1,AMP6_4[[#All],[Date]],"&lt;"&amp;$A$2),"")</f>
        <v/>
      </c>
      <c r="Q2" s="2" t="str">
        <f>IFERROR(AVERAGEIFS(AMP6_4[[#All],[Dim 7]],AMP6_4[[#All],[Blade Part Number]],$B2,AMP6_4[[#All],[Date]],"&gt;"&amp;$A$1,AMP6_4[[#All],[Date]],"&lt;"&amp;$A$2),"")</f>
        <v/>
      </c>
      <c r="R2" s="2">
        <f>IFERROR(AVERAGEIFS(AMP6_4[[#All],[Dim 9_1]],AMP6_4[[#All],[Blade Part Number]],$B2,AMP6_4[[#All],[Date]],"&gt;"&amp;$A$1,AMP6_4[[#All],[Date]],"&lt;"&amp;$A$2),"")</f>
        <v>17.178153846153844</v>
      </c>
      <c r="S2" s="2">
        <f>IFERROR(AVERAGEIFS(AMP6_4[[#All],[Dim 9_2]],AMP6_4[[#All],[Blade Part Number]],$B2,AMP6_4[[#All],[Date]],"&gt;"&amp;$A$1,AMP6_4[[#All],[Date]],"&lt;"&amp;$A$2),"")</f>
        <v>17.127153846153849</v>
      </c>
      <c r="T2" s="2">
        <f>IFERROR(AVERAGEIFS(AMP6_4[[#All],[Dim 10_1]],AMP6_4[[#All],[Blade Part Number]],$B2,AMP6_4[[#All],[Date]],"&gt;"&amp;$A$1,AMP6_4[[#All],[Date]],"&lt;"&amp;$A$2),"")</f>
        <v>35.986846153846166</v>
      </c>
      <c r="U2" s="2">
        <f>IFERROR(AVERAGEIFS(AMP6_4[[#All],[Dim 10_2]],AMP6_4[[#All],[Blade Part Number]],$B2,AMP6_4[[#All],[Date]],"&gt;"&amp;$A$1,AMP6_4[[#All],[Date]],"&lt;"&amp;$A$2),"")</f>
        <v>36.694961538461541</v>
      </c>
      <c r="V2" s="2" t="str">
        <f>IFERROR(AVERAGEIFS(AMP6_4[[#All],[Dim 11]],AMP6_4[[#All],[Blade Part Number]],$B2,AMP6_4[[#All],[Date]],"&gt;"&amp;$A$1,AMP6_4[[#All],[Date]],"&lt;"&amp;$A$2),"")</f>
        <v/>
      </c>
      <c r="W2" s="2">
        <f>IFERROR(AVERAGEIFS(AMP6_4[[#All],[Dim 11 Max]],AMP6_4[[#All],[Blade Part Number]],$B2,AMP6_4[[#All],[Date]],"&gt;"&amp;$A$1,AMP6_4[[#All],[Date]],"&lt;"&amp;$A$2),"")</f>
        <v>0.14511538461538462</v>
      </c>
      <c r="X2" s="2">
        <f>IFERROR(AVERAGEIFS(AMP6_4[[#All],[Dim 11 Min]],AMP6_4[[#All],[Blade Part Number]],$B2,AMP6_4[[#All],[Date]],"&gt;"&amp;$A$1,AMP6_4[[#All],[Date]],"&lt;"&amp;$A$2),"")</f>
        <v>-5.9884615384615383E-2</v>
      </c>
      <c r="Y2" s="2" t="str">
        <f>IFERROR(AVERAGEIFS(AMP6_4[[#All],[Dim 12]],AMP6_4[[#All],[Blade Part Number]],$B2,AMP6_4[[#All],[Date]],"&gt;"&amp;$A$1,AMP6_4[[#All],[Date]],"&lt;"&amp;$A$2),"")</f>
        <v/>
      </c>
      <c r="Z2" s="2">
        <f>IFERROR(AVERAGEIFS(AMP6_4[[#All],[Dim 12 Max]],AMP6_4[[#All],[Blade Part Number]],$B2,AMP6_4[[#All],[Date]],"&gt;"&amp;$A$1,AMP6_4[[#All],[Date]],"&lt;"&amp;$A$2),"")</f>
        <v>0.38642307692307687</v>
      </c>
      <c r="AA2" s="2">
        <f>IFERROR(AVERAGEIFS(AMP6_4[[#All],[Dim 12 Min]],AMP6_4[[#All],[Blade Part Number]],$B2,AMP6_4[[#All],[Date]],"&gt;"&amp;$A$1,AMP6_4[[#All],[Date]],"&lt;"&amp;$A$2),"")</f>
        <v>0.18746153846153846</v>
      </c>
      <c r="AB2" s="2">
        <f>IFERROR(AVERAGEIFS(AMP6_4[[#All],[T 1]],AMP6_4[[#All],[Blade Part Number]],$B2,AMP6_4[[#All],[Date]],"&gt;"&amp;$A$1,AMP6_4[[#All],[Date]],"&lt;"&amp;$A$2),"")</f>
        <v>0.10046153846153845</v>
      </c>
      <c r="AC2" s="2">
        <f>IFERROR(AVERAGEIFS(AMP6_4[[#All],[T 2]],AMP6_4[[#All],[Blade Part Number]],$B2,AMP6_4[[#All],[Date]],"&gt;"&amp;$A$1,AMP6_4[[#All],[Date]],"&lt;"&amp;$A$2),"")</f>
        <v>4.2769230769230754E-2</v>
      </c>
      <c r="AD2" s="2">
        <f>IFERROR(AVERAGEIFS(AMP6_4[[#All],[T 3]],AMP6_4[[#All],[Blade Part Number]],$B2,AMP6_4[[#All],[Date]],"&gt;"&amp;$A$1,AMP6_4[[#All],[Date]],"&lt;"&amp;$A$2),"")</f>
        <v>8.6615384615384622E-2</v>
      </c>
      <c r="AE2" s="2">
        <f>IFERROR(AVERAGEIFS(AMP6_4[[#All],[T 4]],AMP6_4[[#All],[Blade Part Number]],$B2,AMP6_4[[#All],[Date]],"&gt;"&amp;$A$1,AMP6_4[[#All],[Date]],"&lt;"&amp;$A$2),"")</f>
        <v>-2.5884615384615388E-2</v>
      </c>
      <c r="AF2" s="2">
        <f>IFERROR(AVERAGEIFS(AMP6_4[[#All],[T 5]],AMP6_4[[#All],[Blade Part Number]],$B2,AMP6_4[[#All],[Date]],"&gt;"&amp;$A$1,AMP6_4[[#All],[Date]],"&lt;"&amp;$A$2),"")</f>
        <v>0.36696153846153839</v>
      </c>
      <c r="AG2" s="2">
        <f>IFERROR(AVERAGEIFS(AMP6_4[[#All],[T 6]],AMP6_4[[#All],[Blade Part Number]],$B2,AMP6_4[[#All],[Date]],"&gt;"&amp;$A$1,AMP6_4[[#All],[Date]],"&lt;"&amp;$A$2),"")</f>
        <v>0.32003846153846155</v>
      </c>
      <c r="AH2" s="2">
        <f>IFERROR(AVERAGEIFS(AMP6_4[[#All],[T 7]],AMP6_4[[#All],[Blade Part Number]],$B2,AMP6_4[[#All],[Date]],"&gt;"&amp;$A$1,AMP6_4[[#All],[Date]],"&lt;"&amp;$A$2),"")</f>
        <v>0.23123076923076924</v>
      </c>
      <c r="AI2" s="2">
        <f>IFERROR(AVERAGEIFS(AMP6_4[[#All],[T 8]],AMP6_4[[#All],[Blade Part Number]],$B2,AMP6_4[[#All],[Date]],"&gt;"&amp;$A$1,AMP6_4[[#All],[Date]],"&lt;"&amp;$A$2),"")</f>
        <v>0.21773076923076923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-0.12807692307691809</v>
      </c>
      <c r="G6" s="11">
        <f t="shared" si="0"/>
        <v>4.2423076923078895E-2</v>
      </c>
      <c r="H6" s="11">
        <f t="shared" si="0"/>
        <v>-0.11846153846158813</v>
      </c>
      <c r="I6" s="11">
        <f t="shared" si="0"/>
        <v>-0.34799999999998477</v>
      </c>
      <c r="J6" s="11" t="str">
        <f t="shared" si="0"/>
        <v/>
      </c>
      <c r="K6" s="11" t="str">
        <f t="shared" si="0"/>
        <v/>
      </c>
      <c r="L6" s="11">
        <f t="shared" si="0"/>
        <v>4.5461538461523787E-2</v>
      </c>
      <c r="M6" s="11">
        <f t="shared" si="0"/>
        <v>-0.29457692307695993</v>
      </c>
      <c r="N6" s="11">
        <f t="shared" si="0"/>
        <v>-5.3846153846162537E-2</v>
      </c>
      <c r="O6" s="11">
        <f t="shared" si="0"/>
        <v>0.17973076923077258</v>
      </c>
      <c r="P6" s="11" t="str">
        <f t="shared" si="0"/>
        <v/>
      </c>
      <c r="Q6" s="11" t="str">
        <f t="shared" si="0"/>
        <v/>
      </c>
      <c r="R6" s="11">
        <f t="shared" si="0"/>
        <v>1.2961538461539135E-2</v>
      </c>
      <c r="S6" s="11">
        <f t="shared" si="0"/>
        <v>3.3846153846152305E-2</v>
      </c>
      <c r="T6" s="11">
        <f t="shared" si="0"/>
        <v>3.6588076923076898</v>
      </c>
      <c r="U6" s="11">
        <f t="shared" si="0"/>
        <v>4.4149615384615402</v>
      </c>
      <c r="V6" s="11" t="str">
        <f t="shared" si="0"/>
        <v/>
      </c>
      <c r="W6" s="11">
        <f t="shared" si="0"/>
        <v>0.26884615384615385</v>
      </c>
      <c r="X6" s="11">
        <f t="shared" si="0"/>
        <v>0.12050000000000002</v>
      </c>
      <c r="Y6" s="11" t="str">
        <f t="shared" si="0"/>
        <v/>
      </c>
      <c r="Z6" s="11">
        <f t="shared" si="0"/>
        <v>0.40100000000000002</v>
      </c>
      <c r="AA6" s="11">
        <f t="shared" si="0"/>
        <v>0.27592307692307688</v>
      </c>
      <c r="AB6" s="11">
        <f t="shared" si="0"/>
        <v>0.21384615384615385</v>
      </c>
      <c r="AC6" s="11">
        <f t="shared" si="0"/>
        <v>0.24280769230769225</v>
      </c>
      <c r="AD6" s="11">
        <f t="shared" si="0"/>
        <v>0.20661538461538453</v>
      </c>
      <c r="AE6" s="11">
        <f t="shared" si="0"/>
        <v>0.13930769230769233</v>
      </c>
      <c r="AF6" s="11">
        <f t="shared" si="0"/>
        <v>0.37276923076923085</v>
      </c>
      <c r="AG6" s="11">
        <f t="shared" si="0"/>
        <v>0.33319230769230768</v>
      </c>
      <c r="AH6" s="11">
        <f t="shared" si="0"/>
        <v>0.29703846153846153</v>
      </c>
      <c r="AI6" s="11">
        <f t="shared" si="0"/>
        <v>0.36215384615384616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7.3615384615379753E-2</v>
      </c>
      <c r="I7" s="11">
        <f t="shared" si="1"/>
        <v>2.4730769230757232E-2</v>
      </c>
      <c r="J7" s="11">
        <f t="shared" si="1"/>
        <v>0.14173076923077588</v>
      </c>
      <c r="K7" s="11">
        <f t="shared" si="1"/>
        <v>0.27934615384614858</v>
      </c>
      <c r="L7" s="11">
        <f t="shared" si="1"/>
        <v>0.22938461538461752</v>
      </c>
      <c r="M7" s="11">
        <f t="shared" si="1"/>
        <v>0.24180769230770238</v>
      </c>
      <c r="N7" s="11">
        <f t="shared" si="1"/>
        <v>-0.22419230769231291</v>
      </c>
      <c r="O7" s="11">
        <f t="shared" si="1"/>
        <v>-0.18426923076923529</v>
      </c>
      <c r="P7" s="11" t="str">
        <f t="shared" si="1"/>
        <v/>
      </c>
      <c r="Q7" s="11" t="str">
        <f t="shared" si="1"/>
        <v/>
      </c>
      <c r="R7" s="11">
        <f t="shared" si="1"/>
        <v>-7.1846153846156113E-2</v>
      </c>
      <c r="S7" s="11">
        <f t="shared" si="1"/>
        <v>-0.12284615384615094</v>
      </c>
      <c r="T7" s="11">
        <f t="shared" si="1"/>
        <v>3.9868461538461659</v>
      </c>
      <c r="U7" s="11">
        <f t="shared" si="1"/>
        <v>4.6949615384615413</v>
      </c>
      <c r="V7" s="11" t="str">
        <f t="shared" si="1"/>
        <v/>
      </c>
      <c r="W7" s="11">
        <f t="shared" si="1"/>
        <v>0.14511538461538462</v>
      </c>
      <c r="X7" s="11">
        <f t="shared" si="1"/>
        <v>-5.9884615384615383E-2</v>
      </c>
      <c r="Y7" s="11" t="str">
        <f t="shared" si="1"/>
        <v/>
      </c>
      <c r="Z7" s="11">
        <f t="shared" si="1"/>
        <v>0.38642307692307687</v>
      </c>
      <c r="AA7" s="11">
        <f t="shared" si="1"/>
        <v>0.18746153846153846</v>
      </c>
      <c r="AB7" s="11">
        <f t="shared" si="1"/>
        <v>0.10046153846153845</v>
      </c>
      <c r="AC7" s="11">
        <f t="shared" si="1"/>
        <v>4.2769230769230754E-2</v>
      </c>
      <c r="AD7" s="11">
        <f t="shared" si="1"/>
        <v>8.6615384615384622E-2</v>
      </c>
      <c r="AE7" s="11">
        <f t="shared" si="1"/>
        <v>-2.5884615384615388E-2</v>
      </c>
      <c r="AF7" s="11">
        <f t="shared" si="1"/>
        <v>0.36696153846153839</v>
      </c>
      <c r="AG7" s="11">
        <f t="shared" si="1"/>
        <v>0.32003846153846155</v>
      </c>
      <c r="AH7" s="11">
        <f t="shared" si="1"/>
        <v>0.23123076923076924</v>
      </c>
      <c r="AI7" s="11">
        <f t="shared" si="1"/>
        <v>0.21773076923076923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ht="15" customHeight="1" x14ac:dyDescent="0.25">
      <c r="A9" t="s">
        <v>1106</v>
      </c>
      <c r="B9" t="s">
        <v>32</v>
      </c>
      <c r="C9" s="25">
        <v>43698.532372685186</v>
      </c>
      <c r="D9" s="741" t="s">
        <v>969</v>
      </c>
      <c r="E9" s="741">
        <f t="array" ref="E9">SUMPRODUCT(IF(AMP6_4[[#This Row],[Dim 1_1]:[T 8]]-$F$4:$AI$4&lt;0,1,0)+IF($F$5:$AI$5-AMP6_4[[#This Row],[Dim 1_1]:[T 8]]&lt;0,1,0),IF(ISNUMBER(AMP6_4[[#This Row],[Dim 1_1]:[T 8]])=TRUE,1,0))</f>
        <v>0</v>
      </c>
      <c r="F9">
        <v>41.442</v>
      </c>
      <c r="G9">
        <v>41.524000000000001</v>
      </c>
      <c r="H9">
        <v>155.86500000000001</v>
      </c>
      <c r="I9">
        <v>155.85</v>
      </c>
      <c r="L9">
        <v>155.78200000000001</v>
      </c>
      <c r="M9">
        <v>155.559</v>
      </c>
      <c r="N9">
        <v>27.427</v>
      </c>
      <c r="O9">
        <v>27.564</v>
      </c>
      <c r="R9">
        <v>17.285</v>
      </c>
      <c r="S9">
        <v>17.303000000000001</v>
      </c>
      <c r="T9">
        <v>35.643999999999998</v>
      </c>
      <c r="U9">
        <v>36.247999999999998</v>
      </c>
      <c r="W9">
        <v>0.25900000000000001</v>
      </c>
      <c r="X9">
        <v>0.108</v>
      </c>
      <c r="Z9">
        <v>0.371</v>
      </c>
      <c r="AA9">
        <v>0.33900000000000002</v>
      </c>
      <c r="AB9">
        <v>0.22700000000000001</v>
      </c>
      <c r="AC9">
        <v>0.252</v>
      </c>
      <c r="AD9">
        <v>0.25900000000000001</v>
      </c>
      <c r="AE9">
        <v>0.108</v>
      </c>
      <c r="AF9">
        <v>0.371</v>
      </c>
      <c r="AG9">
        <v>0.33900000000000002</v>
      </c>
      <c r="AH9">
        <v>0.36099999999999999</v>
      </c>
      <c r="AI9">
        <v>0.36499999999999999</v>
      </c>
    </row>
    <row r="10" spans="1:35" x14ac:dyDescent="0.25">
      <c r="A10" t="s">
        <v>1107</v>
      </c>
      <c r="B10" t="s">
        <v>31</v>
      </c>
      <c r="C10" s="25">
        <v>43698.534409722219</v>
      </c>
      <c r="D10" s="741" t="s">
        <v>969</v>
      </c>
      <c r="E10" s="741">
        <f t="array" ref="E10">SUMPRODUCT(IF(AMP6_4[[#This Row],[Dim 1_1]:[T 8]]-$F$4:$AI$4&lt;0,1,0)+IF($F$5:$AI$5-AMP6_4[[#This Row],[Dim 1_1]:[T 8]]&lt;0,1,0),IF(ISNUMBER(AMP6_4[[#This Row],[Dim 1_1]:[T 8]])=TRUE,1,0))</f>
        <v>0</v>
      </c>
      <c r="H10">
        <v>155.95099999999999</v>
      </c>
      <c r="I10">
        <v>155.88399999999999</v>
      </c>
      <c r="J10">
        <v>168.88399999999999</v>
      </c>
      <c r="K10">
        <v>168.98500000000001</v>
      </c>
      <c r="L10">
        <v>155.83000000000001</v>
      </c>
      <c r="M10">
        <v>155.71600000000001</v>
      </c>
      <c r="N10">
        <v>27.404</v>
      </c>
      <c r="O10">
        <v>27.597000000000001</v>
      </c>
      <c r="R10">
        <v>17.206</v>
      </c>
      <c r="S10">
        <v>17.251999999999999</v>
      </c>
      <c r="T10">
        <v>35.593000000000004</v>
      </c>
      <c r="U10">
        <v>36.151000000000003</v>
      </c>
      <c r="W10">
        <v>0.13900000000000001</v>
      </c>
      <c r="X10">
        <v>5.1999999999999998E-2</v>
      </c>
      <c r="Z10">
        <v>0.378</v>
      </c>
      <c r="AA10">
        <v>0.20100000000000001</v>
      </c>
      <c r="AB10">
        <v>0.12</v>
      </c>
      <c r="AC10">
        <v>9.2999999999999999E-2</v>
      </c>
      <c r="AD10">
        <v>0.13900000000000001</v>
      </c>
      <c r="AE10">
        <v>5.1999999999999998E-2</v>
      </c>
      <c r="AF10">
        <v>0.378</v>
      </c>
      <c r="AG10">
        <v>0.309</v>
      </c>
      <c r="AH10">
        <v>0.26300000000000001</v>
      </c>
      <c r="AI10">
        <v>0.20100000000000001</v>
      </c>
    </row>
    <row r="11" spans="1:35" ht="15" customHeight="1" x14ac:dyDescent="0.25">
      <c r="A11" t="s">
        <v>1108</v>
      </c>
      <c r="B11" t="s">
        <v>32</v>
      </c>
      <c r="C11" s="25">
        <v>43698.638009259259</v>
      </c>
      <c r="D11" s="741" t="s">
        <v>969</v>
      </c>
      <c r="E11" s="741">
        <f t="array" ref="E11">SUMPRODUCT(IF(AMP6_4[[#This Row],[Dim 1_1]:[T 8]]-$F$4:$AI$4&lt;0,1,0)+IF($F$5:$AI$5-AMP6_4[[#This Row],[Dim 1_1]:[T 8]]&lt;0,1,0),IF(ISNUMBER(AMP6_4[[#This Row],[Dim 1_1]:[T 8]])=TRUE,1,0))</f>
        <v>0</v>
      </c>
      <c r="F11">
        <v>41.302999999999997</v>
      </c>
      <c r="G11">
        <v>41.496000000000002</v>
      </c>
      <c r="H11">
        <v>155.86600000000001</v>
      </c>
      <c r="I11">
        <v>155.876</v>
      </c>
      <c r="L11">
        <v>155.744</v>
      </c>
      <c r="M11">
        <v>155.571</v>
      </c>
      <c r="N11">
        <v>27.439</v>
      </c>
      <c r="O11">
        <v>27.495000000000001</v>
      </c>
      <c r="R11">
        <v>17.274999999999999</v>
      </c>
      <c r="S11">
        <v>17.29</v>
      </c>
      <c r="T11">
        <v>35.694000000000003</v>
      </c>
      <c r="U11">
        <v>36.380000000000003</v>
      </c>
      <c r="W11">
        <v>0.34399999999999997</v>
      </c>
      <c r="X11">
        <v>0.224</v>
      </c>
      <c r="Z11">
        <v>0.48099999999999998</v>
      </c>
      <c r="AA11">
        <v>0.377</v>
      </c>
      <c r="AB11">
        <v>0.25800000000000001</v>
      </c>
      <c r="AC11">
        <v>0.29299999999999998</v>
      </c>
      <c r="AD11">
        <v>0.34399999999999997</v>
      </c>
      <c r="AE11">
        <v>0.224</v>
      </c>
      <c r="AF11">
        <v>0.40200000000000002</v>
      </c>
      <c r="AG11">
        <v>0.377</v>
      </c>
      <c r="AH11">
        <v>0.40400000000000003</v>
      </c>
      <c r="AI11">
        <v>0.48099999999999998</v>
      </c>
    </row>
    <row r="12" spans="1:35" x14ac:dyDescent="0.25">
      <c r="A12" t="s">
        <v>1109</v>
      </c>
      <c r="B12" t="s">
        <v>31</v>
      </c>
      <c r="C12" s="25">
        <v>43698.640081018515</v>
      </c>
      <c r="D12" s="741" t="s">
        <v>969</v>
      </c>
      <c r="E12" s="741">
        <f t="array" ref="E12">SUMPRODUCT(IF(AMP6_4[[#This Row],[Dim 1_1]:[T 8]]-$F$4:$AI$4&lt;0,1,0)+IF($F$5:$AI$5-AMP6_4[[#This Row],[Dim 1_1]:[T 8]]&lt;0,1,0),IF(ISNUMBER(AMP6_4[[#This Row],[Dim 1_1]:[T 8]])=TRUE,1,0))</f>
        <v>0</v>
      </c>
      <c r="H12">
        <v>155.95400000000001</v>
      </c>
      <c r="I12">
        <v>155.91399999999999</v>
      </c>
      <c r="J12">
        <v>168.755</v>
      </c>
      <c r="K12">
        <v>168.86199999999999</v>
      </c>
      <c r="L12">
        <v>155.79</v>
      </c>
      <c r="M12">
        <v>155.62799999999999</v>
      </c>
      <c r="N12">
        <v>27.414999999999999</v>
      </c>
      <c r="O12">
        <v>27.652000000000001</v>
      </c>
      <c r="R12">
        <v>17.199000000000002</v>
      </c>
      <c r="S12">
        <v>17.295999999999999</v>
      </c>
      <c r="T12">
        <v>36.621000000000002</v>
      </c>
      <c r="U12">
        <v>35.936999999999998</v>
      </c>
      <c r="W12">
        <v>0.14499999999999999</v>
      </c>
      <c r="X12">
        <v>4.5999999999999999E-2</v>
      </c>
      <c r="Z12">
        <v>0.36199999999999999</v>
      </c>
      <c r="AA12">
        <v>0.157</v>
      </c>
      <c r="AB12">
        <v>0.123</v>
      </c>
      <c r="AC12">
        <v>7.9000000000000001E-2</v>
      </c>
      <c r="AD12">
        <v>0.14499999999999999</v>
      </c>
      <c r="AE12">
        <v>4.5999999999999999E-2</v>
      </c>
      <c r="AF12">
        <v>0.36199999999999999</v>
      </c>
      <c r="AG12">
        <v>0.311</v>
      </c>
      <c r="AH12">
        <v>0.157</v>
      </c>
      <c r="AI12">
        <v>0.17100000000000001</v>
      </c>
    </row>
    <row r="13" spans="1:35" ht="15" customHeight="1" x14ac:dyDescent="0.25">
      <c r="A13" t="s">
        <v>1110</v>
      </c>
      <c r="B13" t="s">
        <v>32</v>
      </c>
      <c r="C13" s="25">
        <v>43698.813750000001</v>
      </c>
      <c r="D13" s="741" t="s">
        <v>969</v>
      </c>
      <c r="E13" s="741">
        <f t="array" ref="E13">SUMPRODUCT(IF(AMP6_4[[#This Row],[Dim 1_1]:[T 8]]-$F$4:$AI$4&lt;0,1,0)+IF($F$5:$AI$5-AMP6_4[[#This Row],[Dim 1_1]:[T 8]]&lt;0,1,0),IF(ISNUMBER(AMP6_4[[#This Row],[Dim 1_1]:[T 8]])=TRUE,1,0))</f>
        <v>0</v>
      </c>
      <c r="F13">
        <v>41.405000000000001</v>
      </c>
      <c r="G13">
        <v>41.609000000000002</v>
      </c>
      <c r="H13">
        <v>155.905</v>
      </c>
      <c r="I13">
        <v>155.922</v>
      </c>
      <c r="L13">
        <v>155.83799999999999</v>
      </c>
      <c r="M13">
        <v>155.65199999999999</v>
      </c>
      <c r="N13">
        <v>27.372</v>
      </c>
      <c r="O13">
        <v>27.504999999999999</v>
      </c>
      <c r="R13">
        <v>17.3</v>
      </c>
      <c r="S13">
        <v>17.206</v>
      </c>
      <c r="T13">
        <v>35.323999999999998</v>
      </c>
      <c r="U13">
        <v>36.680999999999997</v>
      </c>
      <c r="W13">
        <v>0.191</v>
      </c>
      <c r="X13">
        <v>3.3000000000000002E-2</v>
      </c>
      <c r="Z13">
        <v>0.35499999999999998</v>
      </c>
      <c r="AA13">
        <v>0.19700000000000001</v>
      </c>
      <c r="AB13">
        <v>3.3000000000000002E-2</v>
      </c>
      <c r="AC13">
        <v>5.1999999999999998E-2</v>
      </c>
      <c r="AD13">
        <v>0.191</v>
      </c>
      <c r="AE13">
        <v>8.8999999999999996E-2</v>
      </c>
      <c r="AF13">
        <v>0.218</v>
      </c>
      <c r="AG13">
        <v>0.19700000000000001</v>
      </c>
      <c r="AH13">
        <v>0.29099999999999998</v>
      </c>
      <c r="AI13">
        <v>0.35499999999999998</v>
      </c>
    </row>
    <row r="14" spans="1:35" x14ac:dyDescent="0.25">
      <c r="A14" t="s">
        <v>1111</v>
      </c>
      <c r="B14" t="s">
        <v>31</v>
      </c>
      <c r="C14" s="25">
        <v>43698.816064814811</v>
      </c>
      <c r="D14" s="741" t="s">
        <v>969</v>
      </c>
      <c r="E14" s="741">
        <f t="array" ref="E14">SUMPRODUCT(IF(AMP6_4[[#This Row],[Dim 1_1]:[T 8]]-$F$4:$AI$4&lt;0,1,0)+IF($F$5:$AI$5-AMP6_4[[#This Row],[Dim 1_1]:[T 8]]&lt;0,1,0),IF(ISNUMBER(AMP6_4[[#This Row],[Dim 1_1]:[T 8]])=TRUE,1,0))</f>
        <v>0</v>
      </c>
      <c r="H14">
        <v>155.959</v>
      </c>
      <c r="I14">
        <v>155.87200000000001</v>
      </c>
      <c r="J14">
        <v>168.88900000000001</v>
      </c>
      <c r="K14">
        <v>169.08099999999999</v>
      </c>
      <c r="L14">
        <v>155.904</v>
      </c>
      <c r="M14">
        <v>155.83600000000001</v>
      </c>
      <c r="N14">
        <v>27.364000000000001</v>
      </c>
      <c r="O14">
        <v>27.512</v>
      </c>
      <c r="R14">
        <v>17.22</v>
      </c>
      <c r="S14">
        <v>17.135999999999999</v>
      </c>
      <c r="T14">
        <v>34.033000000000001</v>
      </c>
      <c r="U14">
        <v>36.241999999999997</v>
      </c>
      <c r="W14">
        <v>0.32900000000000001</v>
      </c>
      <c r="X14">
        <v>3.0000000000000001E-3</v>
      </c>
      <c r="Z14">
        <v>0.30399999999999999</v>
      </c>
      <c r="AA14">
        <v>0.27600000000000002</v>
      </c>
      <c r="AB14">
        <v>4.7E-2</v>
      </c>
      <c r="AC14">
        <v>3.0000000000000001E-3</v>
      </c>
      <c r="AD14">
        <v>0.224</v>
      </c>
      <c r="AE14">
        <v>0.32900000000000001</v>
      </c>
      <c r="AF14">
        <v>0.30399999999999999</v>
      </c>
      <c r="AG14">
        <v>0.28399999999999997</v>
      </c>
      <c r="AH14">
        <v>0.27600000000000002</v>
      </c>
      <c r="AI14">
        <v>0.30199999999999999</v>
      </c>
    </row>
    <row r="15" spans="1:35" ht="15" customHeight="1" x14ac:dyDescent="0.25">
      <c r="A15" t="s">
        <v>1112</v>
      </c>
      <c r="B15" t="s">
        <v>32</v>
      </c>
      <c r="C15" s="25">
        <v>43698.848749999997</v>
      </c>
      <c r="D15" s="741" t="s">
        <v>969</v>
      </c>
      <c r="E15" s="741">
        <f t="array" ref="E15">SUMPRODUCT(IF(AMP6_4[[#This Row],[Dim 1_1]:[T 8]]-$F$4:$AI$4&lt;0,1,0)+IF($F$5:$AI$5-AMP6_4[[#This Row],[Dim 1_1]:[T 8]]&lt;0,1,0),IF(ISNUMBER(AMP6_4[[#This Row],[Dim 1_1]:[T 8]])=TRUE,1,0))</f>
        <v>0</v>
      </c>
      <c r="F15">
        <v>41.360999999999997</v>
      </c>
      <c r="G15">
        <v>41.594999999999999</v>
      </c>
      <c r="H15">
        <v>155.88499999999999</v>
      </c>
      <c r="I15">
        <v>155.875</v>
      </c>
      <c r="L15">
        <v>155.79499999999999</v>
      </c>
      <c r="M15">
        <v>155.59</v>
      </c>
      <c r="N15">
        <v>27.393000000000001</v>
      </c>
      <c r="O15">
        <v>27.545999999999999</v>
      </c>
      <c r="R15">
        <v>17.263999999999999</v>
      </c>
      <c r="S15">
        <v>17.295999999999999</v>
      </c>
      <c r="T15">
        <v>35.585999999999999</v>
      </c>
      <c r="U15">
        <v>36.277000000000001</v>
      </c>
      <c r="W15">
        <v>0.252</v>
      </c>
      <c r="X15">
        <v>0.20100000000000001</v>
      </c>
      <c r="Z15">
        <v>0.32400000000000001</v>
      </c>
      <c r="AA15">
        <v>0.216</v>
      </c>
      <c r="AB15">
        <v>0.21199999999999999</v>
      </c>
      <c r="AC15">
        <v>0.23300000000000001</v>
      </c>
      <c r="AD15">
        <v>0.252</v>
      </c>
      <c r="AE15">
        <v>0.20100000000000001</v>
      </c>
      <c r="AF15">
        <v>0.32400000000000001</v>
      </c>
      <c r="AG15">
        <v>0.29199999999999998</v>
      </c>
      <c r="AH15">
        <v>0.216</v>
      </c>
      <c r="AI15">
        <v>0.28799999999999998</v>
      </c>
    </row>
    <row r="16" spans="1:35" x14ac:dyDescent="0.25">
      <c r="A16" t="s">
        <v>1113</v>
      </c>
      <c r="B16" t="s">
        <v>31</v>
      </c>
      <c r="C16" s="25">
        <v>43698.851284722223</v>
      </c>
      <c r="D16" s="741" t="s">
        <v>969</v>
      </c>
      <c r="E16" s="741">
        <f t="array" ref="E16">SUMPRODUCT(IF(AMP6_4[[#This Row],[Dim 1_1]:[T 8]]-$F$4:$AI$4&lt;0,1,0)+IF($F$5:$AI$5-AMP6_4[[#This Row],[Dim 1_1]:[T 8]]&lt;0,1,0),IF(ISNUMBER(AMP6_4[[#This Row],[Dim 1_1]:[T 8]])=TRUE,1,0))</f>
        <v>0</v>
      </c>
      <c r="H16">
        <v>155.96100000000001</v>
      </c>
      <c r="I16">
        <v>155.96100000000001</v>
      </c>
      <c r="J16">
        <v>168.93600000000001</v>
      </c>
      <c r="K16">
        <v>169.07</v>
      </c>
      <c r="L16">
        <v>155.84399999999999</v>
      </c>
      <c r="M16">
        <v>155.74700000000001</v>
      </c>
      <c r="N16">
        <v>27.402999999999999</v>
      </c>
      <c r="O16">
        <v>27.617999999999999</v>
      </c>
      <c r="R16">
        <v>17.202999999999999</v>
      </c>
      <c r="S16">
        <v>17.297000000000001</v>
      </c>
      <c r="T16">
        <v>37.552</v>
      </c>
      <c r="U16">
        <v>37.398000000000003</v>
      </c>
      <c r="W16">
        <v>0.159</v>
      </c>
      <c r="X16">
        <v>2.9000000000000001E-2</v>
      </c>
      <c r="Z16">
        <v>0.317</v>
      </c>
      <c r="AA16">
        <v>9.5000000000000001E-2</v>
      </c>
      <c r="AB16">
        <v>0.159</v>
      </c>
      <c r="AC16">
        <v>0.123</v>
      </c>
      <c r="AD16">
        <v>0.112</v>
      </c>
      <c r="AE16">
        <v>2.9000000000000001E-2</v>
      </c>
      <c r="AF16">
        <v>0.317</v>
      </c>
      <c r="AG16">
        <v>0.26400000000000001</v>
      </c>
      <c r="AH16">
        <v>0.13900000000000001</v>
      </c>
      <c r="AI16">
        <v>9.5000000000000001E-2</v>
      </c>
    </row>
    <row r="17" spans="1:35" ht="15" customHeight="1" x14ac:dyDescent="0.25">
      <c r="A17" t="s">
        <v>1114</v>
      </c>
      <c r="B17" t="s">
        <v>32</v>
      </c>
      <c r="C17" s="25">
        <v>43698.897465277776</v>
      </c>
      <c r="D17" s="741" t="s">
        <v>969</v>
      </c>
      <c r="E17" s="741">
        <f t="array" ref="E17">SUMPRODUCT(IF(AMP6_4[[#This Row],[Dim 1_1]:[T 8]]-$F$4:$AI$4&lt;0,1,0)+IF($F$5:$AI$5-AMP6_4[[#This Row],[Dim 1_1]:[T 8]]&lt;0,1,0),IF(ISNUMBER(AMP6_4[[#This Row],[Dim 1_1]:[T 8]])=TRUE,1,0))</f>
        <v>0</v>
      </c>
      <c r="F17">
        <v>41.317</v>
      </c>
      <c r="G17">
        <v>41.573999999999998</v>
      </c>
      <c r="H17">
        <v>155.92400000000001</v>
      </c>
      <c r="I17">
        <v>155.91800000000001</v>
      </c>
      <c r="L17">
        <v>155.83600000000001</v>
      </c>
      <c r="M17">
        <v>155.66200000000001</v>
      </c>
      <c r="N17">
        <v>27.367000000000001</v>
      </c>
      <c r="O17">
        <v>27.49</v>
      </c>
      <c r="R17">
        <v>17.253</v>
      </c>
      <c r="S17">
        <v>17.222999999999999</v>
      </c>
      <c r="T17">
        <v>35.68</v>
      </c>
      <c r="U17">
        <v>36.25</v>
      </c>
      <c r="W17">
        <v>0.34499999999999997</v>
      </c>
      <c r="X17">
        <v>0.22600000000000001</v>
      </c>
      <c r="Z17">
        <v>0.4</v>
      </c>
      <c r="AA17">
        <v>0.32400000000000001</v>
      </c>
      <c r="AB17">
        <v>0.27600000000000002</v>
      </c>
      <c r="AC17">
        <v>0.3</v>
      </c>
      <c r="AD17">
        <v>0.34499999999999997</v>
      </c>
      <c r="AE17">
        <v>0.22600000000000001</v>
      </c>
      <c r="AF17">
        <v>0.38400000000000001</v>
      </c>
      <c r="AG17">
        <v>0.34200000000000003</v>
      </c>
      <c r="AH17">
        <v>0.32400000000000001</v>
      </c>
      <c r="AI17">
        <v>0.4</v>
      </c>
    </row>
    <row r="18" spans="1:35" x14ac:dyDescent="0.25">
      <c r="A18" t="s">
        <v>1115</v>
      </c>
      <c r="B18" t="s">
        <v>31</v>
      </c>
      <c r="C18" s="25">
        <v>43698.899537037039</v>
      </c>
      <c r="D18" s="741" t="s">
        <v>969</v>
      </c>
      <c r="E18" s="741">
        <f t="array" ref="E18">SUMPRODUCT(IF(AMP6_4[[#This Row],[Dim 1_1]:[T 8]]-$F$4:$AI$4&lt;0,1,0)+IF($F$5:$AI$5-AMP6_4[[#This Row],[Dim 1_1]:[T 8]]&lt;0,1,0),IF(ISNUMBER(AMP6_4[[#This Row],[Dim 1_1]:[T 8]])=TRUE,1,0))</f>
        <v>0</v>
      </c>
      <c r="H18">
        <v>155.96600000000001</v>
      </c>
      <c r="I18">
        <v>155.917</v>
      </c>
      <c r="J18">
        <v>168.815</v>
      </c>
      <c r="K18">
        <v>168.828</v>
      </c>
      <c r="L18">
        <v>155.804</v>
      </c>
      <c r="M18">
        <v>155.69200000000001</v>
      </c>
      <c r="N18">
        <v>27.436</v>
      </c>
      <c r="O18">
        <v>27.646000000000001</v>
      </c>
      <c r="R18">
        <v>17.204000000000001</v>
      </c>
      <c r="S18">
        <v>17.321000000000002</v>
      </c>
      <c r="T18">
        <v>34.408999999999999</v>
      </c>
      <c r="U18">
        <v>35.332000000000001</v>
      </c>
      <c r="W18">
        <v>0.13</v>
      </c>
      <c r="X18">
        <v>1.7000000000000001E-2</v>
      </c>
      <c r="Z18">
        <v>0.309</v>
      </c>
      <c r="AA18">
        <v>0.14399999999999999</v>
      </c>
      <c r="AB18">
        <v>9.7000000000000003E-2</v>
      </c>
      <c r="AC18">
        <v>0.06</v>
      </c>
      <c r="AD18">
        <v>0.13</v>
      </c>
      <c r="AE18">
        <v>1.7000000000000001E-2</v>
      </c>
      <c r="AF18">
        <v>0.309</v>
      </c>
      <c r="AG18">
        <v>0.25900000000000001</v>
      </c>
      <c r="AH18">
        <v>0.14399999999999999</v>
      </c>
      <c r="AI18">
        <v>0.153</v>
      </c>
    </row>
    <row r="19" spans="1:35" ht="15" customHeight="1" x14ac:dyDescent="0.25">
      <c r="A19" t="s">
        <v>1116</v>
      </c>
      <c r="B19" t="s">
        <v>32</v>
      </c>
      <c r="C19" s="25">
        <v>43698.995405092595</v>
      </c>
      <c r="D19" s="741" t="s">
        <v>969</v>
      </c>
      <c r="E19" s="741">
        <f t="array" ref="E19">SUMPRODUCT(IF(AMP6_4[[#This Row],[Dim 1_1]:[T 8]]-$F$4:$AI$4&lt;0,1,0)+IF($F$5:$AI$5-AMP6_4[[#This Row],[Dim 1_1]:[T 8]]&lt;0,1,0),IF(ISNUMBER(AMP6_4[[#This Row],[Dim 1_1]:[T 8]])=TRUE,1,0))</f>
        <v>0</v>
      </c>
      <c r="F19">
        <v>41.3</v>
      </c>
      <c r="G19">
        <v>41.466000000000001</v>
      </c>
      <c r="H19">
        <v>155.81899999999999</v>
      </c>
      <c r="I19">
        <v>155.9</v>
      </c>
      <c r="L19">
        <v>155.768</v>
      </c>
      <c r="M19">
        <v>155.614</v>
      </c>
      <c r="N19">
        <v>27.39</v>
      </c>
      <c r="O19">
        <v>27.477</v>
      </c>
      <c r="R19">
        <v>17.280999999999999</v>
      </c>
      <c r="S19">
        <v>17.32</v>
      </c>
      <c r="T19">
        <v>35.616</v>
      </c>
      <c r="U19">
        <v>36.289000000000001</v>
      </c>
      <c r="W19">
        <v>0.23699999999999999</v>
      </c>
      <c r="X19">
        <v>6.2E-2</v>
      </c>
      <c r="Z19">
        <v>0.34399999999999997</v>
      </c>
      <c r="AA19">
        <v>0.23499999999999999</v>
      </c>
      <c r="AB19">
        <v>0.21299999999999999</v>
      </c>
      <c r="AC19">
        <v>0.23699999999999999</v>
      </c>
      <c r="AD19">
        <v>0.21099999999999999</v>
      </c>
      <c r="AE19">
        <v>6.2E-2</v>
      </c>
      <c r="AF19">
        <v>0.34399999999999997</v>
      </c>
      <c r="AG19">
        <v>0.315</v>
      </c>
      <c r="AH19">
        <v>0.23499999999999999</v>
      </c>
      <c r="AI19">
        <v>0.32600000000000001</v>
      </c>
    </row>
    <row r="20" spans="1:35" x14ac:dyDescent="0.25">
      <c r="A20" t="s">
        <v>1117</v>
      </c>
      <c r="B20" t="s">
        <v>31</v>
      </c>
      <c r="C20" s="25">
        <v>43698.997766203705</v>
      </c>
      <c r="D20" s="741" t="s">
        <v>969</v>
      </c>
      <c r="E20" s="741">
        <f t="array" ref="E20">SUMPRODUCT(IF(AMP6_4[[#This Row],[Dim 1_1]:[T 8]]-$F$4:$AI$4&lt;0,1,0)+IF($F$5:$AI$5-AMP6_4[[#This Row],[Dim 1_1]:[T 8]]&lt;0,1,0),IF(ISNUMBER(AMP6_4[[#This Row],[Dim 1_1]:[T 8]])=TRUE,1,0))</f>
        <v>0</v>
      </c>
      <c r="H20">
        <v>155.94300000000001</v>
      </c>
      <c r="I20">
        <v>155.91800000000001</v>
      </c>
      <c r="J20">
        <v>168.82400000000001</v>
      </c>
      <c r="K20">
        <v>168.887</v>
      </c>
      <c r="L20">
        <v>155.828</v>
      </c>
      <c r="M20">
        <v>155.739</v>
      </c>
      <c r="N20">
        <v>27.402999999999999</v>
      </c>
      <c r="O20">
        <v>27.603999999999999</v>
      </c>
      <c r="R20">
        <v>17.216999999999999</v>
      </c>
      <c r="S20">
        <v>17.363</v>
      </c>
      <c r="T20">
        <v>35.042999999999999</v>
      </c>
      <c r="U20">
        <v>36.186999999999998</v>
      </c>
      <c r="W20">
        <v>0.106</v>
      </c>
      <c r="X20">
        <v>-4.9000000000000002E-2</v>
      </c>
      <c r="Z20">
        <v>0.38</v>
      </c>
      <c r="AA20">
        <v>0.13600000000000001</v>
      </c>
      <c r="AB20">
        <v>0.106</v>
      </c>
      <c r="AC20">
        <v>6.7000000000000004E-2</v>
      </c>
      <c r="AD20">
        <v>8.8999999999999996E-2</v>
      </c>
      <c r="AE20">
        <v>-4.9000000000000002E-2</v>
      </c>
      <c r="AF20">
        <v>0.38</v>
      </c>
      <c r="AG20">
        <v>0.32700000000000001</v>
      </c>
      <c r="AH20">
        <v>0.186</v>
      </c>
      <c r="AI20">
        <v>0.13600000000000001</v>
      </c>
    </row>
    <row r="21" spans="1:35" ht="15" customHeight="1" x14ac:dyDescent="0.25">
      <c r="A21" t="s">
        <v>1118</v>
      </c>
      <c r="B21" t="s">
        <v>32</v>
      </c>
      <c r="C21" s="25">
        <v>43699.062928240739</v>
      </c>
      <c r="D21" s="741" t="s">
        <v>969</v>
      </c>
      <c r="E21" s="741">
        <f t="array" ref="E21">SUMPRODUCT(IF(AMP6_4[[#This Row],[Dim 1_1]:[T 8]]-$F$4:$AI$4&lt;0,1,0)+IF($F$5:$AI$5-AMP6_4[[#This Row],[Dim 1_1]:[T 8]]&lt;0,1,0),IF(ISNUMBER(AMP6_4[[#This Row],[Dim 1_1]:[T 8]])=TRUE,1,0))</f>
        <v>0</v>
      </c>
      <c r="F21">
        <v>41.448999999999998</v>
      </c>
      <c r="G21">
        <v>41.618000000000002</v>
      </c>
      <c r="H21">
        <v>155.90899999999999</v>
      </c>
      <c r="I21">
        <v>155.911</v>
      </c>
      <c r="L21">
        <v>155.82300000000001</v>
      </c>
      <c r="M21">
        <v>155.648</v>
      </c>
      <c r="N21">
        <v>27.373000000000001</v>
      </c>
      <c r="O21">
        <v>27.439</v>
      </c>
      <c r="R21">
        <v>17.253</v>
      </c>
      <c r="S21">
        <v>17.212</v>
      </c>
      <c r="T21">
        <v>35.648000000000003</v>
      </c>
      <c r="U21">
        <v>36.283000000000001</v>
      </c>
      <c r="W21">
        <v>0.186</v>
      </c>
      <c r="X21">
        <v>9.7000000000000003E-2</v>
      </c>
      <c r="Z21">
        <v>0.32400000000000001</v>
      </c>
      <c r="AA21">
        <v>0.25900000000000001</v>
      </c>
      <c r="AB21">
        <v>0.14699999999999999</v>
      </c>
      <c r="AC21">
        <v>0.17399999999999999</v>
      </c>
      <c r="AD21">
        <v>0.186</v>
      </c>
      <c r="AE21">
        <v>9.7000000000000003E-2</v>
      </c>
      <c r="AF21">
        <v>0.312</v>
      </c>
      <c r="AG21">
        <v>0.28399999999999997</v>
      </c>
      <c r="AH21">
        <v>0.25900000000000001</v>
      </c>
      <c r="AI21">
        <v>0.32400000000000001</v>
      </c>
    </row>
    <row r="22" spans="1:35" x14ac:dyDescent="0.25">
      <c r="A22" t="s">
        <v>1119</v>
      </c>
      <c r="B22" t="s">
        <v>31</v>
      </c>
      <c r="C22" s="25">
        <v>43699.064953703702</v>
      </c>
      <c r="D22" s="741" t="s">
        <v>969</v>
      </c>
      <c r="E22" s="741">
        <f t="array" ref="E22">SUMPRODUCT(IF(AMP6_4[[#This Row],[Dim 1_1]:[T 8]]-$F$4:$AI$4&lt;0,1,0)+IF($F$5:$AI$5-AMP6_4[[#This Row],[Dim 1_1]:[T 8]]&lt;0,1,0),IF(ISNUMBER(AMP6_4[[#This Row],[Dim 1_1]:[T 8]])=TRUE,1,0))</f>
        <v>0</v>
      </c>
      <c r="H22">
        <v>155.923</v>
      </c>
      <c r="I22">
        <v>155.898</v>
      </c>
      <c r="J22">
        <v>168.965</v>
      </c>
      <c r="K22">
        <v>169.11099999999999</v>
      </c>
      <c r="L22">
        <v>155.81800000000001</v>
      </c>
      <c r="M22">
        <v>155.72200000000001</v>
      </c>
      <c r="N22">
        <v>27.396000000000001</v>
      </c>
      <c r="O22">
        <v>27.581</v>
      </c>
      <c r="R22">
        <v>17.195</v>
      </c>
      <c r="S22">
        <v>17.309999999999999</v>
      </c>
      <c r="T22">
        <v>36.094000000000001</v>
      </c>
      <c r="U22">
        <v>36.343000000000004</v>
      </c>
      <c r="W22">
        <v>0.108</v>
      </c>
      <c r="X22">
        <v>6.2E-2</v>
      </c>
      <c r="Z22">
        <v>0.39500000000000002</v>
      </c>
      <c r="AA22">
        <v>0.16400000000000001</v>
      </c>
      <c r="AB22">
        <v>0.108</v>
      </c>
      <c r="AC22">
        <v>7.2999999999999995E-2</v>
      </c>
      <c r="AD22">
        <v>8.8999999999999996E-2</v>
      </c>
      <c r="AE22">
        <v>6.2E-2</v>
      </c>
      <c r="AF22">
        <v>0.39500000000000002</v>
      </c>
      <c r="AG22">
        <v>0.33200000000000002</v>
      </c>
      <c r="AH22">
        <v>0.182</v>
      </c>
      <c r="AI22">
        <v>0.16400000000000001</v>
      </c>
    </row>
    <row r="23" spans="1:35" ht="15" customHeight="1" x14ac:dyDescent="0.25">
      <c r="A23" t="s">
        <v>1120</v>
      </c>
      <c r="B23" t="s">
        <v>32</v>
      </c>
      <c r="C23" s="25">
        <v>43699.350995370369</v>
      </c>
      <c r="D23" s="741" t="s">
        <v>969</v>
      </c>
      <c r="E23" s="741">
        <f t="array" ref="E23">SUMPRODUCT(IF(AMP6_4[[#This Row],[Dim 1_1]:[T 8]]-$F$4:$AI$4&lt;0,1,0)+IF($F$5:$AI$5-AMP6_4[[#This Row],[Dim 1_1]:[T 8]]&lt;0,1,0),IF(ISNUMBER(AMP6_4[[#This Row],[Dim 1_1]:[T 8]])=TRUE,1,0))</f>
        <v>0</v>
      </c>
      <c r="F23">
        <v>41.143999999999998</v>
      </c>
      <c r="G23">
        <v>41.264000000000003</v>
      </c>
      <c r="H23">
        <v>155.97499999999999</v>
      </c>
      <c r="I23">
        <v>155.999</v>
      </c>
      <c r="L23">
        <v>155.846</v>
      </c>
      <c r="M23">
        <v>155.67099999999999</v>
      </c>
      <c r="N23">
        <v>27.367999999999999</v>
      </c>
      <c r="O23">
        <v>27.42</v>
      </c>
      <c r="R23">
        <v>17.286000000000001</v>
      </c>
      <c r="S23">
        <v>17.247</v>
      </c>
      <c r="T23">
        <v>35.624000000000002</v>
      </c>
      <c r="U23">
        <v>36.308999999999997</v>
      </c>
      <c r="W23">
        <v>0.17299999999999999</v>
      </c>
      <c r="X23">
        <v>4.4999999999999998E-2</v>
      </c>
      <c r="Z23">
        <v>0.24099999999999999</v>
      </c>
      <c r="AA23">
        <v>0.17599999999999999</v>
      </c>
      <c r="AB23">
        <v>0.11799999999999999</v>
      </c>
      <c r="AC23">
        <v>0.14199999999999999</v>
      </c>
      <c r="AD23">
        <v>0.17299999999999999</v>
      </c>
      <c r="AE23">
        <v>4.4999999999999998E-2</v>
      </c>
      <c r="AF23">
        <v>0.20100000000000001</v>
      </c>
      <c r="AG23">
        <v>0.17599999999999999</v>
      </c>
      <c r="AH23">
        <v>0.23300000000000001</v>
      </c>
      <c r="AI23">
        <v>0.24099999999999999</v>
      </c>
    </row>
    <row r="24" spans="1:35" x14ac:dyDescent="0.25">
      <c r="A24" t="s">
        <v>1121</v>
      </c>
      <c r="B24" t="s">
        <v>31</v>
      </c>
      <c r="C24" s="25">
        <v>43699.353055555555</v>
      </c>
      <c r="D24" s="741" t="s">
        <v>969</v>
      </c>
      <c r="E24" s="741">
        <f t="array" ref="E24">SUMPRODUCT(IF(AMP6_4[[#This Row],[Dim 1_1]:[T 8]]-$F$4:$AI$4&lt;0,1,0)+IF($F$5:$AI$5-AMP6_4[[#This Row],[Dim 1_1]:[T 8]]&lt;0,1,0),IF(ISNUMBER(AMP6_4[[#This Row],[Dim 1_1]:[T 8]])=TRUE,1,0))</f>
        <v>0</v>
      </c>
      <c r="H24">
        <v>156.03100000000001</v>
      </c>
      <c r="I24">
        <v>155.976</v>
      </c>
      <c r="J24">
        <v>168.679</v>
      </c>
      <c r="K24">
        <v>168.91200000000001</v>
      </c>
      <c r="L24">
        <v>155.904</v>
      </c>
      <c r="M24">
        <v>155.815</v>
      </c>
      <c r="N24">
        <v>27.288</v>
      </c>
      <c r="O24">
        <v>27.486999999999998</v>
      </c>
      <c r="R24">
        <v>17.207000000000001</v>
      </c>
      <c r="S24">
        <v>17.288</v>
      </c>
      <c r="T24">
        <v>34.942999999999998</v>
      </c>
      <c r="U24">
        <v>35.671999999999997</v>
      </c>
      <c r="W24">
        <v>0.15</v>
      </c>
      <c r="X24">
        <v>5.6000000000000001E-2</v>
      </c>
      <c r="Z24">
        <v>0.36299999999999999</v>
      </c>
      <c r="AA24">
        <v>0.20699999999999999</v>
      </c>
      <c r="AB24">
        <v>6.9000000000000006E-2</v>
      </c>
      <c r="AC24">
        <v>5.6000000000000001E-2</v>
      </c>
      <c r="AD24">
        <v>0.15</v>
      </c>
      <c r="AE24">
        <v>0.10299999999999999</v>
      </c>
      <c r="AF24">
        <v>0.36299999999999999</v>
      </c>
      <c r="AG24">
        <v>0.30499999999999999</v>
      </c>
      <c r="AH24">
        <v>0.223</v>
      </c>
      <c r="AI24">
        <v>0.20699999999999999</v>
      </c>
    </row>
    <row r="25" spans="1:35" ht="15" customHeight="1" x14ac:dyDescent="0.25">
      <c r="A25" t="s">
        <v>1122</v>
      </c>
      <c r="B25" t="s">
        <v>32</v>
      </c>
      <c r="C25" s="25">
        <v>43699.437013888892</v>
      </c>
      <c r="D25" s="741" t="s">
        <v>969</v>
      </c>
      <c r="E25" s="741">
        <f t="array" ref="E25">SUMPRODUCT(IF(AMP6_4[[#This Row],[Dim 1_1]:[T 8]]-$F$4:$AI$4&lt;0,1,0)+IF($F$5:$AI$5-AMP6_4[[#This Row],[Dim 1_1]:[T 8]]&lt;0,1,0),IF(ISNUMBER(AMP6_4[[#This Row],[Dim 1_1]:[T 8]])=TRUE,1,0))</f>
        <v>0</v>
      </c>
      <c r="F25">
        <v>41.234999999999999</v>
      </c>
      <c r="G25">
        <v>41.494999999999997</v>
      </c>
      <c r="H25">
        <v>155.96299999999999</v>
      </c>
      <c r="I25">
        <v>155.98699999999999</v>
      </c>
      <c r="L25">
        <v>155.851</v>
      </c>
      <c r="M25">
        <v>155.678</v>
      </c>
      <c r="N25">
        <v>27.344000000000001</v>
      </c>
      <c r="O25">
        <v>27.443999999999999</v>
      </c>
      <c r="R25">
        <v>17.288</v>
      </c>
      <c r="S25">
        <v>17.210999999999999</v>
      </c>
      <c r="T25">
        <v>35.643999999999998</v>
      </c>
      <c r="U25">
        <v>36.335999999999999</v>
      </c>
      <c r="W25">
        <v>0.28299999999999997</v>
      </c>
      <c r="X25">
        <v>0.184</v>
      </c>
      <c r="Z25">
        <v>0.373</v>
      </c>
      <c r="AA25">
        <v>0.25800000000000001</v>
      </c>
      <c r="AB25">
        <v>0.184</v>
      </c>
      <c r="AC25">
        <v>0.20300000000000001</v>
      </c>
      <c r="AD25">
        <v>0.28299999999999997</v>
      </c>
      <c r="AE25">
        <v>0.19400000000000001</v>
      </c>
      <c r="AF25">
        <v>0.29799999999999999</v>
      </c>
      <c r="AG25">
        <v>0.25800000000000001</v>
      </c>
      <c r="AH25">
        <v>0.34599999999999997</v>
      </c>
      <c r="AI25">
        <v>0.373</v>
      </c>
    </row>
    <row r="26" spans="1:35" x14ac:dyDescent="0.25">
      <c r="A26" t="s">
        <v>1123</v>
      </c>
      <c r="B26" t="s">
        <v>31</v>
      </c>
      <c r="C26" s="25">
        <v>43699.439247685186</v>
      </c>
      <c r="D26" s="741" t="s">
        <v>969</v>
      </c>
      <c r="E26" s="741">
        <f t="array" ref="E26">SUMPRODUCT(IF(AMP6_4[[#This Row],[Dim 1_1]:[T 8]]-$F$4:$AI$4&lt;0,1,0)+IF($F$5:$AI$5-AMP6_4[[#This Row],[Dim 1_1]:[T 8]]&lt;0,1,0),IF(ISNUMBER(AMP6_4[[#This Row],[Dim 1_1]:[T 8]])=TRUE,1,0))</f>
        <v>0</v>
      </c>
      <c r="H26">
        <v>156.00200000000001</v>
      </c>
      <c r="I26">
        <v>155.91900000000001</v>
      </c>
      <c r="J26">
        <v>168.78399999999999</v>
      </c>
      <c r="K26">
        <v>168.92500000000001</v>
      </c>
      <c r="L26">
        <v>155.88200000000001</v>
      </c>
      <c r="M26">
        <v>155.76499999999999</v>
      </c>
      <c r="N26">
        <v>27.341999999999999</v>
      </c>
      <c r="O26">
        <v>27.561</v>
      </c>
      <c r="R26">
        <v>17.213999999999999</v>
      </c>
      <c r="S26">
        <v>17.355</v>
      </c>
      <c r="T26">
        <v>35.640999999999998</v>
      </c>
      <c r="U26">
        <v>34.65</v>
      </c>
      <c r="W26">
        <v>0.121</v>
      </c>
      <c r="X26">
        <v>6.0999999999999999E-2</v>
      </c>
      <c r="Z26">
        <v>0.374</v>
      </c>
      <c r="AA26">
        <v>0.14699999999999999</v>
      </c>
      <c r="AB26">
        <v>0.09</v>
      </c>
      <c r="AC26">
        <v>6.0999999999999999E-2</v>
      </c>
      <c r="AD26">
        <v>0.121</v>
      </c>
      <c r="AE26">
        <v>0.08</v>
      </c>
      <c r="AF26">
        <v>0.374</v>
      </c>
      <c r="AG26">
        <v>0.28999999999999998</v>
      </c>
      <c r="AH26">
        <v>0.20899999999999999</v>
      </c>
      <c r="AI26">
        <v>0.14699999999999999</v>
      </c>
    </row>
    <row r="27" spans="1:35" ht="15" customHeight="1" x14ac:dyDescent="0.25">
      <c r="A27" t="s">
        <v>1124</v>
      </c>
      <c r="B27" t="s">
        <v>32</v>
      </c>
      <c r="C27" s="25">
        <v>43699.639930555553</v>
      </c>
      <c r="D27" s="741" t="s">
        <v>969</v>
      </c>
      <c r="E27" s="741">
        <f t="array" ref="E27">SUMPRODUCT(IF(AMP6_4[[#This Row],[Dim 1_1]:[T 8]]-$F$4:$AI$4&lt;0,1,0)+IF($F$5:$AI$5-AMP6_4[[#This Row],[Dim 1_1]:[T 8]]&lt;0,1,0),IF(ISNUMBER(AMP6_4[[#This Row],[Dim 1_1]:[T 8]])=TRUE,1,0))</f>
        <v>0</v>
      </c>
      <c r="F27">
        <v>41.533000000000001</v>
      </c>
      <c r="G27">
        <v>41.555999999999997</v>
      </c>
      <c r="H27">
        <v>155.64599999999999</v>
      </c>
      <c r="I27">
        <v>155.6</v>
      </c>
      <c r="L27">
        <v>155.55600000000001</v>
      </c>
      <c r="M27">
        <v>155.25</v>
      </c>
      <c r="N27">
        <v>27.675999999999998</v>
      </c>
      <c r="O27">
        <v>27.914999999999999</v>
      </c>
      <c r="R27">
        <v>17.271000000000001</v>
      </c>
      <c r="S27">
        <v>17.417000000000002</v>
      </c>
      <c r="T27">
        <v>35.630000000000003</v>
      </c>
      <c r="U27">
        <v>36.578000000000003</v>
      </c>
      <c r="W27">
        <v>0.496</v>
      </c>
      <c r="X27">
        <v>0.21</v>
      </c>
      <c r="Z27">
        <v>0.57799999999999996</v>
      </c>
      <c r="AA27">
        <v>0.35299999999999998</v>
      </c>
      <c r="AB27">
        <v>0.47099999999999997</v>
      </c>
      <c r="AC27">
        <v>0.496</v>
      </c>
      <c r="AD27">
        <v>0.30299999999999999</v>
      </c>
      <c r="AE27">
        <v>0.21</v>
      </c>
      <c r="AF27">
        <v>0.57799999999999996</v>
      </c>
      <c r="AG27">
        <v>0.54900000000000004</v>
      </c>
      <c r="AH27">
        <v>0.35299999999999998</v>
      </c>
      <c r="AI27">
        <v>0.45300000000000001</v>
      </c>
    </row>
    <row r="28" spans="1:35" x14ac:dyDescent="0.25">
      <c r="A28" t="s">
        <v>1125</v>
      </c>
      <c r="B28" t="s">
        <v>31</v>
      </c>
      <c r="C28" s="25">
        <v>43699.642314814817</v>
      </c>
      <c r="D28" s="741" t="s">
        <v>969</v>
      </c>
      <c r="E28" s="741">
        <f t="array" ref="E28">SUMPRODUCT(IF(AMP6_4[[#This Row],[Dim 1_1]:[T 8]]-$F$4:$AI$4&lt;0,1,0)+IF($F$5:$AI$5-AMP6_4[[#This Row],[Dim 1_1]:[T 8]]&lt;0,1,0),IF(ISNUMBER(AMP6_4[[#This Row],[Dim 1_1]:[T 8]])=TRUE,1,0))</f>
        <v>0</v>
      </c>
      <c r="H28">
        <v>155.78800000000001</v>
      </c>
      <c r="I28">
        <v>155.84800000000001</v>
      </c>
      <c r="J28">
        <v>168.83</v>
      </c>
      <c r="K28">
        <v>168.77099999999999</v>
      </c>
      <c r="L28">
        <v>155.74299999999999</v>
      </c>
      <c r="M28">
        <v>155.72900000000001</v>
      </c>
      <c r="N28">
        <v>27.509</v>
      </c>
      <c r="O28">
        <v>27.588000000000001</v>
      </c>
      <c r="R28">
        <v>17.196000000000002</v>
      </c>
      <c r="S28">
        <v>17.227</v>
      </c>
      <c r="T28">
        <v>36.356000000000002</v>
      </c>
      <c r="U28">
        <v>37.598999999999997</v>
      </c>
      <c r="W28">
        <v>0.22700000000000001</v>
      </c>
      <c r="X28">
        <v>0.13800000000000001</v>
      </c>
      <c r="Z28">
        <v>0.53600000000000003</v>
      </c>
      <c r="AA28">
        <v>0.32500000000000001</v>
      </c>
      <c r="AB28">
        <v>0.22700000000000001</v>
      </c>
      <c r="AC28">
        <v>0.155</v>
      </c>
      <c r="AD28">
        <v>0.13800000000000001</v>
      </c>
      <c r="AE28">
        <v>0.155</v>
      </c>
      <c r="AF28">
        <v>0.53600000000000003</v>
      </c>
      <c r="AG28">
        <v>0.51400000000000001</v>
      </c>
      <c r="AH28">
        <v>0.32500000000000001</v>
      </c>
      <c r="AI28">
        <v>0.41</v>
      </c>
    </row>
    <row r="29" spans="1:35" ht="15" customHeight="1" x14ac:dyDescent="0.25">
      <c r="A29" t="s">
        <v>1241</v>
      </c>
      <c r="B29" t="s">
        <v>32</v>
      </c>
      <c r="C29" s="25">
        <v>43699.726041666669</v>
      </c>
      <c r="D29" s="741" t="s">
        <v>969</v>
      </c>
      <c r="E29" s="741">
        <f t="array" ref="E29">SUMPRODUCT(IF(AMP6_4[[#This Row],[Dim 1_1]:[T 8]]-$F$4:$AI$4&lt;0,1,0)+IF($F$5:$AI$5-AMP6_4[[#This Row],[Dim 1_1]:[T 8]]&lt;0,1,0),IF(ISNUMBER(AMP6_4[[#This Row],[Dim 1_1]:[T 8]])=TRUE,1,0))</f>
        <v>0</v>
      </c>
      <c r="F29">
        <v>41.290999999999997</v>
      </c>
      <c r="G29">
        <v>41.35</v>
      </c>
      <c r="H29">
        <v>155.75399999999999</v>
      </c>
      <c r="I29">
        <v>155.696</v>
      </c>
      <c r="L29">
        <v>155.66999999999999</v>
      </c>
      <c r="M29">
        <v>155.45400000000001</v>
      </c>
      <c r="N29">
        <v>27.539000000000001</v>
      </c>
      <c r="O29">
        <v>27.658000000000001</v>
      </c>
      <c r="R29">
        <v>17.292000000000002</v>
      </c>
      <c r="S29">
        <v>17.327999999999999</v>
      </c>
      <c r="T29">
        <v>35.718000000000004</v>
      </c>
      <c r="U29">
        <v>36.572000000000003</v>
      </c>
      <c r="W29">
        <v>0.26300000000000001</v>
      </c>
      <c r="X29">
        <v>9.4E-2</v>
      </c>
      <c r="Z29">
        <v>0.36499999999999999</v>
      </c>
      <c r="AA29">
        <v>0.26300000000000001</v>
      </c>
      <c r="AB29">
        <v>0.22600000000000001</v>
      </c>
      <c r="AC29">
        <v>0.26300000000000001</v>
      </c>
      <c r="AD29">
        <v>0.20300000000000001</v>
      </c>
      <c r="AE29">
        <v>9.4E-2</v>
      </c>
      <c r="AF29">
        <v>0.36499999999999999</v>
      </c>
      <c r="AG29">
        <v>0.33900000000000002</v>
      </c>
      <c r="AH29">
        <v>0.26300000000000001</v>
      </c>
      <c r="AI29">
        <v>0.33600000000000002</v>
      </c>
    </row>
    <row r="30" spans="1:35" x14ac:dyDescent="0.25">
      <c r="A30" t="s">
        <v>1242</v>
      </c>
      <c r="B30" t="s">
        <v>31</v>
      </c>
      <c r="C30" s="25">
        <v>43699.728067129632</v>
      </c>
      <c r="D30" s="741" t="s">
        <v>969</v>
      </c>
      <c r="E30" s="741">
        <f t="array" ref="E30">SUMPRODUCT(IF(AMP6_4[[#This Row],[Dim 1_1]:[T 8]]-$F$4:$AI$4&lt;0,1,0)+IF($F$5:$AI$5-AMP6_4[[#This Row],[Dim 1_1]:[T 8]]&lt;0,1,0),IF(ISNUMBER(AMP6_4[[#This Row],[Dim 1_1]:[T 8]])=TRUE,1,0))</f>
        <v>0</v>
      </c>
      <c r="H30">
        <v>155.90199999999999</v>
      </c>
      <c r="I30">
        <v>155.90199999999999</v>
      </c>
      <c r="J30">
        <v>168.66399999999999</v>
      </c>
      <c r="K30">
        <v>168.68100000000001</v>
      </c>
      <c r="L30">
        <v>155.79499999999999</v>
      </c>
      <c r="M30">
        <v>155.72300000000001</v>
      </c>
      <c r="N30">
        <v>27.425999999999998</v>
      </c>
      <c r="O30">
        <v>27.558</v>
      </c>
      <c r="R30">
        <v>17.167000000000002</v>
      </c>
      <c r="S30">
        <v>17.271999999999998</v>
      </c>
      <c r="T30">
        <v>36.008000000000003</v>
      </c>
      <c r="U30">
        <v>37.808999999999997</v>
      </c>
      <c r="W30">
        <v>0.14299999999999999</v>
      </c>
      <c r="X30">
        <v>-0.08</v>
      </c>
      <c r="Z30">
        <v>0.41899999999999998</v>
      </c>
      <c r="AA30">
        <v>0.221</v>
      </c>
      <c r="AB30">
        <v>0.14299999999999999</v>
      </c>
      <c r="AC30">
        <v>5.7000000000000002E-2</v>
      </c>
      <c r="AD30">
        <v>7.4999999999999997E-2</v>
      </c>
      <c r="AE30">
        <v>-0.08</v>
      </c>
      <c r="AF30">
        <v>0.41899999999999998</v>
      </c>
      <c r="AG30">
        <v>0.375</v>
      </c>
      <c r="AH30">
        <v>0.224</v>
      </c>
      <c r="AI30">
        <v>0.221</v>
      </c>
    </row>
    <row r="31" spans="1:35" ht="15" customHeight="1" x14ac:dyDescent="0.25">
      <c r="A31" t="s">
        <v>1967</v>
      </c>
      <c r="B31" t="s">
        <v>32</v>
      </c>
      <c r="C31" s="25">
        <v>43705.743402777778</v>
      </c>
      <c r="D31" s="741" t="s">
        <v>969</v>
      </c>
      <c r="E31" s="741">
        <f t="array" ref="E31">SUMPRODUCT(IF(AMP6_4[[#This Row],[Dim 1_1]:[T 8]]-$F$4:$AI$4&lt;0,1,0)+IF($F$5:$AI$5-AMP6_4[[#This Row],[Dim 1_1]:[T 8]]&lt;0,1,0),IF(ISNUMBER(AMP6_4[[#This Row],[Dim 1_1]:[T 8]])=TRUE,1,0))</f>
        <v>1</v>
      </c>
      <c r="F31">
        <v>40.731999999999999</v>
      </c>
      <c r="G31">
        <v>40.869999999999997</v>
      </c>
      <c r="H31">
        <v>155.583</v>
      </c>
      <c r="I31">
        <v>155.13200000000001</v>
      </c>
      <c r="L31">
        <v>155.892</v>
      </c>
      <c r="M31">
        <v>155.447</v>
      </c>
      <c r="N31">
        <v>27.327000000000002</v>
      </c>
      <c r="O31">
        <v>27.683</v>
      </c>
      <c r="R31">
        <v>17.273</v>
      </c>
      <c r="S31">
        <v>17.346</v>
      </c>
      <c r="T31">
        <v>35.42</v>
      </c>
      <c r="U31">
        <v>36.786999999999999</v>
      </c>
      <c r="W31">
        <v>0.29899999999999999</v>
      </c>
      <c r="X31">
        <v>8.5999999999999993E-2</v>
      </c>
      <c r="Z31">
        <v>0.59299999999999997</v>
      </c>
      <c r="AA31">
        <v>0.48599999999999999</v>
      </c>
      <c r="AB31">
        <v>0.23200000000000001</v>
      </c>
      <c r="AC31">
        <v>0.23799999999999999</v>
      </c>
      <c r="AD31">
        <v>0.29899999999999999</v>
      </c>
      <c r="AE31">
        <v>8.5999999999999993E-2</v>
      </c>
      <c r="AF31">
        <v>0.52</v>
      </c>
      <c r="AG31">
        <v>0.48599999999999999</v>
      </c>
      <c r="AH31">
        <v>0.52900000000000003</v>
      </c>
      <c r="AI31">
        <v>0.59299999999999997</v>
      </c>
    </row>
    <row r="32" spans="1:35" x14ac:dyDescent="0.25">
      <c r="A32" t="s">
        <v>1968</v>
      </c>
      <c r="B32" t="s">
        <v>31</v>
      </c>
      <c r="C32" s="25">
        <v>43705.745462962965</v>
      </c>
      <c r="D32" s="741" t="s">
        <v>969</v>
      </c>
      <c r="E32" s="741">
        <f t="array" ref="E32">SUMPRODUCT(IF(AMP6_4[[#This Row],[Dim 1_1]:[T 8]]-$F$4:$AI$4&lt;0,1,0)+IF($F$5:$AI$5-AMP6_4[[#This Row],[Dim 1_1]:[T 8]]&lt;0,1,0),IF(ISNUMBER(AMP6_4[[#This Row],[Dim 1_1]:[T 8]])=TRUE,1,0))</f>
        <v>0</v>
      </c>
      <c r="H32">
        <v>155.946</v>
      </c>
      <c r="I32">
        <v>155.85499999999999</v>
      </c>
      <c r="J32">
        <v>168.29599999999999</v>
      </c>
      <c r="K32">
        <v>168.60900000000001</v>
      </c>
      <c r="L32">
        <v>156.28</v>
      </c>
      <c r="M32">
        <v>156.398</v>
      </c>
      <c r="N32">
        <v>26.94</v>
      </c>
      <c r="O32">
        <v>26.882000000000001</v>
      </c>
      <c r="R32">
        <v>17.149999999999999</v>
      </c>
      <c r="S32">
        <v>16.989999999999998</v>
      </c>
      <c r="T32">
        <v>37.375</v>
      </c>
      <c r="U32">
        <v>37.668999999999997</v>
      </c>
      <c r="W32">
        <v>0.19400000000000001</v>
      </c>
      <c r="X32">
        <v>7.4999999999999997E-2</v>
      </c>
      <c r="Z32">
        <v>0.61799999999999999</v>
      </c>
      <c r="AA32">
        <v>0.54300000000000004</v>
      </c>
      <c r="AB32">
        <v>0.17699999999999999</v>
      </c>
      <c r="AC32">
        <v>0.1</v>
      </c>
      <c r="AD32">
        <v>0.19400000000000001</v>
      </c>
      <c r="AE32">
        <v>7.4999999999999997E-2</v>
      </c>
      <c r="AF32">
        <v>0.61799999999999999</v>
      </c>
      <c r="AG32">
        <v>0.59799999999999998</v>
      </c>
      <c r="AH32">
        <v>0.58499999999999996</v>
      </c>
      <c r="AI32">
        <v>0.54300000000000004</v>
      </c>
    </row>
    <row r="33" spans="1:35" ht="15" customHeight="1" x14ac:dyDescent="0.25">
      <c r="A33" t="s">
        <v>1969</v>
      </c>
      <c r="B33" t="s">
        <v>32</v>
      </c>
      <c r="C33" s="25">
        <v>43705.814004629632</v>
      </c>
      <c r="D33" s="741" t="s">
        <v>969</v>
      </c>
      <c r="E33" s="741">
        <f t="array" ref="E33">SUMPRODUCT(IF(AMP6_4[[#This Row],[Dim 1_1]:[T 8]]-$F$4:$AI$4&lt;0,1,0)+IF($F$5:$AI$5-AMP6_4[[#This Row],[Dim 1_1]:[T 8]]&lt;0,1,0),IF(ISNUMBER(AMP6_4[[#This Row],[Dim 1_1]:[T 8]])=TRUE,1,0))</f>
        <v>1</v>
      </c>
      <c r="F33">
        <v>41.247999999999998</v>
      </c>
      <c r="G33">
        <v>41.622</v>
      </c>
      <c r="H33">
        <v>155.49199999999999</v>
      </c>
      <c r="I33">
        <v>154.99199999999999</v>
      </c>
      <c r="L33">
        <v>155.76300000000001</v>
      </c>
      <c r="M33">
        <v>155.26</v>
      </c>
      <c r="N33">
        <v>27.437999999999999</v>
      </c>
      <c r="O33">
        <v>27.850999999999999</v>
      </c>
      <c r="R33">
        <v>17.309999999999999</v>
      </c>
      <c r="S33">
        <v>17.308</v>
      </c>
      <c r="T33">
        <v>35.906999999999996</v>
      </c>
      <c r="U33">
        <v>36.173999999999999</v>
      </c>
      <c r="W33">
        <v>0.57999999999999996</v>
      </c>
      <c r="X33">
        <v>0.376</v>
      </c>
      <c r="Z33">
        <v>0.61599999999999999</v>
      </c>
      <c r="AA33">
        <v>0.39200000000000002</v>
      </c>
      <c r="AB33">
        <v>0.376</v>
      </c>
      <c r="AC33">
        <v>0.39900000000000002</v>
      </c>
      <c r="AD33">
        <v>0.57999999999999996</v>
      </c>
      <c r="AE33">
        <v>0.504</v>
      </c>
      <c r="AF33">
        <v>0.44700000000000001</v>
      </c>
      <c r="AG33">
        <v>0.39200000000000002</v>
      </c>
      <c r="AH33">
        <v>0.52800000000000002</v>
      </c>
      <c r="AI33">
        <v>0.61599999999999999</v>
      </c>
    </row>
    <row r="34" spans="1:35" x14ac:dyDescent="0.25">
      <c r="A34" t="s">
        <v>1970</v>
      </c>
      <c r="B34" t="s">
        <v>31</v>
      </c>
      <c r="C34" s="25">
        <v>43705.815648148149</v>
      </c>
      <c r="D34" s="741" t="s">
        <v>969</v>
      </c>
      <c r="E34" s="741">
        <f t="array" ref="E34">SUMPRODUCT(IF(AMP6_4[[#This Row],[Dim 1_1]:[T 8]]-$F$4:$AI$4&lt;0,1,0)+IF($F$5:$AI$5-AMP6_4[[#This Row],[Dim 1_1]:[T 8]]&lt;0,1,0),IF(ISNUMBER(AMP6_4[[#This Row],[Dim 1_1]:[T 8]])=TRUE,1,0))</f>
        <v>0</v>
      </c>
      <c r="H34">
        <v>155.82599999999999</v>
      </c>
      <c r="I34">
        <v>155.87299999999999</v>
      </c>
      <c r="J34">
        <v>169.10400000000001</v>
      </c>
      <c r="K34">
        <v>169.24199999999999</v>
      </c>
      <c r="L34">
        <v>156.202</v>
      </c>
      <c r="M34">
        <v>156.41</v>
      </c>
      <c r="N34">
        <v>27.013999999999999</v>
      </c>
      <c r="O34">
        <v>26.859000000000002</v>
      </c>
      <c r="R34">
        <v>17.108000000000001</v>
      </c>
      <c r="S34">
        <v>16.931000000000001</v>
      </c>
      <c r="T34">
        <v>36.884</v>
      </c>
      <c r="U34">
        <v>37.185000000000002</v>
      </c>
      <c r="W34">
        <v>0.25800000000000001</v>
      </c>
      <c r="X34">
        <v>-0.19700000000000001</v>
      </c>
      <c r="Z34">
        <v>0.56899999999999995</v>
      </c>
      <c r="AA34">
        <v>0.14000000000000001</v>
      </c>
      <c r="AB34">
        <v>0.25800000000000001</v>
      </c>
      <c r="AC34">
        <v>0.186</v>
      </c>
      <c r="AD34">
        <v>-7.2999999999999995E-2</v>
      </c>
      <c r="AE34">
        <v>-0.19700000000000001</v>
      </c>
      <c r="AF34">
        <v>0.56899999999999995</v>
      </c>
      <c r="AG34">
        <v>0.53200000000000003</v>
      </c>
      <c r="AH34">
        <v>0.14199999999999999</v>
      </c>
      <c r="AI34">
        <v>0.14000000000000001</v>
      </c>
    </row>
    <row r="35" spans="1:35" ht="15" customHeight="1" x14ac:dyDescent="0.25">
      <c r="A35" t="s">
        <v>1971</v>
      </c>
      <c r="B35" t="s">
        <v>32</v>
      </c>
      <c r="C35" s="25">
        <v>43705.887662037036</v>
      </c>
      <c r="D35" s="741" t="s">
        <v>969</v>
      </c>
      <c r="E35" s="741">
        <f t="array" ref="E35">SUMPRODUCT(IF(AMP6_4[[#This Row],[Dim 1_1]:[T 8]]-$F$4:$AI$4&lt;0,1,0)+IF($F$5:$AI$5-AMP6_4[[#This Row],[Dim 1_1]:[T 8]]&lt;0,1,0),IF(ISNUMBER(AMP6_4[[#This Row],[Dim 1_1]:[T 8]])=TRUE,1,0))</f>
        <v>1</v>
      </c>
      <c r="F35">
        <v>41.128</v>
      </c>
      <c r="G35">
        <v>41.411999999999999</v>
      </c>
      <c r="H35">
        <v>155.547</v>
      </c>
      <c r="I35">
        <v>155.089</v>
      </c>
      <c r="L35">
        <v>155.82</v>
      </c>
      <c r="M35">
        <v>155.38399999999999</v>
      </c>
      <c r="N35">
        <v>27.361000000000001</v>
      </c>
      <c r="O35">
        <v>27.742000000000001</v>
      </c>
      <c r="R35">
        <v>17.260000000000002</v>
      </c>
      <c r="S35">
        <v>17.346</v>
      </c>
      <c r="T35">
        <v>35.822000000000003</v>
      </c>
      <c r="U35">
        <v>36.119999999999997</v>
      </c>
      <c r="W35">
        <v>0.39300000000000002</v>
      </c>
      <c r="X35">
        <v>0.22800000000000001</v>
      </c>
      <c r="Z35">
        <v>0.47799999999999998</v>
      </c>
      <c r="AA35">
        <v>0.34699999999999998</v>
      </c>
      <c r="AB35">
        <v>0.36299999999999999</v>
      </c>
      <c r="AC35">
        <v>0.39300000000000002</v>
      </c>
      <c r="AD35">
        <v>0.32800000000000001</v>
      </c>
      <c r="AE35">
        <v>0.22800000000000001</v>
      </c>
      <c r="AF35">
        <v>0.47799999999999998</v>
      </c>
      <c r="AG35">
        <v>0.43099999999999999</v>
      </c>
      <c r="AH35">
        <v>0.34699999999999998</v>
      </c>
      <c r="AI35">
        <v>0.44700000000000001</v>
      </c>
    </row>
    <row r="36" spans="1:35" x14ac:dyDescent="0.25">
      <c r="A36" t="s">
        <v>1972</v>
      </c>
      <c r="B36" t="s">
        <v>31</v>
      </c>
      <c r="C36" s="25">
        <v>43705.924062500002</v>
      </c>
      <c r="D36" s="741" t="s">
        <v>969</v>
      </c>
      <c r="E36" s="741">
        <f t="array" ref="E36">SUMPRODUCT(IF(AMP6_4[[#This Row],[Dim 1_1]:[T 8]]-$F$4:$AI$4&lt;0,1,0)+IF($F$5:$AI$5-AMP6_4[[#This Row],[Dim 1_1]:[T 8]]&lt;0,1,0),IF(ISNUMBER(AMP6_4[[#This Row],[Dim 1_1]:[T 8]])=TRUE,1,0))</f>
        <v>0</v>
      </c>
      <c r="H36">
        <v>155.892</v>
      </c>
      <c r="I36">
        <v>155.82</v>
      </c>
      <c r="J36">
        <v>168.935</v>
      </c>
      <c r="K36">
        <v>169.166</v>
      </c>
      <c r="L36">
        <v>156.20099999999999</v>
      </c>
      <c r="M36">
        <v>156.33600000000001</v>
      </c>
      <c r="N36">
        <v>27.006</v>
      </c>
      <c r="O36">
        <v>26.92</v>
      </c>
      <c r="R36">
        <v>17.013999999999999</v>
      </c>
      <c r="S36">
        <v>17.001999999999999</v>
      </c>
      <c r="T36">
        <v>34.604999999999997</v>
      </c>
      <c r="U36">
        <v>36.313000000000002</v>
      </c>
      <c r="W36">
        <v>8.3000000000000004E-2</v>
      </c>
      <c r="X36">
        <v>-0.16800000000000001</v>
      </c>
      <c r="Z36">
        <v>0.38900000000000001</v>
      </c>
      <c r="AA36">
        <v>0.16300000000000001</v>
      </c>
      <c r="AB36">
        <v>8.3000000000000004E-2</v>
      </c>
      <c r="AC36">
        <v>8.0000000000000002E-3</v>
      </c>
      <c r="AD36">
        <v>-1.4999999999999999E-2</v>
      </c>
      <c r="AE36">
        <v>-0.16800000000000001</v>
      </c>
      <c r="AF36">
        <v>0.38900000000000001</v>
      </c>
      <c r="AG36">
        <v>0.33900000000000002</v>
      </c>
      <c r="AH36">
        <v>0.21099999999999999</v>
      </c>
      <c r="AI36">
        <v>0.16300000000000001</v>
      </c>
    </row>
    <row r="37" spans="1:35" ht="15" customHeight="1" x14ac:dyDescent="0.25">
      <c r="A37" t="s">
        <v>1973</v>
      </c>
      <c r="B37" t="s">
        <v>32</v>
      </c>
      <c r="C37" s="25">
        <v>43705.995682870373</v>
      </c>
      <c r="D37" s="741" t="s">
        <v>969</v>
      </c>
      <c r="E37" s="741">
        <f t="array" ref="E37">SUMPRODUCT(IF(AMP6_4[[#This Row],[Dim 1_1]:[T 8]]-$F$4:$AI$4&lt;0,1,0)+IF($F$5:$AI$5-AMP6_4[[#This Row],[Dim 1_1]:[T 8]]&lt;0,1,0),IF(ISNUMBER(AMP6_4[[#This Row],[Dim 1_1]:[T 8]])=TRUE,1,0))</f>
        <v>1</v>
      </c>
      <c r="F37">
        <v>41.17</v>
      </c>
      <c r="G37">
        <v>41.552999999999997</v>
      </c>
      <c r="H37">
        <v>155.511</v>
      </c>
      <c r="I37">
        <v>155.07400000000001</v>
      </c>
      <c r="L37">
        <v>155.79400000000001</v>
      </c>
      <c r="M37">
        <v>155.32400000000001</v>
      </c>
      <c r="N37">
        <v>27.419</v>
      </c>
      <c r="O37">
        <v>27.797999999999998</v>
      </c>
      <c r="R37">
        <v>17.306000000000001</v>
      </c>
      <c r="S37">
        <v>17.361000000000001</v>
      </c>
      <c r="T37">
        <v>35.591999999999999</v>
      </c>
      <c r="U37">
        <v>36.350999999999999</v>
      </c>
      <c r="W37">
        <v>0.46</v>
      </c>
      <c r="X37">
        <v>0.34</v>
      </c>
      <c r="Z37">
        <v>0.51300000000000001</v>
      </c>
      <c r="AA37">
        <v>0.41699999999999998</v>
      </c>
      <c r="AB37">
        <v>0.42699999999999999</v>
      </c>
      <c r="AC37">
        <v>0.46</v>
      </c>
      <c r="AD37">
        <v>0.375</v>
      </c>
      <c r="AE37">
        <v>0.34</v>
      </c>
      <c r="AF37">
        <v>0.51300000000000001</v>
      </c>
      <c r="AG37">
        <v>0.45</v>
      </c>
      <c r="AH37">
        <v>0.41699999999999998</v>
      </c>
      <c r="AI37">
        <v>0.47299999999999998</v>
      </c>
    </row>
    <row r="38" spans="1:35" x14ac:dyDescent="0.25">
      <c r="A38" t="s">
        <v>1974</v>
      </c>
      <c r="B38" t="s">
        <v>31</v>
      </c>
      <c r="C38" s="25">
        <v>43705.997199074074</v>
      </c>
      <c r="D38" s="741" t="s">
        <v>969</v>
      </c>
      <c r="E38" s="741">
        <f t="array" ref="E38">SUMPRODUCT(IF(AMP6_4[[#This Row],[Dim 1_1]:[T 8]]-$F$4:$AI$4&lt;0,1,0)+IF($F$5:$AI$5-AMP6_4[[#This Row],[Dim 1_1]:[T 8]]&lt;0,1,0),IF(ISNUMBER(AMP6_4[[#This Row],[Dim 1_1]:[T 8]])=TRUE,1,0))</f>
        <v>0</v>
      </c>
      <c r="H38">
        <v>155.89699999999999</v>
      </c>
      <c r="I38">
        <v>155.80699999999999</v>
      </c>
      <c r="J38">
        <v>168.947</v>
      </c>
      <c r="K38">
        <v>169.18600000000001</v>
      </c>
      <c r="L38">
        <v>156.184</v>
      </c>
      <c r="M38">
        <v>156.351</v>
      </c>
      <c r="N38">
        <v>26.992000000000001</v>
      </c>
      <c r="O38">
        <v>26.914000000000001</v>
      </c>
      <c r="R38">
        <v>17.106000000000002</v>
      </c>
      <c r="S38">
        <v>17.016999999999999</v>
      </c>
      <c r="T38">
        <v>33.723999999999997</v>
      </c>
      <c r="U38">
        <v>35.588000000000001</v>
      </c>
      <c r="W38">
        <v>0.122</v>
      </c>
      <c r="X38">
        <v>-5.8000000000000003E-2</v>
      </c>
      <c r="Z38">
        <v>0.47</v>
      </c>
      <c r="AA38">
        <v>0.314</v>
      </c>
      <c r="AB38">
        <v>0.122</v>
      </c>
      <c r="AC38">
        <v>4.3999999999999997E-2</v>
      </c>
      <c r="AD38">
        <v>8.7999999999999995E-2</v>
      </c>
      <c r="AE38">
        <v>-5.8000000000000003E-2</v>
      </c>
      <c r="AF38">
        <v>0.47</v>
      </c>
      <c r="AG38">
        <v>0.41699999999999998</v>
      </c>
      <c r="AH38">
        <v>0.32300000000000001</v>
      </c>
      <c r="AI38">
        <v>0.314</v>
      </c>
    </row>
    <row r="39" spans="1:35" ht="15" customHeight="1" x14ac:dyDescent="0.25">
      <c r="A39" t="s">
        <v>2232</v>
      </c>
      <c r="B39" t="s">
        <v>32</v>
      </c>
      <c r="C39" s="25">
        <v>43706.37158564815</v>
      </c>
      <c r="D39" s="741" t="s">
        <v>969</v>
      </c>
      <c r="E39" s="741">
        <f t="array" ref="E39">SUMPRODUCT(IF(AMP6_4[[#This Row],[Dim 1_1]:[T 8]]-$F$4:$AI$4&lt;0,1,0)+IF($F$5:$AI$5-AMP6_4[[#This Row],[Dim 1_1]:[T 8]]&lt;0,1,0),IF(ISNUMBER(AMP6_4[[#This Row],[Dim 1_1]:[T 8]])=TRUE,1,0))</f>
        <v>0</v>
      </c>
      <c r="F39">
        <v>41.015999999999998</v>
      </c>
      <c r="G39">
        <v>41.347999999999999</v>
      </c>
      <c r="H39">
        <v>155.6</v>
      </c>
      <c r="I39">
        <v>155.22399999999999</v>
      </c>
      <c r="L39">
        <v>155.959</v>
      </c>
      <c r="M39">
        <v>155.495</v>
      </c>
      <c r="N39">
        <v>27.202999999999999</v>
      </c>
      <c r="O39">
        <v>27.533999999999999</v>
      </c>
      <c r="R39">
        <v>17.241</v>
      </c>
      <c r="S39">
        <v>17.244</v>
      </c>
      <c r="T39">
        <v>35.777999999999999</v>
      </c>
      <c r="U39">
        <v>36.438000000000002</v>
      </c>
      <c r="W39">
        <v>0.129</v>
      </c>
      <c r="X39">
        <v>2.7E-2</v>
      </c>
      <c r="Z39">
        <v>0.33600000000000002</v>
      </c>
      <c r="AA39">
        <v>0.254</v>
      </c>
      <c r="AB39">
        <v>0.10100000000000001</v>
      </c>
      <c r="AC39">
        <v>0.129</v>
      </c>
      <c r="AD39">
        <v>9.1999999999999998E-2</v>
      </c>
      <c r="AE39">
        <v>2.7E-2</v>
      </c>
      <c r="AF39">
        <v>0.33600000000000002</v>
      </c>
      <c r="AG39">
        <v>0.30399999999999999</v>
      </c>
      <c r="AH39">
        <v>0.254</v>
      </c>
      <c r="AI39">
        <v>0.32700000000000001</v>
      </c>
    </row>
    <row r="40" spans="1:35" x14ac:dyDescent="0.25">
      <c r="A40" t="s">
        <v>2233</v>
      </c>
      <c r="B40" t="s">
        <v>31</v>
      </c>
      <c r="C40" s="25">
        <v>43706.373645833337</v>
      </c>
      <c r="D40" s="741" t="s">
        <v>969</v>
      </c>
      <c r="E40" s="741">
        <f t="array" ref="E40">SUMPRODUCT(IF(AMP6_4[[#This Row],[Dim 1_1]:[T 8]]-$F$4:$AI$4&lt;0,1,0)+IF($F$5:$AI$5-AMP6_4[[#This Row],[Dim 1_1]:[T 8]]&lt;0,1,0),IF(ISNUMBER(AMP6_4[[#This Row],[Dim 1_1]:[T 8]])=TRUE,1,0))</f>
        <v>0</v>
      </c>
      <c r="H40">
        <v>155.82300000000001</v>
      </c>
      <c r="I40">
        <v>155.76599999999999</v>
      </c>
      <c r="J40">
        <v>168.964</v>
      </c>
      <c r="K40">
        <v>169.16499999999999</v>
      </c>
      <c r="L40">
        <v>156.20500000000001</v>
      </c>
      <c r="M40">
        <v>156.28399999999999</v>
      </c>
      <c r="N40">
        <v>27.015000000000001</v>
      </c>
      <c r="O40">
        <v>26.928000000000001</v>
      </c>
      <c r="R40">
        <v>17.178999999999998</v>
      </c>
      <c r="S40">
        <v>17.045000000000002</v>
      </c>
      <c r="T40">
        <v>36.414000000000001</v>
      </c>
      <c r="U40">
        <v>37.950000000000003</v>
      </c>
      <c r="W40">
        <v>0.104</v>
      </c>
      <c r="X40">
        <v>-2.5000000000000001E-2</v>
      </c>
      <c r="Z40">
        <v>0.32500000000000001</v>
      </c>
      <c r="AA40">
        <v>0.223</v>
      </c>
      <c r="AB40">
        <v>8.1000000000000003E-2</v>
      </c>
      <c r="AC40">
        <v>1.2999999999999999E-2</v>
      </c>
      <c r="AD40">
        <v>0.104</v>
      </c>
      <c r="AE40">
        <v>-2.5000000000000001E-2</v>
      </c>
      <c r="AF40">
        <v>0.32500000000000001</v>
      </c>
      <c r="AG40">
        <v>0.27400000000000002</v>
      </c>
      <c r="AH40">
        <v>0.23300000000000001</v>
      </c>
      <c r="AI40">
        <v>0.223</v>
      </c>
    </row>
    <row r="41" spans="1:35" ht="15" customHeight="1" x14ac:dyDescent="0.25">
      <c r="A41" t="s">
        <v>2234</v>
      </c>
      <c r="B41" t="s">
        <v>32</v>
      </c>
      <c r="C41" s="25">
        <v>43706.462141203701</v>
      </c>
      <c r="D41" s="741" t="s">
        <v>969</v>
      </c>
      <c r="E41" s="741">
        <f t="array" ref="E41">SUMPRODUCT(IF(AMP6_4[[#This Row],[Dim 1_1]:[T 8]]-$F$4:$AI$4&lt;0,1,0)+IF($F$5:$AI$5-AMP6_4[[#This Row],[Dim 1_1]:[T 8]]&lt;0,1,0),IF(ISNUMBER(AMP6_4[[#This Row],[Dim 1_1]:[T 8]])=TRUE,1,0))</f>
        <v>0</v>
      </c>
      <c r="F41">
        <v>41.048000000000002</v>
      </c>
      <c r="G41">
        <v>41.192</v>
      </c>
      <c r="H41">
        <v>155.60400000000001</v>
      </c>
      <c r="I41">
        <v>155.23400000000001</v>
      </c>
      <c r="L41">
        <v>155.94399999999999</v>
      </c>
      <c r="M41">
        <v>155.51900000000001</v>
      </c>
      <c r="N41">
        <v>27.265999999999998</v>
      </c>
      <c r="O41">
        <v>27.53</v>
      </c>
      <c r="R41">
        <v>17.260000000000002</v>
      </c>
      <c r="S41">
        <v>17.231999999999999</v>
      </c>
      <c r="T41">
        <v>35.698999999999998</v>
      </c>
      <c r="U41">
        <v>36.258000000000003</v>
      </c>
      <c r="W41">
        <v>0.151</v>
      </c>
      <c r="X41">
        <v>3.5000000000000003E-2</v>
      </c>
      <c r="Z41">
        <v>0.28999999999999998</v>
      </c>
      <c r="AA41">
        <v>0.221</v>
      </c>
      <c r="AB41">
        <v>0.12</v>
      </c>
      <c r="AC41">
        <v>0.151</v>
      </c>
      <c r="AD41">
        <v>0.10299999999999999</v>
      </c>
      <c r="AE41">
        <v>3.5000000000000003E-2</v>
      </c>
      <c r="AF41">
        <v>0.26100000000000001</v>
      </c>
      <c r="AG41">
        <v>0.221</v>
      </c>
      <c r="AH41">
        <v>0.222</v>
      </c>
      <c r="AI41">
        <v>0.28999999999999998</v>
      </c>
    </row>
    <row r="42" spans="1:35" x14ac:dyDescent="0.25">
      <c r="A42" t="s">
        <v>2235</v>
      </c>
      <c r="B42" t="s">
        <v>31</v>
      </c>
      <c r="C42" s="25">
        <v>43706.464675925927</v>
      </c>
      <c r="D42" s="741" t="s">
        <v>969</v>
      </c>
      <c r="E42" s="741">
        <f t="array" ref="E42">SUMPRODUCT(IF(AMP6_4[[#This Row],[Dim 1_1]:[T 8]]-$F$4:$AI$4&lt;0,1,0)+IF($F$5:$AI$5-AMP6_4[[#This Row],[Dim 1_1]:[T 8]]&lt;0,1,0),IF(ISNUMBER(AMP6_4[[#This Row],[Dim 1_1]:[T 8]])=TRUE,1,0))</f>
        <v>0</v>
      </c>
      <c r="H42">
        <v>155.798</v>
      </c>
      <c r="I42">
        <v>155.72999999999999</v>
      </c>
      <c r="J42">
        <v>168.91800000000001</v>
      </c>
      <c r="K42">
        <v>169.11199999999999</v>
      </c>
      <c r="L42">
        <v>156.17699999999999</v>
      </c>
      <c r="M42">
        <v>156.25299999999999</v>
      </c>
      <c r="N42">
        <v>26.969000000000001</v>
      </c>
      <c r="O42">
        <v>26.914999999999999</v>
      </c>
      <c r="R42">
        <v>17.192</v>
      </c>
      <c r="S42">
        <v>17.055</v>
      </c>
      <c r="T42">
        <v>36.762999999999998</v>
      </c>
      <c r="U42">
        <v>37.073999999999998</v>
      </c>
      <c r="W42">
        <v>7.0000000000000001E-3</v>
      </c>
      <c r="X42">
        <v>-0.107</v>
      </c>
      <c r="Z42">
        <v>0.29499999999999998</v>
      </c>
      <c r="AA42">
        <v>0.18099999999999999</v>
      </c>
      <c r="AB42">
        <v>-5.0000000000000001E-3</v>
      </c>
      <c r="AC42">
        <v>-6.8000000000000005E-2</v>
      </c>
      <c r="AD42">
        <v>7.0000000000000001E-3</v>
      </c>
      <c r="AE42">
        <v>-0.107</v>
      </c>
      <c r="AF42">
        <v>0.29499999999999998</v>
      </c>
      <c r="AG42">
        <v>0.25</v>
      </c>
      <c r="AH42">
        <v>0.18099999999999999</v>
      </c>
      <c r="AI42">
        <v>0.183</v>
      </c>
    </row>
    <row r="43" spans="1:35" ht="15" customHeight="1" x14ac:dyDescent="0.25">
      <c r="A43" t="s">
        <v>2404</v>
      </c>
      <c r="B43" t="s">
        <v>32</v>
      </c>
      <c r="C43" s="25">
        <v>43706.755636574075</v>
      </c>
      <c r="D43" s="741" t="s">
        <v>2238</v>
      </c>
      <c r="E43" s="741">
        <f t="array" ref="E43">SUMPRODUCT(IF(AMP6_4[[#This Row],[Dim 1_1]:[T 8]]-$F$4:$AI$4&lt;0,1,0)+IF($F$5:$AI$5-AMP6_4[[#This Row],[Dim 1_1]:[T 8]]&lt;0,1,0),IF(ISNUMBER(AMP6_4[[#This Row],[Dim 1_1]:[T 8]])=TRUE,1,0))</f>
        <v>0</v>
      </c>
      <c r="F43">
        <v>40.991</v>
      </c>
      <c r="G43">
        <v>41.037999999999997</v>
      </c>
      <c r="H43">
        <v>155.571</v>
      </c>
      <c r="I43">
        <v>155.178</v>
      </c>
      <c r="L43">
        <v>155.91300000000001</v>
      </c>
      <c r="M43">
        <v>155.49299999999999</v>
      </c>
      <c r="N43">
        <v>27.266999999999999</v>
      </c>
      <c r="O43">
        <v>27.573</v>
      </c>
      <c r="R43">
        <v>17.274999999999999</v>
      </c>
      <c r="S43">
        <v>17.158999999999999</v>
      </c>
      <c r="T43">
        <v>35.795999999999999</v>
      </c>
      <c r="U43">
        <v>36.47</v>
      </c>
      <c r="W43">
        <v>0.24099999999999999</v>
      </c>
      <c r="X43">
        <v>0.16600000000000001</v>
      </c>
      <c r="Z43">
        <v>0.45600000000000002</v>
      </c>
      <c r="AA43">
        <v>0.30199999999999999</v>
      </c>
      <c r="AB43">
        <v>0.16600000000000001</v>
      </c>
      <c r="AC43">
        <v>0.20200000000000001</v>
      </c>
      <c r="AD43">
        <v>0.23699999999999999</v>
      </c>
      <c r="AE43">
        <v>0.24099999999999999</v>
      </c>
      <c r="AF43">
        <v>0.35199999999999998</v>
      </c>
      <c r="AG43">
        <v>0.30199999999999999</v>
      </c>
      <c r="AH43">
        <v>0.38300000000000001</v>
      </c>
      <c r="AI43">
        <v>0.45600000000000002</v>
      </c>
    </row>
    <row r="44" spans="1:35" x14ac:dyDescent="0.25">
      <c r="A44" t="s">
        <v>2405</v>
      </c>
      <c r="B44" t="s">
        <v>31</v>
      </c>
      <c r="C44" s="25">
        <v>43706.757685185185</v>
      </c>
      <c r="D44" s="741" t="s">
        <v>2238</v>
      </c>
      <c r="E44" s="741">
        <f t="array" ref="E44">SUMPRODUCT(IF(AMP6_4[[#This Row],[Dim 1_1]:[T 8]]-$F$4:$AI$4&lt;0,1,0)+IF($F$5:$AI$5-AMP6_4[[#This Row],[Dim 1_1]:[T 8]]&lt;0,1,0),IF(ISNUMBER(AMP6_4[[#This Row],[Dim 1_1]:[T 8]])=TRUE,1,0))</f>
        <v>0</v>
      </c>
      <c r="H44">
        <v>155.74600000000001</v>
      </c>
      <c r="I44">
        <v>155.72399999999999</v>
      </c>
      <c r="J44">
        <v>168.80699999999999</v>
      </c>
      <c r="K44">
        <v>169.05099999999999</v>
      </c>
      <c r="L44">
        <v>156.13900000000001</v>
      </c>
      <c r="M44">
        <v>156.209</v>
      </c>
      <c r="N44">
        <v>27.056000000000001</v>
      </c>
      <c r="O44">
        <v>26.97</v>
      </c>
      <c r="R44">
        <v>17.177</v>
      </c>
      <c r="S44">
        <v>17.125</v>
      </c>
      <c r="T44">
        <v>36.734000000000002</v>
      </c>
      <c r="U44">
        <v>36.619999999999997</v>
      </c>
      <c r="W44">
        <v>8.6999999999999994E-2</v>
      </c>
      <c r="X44">
        <v>-0.155</v>
      </c>
      <c r="Z44">
        <v>0.38500000000000001</v>
      </c>
      <c r="AA44">
        <v>0.14099999999999999</v>
      </c>
      <c r="AB44">
        <v>8.6999999999999994E-2</v>
      </c>
      <c r="AC44">
        <v>2.5999999999999999E-2</v>
      </c>
      <c r="AD44">
        <v>-1.7000000000000001E-2</v>
      </c>
      <c r="AE44">
        <v>-0.155</v>
      </c>
      <c r="AF44">
        <v>0.38500000000000001</v>
      </c>
      <c r="AG44">
        <v>0.34200000000000003</v>
      </c>
      <c r="AH44">
        <v>0.14099999999999999</v>
      </c>
      <c r="AI44">
        <v>0.17399999999999999</v>
      </c>
    </row>
    <row r="45" spans="1:35" ht="15" customHeight="1" x14ac:dyDescent="0.25">
      <c r="A45" t="s">
        <v>2406</v>
      </c>
      <c r="B45" t="s">
        <v>32</v>
      </c>
      <c r="C45" s="25">
        <v>43706.867372685185</v>
      </c>
      <c r="D45" s="741" t="s">
        <v>2238</v>
      </c>
      <c r="E45" s="741">
        <f t="array" ref="E45">SUMPRODUCT(IF(AMP6_4[[#This Row],[Dim 1_1]:[T 8]]-$F$4:$AI$4&lt;0,1,0)+IF($F$5:$AI$5-AMP6_4[[#This Row],[Dim 1_1]:[T 8]]&lt;0,1,0),IF(ISNUMBER(AMP6_4[[#This Row],[Dim 1_1]:[T 8]])=TRUE,1,0))</f>
        <v>0</v>
      </c>
      <c r="F45">
        <v>41.091999999999999</v>
      </c>
      <c r="G45">
        <v>41.213999999999999</v>
      </c>
      <c r="H45">
        <v>155.51599999999999</v>
      </c>
      <c r="I45">
        <v>155.173</v>
      </c>
      <c r="L45">
        <v>155.88999999999999</v>
      </c>
      <c r="M45">
        <v>155.48500000000001</v>
      </c>
      <c r="N45">
        <v>27.279</v>
      </c>
      <c r="O45">
        <v>27.561</v>
      </c>
      <c r="R45">
        <v>17.239999999999998</v>
      </c>
      <c r="S45">
        <v>17.215</v>
      </c>
      <c r="T45">
        <v>35.841000000000001</v>
      </c>
      <c r="U45">
        <v>36.393999999999998</v>
      </c>
      <c r="W45">
        <v>0.215</v>
      </c>
      <c r="X45">
        <v>0.10299999999999999</v>
      </c>
      <c r="Z45">
        <v>0.39400000000000002</v>
      </c>
      <c r="AA45">
        <v>0.28799999999999998</v>
      </c>
      <c r="AB45">
        <v>0.182</v>
      </c>
      <c r="AC45">
        <v>0.215</v>
      </c>
      <c r="AD45">
        <v>0.125</v>
      </c>
      <c r="AE45">
        <v>0.10299999999999999</v>
      </c>
      <c r="AF45">
        <v>0.39400000000000002</v>
      </c>
      <c r="AG45">
        <v>0.33800000000000002</v>
      </c>
      <c r="AH45">
        <v>0.28799999999999998</v>
      </c>
      <c r="AI45">
        <v>0.39100000000000001</v>
      </c>
    </row>
    <row r="46" spans="1:35" x14ac:dyDescent="0.25">
      <c r="A46" t="s">
        <v>2407</v>
      </c>
      <c r="B46" t="s">
        <v>31</v>
      </c>
      <c r="C46" s="25">
        <v>43706.869432870371</v>
      </c>
      <c r="D46" s="741" t="s">
        <v>2238</v>
      </c>
      <c r="E46" s="741">
        <f t="array" ref="E46">SUMPRODUCT(IF(AMP6_4[[#This Row],[Dim 1_1]:[T 8]]-$F$4:$AI$4&lt;0,1,0)+IF($F$5:$AI$5-AMP6_4[[#This Row],[Dim 1_1]:[T 8]]&lt;0,1,0),IF(ISNUMBER(AMP6_4[[#This Row],[Dim 1_1]:[T 8]])=TRUE,1,0))</f>
        <v>0</v>
      </c>
      <c r="H46">
        <v>155.89500000000001</v>
      </c>
      <c r="I46">
        <v>155.86500000000001</v>
      </c>
      <c r="J46">
        <v>168.81299999999999</v>
      </c>
      <c r="K46">
        <v>168.86199999999999</v>
      </c>
      <c r="L46">
        <v>156.048</v>
      </c>
      <c r="M46">
        <v>156.14500000000001</v>
      </c>
      <c r="N46">
        <v>27.143999999999998</v>
      </c>
      <c r="O46">
        <v>27.062999999999999</v>
      </c>
      <c r="R46">
        <v>17.170999999999999</v>
      </c>
      <c r="S46">
        <v>17.059000000000001</v>
      </c>
      <c r="T46">
        <v>37.151000000000003</v>
      </c>
      <c r="U46">
        <v>36.738999999999997</v>
      </c>
      <c r="W46">
        <v>0.01</v>
      </c>
      <c r="X46">
        <v>-0.32500000000000001</v>
      </c>
      <c r="Z46">
        <v>0.107</v>
      </c>
      <c r="AA46">
        <v>-0.10299999999999999</v>
      </c>
      <c r="AB46">
        <v>0.01</v>
      </c>
      <c r="AC46">
        <v>-4.2000000000000003E-2</v>
      </c>
      <c r="AD46">
        <v>-0.108</v>
      </c>
      <c r="AE46">
        <v>-0.32500000000000001</v>
      </c>
      <c r="AF46">
        <v>5.6000000000000001E-2</v>
      </c>
      <c r="AG46">
        <v>-4.0000000000000001E-3</v>
      </c>
      <c r="AH46">
        <v>0.107</v>
      </c>
      <c r="AI46">
        <v>-0.10299999999999999</v>
      </c>
    </row>
    <row r="47" spans="1:35" ht="15" customHeight="1" x14ac:dyDescent="0.25">
      <c r="A47" t="s">
        <v>2628</v>
      </c>
      <c r="B47" t="s">
        <v>32</v>
      </c>
      <c r="C47" s="25">
        <v>43711.360601851855</v>
      </c>
      <c r="D47" s="741" t="s">
        <v>2238</v>
      </c>
      <c r="E47" s="741">
        <f t="array" ref="E47">SUMPRODUCT(IF(AMP6_4[[#This Row],[Dim 1_1]:[T 8]]-$F$4:$AI$4&lt;0,1,0)+IF($F$5:$AI$5-AMP6_4[[#This Row],[Dim 1_1]:[T 8]]&lt;0,1,0),IF(ISNUMBER(AMP6_4[[#This Row],[Dim 1_1]:[T 8]])=TRUE,1,0))</f>
        <v>0</v>
      </c>
      <c r="F47">
        <v>41.002000000000002</v>
      </c>
      <c r="G47">
        <v>41.237000000000002</v>
      </c>
      <c r="H47">
        <v>155.56800000000001</v>
      </c>
      <c r="I47">
        <v>155.203</v>
      </c>
      <c r="L47">
        <v>155.946</v>
      </c>
      <c r="M47">
        <v>155.50700000000001</v>
      </c>
      <c r="N47">
        <v>27.218</v>
      </c>
      <c r="O47">
        <v>27.516999999999999</v>
      </c>
      <c r="R47">
        <v>17.236999999999998</v>
      </c>
      <c r="S47">
        <v>17.236999999999998</v>
      </c>
      <c r="T47">
        <v>35.881999999999998</v>
      </c>
      <c r="U47">
        <v>36.593000000000004</v>
      </c>
      <c r="W47">
        <v>0.184</v>
      </c>
      <c r="X47">
        <v>2.8000000000000001E-2</v>
      </c>
      <c r="Z47">
        <v>0.41099999999999998</v>
      </c>
      <c r="AA47">
        <v>0.29499999999999998</v>
      </c>
      <c r="AB47">
        <v>0.13500000000000001</v>
      </c>
      <c r="AC47">
        <v>0.184</v>
      </c>
      <c r="AD47">
        <v>0.13300000000000001</v>
      </c>
      <c r="AE47">
        <v>2.8000000000000001E-2</v>
      </c>
      <c r="AF47">
        <v>0.41099999999999998</v>
      </c>
      <c r="AG47">
        <v>0.36099999999999999</v>
      </c>
      <c r="AH47">
        <v>0.29499999999999998</v>
      </c>
      <c r="AI47">
        <v>0.38500000000000001</v>
      </c>
    </row>
    <row r="48" spans="1:35" x14ac:dyDescent="0.25">
      <c r="A48" t="s">
        <v>2629</v>
      </c>
      <c r="B48" t="s">
        <v>31</v>
      </c>
      <c r="C48" s="25">
        <v>43711.36278935185</v>
      </c>
      <c r="D48" s="741" t="s">
        <v>2238</v>
      </c>
      <c r="E48" s="741">
        <f t="array" ref="E48">SUMPRODUCT(IF(AMP6_4[[#This Row],[Dim 1_1]:[T 8]]-$F$4:$AI$4&lt;0,1,0)+IF($F$5:$AI$5-AMP6_4[[#This Row],[Dim 1_1]:[T 8]]&lt;0,1,0),IF(ISNUMBER(AMP6_4[[#This Row],[Dim 1_1]:[T 8]])=TRUE,1,0))</f>
        <v>0</v>
      </c>
      <c r="H48">
        <v>155.798</v>
      </c>
      <c r="I48">
        <v>155.73099999999999</v>
      </c>
      <c r="J48">
        <v>168.87299999999999</v>
      </c>
      <c r="K48">
        <v>168.958</v>
      </c>
      <c r="L48">
        <v>156.185</v>
      </c>
      <c r="M48">
        <v>156.24700000000001</v>
      </c>
      <c r="N48">
        <v>27.021000000000001</v>
      </c>
      <c r="O48">
        <v>26.963000000000001</v>
      </c>
      <c r="R48">
        <v>17.181999999999999</v>
      </c>
      <c r="S48">
        <v>17.045000000000002</v>
      </c>
      <c r="T48">
        <v>36.412999999999997</v>
      </c>
      <c r="U48">
        <v>35.801000000000002</v>
      </c>
      <c r="W48">
        <v>0.13500000000000001</v>
      </c>
      <c r="X48">
        <v>-4.7E-2</v>
      </c>
      <c r="Z48">
        <v>0.40300000000000002</v>
      </c>
      <c r="AA48">
        <v>0.28699999999999998</v>
      </c>
      <c r="AB48">
        <v>0.13500000000000001</v>
      </c>
      <c r="AC48">
        <v>5.2999999999999999E-2</v>
      </c>
      <c r="AD48">
        <v>0.13400000000000001</v>
      </c>
      <c r="AE48">
        <v>-4.7E-2</v>
      </c>
      <c r="AF48">
        <v>0.40300000000000002</v>
      </c>
      <c r="AG48">
        <v>0.35</v>
      </c>
      <c r="AH48">
        <v>0.33100000000000002</v>
      </c>
      <c r="AI48">
        <v>0.28699999999999998</v>
      </c>
    </row>
    <row r="49" spans="1:35" ht="15" customHeight="1" x14ac:dyDescent="0.25">
      <c r="A49" t="s">
        <v>2630</v>
      </c>
      <c r="B49" t="s">
        <v>32</v>
      </c>
      <c r="C49" s="25">
        <v>43711.452523148146</v>
      </c>
      <c r="D49" s="741" t="s">
        <v>2238</v>
      </c>
      <c r="E49" s="741">
        <f t="array" ref="E49">SUMPRODUCT(IF(AMP6_4[[#This Row],[Dim 1_1]:[T 8]]-$F$4:$AI$4&lt;0,1,0)+IF($F$5:$AI$5-AMP6_4[[#This Row],[Dim 1_1]:[T 8]]&lt;0,1,0),IF(ISNUMBER(AMP6_4[[#This Row],[Dim 1_1]:[T 8]])=TRUE,1,0))</f>
        <v>0</v>
      </c>
      <c r="F49">
        <v>41.042999999999999</v>
      </c>
      <c r="G49">
        <v>41.28</v>
      </c>
      <c r="H49">
        <v>155.56399999999999</v>
      </c>
      <c r="I49">
        <v>155.21100000000001</v>
      </c>
      <c r="L49">
        <v>155.934</v>
      </c>
      <c r="M49">
        <v>155.52000000000001</v>
      </c>
      <c r="N49">
        <v>27.23</v>
      </c>
      <c r="O49">
        <v>27.501000000000001</v>
      </c>
      <c r="R49">
        <v>17.241</v>
      </c>
      <c r="S49">
        <v>17.245000000000001</v>
      </c>
      <c r="T49">
        <v>35.783000000000001</v>
      </c>
      <c r="U49">
        <v>36.704999999999998</v>
      </c>
      <c r="W49">
        <v>0.17</v>
      </c>
      <c r="X49">
        <v>7.5999999999999998E-2</v>
      </c>
      <c r="Z49">
        <v>0.34399999999999997</v>
      </c>
      <c r="AA49">
        <v>0.252</v>
      </c>
      <c r="AB49">
        <v>0.122</v>
      </c>
      <c r="AC49">
        <v>0.17</v>
      </c>
      <c r="AD49">
        <v>7.5999999999999998E-2</v>
      </c>
      <c r="AE49">
        <v>8.5999999999999993E-2</v>
      </c>
      <c r="AF49">
        <v>0.34399999999999997</v>
      </c>
      <c r="AG49">
        <v>0.28699999999999998</v>
      </c>
      <c r="AH49">
        <v>0.252</v>
      </c>
      <c r="AI49">
        <v>0.317</v>
      </c>
    </row>
    <row r="50" spans="1:35" x14ac:dyDescent="0.25">
      <c r="A50" t="s">
        <v>2631</v>
      </c>
      <c r="B50" t="s">
        <v>31</v>
      </c>
      <c r="C50" s="25">
        <v>43711.454606481479</v>
      </c>
      <c r="D50" s="741" t="s">
        <v>2238</v>
      </c>
      <c r="E50" s="741">
        <f t="array" ref="E50">SUMPRODUCT(IF(AMP6_4[[#This Row],[Dim 1_1]:[T 8]]-$F$4:$AI$4&lt;0,1,0)+IF($F$5:$AI$5-AMP6_4[[#This Row],[Dim 1_1]:[T 8]]&lt;0,1,0),IF(ISNUMBER(AMP6_4[[#This Row],[Dim 1_1]:[T 8]])=TRUE,1,0))</f>
        <v>0</v>
      </c>
      <c r="H50">
        <v>155.78399999999999</v>
      </c>
      <c r="I50">
        <v>155.721</v>
      </c>
      <c r="J50">
        <v>168.92400000000001</v>
      </c>
      <c r="K50">
        <v>169.05799999999999</v>
      </c>
      <c r="L50">
        <v>156.179</v>
      </c>
      <c r="M50">
        <v>156.226</v>
      </c>
      <c r="N50">
        <v>27.021000000000001</v>
      </c>
      <c r="O50">
        <v>26.966000000000001</v>
      </c>
      <c r="R50">
        <v>17.173999999999999</v>
      </c>
      <c r="S50">
        <v>17.138000000000002</v>
      </c>
      <c r="T50">
        <v>36.786999999999999</v>
      </c>
      <c r="U50">
        <v>37.981000000000002</v>
      </c>
      <c r="W50">
        <v>7.9000000000000001E-2</v>
      </c>
      <c r="X50">
        <v>-0.186</v>
      </c>
      <c r="Z50">
        <v>0.314</v>
      </c>
      <c r="AA50">
        <v>0.10100000000000001</v>
      </c>
      <c r="AB50">
        <v>7.9000000000000001E-2</v>
      </c>
      <c r="AC50">
        <v>2.3E-2</v>
      </c>
      <c r="AD50">
        <v>-1.9E-2</v>
      </c>
      <c r="AE50">
        <v>-0.186</v>
      </c>
      <c r="AF50">
        <v>0.314</v>
      </c>
      <c r="AG50">
        <v>0.26700000000000002</v>
      </c>
      <c r="AH50">
        <v>0.10100000000000001</v>
      </c>
      <c r="AI50">
        <v>0.105</v>
      </c>
    </row>
    <row r="51" spans="1:35" ht="15" customHeight="1" x14ac:dyDescent="0.25">
      <c r="A51" t="s">
        <v>2760</v>
      </c>
      <c r="B51" t="s">
        <v>32</v>
      </c>
      <c r="C51" s="25">
        <v>43711.835625</v>
      </c>
      <c r="D51" s="741" t="s">
        <v>2238</v>
      </c>
      <c r="E51" s="741">
        <f t="array" ref="E51">SUMPRODUCT(IF(AMP6_4[[#This Row],[Dim 1_1]:[T 8]]-$F$4:$AI$4&lt;0,1,0)+IF($F$5:$AI$5-AMP6_4[[#This Row],[Dim 1_1]:[T 8]]&lt;0,1,0),IF(ISNUMBER(AMP6_4[[#This Row],[Dim 1_1]:[T 8]])=TRUE,1,0))</f>
        <v>1</v>
      </c>
      <c r="F51">
        <v>40.957999999999998</v>
      </c>
      <c r="G51">
        <v>40.353999999999999</v>
      </c>
      <c r="H51">
        <v>155.55099999999999</v>
      </c>
      <c r="I51">
        <v>155.22200000000001</v>
      </c>
      <c r="L51">
        <v>155.95400000000001</v>
      </c>
      <c r="M51">
        <v>155.506</v>
      </c>
      <c r="N51">
        <v>27.202999999999999</v>
      </c>
      <c r="O51">
        <v>27.5</v>
      </c>
      <c r="R51">
        <v>17.213999999999999</v>
      </c>
      <c r="S51">
        <v>17.297999999999998</v>
      </c>
      <c r="T51">
        <v>35.615000000000002</v>
      </c>
      <c r="U51">
        <v>36.335999999999999</v>
      </c>
      <c r="W51">
        <v>0.19600000000000001</v>
      </c>
      <c r="X51">
        <v>-6.0000000000000001E-3</v>
      </c>
      <c r="Z51">
        <v>0.33400000000000002</v>
      </c>
      <c r="AA51">
        <v>0.17</v>
      </c>
      <c r="AB51">
        <v>0.14799999999999999</v>
      </c>
      <c r="AC51">
        <v>0.19600000000000001</v>
      </c>
      <c r="AD51">
        <v>-6.0000000000000001E-3</v>
      </c>
      <c r="AE51">
        <v>4.1000000000000002E-2</v>
      </c>
      <c r="AF51">
        <v>0.33400000000000002</v>
      </c>
      <c r="AG51">
        <v>0.28199999999999997</v>
      </c>
      <c r="AH51">
        <v>0.17</v>
      </c>
      <c r="AI51">
        <v>0.20200000000000001</v>
      </c>
    </row>
    <row r="52" spans="1:35" x14ac:dyDescent="0.25">
      <c r="A52" t="s">
        <v>2761</v>
      </c>
      <c r="B52" t="s">
        <v>31</v>
      </c>
      <c r="C52" s="25">
        <v>43711.837939814817</v>
      </c>
      <c r="D52" s="741" t="s">
        <v>2238</v>
      </c>
      <c r="E52" s="741">
        <f t="array" ref="E52">SUMPRODUCT(IF(AMP6_4[[#This Row],[Dim 1_1]:[T 8]]-$F$4:$AI$4&lt;0,1,0)+IF($F$5:$AI$5-AMP6_4[[#This Row],[Dim 1_1]:[T 8]]&lt;0,1,0),IF(ISNUMBER(AMP6_4[[#This Row],[Dim 1_1]:[T 8]])=TRUE,1,0))</f>
        <v>0</v>
      </c>
      <c r="H52">
        <v>155.816</v>
      </c>
      <c r="I52">
        <v>155.76400000000001</v>
      </c>
      <c r="J52">
        <v>168.84399999999999</v>
      </c>
      <c r="K52">
        <v>168.958</v>
      </c>
      <c r="L52">
        <v>156.22</v>
      </c>
      <c r="M52">
        <v>156.273</v>
      </c>
      <c r="N52">
        <v>26.96</v>
      </c>
      <c r="O52">
        <v>26.931000000000001</v>
      </c>
      <c r="R52">
        <v>17.173999999999999</v>
      </c>
      <c r="S52">
        <v>17.111000000000001</v>
      </c>
      <c r="T52">
        <v>35.018000000000001</v>
      </c>
      <c r="U52">
        <v>37.445</v>
      </c>
      <c r="W52">
        <v>0.01</v>
      </c>
      <c r="X52">
        <v>-0.186</v>
      </c>
      <c r="Z52">
        <v>0.215</v>
      </c>
      <c r="AA52">
        <v>6.6000000000000003E-2</v>
      </c>
      <c r="AB52">
        <v>0.01</v>
      </c>
      <c r="AC52">
        <v>-0.05</v>
      </c>
      <c r="AD52">
        <v>-1.2999999999999999E-2</v>
      </c>
      <c r="AE52">
        <v>-0.186</v>
      </c>
      <c r="AF52">
        <v>0.215</v>
      </c>
      <c r="AG52">
        <v>0.16400000000000001</v>
      </c>
      <c r="AH52">
        <v>0.08</v>
      </c>
      <c r="AI52">
        <v>6.6000000000000003E-2</v>
      </c>
    </row>
    <row r="53" spans="1:35" ht="15" customHeight="1" x14ac:dyDescent="0.25">
      <c r="A53" t="s">
        <v>2762</v>
      </c>
      <c r="B53" t="s">
        <v>32</v>
      </c>
      <c r="C53" s="25">
        <v>43711.951354166667</v>
      </c>
      <c r="D53" s="741" t="s">
        <v>2238</v>
      </c>
      <c r="E53" s="741">
        <f t="array" ref="E53">SUMPRODUCT(IF(AMP6_4[[#This Row],[Dim 1_1]:[T 8]]-$F$4:$AI$4&lt;0,1,0)+IF($F$5:$AI$5-AMP6_4[[#This Row],[Dim 1_1]:[T 8]]&lt;0,1,0),IF(ISNUMBER(AMP6_4[[#This Row],[Dim 1_1]:[T 8]])=TRUE,1,0))</f>
        <v>0</v>
      </c>
      <c r="F53">
        <v>41.106999999999999</v>
      </c>
      <c r="G53">
        <v>41.331000000000003</v>
      </c>
      <c r="H53">
        <v>155.59200000000001</v>
      </c>
      <c r="I53">
        <v>155.148</v>
      </c>
      <c r="L53">
        <v>155.97300000000001</v>
      </c>
      <c r="M53">
        <v>155.506</v>
      </c>
      <c r="N53">
        <v>27.196999999999999</v>
      </c>
      <c r="O53">
        <v>27.492999999999999</v>
      </c>
      <c r="R53">
        <v>17.231000000000002</v>
      </c>
      <c r="S53">
        <v>17.364999999999998</v>
      </c>
      <c r="T53">
        <v>35.604999999999997</v>
      </c>
      <c r="U53">
        <v>36.28</v>
      </c>
      <c r="W53">
        <v>0.128</v>
      </c>
      <c r="X53">
        <v>-3.9E-2</v>
      </c>
      <c r="Z53">
        <v>0.29599999999999999</v>
      </c>
      <c r="AA53">
        <v>0.109</v>
      </c>
      <c r="AB53">
        <v>0.08</v>
      </c>
      <c r="AC53">
        <v>0.128</v>
      </c>
      <c r="AD53">
        <v>-8.9999999999999993E-3</v>
      </c>
      <c r="AE53">
        <v>-3.9E-2</v>
      </c>
      <c r="AF53">
        <v>0.29599999999999999</v>
      </c>
      <c r="AG53">
        <v>0.25700000000000001</v>
      </c>
      <c r="AH53">
        <v>0.109</v>
      </c>
      <c r="AI53">
        <v>0.14599999999999999</v>
      </c>
    </row>
    <row r="54" spans="1:35" x14ac:dyDescent="0.25">
      <c r="A54" t="s">
        <v>2763</v>
      </c>
      <c r="B54" t="s">
        <v>31</v>
      </c>
      <c r="C54" s="25">
        <v>43711.953402777777</v>
      </c>
      <c r="D54" s="741" t="s">
        <v>2238</v>
      </c>
      <c r="E54" s="741">
        <f t="array" ref="E54">SUMPRODUCT(IF(AMP6_4[[#This Row],[Dim 1_1]:[T 8]]-$F$4:$AI$4&lt;0,1,0)+IF($F$5:$AI$5-AMP6_4[[#This Row],[Dim 1_1]:[T 8]]&lt;0,1,0),IF(ISNUMBER(AMP6_4[[#This Row],[Dim 1_1]:[T 8]])=TRUE,1,0))</f>
        <v>0</v>
      </c>
      <c r="H54">
        <v>155.81399999999999</v>
      </c>
      <c r="I54">
        <v>155.76</v>
      </c>
      <c r="J54">
        <v>168.995</v>
      </c>
      <c r="K54">
        <v>169.15199999999999</v>
      </c>
      <c r="L54">
        <v>156.214</v>
      </c>
      <c r="M54">
        <v>156.30500000000001</v>
      </c>
      <c r="N54">
        <v>26.968</v>
      </c>
      <c r="O54">
        <v>26.908000000000001</v>
      </c>
      <c r="R54">
        <v>17.202999999999999</v>
      </c>
      <c r="S54">
        <v>16.972000000000001</v>
      </c>
      <c r="T54">
        <v>36.670999999999999</v>
      </c>
      <c r="U54">
        <v>36.96</v>
      </c>
      <c r="W54">
        <v>9.2999999999999999E-2</v>
      </c>
      <c r="X54">
        <v>-6.4000000000000001E-2</v>
      </c>
      <c r="Z54">
        <v>0.28299999999999997</v>
      </c>
      <c r="AA54">
        <v>0.247</v>
      </c>
      <c r="AB54">
        <v>8.9999999999999993E-3</v>
      </c>
      <c r="AC54">
        <v>-5.6000000000000001E-2</v>
      </c>
      <c r="AD54">
        <v>9.2999999999999999E-2</v>
      </c>
      <c r="AE54">
        <v>-6.4000000000000001E-2</v>
      </c>
      <c r="AF54">
        <v>0.28299999999999997</v>
      </c>
      <c r="AG54">
        <v>0.252</v>
      </c>
      <c r="AH54">
        <v>0.25700000000000001</v>
      </c>
      <c r="AI54">
        <v>0.247</v>
      </c>
    </row>
    <row r="55" spans="1:35" ht="15" customHeight="1" x14ac:dyDescent="0.25">
      <c r="A55" t="s">
        <v>2764</v>
      </c>
      <c r="B55" t="s">
        <v>32</v>
      </c>
      <c r="C55" s="25">
        <v>43711.993622685186</v>
      </c>
      <c r="D55" s="741" t="s">
        <v>2238</v>
      </c>
      <c r="E55" s="741">
        <f t="array" ref="E55">SUMPRODUCT(IF(AMP6_4[[#This Row],[Dim 1_1]:[T 8]]-$F$4:$AI$4&lt;0,1,0)+IF($F$5:$AI$5-AMP6_4[[#This Row],[Dim 1_1]:[T 8]]&lt;0,1,0),IF(ISNUMBER(AMP6_4[[#This Row],[Dim 1_1]:[T 8]])=TRUE,1,0))</f>
        <v>0</v>
      </c>
      <c r="F55">
        <v>40.905000000000001</v>
      </c>
      <c r="G55">
        <v>41.238999999999997</v>
      </c>
      <c r="H55">
        <v>155.62799999999999</v>
      </c>
      <c r="I55">
        <v>155.208</v>
      </c>
      <c r="L55">
        <v>156.06299999999999</v>
      </c>
      <c r="M55">
        <v>155.64599999999999</v>
      </c>
      <c r="N55">
        <v>27.184000000000001</v>
      </c>
      <c r="O55">
        <v>27.512</v>
      </c>
      <c r="R55">
        <v>17.218</v>
      </c>
      <c r="S55">
        <v>17.292999999999999</v>
      </c>
      <c r="T55">
        <v>35.479999999999997</v>
      </c>
      <c r="U55">
        <v>36.256</v>
      </c>
      <c r="W55">
        <v>0.158</v>
      </c>
      <c r="X55">
        <v>-0.154</v>
      </c>
      <c r="Z55">
        <v>0.26</v>
      </c>
      <c r="AA55">
        <v>5.0000000000000001E-3</v>
      </c>
      <c r="AB55">
        <v>0.122</v>
      </c>
      <c r="AC55">
        <v>0.158</v>
      </c>
      <c r="AD55">
        <v>-9.4E-2</v>
      </c>
      <c r="AE55">
        <v>-0.154</v>
      </c>
      <c r="AF55">
        <v>0.26</v>
      </c>
      <c r="AG55">
        <v>0.20599999999999999</v>
      </c>
      <c r="AH55">
        <v>5.0000000000000001E-3</v>
      </c>
      <c r="AI55">
        <v>1.2E-2</v>
      </c>
    </row>
    <row r="56" spans="1:35" x14ac:dyDescent="0.25">
      <c r="A56" t="s">
        <v>2765</v>
      </c>
      <c r="B56" t="s">
        <v>31</v>
      </c>
      <c r="C56" s="25">
        <v>43711.995729166665</v>
      </c>
      <c r="D56" s="741" t="s">
        <v>2238</v>
      </c>
      <c r="E56" s="741">
        <f t="array" ref="E56">SUMPRODUCT(IF(AMP6_4[[#This Row],[Dim 1_1]:[T 8]]-$F$4:$AI$4&lt;0,1,0)+IF($F$5:$AI$5-AMP6_4[[#This Row],[Dim 1_1]:[T 8]]&lt;0,1,0),IF(ISNUMBER(AMP6_4[[#This Row],[Dim 1_1]:[T 8]])=TRUE,1,0))</f>
        <v>0</v>
      </c>
      <c r="H56">
        <v>155.929</v>
      </c>
      <c r="I56">
        <v>155.81399999999999</v>
      </c>
      <c r="J56">
        <v>168.821</v>
      </c>
      <c r="K56">
        <v>168.95</v>
      </c>
      <c r="L56">
        <v>156.29400000000001</v>
      </c>
      <c r="M56">
        <v>156.37100000000001</v>
      </c>
      <c r="N56">
        <v>26.814</v>
      </c>
      <c r="O56">
        <v>26.834</v>
      </c>
      <c r="R56">
        <v>17.202999999999999</v>
      </c>
      <c r="S56">
        <v>16.559999999999999</v>
      </c>
      <c r="T56">
        <v>33.546999999999997</v>
      </c>
      <c r="U56">
        <v>37.445999999999998</v>
      </c>
      <c r="W56">
        <v>0.47699999999999998</v>
      </c>
      <c r="X56">
        <v>-0.15</v>
      </c>
      <c r="Z56">
        <v>0.65300000000000002</v>
      </c>
      <c r="AA56">
        <v>0.159</v>
      </c>
      <c r="AB56">
        <v>-0.08</v>
      </c>
      <c r="AC56">
        <v>-0.15</v>
      </c>
      <c r="AD56">
        <v>0.47699999999999998</v>
      </c>
      <c r="AE56">
        <v>0.32500000000000001</v>
      </c>
      <c r="AF56">
        <v>0.19800000000000001</v>
      </c>
      <c r="AG56">
        <v>0.159</v>
      </c>
      <c r="AH56">
        <v>0.65300000000000002</v>
      </c>
      <c r="AI56">
        <v>0.63300000000000001</v>
      </c>
    </row>
    <row r="57" spans="1:35" ht="15" customHeight="1" x14ac:dyDescent="0.25">
      <c r="A57" t="s">
        <v>2766</v>
      </c>
      <c r="B57" t="s">
        <v>32</v>
      </c>
      <c r="C57" s="25">
        <v>43712.066967592589</v>
      </c>
      <c r="D57" s="741" t="s">
        <v>2238</v>
      </c>
      <c r="E57" s="741">
        <f t="array" ref="E57">SUMPRODUCT(IF(AMP6_4[[#This Row],[Dim 1_1]:[T 8]]-$F$4:$AI$4&lt;0,1,0)+IF($F$5:$AI$5-AMP6_4[[#This Row],[Dim 1_1]:[T 8]]&lt;0,1,0),IF(ISNUMBER(AMP6_4[[#This Row],[Dim 1_1]:[T 8]])=TRUE,1,0))</f>
        <v>1</v>
      </c>
      <c r="F57">
        <v>41.128999999999998</v>
      </c>
      <c r="G57">
        <v>41.331000000000003</v>
      </c>
      <c r="H57">
        <v>155.434</v>
      </c>
      <c r="I57">
        <v>155.041</v>
      </c>
      <c r="L57">
        <v>155.81100000000001</v>
      </c>
      <c r="M57">
        <v>155.32499999999999</v>
      </c>
      <c r="N57">
        <v>27.356999999999999</v>
      </c>
      <c r="O57">
        <v>27.681000000000001</v>
      </c>
      <c r="R57">
        <v>17.236999999999998</v>
      </c>
      <c r="S57">
        <v>17.315000000000001</v>
      </c>
      <c r="T57">
        <v>35.787999999999997</v>
      </c>
      <c r="U57">
        <v>36.334000000000003</v>
      </c>
      <c r="W57">
        <v>0.315</v>
      </c>
      <c r="X57">
        <v>0.23599999999999999</v>
      </c>
      <c r="Z57">
        <v>0.47599999999999998</v>
      </c>
      <c r="AA57">
        <v>0.33500000000000002</v>
      </c>
      <c r="AB57">
        <v>0.315</v>
      </c>
      <c r="AC57">
        <v>0.30299999999999999</v>
      </c>
      <c r="AD57">
        <v>0.23599999999999999</v>
      </c>
      <c r="AE57">
        <v>0.29299999999999998</v>
      </c>
      <c r="AF57">
        <v>0.47599999999999998</v>
      </c>
      <c r="AG57">
        <v>0.437</v>
      </c>
      <c r="AH57">
        <v>0.33500000000000002</v>
      </c>
      <c r="AI57">
        <v>0.41099999999999998</v>
      </c>
    </row>
    <row r="58" spans="1:35" x14ac:dyDescent="0.25">
      <c r="A58" t="s">
        <v>2767</v>
      </c>
      <c r="B58" t="s">
        <v>31</v>
      </c>
      <c r="C58" s="25">
        <v>43712.069108796299</v>
      </c>
      <c r="D58" s="741" t="s">
        <v>2238</v>
      </c>
      <c r="E58" s="741">
        <f t="array" ref="E58">SUMPRODUCT(IF(AMP6_4[[#This Row],[Dim 1_1]:[T 8]]-$F$4:$AI$4&lt;0,1,0)+IF($F$5:$AI$5-AMP6_4[[#This Row],[Dim 1_1]:[T 8]]&lt;0,1,0),IF(ISNUMBER(AMP6_4[[#This Row],[Dim 1_1]:[T 8]])=TRUE,1,0))</f>
        <v>0</v>
      </c>
      <c r="H58">
        <v>155.68100000000001</v>
      </c>
      <c r="I58">
        <v>155.59299999999999</v>
      </c>
      <c r="J58">
        <v>168.80500000000001</v>
      </c>
      <c r="K58">
        <v>168.93600000000001</v>
      </c>
      <c r="L58">
        <v>156.017</v>
      </c>
      <c r="M58">
        <v>156.06</v>
      </c>
      <c r="N58">
        <v>27.164999999999999</v>
      </c>
      <c r="O58">
        <v>27.088999999999999</v>
      </c>
      <c r="R58">
        <v>17.183</v>
      </c>
      <c r="S58">
        <v>17.087</v>
      </c>
      <c r="T58">
        <v>32.462000000000003</v>
      </c>
      <c r="U58">
        <v>33.631999999999998</v>
      </c>
      <c r="W58">
        <v>0.14299999999999999</v>
      </c>
      <c r="X58">
        <v>-0.21199999999999999</v>
      </c>
      <c r="Z58">
        <v>0.38900000000000001</v>
      </c>
      <c r="AA58">
        <v>8.3000000000000004E-2</v>
      </c>
      <c r="AB58">
        <v>0.14299999999999999</v>
      </c>
      <c r="AC58">
        <v>6.5000000000000002E-2</v>
      </c>
      <c r="AD58">
        <v>-9.0999999999999998E-2</v>
      </c>
      <c r="AE58">
        <v>-0.21199999999999999</v>
      </c>
      <c r="AF58">
        <v>0.38900000000000001</v>
      </c>
      <c r="AG58">
        <v>0.36</v>
      </c>
      <c r="AH58">
        <v>8.3000000000000004E-2</v>
      </c>
      <c r="AI58">
        <v>0.16200000000000001</v>
      </c>
    </row>
    <row r="59" spans="1:35" ht="15" customHeight="1" x14ac:dyDescent="0.25">
      <c r="A59" t="s">
        <v>2768</v>
      </c>
      <c r="B59" t="s">
        <v>32</v>
      </c>
      <c r="C59" s="25">
        <v>43712.313657407409</v>
      </c>
      <c r="D59" s="741" t="s">
        <v>2238</v>
      </c>
      <c r="E59" s="741">
        <f t="array" ref="E59">SUMPRODUCT(IF(AMP6_4[[#This Row],[Dim 1_1]:[T 8]]-$F$4:$AI$4&lt;0,1,0)+IF($F$5:$AI$5-AMP6_4[[#This Row],[Dim 1_1]:[T 8]]&lt;0,1,0),IF(ISNUMBER(AMP6_4[[#This Row],[Dim 1_1]:[T 8]])=TRUE,1,0))</f>
        <v>1</v>
      </c>
      <c r="F59">
        <v>41.121000000000002</v>
      </c>
      <c r="G59">
        <v>41.335000000000001</v>
      </c>
      <c r="H59">
        <v>155.44800000000001</v>
      </c>
      <c r="I59">
        <v>155.089</v>
      </c>
      <c r="L59">
        <v>155.81700000000001</v>
      </c>
      <c r="M59">
        <v>155.375</v>
      </c>
      <c r="N59">
        <v>27.363</v>
      </c>
      <c r="O59">
        <v>27.643999999999998</v>
      </c>
      <c r="R59">
        <v>17.245999999999999</v>
      </c>
      <c r="S59">
        <v>17.363</v>
      </c>
      <c r="T59">
        <v>35.313000000000002</v>
      </c>
      <c r="U59">
        <v>37.090000000000003</v>
      </c>
      <c r="W59">
        <v>0.34200000000000003</v>
      </c>
      <c r="X59">
        <v>0.14699999999999999</v>
      </c>
      <c r="Z59">
        <v>0.47299999999999998</v>
      </c>
      <c r="AA59">
        <v>0.30399999999999999</v>
      </c>
      <c r="AB59">
        <v>0.30599999999999999</v>
      </c>
      <c r="AC59">
        <v>0.34200000000000003</v>
      </c>
      <c r="AD59">
        <v>0.14699999999999999</v>
      </c>
      <c r="AE59">
        <v>0.253</v>
      </c>
      <c r="AF59">
        <v>0.47299999999999998</v>
      </c>
      <c r="AG59">
        <v>0.441</v>
      </c>
      <c r="AH59">
        <v>0.30399999999999999</v>
      </c>
      <c r="AI59">
        <v>0.40799999999999997</v>
      </c>
    </row>
    <row r="60" spans="1:35" x14ac:dyDescent="0.25">
      <c r="A60" t="s">
        <v>2769</v>
      </c>
      <c r="B60" t="s">
        <v>31</v>
      </c>
      <c r="C60" s="25">
        <v>43712.318611111114</v>
      </c>
      <c r="D60" s="741" t="s">
        <v>2238</v>
      </c>
      <c r="E60" s="741">
        <f t="array" ref="E60">SUMPRODUCT(IF(AMP6_4[[#This Row],[Dim 1_1]:[T 8]]-$F$4:$AI$4&lt;0,1,0)+IF($F$5:$AI$5-AMP6_4[[#This Row],[Dim 1_1]:[T 8]]&lt;0,1,0),IF(ISNUMBER(AMP6_4[[#This Row],[Dim 1_1]:[T 8]])=TRUE,1,0))</f>
        <v>0</v>
      </c>
      <c r="H60">
        <v>155.68899999999999</v>
      </c>
      <c r="I60">
        <v>155.61099999999999</v>
      </c>
      <c r="J60">
        <v>168.81399999999999</v>
      </c>
      <c r="K60">
        <v>168.94499999999999</v>
      </c>
      <c r="L60">
        <v>156.077</v>
      </c>
      <c r="M60">
        <v>156.107</v>
      </c>
      <c r="N60">
        <v>27.1</v>
      </c>
      <c r="O60">
        <v>27.062999999999999</v>
      </c>
      <c r="R60">
        <v>17.187999999999999</v>
      </c>
      <c r="S60">
        <v>17.052</v>
      </c>
      <c r="T60">
        <v>42.817</v>
      </c>
      <c r="U60">
        <v>40.345999999999997</v>
      </c>
      <c r="W60">
        <v>0.214</v>
      </c>
      <c r="X60">
        <v>-8.6999999999999994E-2</v>
      </c>
      <c r="Z60">
        <v>0.495</v>
      </c>
      <c r="AA60">
        <v>0.25600000000000001</v>
      </c>
      <c r="AB60">
        <v>0.214</v>
      </c>
      <c r="AC60">
        <v>0.13300000000000001</v>
      </c>
      <c r="AD60">
        <v>7.9000000000000001E-2</v>
      </c>
      <c r="AE60">
        <v>-8.6999999999999994E-2</v>
      </c>
      <c r="AF60">
        <v>0.495</v>
      </c>
      <c r="AG60">
        <v>0.45100000000000001</v>
      </c>
      <c r="AH60">
        <v>0.25600000000000001</v>
      </c>
      <c r="AI60">
        <v>0.317</v>
      </c>
    </row>
    <row r="61" spans="1:35" ht="15" customHeight="1" x14ac:dyDescent="0.25">
      <c r="D61" s="740"/>
      <c r="E61" s="740"/>
    </row>
    <row r="63" spans="1:35" ht="15" customHeight="1" x14ac:dyDescent="0.25"/>
    <row r="65" ht="15" customHeight="1" x14ac:dyDescent="0.25"/>
    <row r="67" ht="15" customHeight="1" x14ac:dyDescent="0.25"/>
    <row r="69" ht="15" customHeight="1" x14ac:dyDescent="0.25"/>
    <row r="71" ht="15" customHeight="1" x14ac:dyDescent="0.25"/>
    <row r="73" ht="15" customHeight="1" x14ac:dyDescent="0.25"/>
    <row r="75" ht="15" customHeight="1" x14ac:dyDescent="0.25"/>
    <row r="77" ht="15" customHeight="1" x14ac:dyDescent="0.25"/>
    <row r="79" ht="15" customHeight="1" x14ac:dyDescent="0.25"/>
    <row r="81" ht="15" customHeight="1" x14ac:dyDescent="0.25"/>
    <row r="83" ht="15" customHeight="1" x14ac:dyDescent="0.25"/>
    <row r="85" ht="15" customHeight="1" x14ac:dyDescent="0.25"/>
    <row r="87" ht="15" customHeight="1" x14ac:dyDescent="0.25"/>
    <row r="89" ht="15" customHeight="1" x14ac:dyDescent="0.25"/>
    <row r="91" ht="15" customHeight="1" x14ac:dyDescent="0.25"/>
    <row r="93" ht="15" customHeight="1" x14ac:dyDescent="0.25"/>
    <row r="95" ht="15" customHeight="1" x14ac:dyDescent="0.25"/>
    <row r="97" ht="15" customHeight="1" x14ac:dyDescent="0.25"/>
    <row r="99" ht="15" customHeight="1" x14ac:dyDescent="0.25"/>
    <row r="101" ht="15" customHeight="1" x14ac:dyDescent="0.25"/>
    <row r="103" ht="15" customHeight="1" x14ac:dyDescent="0.25"/>
    <row r="105" ht="15" customHeight="1" x14ac:dyDescent="0.25"/>
    <row r="107" ht="15" customHeight="1" x14ac:dyDescent="0.25"/>
    <row r="109" ht="15" customHeight="1" x14ac:dyDescent="0.25"/>
    <row r="111" ht="15" customHeight="1" x14ac:dyDescent="0.25"/>
    <row r="113" ht="15" customHeight="1" x14ac:dyDescent="0.25"/>
    <row r="115" ht="15" customHeight="1" x14ac:dyDescent="0.25"/>
    <row r="117" ht="15" customHeight="1" x14ac:dyDescent="0.25"/>
    <row r="119" ht="15" customHeight="1" x14ac:dyDescent="0.25"/>
    <row r="121" ht="15" customHeight="1" x14ac:dyDescent="0.25"/>
    <row r="123" ht="15" customHeight="1" x14ac:dyDescent="0.25"/>
    <row r="125" ht="15" customHeight="1" x14ac:dyDescent="0.25"/>
    <row r="128" ht="15" customHeight="1" x14ac:dyDescent="0.25"/>
    <row r="129" ht="15" customHeight="1" x14ac:dyDescent="0.25"/>
    <row r="131" ht="15" customHeight="1" x14ac:dyDescent="0.25"/>
    <row r="133" ht="15" customHeight="1" x14ac:dyDescent="0.25"/>
    <row r="135" ht="15" customHeight="1" x14ac:dyDescent="0.25"/>
    <row r="137" ht="15" customHeight="1" x14ac:dyDescent="0.25"/>
    <row r="139" ht="15" customHeight="1" x14ac:dyDescent="0.25"/>
    <row r="141" ht="15" customHeight="1" x14ac:dyDescent="0.25"/>
    <row r="143" ht="15" customHeight="1" x14ac:dyDescent="0.25"/>
    <row r="145" ht="15" customHeight="1" x14ac:dyDescent="0.25"/>
    <row r="147" ht="15" customHeight="1" x14ac:dyDescent="0.25"/>
    <row r="149" ht="15" customHeight="1" x14ac:dyDescent="0.25"/>
    <row r="151" ht="15" customHeight="1" x14ac:dyDescent="0.25"/>
    <row r="153" ht="15" customHeight="1" x14ac:dyDescent="0.25"/>
    <row r="155" ht="15" customHeight="1" x14ac:dyDescent="0.25"/>
    <row r="157" ht="15" customHeight="1" x14ac:dyDescent="0.25"/>
    <row r="159" ht="15" customHeight="1" x14ac:dyDescent="0.25"/>
    <row r="161" ht="15" customHeight="1" x14ac:dyDescent="0.25"/>
    <row r="163" ht="15" customHeight="1" x14ac:dyDescent="0.25"/>
    <row r="165" ht="15" customHeight="1" x14ac:dyDescent="0.25"/>
    <row r="167" ht="15" customHeight="1" x14ac:dyDescent="0.25"/>
    <row r="169" ht="15" customHeight="1" x14ac:dyDescent="0.25"/>
    <row r="171" ht="15" customHeight="1" x14ac:dyDescent="0.25"/>
    <row r="173" ht="15" customHeight="1" x14ac:dyDescent="0.25"/>
    <row r="175" ht="15" customHeight="1" x14ac:dyDescent="0.25"/>
    <row r="177" ht="15" customHeight="1" x14ac:dyDescent="0.25"/>
    <row r="179" ht="15" customHeight="1" x14ac:dyDescent="0.25"/>
    <row r="181" ht="15" customHeight="1" x14ac:dyDescent="0.25"/>
    <row r="183" ht="15" customHeight="1" x14ac:dyDescent="0.25"/>
    <row r="185" ht="15" customHeight="1" x14ac:dyDescent="0.25"/>
    <row r="187" ht="15" customHeight="1" x14ac:dyDescent="0.25"/>
    <row r="189" ht="15" customHeight="1" x14ac:dyDescent="0.25"/>
    <row r="191" ht="15" customHeight="1" x14ac:dyDescent="0.25"/>
    <row r="193" ht="15" customHeight="1" x14ac:dyDescent="0.25"/>
    <row r="195" ht="15" customHeight="1" x14ac:dyDescent="0.25"/>
    <row r="197" ht="15" customHeight="1" x14ac:dyDescent="0.25"/>
    <row r="199" ht="15" customHeight="1" x14ac:dyDescent="0.25"/>
    <row r="201" ht="15" customHeight="1" x14ac:dyDescent="0.25"/>
    <row r="203" ht="15" customHeight="1" x14ac:dyDescent="0.25"/>
    <row r="205" ht="15" customHeight="1" x14ac:dyDescent="0.25"/>
    <row r="207" ht="15" customHeight="1" x14ac:dyDescent="0.25"/>
    <row r="209" ht="15" customHeight="1" x14ac:dyDescent="0.25"/>
    <row r="211" ht="15" customHeight="1" x14ac:dyDescent="0.25"/>
    <row r="213" ht="15" customHeight="1" x14ac:dyDescent="0.25"/>
    <row r="215" ht="15" customHeight="1" x14ac:dyDescent="0.25"/>
    <row r="217" ht="15" customHeight="1" x14ac:dyDescent="0.25"/>
    <row r="219" ht="15" customHeight="1" x14ac:dyDescent="0.25"/>
    <row r="221" ht="15" customHeight="1" x14ac:dyDescent="0.25"/>
    <row r="223" ht="15" customHeight="1" x14ac:dyDescent="0.25"/>
    <row r="225" ht="15" customHeight="1" x14ac:dyDescent="0.25"/>
    <row r="227" ht="15" customHeight="1" x14ac:dyDescent="0.25"/>
    <row r="229" ht="15" customHeight="1" x14ac:dyDescent="0.25"/>
    <row r="231" ht="15" customHeight="1" x14ac:dyDescent="0.25"/>
    <row r="233" ht="15" customHeight="1" x14ac:dyDescent="0.25"/>
    <row r="235" ht="15" customHeight="1" x14ac:dyDescent="0.25"/>
    <row r="237" ht="15" customHeight="1" x14ac:dyDescent="0.25"/>
    <row r="239" ht="15" customHeight="1" x14ac:dyDescent="0.25"/>
    <row r="241" ht="15" customHeight="1" x14ac:dyDescent="0.25"/>
    <row r="243" ht="15" customHeight="1" x14ac:dyDescent="0.25"/>
    <row r="245" ht="15" customHeight="1" x14ac:dyDescent="0.25"/>
    <row r="247" ht="15" customHeight="1" x14ac:dyDescent="0.25"/>
    <row r="249" ht="15" customHeight="1" x14ac:dyDescent="0.25"/>
    <row r="251" ht="15" customHeight="1" x14ac:dyDescent="0.25"/>
    <row r="253" ht="15" customHeight="1" x14ac:dyDescent="0.25"/>
    <row r="255" ht="15" customHeight="1" x14ac:dyDescent="0.25"/>
    <row r="257" ht="15" customHeight="1" x14ac:dyDescent="0.25"/>
    <row r="259" ht="15" customHeight="1" x14ac:dyDescent="0.25"/>
    <row r="261" ht="15" customHeight="1" x14ac:dyDescent="0.25"/>
    <row r="263" ht="15" customHeight="1" x14ac:dyDescent="0.25"/>
    <row r="265" ht="15" customHeight="1" x14ac:dyDescent="0.25"/>
    <row r="267" ht="15" customHeight="1" x14ac:dyDescent="0.25"/>
    <row r="269" ht="15" customHeight="1" x14ac:dyDescent="0.25"/>
    <row r="271" ht="15" customHeight="1" x14ac:dyDescent="0.25"/>
    <row r="273" ht="15" customHeight="1" x14ac:dyDescent="0.25"/>
    <row r="275" ht="15" customHeight="1" x14ac:dyDescent="0.25"/>
    <row r="277" ht="15" customHeight="1" x14ac:dyDescent="0.25"/>
    <row r="279" ht="15" customHeight="1" x14ac:dyDescent="0.25"/>
    <row r="281" ht="15" customHeight="1" x14ac:dyDescent="0.25"/>
    <row r="283" ht="15" customHeight="1" x14ac:dyDescent="0.25"/>
    <row r="285" ht="15" customHeight="1" x14ac:dyDescent="0.25"/>
    <row r="287" ht="15" customHeight="1" x14ac:dyDescent="0.25"/>
    <row r="289" ht="15" customHeight="1" x14ac:dyDescent="0.25"/>
    <row r="291" ht="15" customHeight="1" x14ac:dyDescent="0.25"/>
    <row r="293" ht="15" customHeight="1" x14ac:dyDescent="0.25"/>
    <row r="295" ht="15" customHeight="1" x14ac:dyDescent="0.25"/>
    <row r="297" ht="15" customHeight="1" x14ac:dyDescent="0.25"/>
    <row r="299" ht="15" customHeight="1" x14ac:dyDescent="0.25"/>
    <row r="301" ht="15" customHeight="1" x14ac:dyDescent="0.25"/>
    <row r="303" ht="15" customHeight="1" x14ac:dyDescent="0.25"/>
    <row r="305" ht="15" customHeight="1" x14ac:dyDescent="0.25"/>
    <row r="307" ht="15" customHeight="1" x14ac:dyDescent="0.25"/>
    <row r="309" ht="15" customHeight="1" x14ac:dyDescent="0.25"/>
    <row r="311" ht="15" customHeight="1" x14ac:dyDescent="0.25"/>
    <row r="313" ht="15" customHeight="1" x14ac:dyDescent="0.25"/>
    <row r="315" ht="15" customHeight="1" x14ac:dyDescent="0.25"/>
    <row r="317" ht="15" customHeight="1" x14ac:dyDescent="0.25"/>
    <row r="319" ht="15" customHeight="1" x14ac:dyDescent="0.25"/>
    <row r="321" ht="15" customHeight="1" x14ac:dyDescent="0.25"/>
    <row r="323" ht="15" customHeight="1" x14ac:dyDescent="0.25"/>
    <row r="325" ht="15" customHeight="1" x14ac:dyDescent="0.25"/>
    <row r="327" ht="15" customHeight="1" x14ac:dyDescent="0.25"/>
    <row r="329" ht="15" customHeight="1" x14ac:dyDescent="0.25"/>
    <row r="331" ht="15" customHeight="1" x14ac:dyDescent="0.25"/>
    <row r="333" ht="15" customHeight="1" x14ac:dyDescent="0.25"/>
    <row r="335" ht="15" customHeight="1" x14ac:dyDescent="0.25"/>
    <row r="337" ht="15" customHeight="1" x14ac:dyDescent="0.25"/>
    <row r="339" ht="15" customHeight="1" x14ac:dyDescent="0.25"/>
    <row r="341" ht="15" customHeight="1" x14ac:dyDescent="0.25"/>
    <row r="343" ht="15" customHeight="1" x14ac:dyDescent="0.25"/>
    <row r="345" ht="15" customHeight="1" x14ac:dyDescent="0.25"/>
    <row r="347" ht="15" customHeight="1" x14ac:dyDescent="0.25"/>
    <row r="349" ht="15" customHeight="1" x14ac:dyDescent="0.25"/>
    <row r="351" ht="15" customHeight="1" x14ac:dyDescent="0.25"/>
    <row r="353" ht="15" customHeight="1" x14ac:dyDescent="0.25"/>
    <row r="355" ht="15" customHeight="1" x14ac:dyDescent="0.25"/>
    <row r="357" ht="15" customHeight="1" x14ac:dyDescent="0.25"/>
    <row r="359" ht="15" customHeight="1" x14ac:dyDescent="0.25"/>
    <row r="361" ht="15" customHeight="1" x14ac:dyDescent="0.25"/>
    <row r="363" ht="15" customHeight="1" x14ac:dyDescent="0.25"/>
    <row r="365" ht="15" customHeight="1" x14ac:dyDescent="0.25"/>
    <row r="367" ht="15" customHeight="1" x14ac:dyDescent="0.25"/>
    <row r="369" ht="15" customHeight="1" x14ac:dyDescent="0.25"/>
    <row r="371" ht="15" customHeight="1" x14ac:dyDescent="0.25"/>
    <row r="373" ht="15" customHeight="1" x14ac:dyDescent="0.25"/>
    <row r="375" ht="15" customHeight="1" x14ac:dyDescent="0.25"/>
    <row r="377" ht="15" customHeight="1" x14ac:dyDescent="0.25"/>
    <row r="379" ht="15" customHeight="1" x14ac:dyDescent="0.25"/>
    <row r="381" ht="15" customHeight="1" x14ac:dyDescent="0.25"/>
    <row r="383" ht="15" customHeight="1" x14ac:dyDescent="0.25"/>
    <row r="385" ht="15" customHeight="1" x14ac:dyDescent="0.25"/>
    <row r="387" ht="15" customHeight="1" x14ac:dyDescent="0.25"/>
    <row r="389" ht="15" customHeight="1" x14ac:dyDescent="0.25"/>
    <row r="391" ht="15" customHeight="1" x14ac:dyDescent="0.25"/>
    <row r="393" ht="15" customHeight="1" x14ac:dyDescent="0.25"/>
    <row r="395" ht="15" customHeight="1" x14ac:dyDescent="0.25"/>
    <row r="397" ht="15" customHeight="1" x14ac:dyDescent="0.25"/>
    <row r="399" ht="15" customHeight="1" x14ac:dyDescent="0.25"/>
    <row r="401" ht="15" customHeight="1" x14ac:dyDescent="0.25"/>
    <row r="403" ht="15" customHeight="1" x14ac:dyDescent="0.25"/>
    <row r="405" ht="15" customHeight="1" x14ac:dyDescent="0.25"/>
    <row r="407" ht="15" customHeight="1" x14ac:dyDescent="0.25"/>
  </sheetData>
  <mergeCells count="1">
    <mergeCell ref="E1:E2"/>
  </mergeCells>
  <conditionalFormatting sqref="AJ8:XFD8 B10:D15 B17:D60">
    <cfRule type="notContainsBlanks" priority="16" stopIfTrue="1">
      <formula>LEN(TRIM(B8))&gt;0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E1 E3:E1048576">
    <cfRule type="cellIs" dxfId="32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31" priority="10"/>
  </conditionalFormatting>
  <conditionalFormatting sqref="F6:S7 V6:AI7">
    <cfRule type="cellIs" dxfId="30" priority="5" stopIfTrue="1" operator="notBetween">
      <formula>0.35</formula>
      <formula>-0.35</formula>
    </cfRule>
    <cfRule type="cellIs" dxfId="29" priority="6" operator="notBetween">
      <formula>0.2</formula>
      <formula>-0.2</formula>
    </cfRule>
  </conditionalFormatting>
  <conditionalFormatting sqref="T6:U7">
    <cfRule type="cellIs" dxfId="28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7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21DC-F111-420E-AE02-467D030C3663}">
  <sheetPr codeName="Sheet42">
    <tabColor rgb="FF00B050"/>
  </sheetPr>
  <dimension ref="A1:AI407"/>
  <sheetViews>
    <sheetView zoomScale="90" zoomScaleNormal="90" workbookViewId="0">
      <pane xSplit="2" ySplit="8" topLeftCell="C9" activePane="bottomRight" state="frozenSplit"/>
      <selection pane="topRight" activeCell="C1" sqref="C1"/>
      <selection pane="bottomLeft" activeCell="A9" sqref="A9"/>
      <selection pane="bottomRight" activeCell="E9" sqref="E9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734" customWidth="1"/>
    <col min="5" max="5" width="15.140625" style="734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MIN(AMP6_6[Date])</f>
        <v>0</v>
      </c>
      <c r="D1" s="310"/>
      <c r="E1" s="794" t="s">
        <v>40</v>
      </c>
      <c r="F1" s="2" t="str">
        <f>IFERROR(AVERAGEIFS(AMP6_6[[#All],[Dim 1_1]],AMP6_6[[#All],[Blade Part Number]],$B1,AMP6_6[[#All],[Date]],"&gt;"&amp;$A$1,AMP6_6[[#All],[Date]],"&lt;"&amp;$A$2),"")</f>
        <v/>
      </c>
      <c r="G1" s="2" t="str">
        <f>IFERROR(AVERAGEIFS(AMP6_6[[#All],[Dim 1_2]],AMP6_6[[#All],[Blade Part Number]],$B1,AMP6_6[[#All],[Date]],"&gt;"&amp;$A$1,AMP6_6[[#All],[Date]],"&lt;"&amp;$A$2),"")</f>
        <v/>
      </c>
      <c r="H1" s="2" t="str">
        <f>IFERROR(AVERAGEIFS(AMP6_6[[#All],[Dim 2_1]],AMP6_6[[#All],[Blade Part Number]],$B1,AMP6_6[[#All],[Date]],"&gt;"&amp;$A$1,AMP6_6[[#All],[Date]],"&lt;"&amp;$A$2),"")</f>
        <v/>
      </c>
      <c r="I1" s="2" t="str">
        <f>IFERROR(AVERAGEIFS(AMP6_6[[#All],[Dim 2_2]],AMP6_6[[#All],[Blade Part Number]],$B1,AMP6_6[[#All],[Date]],"&gt;"&amp;$A$1,AMP6_6[[#All],[Date]],"&lt;"&amp;$A$2),"")</f>
        <v/>
      </c>
      <c r="J1" s="2" t="str">
        <f>IFERROR(AVERAGEIFS(AMP6_6[[#All],[Dim 3_1]],AMP6_6[[#All],[Blade Part Number]],$B1,AMP6_6[[#All],[Date]],"&gt;"&amp;$A$1,AMP6_6[[#All],[Date]],"&lt;"&amp;$A$2),"")</f>
        <v/>
      </c>
      <c r="K1" s="2" t="str">
        <f>IFERROR(AVERAGEIFS(AMP6_6[[#All],[Dim 3_2]],AMP6_6[[#All],[Blade Part Number]],$B1,AMP6_6[[#All],[Date]],"&gt;"&amp;$A$1,AMP6_6[[#All],[Date]],"&lt;"&amp;$A$2),"")</f>
        <v/>
      </c>
      <c r="L1" s="2" t="str">
        <f>IFERROR(AVERAGEIFS(AMP6_6[[#All],[Dim 4_1]],AMP6_6[[#All],[Blade Part Number]],$B1,AMP6_6[[#All],[Date]],"&gt;"&amp;$A$1,AMP6_6[[#All],[Date]],"&lt;"&amp;$A$2),"")</f>
        <v/>
      </c>
      <c r="M1" s="2" t="str">
        <f>IFERROR(AVERAGEIFS(AMP6_6[[#All],[Dim 4_2]],AMP6_6[[#All],[Blade Part Number]],$B1,AMP6_6[[#All],[Date]],"&gt;"&amp;$A$1,AMP6_6[[#All],[Date]],"&lt;"&amp;$A$2),"")</f>
        <v/>
      </c>
      <c r="N1" s="2" t="str">
        <f>IFERROR(AVERAGEIFS(AMP6_6[[#All],[Dim 5_1]],AMP6_6[[#All],[Blade Part Number]],$B1,AMP6_6[[#All],[Date]],"&gt;"&amp;$A$1,AMP6_6[[#All],[Date]],"&lt;"&amp;$A$2),"")</f>
        <v/>
      </c>
      <c r="O1" s="2" t="str">
        <f>IFERROR(AVERAGEIFS(AMP6_6[[#All],[Dim 5_2]],AMP6_6[[#All],[Blade Part Number]],$B1,AMP6_6[[#All],[Date]],"&gt;"&amp;$A$1,AMP6_6[[#All],[Date]],"&lt;"&amp;$A$2),"")</f>
        <v/>
      </c>
      <c r="P1" s="2" t="str">
        <f>IFERROR(AVERAGEIFS(AMP6_6[[#All],[Dim 6]],AMP6_6[[#All],[Blade Part Number]],$B1,AMP6_6[[#All],[Date]],"&gt;"&amp;$A$1,AMP6_6[[#All],[Date]],"&lt;"&amp;$A$2),"")</f>
        <v/>
      </c>
      <c r="Q1" s="2" t="str">
        <f>IFERROR(AVERAGEIFS(AMP6_6[[#All],[Dim 7]],AMP6_6[[#All],[Blade Part Number]],$B1,AMP6_6[[#All],[Date]],"&gt;"&amp;$A$1,AMP6_6[[#All],[Date]],"&lt;"&amp;$A$2),"")</f>
        <v/>
      </c>
      <c r="R1" s="2" t="str">
        <f>IFERROR(AVERAGEIFS(AMP6_6[[#All],[Dim 9_1]],AMP6_6[[#All],[Blade Part Number]],$B1,AMP6_6[[#All],[Date]],"&gt;"&amp;$A$1,AMP6_6[[#All],[Date]],"&lt;"&amp;$A$2),"")</f>
        <v/>
      </c>
      <c r="S1" s="2" t="str">
        <f>IFERROR(AVERAGEIFS(AMP6_6[[#All],[Dim 9_2]],AMP6_6[[#All],[Blade Part Number]],$B1,AMP6_6[[#All],[Date]],"&gt;"&amp;$A$1,AMP6_6[[#All],[Date]],"&lt;"&amp;$A$2),"")</f>
        <v/>
      </c>
      <c r="T1" s="2" t="str">
        <f>IFERROR(AVERAGEIFS(AMP6_6[[#All],[Dim 10_1]],AMP6_6[[#All],[Blade Part Number]],$B1,AMP6_6[[#All],[Date]],"&gt;"&amp;$A$1,AMP6_6[[#All],[Date]],"&lt;"&amp;$A$2),"")</f>
        <v/>
      </c>
      <c r="U1" s="2" t="str">
        <f>IFERROR(AVERAGEIFS(AMP6_6[[#All],[Dim 10_2]],AMP6_6[[#All],[Blade Part Number]],$B1,AMP6_6[[#All],[Date]],"&gt;"&amp;$A$1,AMP6_6[[#All],[Date]],"&lt;"&amp;$A$2),"")</f>
        <v/>
      </c>
      <c r="V1" s="2" t="str">
        <f>IFERROR(AVERAGEIFS(AMP6_6[[#All],[Dim 11]],AMP6_6[[#All],[Blade Part Number]],$B1,AMP6_6[[#All],[Date]],"&gt;"&amp;$A$1,AMP6_6[[#All],[Date]],"&lt;"&amp;$A$2),"")</f>
        <v/>
      </c>
      <c r="W1" s="2" t="str">
        <f>IFERROR(AVERAGEIFS(AMP6_6[[#All],[Dim 11 Max]],AMP6_6[[#All],[Blade Part Number]],$B1,AMP6_6[[#All],[Date]],"&gt;"&amp;$A$1,AMP6_6[[#All],[Date]],"&lt;"&amp;$A$2),"")</f>
        <v/>
      </c>
      <c r="X1" s="2" t="str">
        <f>IFERROR(AVERAGEIFS(AMP6_6[[#All],[Dim 11 Min]],AMP6_6[[#All],[Blade Part Number]],$B1,AMP6_6[[#All],[Date]],"&gt;"&amp;$A$1,AMP6_6[[#All],[Date]],"&lt;"&amp;$A$2),"")</f>
        <v/>
      </c>
      <c r="Y1" s="2" t="str">
        <f>IFERROR(AVERAGEIFS(AMP6_6[[#All],[Dim 12]],AMP6_6[[#All],[Blade Part Number]],$B1,AMP6_6[[#All],[Date]],"&gt;"&amp;$A$1,AMP6_6[[#All],[Date]],"&lt;"&amp;$A$2),"")</f>
        <v/>
      </c>
      <c r="Z1" s="2" t="str">
        <f>IFERROR(AVERAGEIFS(AMP6_6[[#All],[Dim 12 Max]],AMP6_6[[#All],[Blade Part Number]],$B1,AMP6_6[[#All],[Date]],"&gt;"&amp;$A$1,AMP6_6[[#All],[Date]],"&lt;"&amp;$A$2),"")</f>
        <v/>
      </c>
      <c r="AA1" s="2" t="str">
        <f>IFERROR(AVERAGEIFS(AMP6_6[[#All],[Dim 12 Min]],AMP6_6[[#All],[Blade Part Number]],$B1,AMP6_6[[#All],[Date]],"&gt;"&amp;$A$1,AMP6_6[[#All],[Date]],"&lt;"&amp;$A$2),"")</f>
        <v/>
      </c>
      <c r="AB1" s="2" t="str">
        <f>IFERROR(AVERAGEIFS(AMP6_6[[#All],[T 1]],AMP6_6[[#All],[Blade Part Number]],$B1,AMP6_6[[#All],[Date]],"&gt;"&amp;$A$1,AMP6_6[[#All],[Date]],"&lt;"&amp;$A$2),"")</f>
        <v/>
      </c>
      <c r="AC1" s="2" t="str">
        <f>IFERROR(AVERAGEIFS(AMP6_6[[#All],[T 2]],AMP6_6[[#All],[Blade Part Number]],$B1,AMP6_6[[#All],[Date]],"&gt;"&amp;$A$1,AMP6_6[[#All],[Date]],"&lt;"&amp;$A$2),"")</f>
        <v/>
      </c>
      <c r="AD1" s="2" t="str">
        <f>IFERROR(AVERAGEIFS(AMP6_6[[#All],[T 3]],AMP6_6[[#All],[Blade Part Number]],$B1,AMP6_6[[#All],[Date]],"&gt;"&amp;$A$1,AMP6_6[[#All],[Date]],"&lt;"&amp;$A$2),"")</f>
        <v/>
      </c>
      <c r="AE1" s="2" t="str">
        <f>IFERROR(AVERAGEIFS(AMP6_6[[#All],[T 4]],AMP6_6[[#All],[Blade Part Number]],$B1,AMP6_6[[#All],[Date]],"&gt;"&amp;$A$1,AMP6_6[[#All],[Date]],"&lt;"&amp;$A$2),"")</f>
        <v/>
      </c>
      <c r="AF1" s="2" t="str">
        <f>IFERROR(AVERAGEIFS(AMP6_6[[#All],[T 5]],AMP6_6[[#All],[Blade Part Number]],$B1,AMP6_6[[#All],[Date]],"&gt;"&amp;$A$1,AMP6_6[[#All],[Date]],"&lt;"&amp;$A$2),"")</f>
        <v/>
      </c>
      <c r="AG1" s="2" t="str">
        <f>IFERROR(AVERAGEIFS(AMP6_6[[#All],[T 6]],AMP6_6[[#All],[Blade Part Number]],$B1,AMP6_6[[#All],[Date]],"&gt;"&amp;$A$1,AMP6_6[[#All],[Date]],"&lt;"&amp;$A$2),"")</f>
        <v/>
      </c>
      <c r="AH1" s="2" t="str">
        <f>IFERROR(AVERAGEIFS(AMP6_6[[#All],[T 7]],AMP6_6[[#All],[Blade Part Number]],$B1,AMP6_6[[#All],[Date]],"&gt;"&amp;$A$1,AMP6_6[[#All],[Date]],"&lt;"&amp;$A$2),"")</f>
        <v/>
      </c>
      <c r="AI1" s="2" t="str">
        <f>IFERROR(AVERAGEIFS(AMP6_6[[#All],[T 8]],AMP6_6[[#All],[Blade Part Number]],$B1,AMP6_6[[#All],[Date]],"&gt;"&amp;$A$1,AMP6_6[[#All],[Date]],"&lt;"&amp;$A$2),"")</f>
        <v/>
      </c>
    </row>
    <row r="2" spans="1:35" x14ac:dyDescent="0.25">
      <c r="A2" s="1">
        <f>'Offset Solver'!E31</f>
        <v>73050</v>
      </c>
      <c r="B2" s="12" t="s">
        <v>31</v>
      </c>
      <c r="C2" s="25">
        <f>MAX(AMP6_6[Date])</f>
        <v>0</v>
      </c>
      <c r="D2" s="310"/>
      <c r="E2" s="794"/>
      <c r="F2" s="2" t="str">
        <f>IFERROR(AVERAGEIFS(AMP6_6[[#All],[Dim 1_1]],AMP6_6[[#All],[Blade Part Number]],$B2,AMP6_6[[#All],[Date]],"&gt;"&amp;$A$1,AMP6_6[[#All],[Date]],"&lt;"&amp;$A$2),"")</f>
        <v/>
      </c>
      <c r="G2" s="2" t="str">
        <f>IFERROR(AVERAGEIFS(AMP6_6[[#All],[Dim 1_2]],AMP6_6[[#All],[Blade Part Number]],$B2,AMP6_6[[#All],[Date]],"&gt;"&amp;$A$1,AMP6_6[[#All],[Date]],"&lt;"&amp;$A$2),"")</f>
        <v/>
      </c>
      <c r="H2" s="2" t="str">
        <f>IFERROR(AVERAGEIFS(AMP6_6[[#All],[Dim 2_1]],AMP6_6[[#All],[Blade Part Number]],$B2,AMP6_6[[#All],[Date]],"&gt;"&amp;$A$1,AMP6_6[[#All],[Date]],"&lt;"&amp;$A$2),"")</f>
        <v/>
      </c>
      <c r="I2" s="2" t="str">
        <f>IFERROR(AVERAGEIFS(AMP6_6[[#All],[Dim 2_2]],AMP6_6[[#All],[Blade Part Number]],$B2,AMP6_6[[#All],[Date]],"&gt;"&amp;$A$1,AMP6_6[[#All],[Date]],"&lt;"&amp;$A$2),"")</f>
        <v/>
      </c>
      <c r="J2" s="2" t="str">
        <f>IFERROR(AVERAGEIFS(AMP6_6[[#All],[Dim 3_1]],AMP6_6[[#All],[Blade Part Number]],$B2,AMP6_6[[#All],[Date]],"&gt;"&amp;$A$1,AMP6_6[[#All],[Date]],"&lt;"&amp;$A$2),"")</f>
        <v/>
      </c>
      <c r="K2" s="2" t="str">
        <f>IFERROR(AVERAGEIFS(AMP6_6[[#All],[Dim 3_2]],AMP6_6[[#All],[Blade Part Number]],$B2,AMP6_6[[#All],[Date]],"&gt;"&amp;$A$1,AMP6_6[[#All],[Date]],"&lt;"&amp;$A$2),"")</f>
        <v/>
      </c>
      <c r="L2" s="2" t="str">
        <f>IFERROR(AVERAGEIFS(AMP6_6[[#All],[Dim 4_1]],AMP6_6[[#All],[Blade Part Number]],$B2,AMP6_6[[#All],[Date]],"&gt;"&amp;$A$1,AMP6_6[[#All],[Date]],"&lt;"&amp;$A$2),"")</f>
        <v/>
      </c>
      <c r="M2" s="2" t="str">
        <f>IFERROR(AVERAGEIFS(AMP6_6[[#All],[Dim 4_2]],AMP6_6[[#All],[Blade Part Number]],$B2,AMP6_6[[#All],[Date]],"&gt;"&amp;$A$1,AMP6_6[[#All],[Date]],"&lt;"&amp;$A$2),"")</f>
        <v/>
      </c>
      <c r="N2" s="2" t="str">
        <f>IFERROR(AVERAGEIFS(AMP6_6[[#All],[Dim 5_1]],AMP6_6[[#All],[Blade Part Number]],$B2,AMP6_6[[#All],[Date]],"&gt;"&amp;$A$1,AMP6_6[[#All],[Date]],"&lt;"&amp;$A$2),"")</f>
        <v/>
      </c>
      <c r="O2" s="2" t="str">
        <f>IFERROR(AVERAGEIFS(AMP6_6[[#All],[Dim 5_2]],AMP6_6[[#All],[Blade Part Number]],$B2,AMP6_6[[#All],[Date]],"&gt;"&amp;$A$1,AMP6_6[[#All],[Date]],"&lt;"&amp;$A$2),"")</f>
        <v/>
      </c>
      <c r="P2" s="2" t="str">
        <f>IFERROR(AVERAGEIFS(AMP6_6[[#All],[Dim 6]],AMP6_6[[#All],[Blade Part Number]],$B2,AMP6_6[[#All],[Date]],"&gt;"&amp;$A$1,AMP6_6[[#All],[Date]],"&lt;"&amp;$A$2),"")</f>
        <v/>
      </c>
      <c r="Q2" s="2" t="str">
        <f>IFERROR(AVERAGEIFS(AMP6_6[[#All],[Dim 7]],AMP6_6[[#All],[Blade Part Number]],$B2,AMP6_6[[#All],[Date]],"&gt;"&amp;$A$1,AMP6_6[[#All],[Date]],"&lt;"&amp;$A$2),"")</f>
        <v/>
      </c>
      <c r="R2" s="2" t="str">
        <f>IFERROR(AVERAGEIFS(AMP6_6[[#All],[Dim 9_1]],AMP6_6[[#All],[Blade Part Number]],$B2,AMP6_6[[#All],[Date]],"&gt;"&amp;$A$1,AMP6_6[[#All],[Date]],"&lt;"&amp;$A$2),"")</f>
        <v/>
      </c>
      <c r="S2" s="2" t="str">
        <f>IFERROR(AVERAGEIFS(AMP6_6[[#All],[Dim 9_2]],AMP6_6[[#All],[Blade Part Number]],$B2,AMP6_6[[#All],[Date]],"&gt;"&amp;$A$1,AMP6_6[[#All],[Date]],"&lt;"&amp;$A$2),"")</f>
        <v/>
      </c>
      <c r="T2" s="2" t="str">
        <f>IFERROR(AVERAGEIFS(AMP6_6[[#All],[Dim 10_1]],AMP6_6[[#All],[Blade Part Number]],$B2,AMP6_6[[#All],[Date]],"&gt;"&amp;$A$1,AMP6_6[[#All],[Date]],"&lt;"&amp;$A$2),"")</f>
        <v/>
      </c>
      <c r="U2" s="2" t="str">
        <f>IFERROR(AVERAGEIFS(AMP6_6[[#All],[Dim 10_2]],AMP6_6[[#All],[Blade Part Number]],$B2,AMP6_6[[#All],[Date]],"&gt;"&amp;$A$1,AMP6_6[[#All],[Date]],"&lt;"&amp;$A$2),"")</f>
        <v/>
      </c>
      <c r="V2" s="2" t="str">
        <f>IFERROR(AVERAGEIFS(AMP6_6[[#All],[Dim 11]],AMP6_6[[#All],[Blade Part Number]],$B2,AMP6_6[[#All],[Date]],"&gt;"&amp;$A$1,AMP6_6[[#All],[Date]],"&lt;"&amp;$A$2),"")</f>
        <v/>
      </c>
      <c r="W2" s="2" t="str">
        <f>IFERROR(AVERAGEIFS(AMP6_6[[#All],[Dim 11 Max]],AMP6_6[[#All],[Blade Part Number]],$B2,AMP6_6[[#All],[Date]],"&gt;"&amp;$A$1,AMP6_6[[#All],[Date]],"&lt;"&amp;$A$2),"")</f>
        <v/>
      </c>
      <c r="X2" s="2" t="str">
        <f>IFERROR(AVERAGEIFS(AMP6_6[[#All],[Dim 11 Min]],AMP6_6[[#All],[Blade Part Number]],$B2,AMP6_6[[#All],[Date]],"&gt;"&amp;$A$1,AMP6_6[[#All],[Date]],"&lt;"&amp;$A$2),"")</f>
        <v/>
      </c>
      <c r="Y2" s="2" t="str">
        <f>IFERROR(AVERAGEIFS(AMP6_6[[#All],[Dim 12]],AMP6_6[[#All],[Blade Part Number]],$B2,AMP6_6[[#All],[Date]],"&gt;"&amp;$A$1,AMP6_6[[#All],[Date]],"&lt;"&amp;$A$2),"")</f>
        <v/>
      </c>
      <c r="Z2" s="2" t="str">
        <f>IFERROR(AVERAGEIFS(AMP6_6[[#All],[Dim 12 Max]],AMP6_6[[#All],[Blade Part Number]],$B2,AMP6_6[[#All],[Date]],"&gt;"&amp;$A$1,AMP6_6[[#All],[Date]],"&lt;"&amp;$A$2),"")</f>
        <v/>
      </c>
      <c r="AA2" s="2" t="str">
        <f>IFERROR(AVERAGEIFS(AMP6_6[[#All],[Dim 12 Min]],AMP6_6[[#All],[Blade Part Number]],$B2,AMP6_6[[#All],[Date]],"&gt;"&amp;$A$1,AMP6_6[[#All],[Date]],"&lt;"&amp;$A$2),"")</f>
        <v/>
      </c>
      <c r="AB2" s="2" t="str">
        <f>IFERROR(AVERAGEIFS(AMP6_6[[#All],[T 1]],AMP6_6[[#All],[Blade Part Number]],$B2,AMP6_6[[#All],[Date]],"&gt;"&amp;$A$1,AMP6_6[[#All],[Date]],"&lt;"&amp;$A$2),"")</f>
        <v/>
      </c>
      <c r="AC2" s="2" t="str">
        <f>IFERROR(AVERAGEIFS(AMP6_6[[#All],[T 2]],AMP6_6[[#All],[Blade Part Number]],$B2,AMP6_6[[#All],[Date]],"&gt;"&amp;$A$1,AMP6_6[[#All],[Date]],"&lt;"&amp;$A$2),"")</f>
        <v/>
      </c>
      <c r="AD2" s="2" t="str">
        <f>IFERROR(AVERAGEIFS(AMP6_6[[#All],[T 3]],AMP6_6[[#All],[Blade Part Number]],$B2,AMP6_6[[#All],[Date]],"&gt;"&amp;$A$1,AMP6_6[[#All],[Date]],"&lt;"&amp;$A$2),"")</f>
        <v/>
      </c>
      <c r="AE2" s="2" t="str">
        <f>IFERROR(AVERAGEIFS(AMP6_6[[#All],[T 4]],AMP6_6[[#All],[Blade Part Number]],$B2,AMP6_6[[#All],[Date]],"&gt;"&amp;$A$1,AMP6_6[[#All],[Date]],"&lt;"&amp;$A$2),"")</f>
        <v/>
      </c>
      <c r="AF2" s="2" t="str">
        <f>IFERROR(AVERAGEIFS(AMP6_6[[#All],[T 5]],AMP6_6[[#All],[Blade Part Number]],$B2,AMP6_6[[#All],[Date]],"&gt;"&amp;$A$1,AMP6_6[[#All],[Date]],"&lt;"&amp;$A$2),"")</f>
        <v/>
      </c>
      <c r="AG2" s="2" t="str">
        <f>IFERROR(AVERAGEIFS(AMP6_6[[#All],[T 6]],AMP6_6[[#All],[Blade Part Number]],$B2,AMP6_6[[#All],[Date]],"&gt;"&amp;$A$1,AMP6_6[[#All],[Date]],"&lt;"&amp;$A$2),"")</f>
        <v/>
      </c>
      <c r="AH2" s="2" t="str">
        <f>IFERROR(AVERAGEIFS(AMP6_6[[#All],[T 7]],AMP6_6[[#All],[Blade Part Number]],$B2,AMP6_6[[#All],[Date]],"&gt;"&amp;$A$1,AMP6_6[[#All],[Date]],"&lt;"&amp;$A$2),"")</f>
        <v/>
      </c>
      <c r="AI2" s="2" t="str">
        <f>IFERROR(AVERAGEIFS(AMP6_6[[#All],[T 8]],AMP6_6[[#All],[Blade Part Number]],$B2,AMP6_6[[#All],[Date]],"&gt;"&amp;$A$1,AMP6_6[[#All],[Date]],"&lt;"&amp;$A$2),"")</f>
        <v/>
      </c>
    </row>
    <row r="3" spans="1:35" x14ac:dyDescent="0.25">
      <c r="E3" s="732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732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732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 t="str">
        <f t="shared" ref="F6:AI6" si="0">IFERROR(F1-F3,"")</f>
        <v/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11" t="str">
        <f t="shared" si="0"/>
        <v/>
      </c>
      <c r="S6" s="11" t="str">
        <f t="shared" si="0"/>
        <v/>
      </c>
      <c r="T6" s="11" t="str">
        <f t="shared" si="0"/>
        <v/>
      </c>
      <c r="U6" s="11" t="str">
        <f t="shared" si="0"/>
        <v/>
      </c>
      <c r="V6" s="11" t="str">
        <f t="shared" si="0"/>
        <v/>
      </c>
      <c r="W6" s="11" t="str">
        <f t="shared" si="0"/>
        <v/>
      </c>
      <c r="X6" s="11" t="str">
        <f t="shared" si="0"/>
        <v/>
      </c>
      <c r="Y6" s="11" t="str">
        <f t="shared" si="0"/>
        <v/>
      </c>
      <c r="Z6" s="11" t="str">
        <f t="shared" si="0"/>
        <v/>
      </c>
      <c r="AA6" s="11" t="str">
        <f t="shared" si="0"/>
        <v/>
      </c>
      <c r="AB6" s="11" t="str">
        <f t="shared" si="0"/>
        <v/>
      </c>
      <c r="AC6" s="11" t="str">
        <f t="shared" si="0"/>
        <v/>
      </c>
      <c r="AD6" s="11" t="str">
        <f t="shared" si="0"/>
        <v/>
      </c>
      <c r="AE6" s="11" t="str">
        <f t="shared" si="0"/>
        <v/>
      </c>
      <c r="AF6" s="11" t="str">
        <f t="shared" si="0"/>
        <v/>
      </c>
      <c r="AG6" s="11" t="str">
        <f t="shared" si="0"/>
        <v/>
      </c>
      <c r="AH6" s="11" t="str">
        <f t="shared" si="0"/>
        <v/>
      </c>
      <c r="AI6" s="11" t="str">
        <f t="shared" si="0"/>
        <v/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 t="str">
        <f t="shared" si="1"/>
        <v/>
      </c>
      <c r="I7" s="11" t="str">
        <f t="shared" si="1"/>
        <v/>
      </c>
      <c r="J7" s="11" t="str">
        <f t="shared" si="1"/>
        <v/>
      </c>
      <c r="K7" s="11" t="str">
        <f t="shared" si="1"/>
        <v/>
      </c>
      <c r="L7" s="11" t="str">
        <f t="shared" si="1"/>
        <v/>
      </c>
      <c r="M7" s="11" t="str">
        <f t="shared" si="1"/>
        <v/>
      </c>
      <c r="N7" s="11" t="str">
        <f t="shared" si="1"/>
        <v/>
      </c>
      <c r="O7" s="11" t="str">
        <f t="shared" si="1"/>
        <v/>
      </c>
      <c r="P7" s="11" t="str">
        <f t="shared" si="1"/>
        <v/>
      </c>
      <c r="Q7" s="11" t="str">
        <f t="shared" si="1"/>
        <v/>
      </c>
      <c r="R7" s="11" t="str">
        <f t="shared" si="1"/>
        <v/>
      </c>
      <c r="S7" s="11" t="str">
        <f t="shared" si="1"/>
        <v/>
      </c>
      <c r="T7" s="11" t="str">
        <f t="shared" si="1"/>
        <v/>
      </c>
      <c r="U7" s="11" t="str">
        <f t="shared" si="1"/>
        <v/>
      </c>
      <c r="V7" s="11" t="str">
        <f t="shared" si="1"/>
        <v/>
      </c>
      <c r="W7" s="11" t="str">
        <f t="shared" si="1"/>
        <v/>
      </c>
      <c r="X7" s="11" t="str">
        <f t="shared" si="1"/>
        <v/>
      </c>
      <c r="Y7" s="11" t="str">
        <f t="shared" si="1"/>
        <v/>
      </c>
      <c r="Z7" s="11" t="str">
        <f t="shared" si="1"/>
        <v/>
      </c>
      <c r="AA7" s="11" t="str">
        <f t="shared" si="1"/>
        <v/>
      </c>
      <c r="AB7" s="11" t="str">
        <f t="shared" si="1"/>
        <v/>
      </c>
      <c r="AC7" s="11" t="str">
        <f t="shared" si="1"/>
        <v/>
      </c>
      <c r="AD7" s="11" t="str">
        <f t="shared" si="1"/>
        <v/>
      </c>
      <c r="AE7" s="11" t="str">
        <f t="shared" si="1"/>
        <v/>
      </c>
      <c r="AF7" s="11" t="str">
        <f t="shared" si="1"/>
        <v/>
      </c>
      <c r="AG7" s="11" t="str">
        <f t="shared" si="1"/>
        <v/>
      </c>
      <c r="AH7" s="11" t="str">
        <f t="shared" si="1"/>
        <v/>
      </c>
      <c r="AI7" s="11" t="str">
        <f t="shared" si="1"/>
        <v/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ht="15" customHeight="1" x14ac:dyDescent="0.25">
      <c r="D9" s="741"/>
      <c r="E9" s="741"/>
    </row>
    <row r="11" spans="1:35" ht="15" customHeight="1" x14ac:dyDescent="0.25"/>
    <row r="13" spans="1:35" ht="15" customHeight="1" x14ac:dyDescent="0.25"/>
    <row r="15" spans="1:35" ht="15" customHeight="1" x14ac:dyDescent="0.25"/>
    <row r="17" ht="15" customHeight="1" x14ac:dyDescent="0.25"/>
    <row r="19" ht="15" customHeight="1" x14ac:dyDescent="0.25"/>
    <row r="21" ht="15" customHeight="1" x14ac:dyDescent="0.25"/>
    <row r="23" ht="15" customHeight="1" x14ac:dyDescent="0.25"/>
    <row r="25" ht="15" customHeight="1" x14ac:dyDescent="0.25"/>
    <row r="27" ht="15" customHeight="1" x14ac:dyDescent="0.25"/>
    <row r="29" ht="15" customHeight="1" x14ac:dyDescent="0.25"/>
    <row r="31" ht="15" customHeight="1" x14ac:dyDescent="0.25"/>
    <row r="33" ht="15" customHeight="1" x14ac:dyDescent="0.25"/>
    <row r="35" ht="15" customHeight="1" x14ac:dyDescent="0.25"/>
    <row r="37" ht="15" customHeight="1" x14ac:dyDescent="0.25"/>
    <row r="39" ht="15" customHeight="1" x14ac:dyDescent="0.25"/>
    <row r="41" ht="15" customHeight="1" x14ac:dyDescent="0.25"/>
    <row r="43" ht="15" customHeight="1" x14ac:dyDescent="0.25"/>
    <row r="45" ht="15" customHeight="1" x14ac:dyDescent="0.25"/>
    <row r="47" ht="15" customHeight="1" x14ac:dyDescent="0.25"/>
    <row r="49" ht="15" customHeight="1" x14ac:dyDescent="0.25"/>
    <row r="51" ht="15" customHeight="1" x14ac:dyDescent="0.25"/>
    <row r="53" ht="15" customHeight="1" x14ac:dyDescent="0.25"/>
    <row r="55" ht="15" customHeight="1" x14ac:dyDescent="0.25"/>
    <row r="57" ht="15" customHeight="1" x14ac:dyDescent="0.25"/>
    <row r="59" ht="15" customHeight="1" x14ac:dyDescent="0.25"/>
    <row r="61" ht="15" customHeight="1" x14ac:dyDescent="0.25"/>
    <row r="63" ht="15" customHeight="1" x14ac:dyDescent="0.25"/>
    <row r="65" ht="15" customHeight="1" x14ac:dyDescent="0.25"/>
    <row r="67" ht="15" customHeight="1" x14ac:dyDescent="0.25"/>
    <row r="69" ht="15" customHeight="1" x14ac:dyDescent="0.25"/>
    <row r="71" ht="15" customHeight="1" x14ac:dyDescent="0.25"/>
    <row r="73" ht="15" customHeight="1" x14ac:dyDescent="0.25"/>
    <row r="75" ht="15" customHeight="1" x14ac:dyDescent="0.25"/>
    <row r="77" ht="15" customHeight="1" x14ac:dyDescent="0.25"/>
    <row r="79" ht="15" customHeight="1" x14ac:dyDescent="0.25"/>
    <row r="81" ht="15" customHeight="1" x14ac:dyDescent="0.25"/>
    <row r="83" ht="15" customHeight="1" x14ac:dyDescent="0.25"/>
    <row r="85" ht="15" customHeight="1" x14ac:dyDescent="0.25"/>
    <row r="87" ht="15" customHeight="1" x14ac:dyDescent="0.25"/>
    <row r="89" ht="15" customHeight="1" x14ac:dyDescent="0.25"/>
    <row r="91" ht="15" customHeight="1" x14ac:dyDescent="0.25"/>
    <row r="93" ht="15" customHeight="1" x14ac:dyDescent="0.25"/>
    <row r="95" ht="15" customHeight="1" x14ac:dyDescent="0.25"/>
    <row r="97" ht="15" customHeight="1" x14ac:dyDescent="0.25"/>
    <row r="99" ht="15" customHeight="1" x14ac:dyDescent="0.25"/>
    <row r="101" ht="15" customHeight="1" x14ac:dyDescent="0.25"/>
    <row r="103" ht="15" customHeight="1" x14ac:dyDescent="0.25"/>
    <row r="105" ht="15" customHeight="1" x14ac:dyDescent="0.25"/>
    <row r="107" ht="15" customHeight="1" x14ac:dyDescent="0.25"/>
    <row r="109" ht="15" customHeight="1" x14ac:dyDescent="0.25"/>
    <row r="111" ht="15" customHeight="1" x14ac:dyDescent="0.25"/>
    <row r="113" ht="15" customHeight="1" x14ac:dyDescent="0.25"/>
    <row r="115" ht="15" customHeight="1" x14ac:dyDescent="0.25"/>
    <row r="117" ht="15" customHeight="1" x14ac:dyDescent="0.25"/>
    <row r="119" ht="15" customHeight="1" x14ac:dyDescent="0.25"/>
    <row r="121" ht="15" customHeight="1" x14ac:dyDescent="0.25"/>
    <row r="123" ht="15" customHeight="1" x14ac:dyDescent="0.25"/>
    <row r="125" ht="15" customHeight="1" x14ac:dyDescent="0.25"/>
    <row r="128" ht="15" customHeight="1" x14ac:dyDescent="0.25"/>
    <row r="129" ht="15" customHeight="1" x14ac:dyDescent="0.25"/>
    <row r="131" ht="15" customHeight="1" x14ac:dyDescent="0.25"/>
    <row r="133" ht="15" customHeight="1" x14ac:dyDescent="0.25"/>
    <row r="135" ht="15" customHeight="1" x14ac:dyDescent="0.25"/>
    <row r="137" ht="15" customHeight="1" x14ac:dyDescent="0.25"/>
    <row r="139" ht="15" customHeight="1" x14ac:dyDescent="0.25"/>
    <row r="141" ht="15" customHeight="1" x14ac:dyDescent="0.25"/>
    <row r="143" ht="15" customHeight="1" x14ac:dyDescent="0.25"/>
    <row r="145" ht="15" customHeight="1" x14ac:dyDescent="0.25"/>
    <row r="147" ht="15" customHeight="1" x14ac:dyDescent="0.25"/>
    <row r="149" ht="15" customHeight="1" x14ac:dyDescent="0.25"/>
    <row r="151" ht="15" customHeight="1" x14ac:dyDescent="0.25"/>
    <row r="153" ht="15" customHeight="1" x14ac:dyDescent="0.25"/>
    <row r="155" ht="15" customHeight="1" x14ac:dyDescent="0.25"/>
    <row r="157" ht="15" customHeight="1" x14ac:dyDescent="0.25"/>
    <row r="159" ht="15" customHeight="1" x14ac:dyDescent="0.25"/>
    <row r="161" ht="15" customHeight="1" x14ac:dyDescent="0.25"/>
    <row r="163" ht="15" customHeight="1" x14ac:dyDescent="0.25"/>
    <row r="165" ht="15" customHeight="1" x14ac:dyDescent="0.25"/>
    <row r="167" ht="15" customHeight="1" x14ac:dyDescent="0.25"/>
    <row r="169" ht="15" customHeight="1" x14ac:dyDescent="0.25"/>
    <row r="171" ht="15" customHeight="1" x14ac:dyDescent="0.25"/>
    <row r="173" ht="15" customHeight="1" x14ac:dyDescent="0.25"/>
    <row r="175" ht="15" customHeight="1" x14ac:dyDescent="0.25"/>
    <row r="177" ht="15" customHeight="1" x14ac:dyDescent="0.25"/>
    <row r="179" ht="15" customHeight="1" x14ac:dyDescent="0.25"/>
    <row r="181" ht="15" customHeight="1" x14ac:dyDescent="0.25"/>
    <row r="183" ht="15" customHeight="1" x14ac:dyDescent="0.25"/>
    <row r="185" ht="15" customHeight="1" x14ac:dyDescent="0.25"/>
    <row r="187" ht="15" customHeight="1" x14ac:dyDescent="0.25"/>
    <row r="189" ht="15" customHeight="1" x14ac:dyDescent="0.25"/>
    <row r="191" ht="15" customHeight="1" x14ac:dyDescent="0.25"/>
    <row r="193" ht="15" customHeight="1" x14ac:dyDescent="0.25"/>
    <row r="195" ht="15" customHeight="1" x14ac:dyDescent="0.25"/>
    <row r="197" ht="15" customHeight="1" x14ac:dyDescent="0.25"/>
    <row r="199" ht="15" customHeight="1" x14ac:dyDescent="0.25"/>
    <row r="201" ht="15" customHeight="1" x14ac:dyDescent="0.25"/>
    <row r="203" ht="15" customHeight="1" x14ac:dyDescent="0.25"/>
    <row r="205" ht="15" customHeight="1" x14ac:dyDescent="0.25"/>
    <row r="207" ht="15" customHeight="1" x14ac:dyDescent="0.25"/>
    <row r="209" ht="15" customHeight="1" x14ac:dyDescent="0.25"/>
    <row r="211" ht="15" customHeight="1" x14ac:dyDescent="0.25"/>
    <row r="213" ht="15" customHeight="1" x14ac:dyDescent="0.25"/>
    <row r="215" ht="15" customHeight="1" x14ac:dyDescent="0.25"/>
    <row r="217" ht="15" customHeight="1" x14ac:dyDescent="0.25"/>
    <row r="219" ht="15" customHeight="1" x14ac:dyDescent="0.25"/>
    <row r="221" ht="15" customHeight="1" x14ac:dyDescent="0.25"/>
    <row r="223" ht="15" customHeight="1" x14ac:dyDescent="0.25"/>
    <row r="225" ht="15" customHeight="1" x14ac:dyDescent="0.25"/>
    <row r="227" ht="15" customHeight="1" x14ac:dyDescent="0.25"/>
    <row r="229" ht="15" customHeight="1" x14ac:dyDescent="0.25"/>
    <row r="231" ht="15" customHeight="1" x14ac:dyDescent="0.25"/>
    <row r="233" ht="15" customHeight="1" x14ac:dyDescent="0.25"/>
    <row r="235" ht="15" customHeight="1" x14ac:dyDescent="0.25"/>
    <row r="237" ht="15" customHeight="1" x14ac:dyDescent="0.25"/>
    <row r="239" ht="15" customHeight="1" x14ac:dyDescent="0.25"/>
    <row r="241" ht="15" customHeight="1" x14ac:dyDescent="0.25"/>
    <row r="243" ht="15" customHeight="1" x14ac:dyDescent="0.25"/>
    <row r="245" ht="15" customHeight="1" x14ac:dyDescent="0.25"/>
    <row r="247" ht="15" customHeight="1" x14ac:dyDescent="0.25"/>
    <row r="249" ht="15" customHeight="1" x14ac:dyDescent="0.25"/>
    <row r="251" ht="15" customHeight="1" x14ac:dyDescent="0.25"/>
    <row r="253" ht="15" customHeight="1" x14ac:dyDescent="0.25"/>
    <row r="255" ht="15" customHeight="1" x14ac:dyDescent="0.25"/>
    <row r="257" ht="15" customHeight="1" x14ac:dyDescent="0.25"/>
    <row r="259" ht="15" customHeight="1" x14ac:dyDescent="0.25"/>
    <row r="261" ht="15" customHeight="1" x14ac:dyDescent="0.25"/>
    <row r="263" ht="15" customHeight="1" x14ac:dyDescent="0.25"/>
    <row r="265" ht="15" customHeight="1" x14ac:dyDescent="0.25"/>
    <row r="267" ht="15" customHeight="1" x14ac:dyDescent="0.25"/>
    <row r="269" ht="15" customHeight="1" x14ac:dyDescent="0.25"/>
    <row r="271" ht="15" customHeight="1" x14ac:dyDescent="0.25"/>
    <row r="273" ht="15" customHeight="1" x14ac:dyDescent="0.25"/>
    <row r="275" ht="15" customHeight="1" x14ac:dyDescent="0.25"/>
    <row r="277" ht="15" customHeight="1" x14ac:dyDescent="0.25"/>
    <row r="279" ht="15" customHeight="1" x14ac:dyDescent="0.25"/>
    <row r="281" ht="15" customHeight="1" x14ac:dyDescent="0.25"/>
    <row r="283" ht="15" customHeight="1" x14ac:dyDescent="0.25"/>
    <row r="285" ht="15" customHeight="1" x14ac:dyDescent="0.25"/>
    <row r="287" ht="15" customHeight="1" x14ac:dyDescent="0.25"/>
    <row r="289" ht="15" customHeight="1" x14ac:dyDescent="0.25"/>
    <row r="291" ht="15" customHeight="1" x14ac:dyDescent="0.25"/>
    <row r="293" ht="15" customHeight="1" x14ac:dyDescent="0.25"/>
    <row r="295" ht="15" customHeight="1" x14ac:dyDescent="0.25"/>
    <row r="297" ht="15" customHeight="1" x14ac:dyDescent="0.25"/>
    <row r="299" ht="15" customHeight="1" x14ac:dyDescent="0.25"/>
    <row r="301" ht="15" customHeight="1" x14ac:dyDescent="0.25"/>
    <row r="303" ht="15" customHeight="1" x14ac:dyDescent="0.25"/>
    <row r="305" ht="15" customHeight="1" x14ac:dyDescent="0.25"/>
    <row r="307" ht="15" customHeight="1" x14ac:dyDescent="0.25"/>
    <row r="309" ht="15" customHeight="1" x14ac:dyDescent="0.25"/>
    <row r="311" ht="15" customHeight="1" x14ac:dyDescent="0.25"/>
    <row r="313" ht="15" customHeight="1" x14ac:dyDescent="0.25"/>
    <row r="315" ht="15" customHeight="1" x14ac:dyDescent="0.25"/>
    <row r="317" ht="15" customHeight="1" x14ac:dyDescent="0.25"/>
    <row r="319" ht="15" customHeight="1" x14ac:dyDescent="0.25"/>
    <row r="321" ht="15" customHeight="1" x14ac:dyDescent="0.25"/>
    <row r="323" ht="15" customHeight="1" x14ac:dyDescent="0.25"/>
    <row r="325" ht="15" customHeight="1" x14ac:dyDescent="0.25"/>
    <row r="327" ht="15" customHeight="1" x14ac:dyDescent="0.25"/>
    <row r="329" ht="15" customHeight="1" x14ac:dyDescent="0.25"/>
    <row r="331" ht="15" customHeight="1" x14ac:dyDescent="0.25"/>
    <row r="333" ht="15" customHeight="1" x14ac:dyDescent="0.25"/>
    <row r="335" ht="15" customHeight="1" x14ac:dyDescent="0.25"/>
    <row r="337" ht="15" customHeight="1" x14ac:dyDescent="0.25"/>
    <row r="339" ht="15" customHeight="1" x14ac:dyDescent="0.25"/>
    <row r="341" ht="15" customHeight="1" x14ac:dyDescent="0.25"/>
    <row r="343" ht="15" customHeight="1" x14ac:dyDescent="0.25"/>
    <row r="345" ht="15" customHeight="1" x14ac:dyDescent="0.25"/>
    <row r="347" ht="15" customHeight="1" x14ac:dyDescent="0.25"/>
    <row r="349" ht="15" customHeight="1" x14ac:dyDescent="0.25"/>
    <row r="351" ht="15" customHeight="1" x14ac:dyDescent="0.25"/>
    <row r="353" ht="15" customHeight="1" x14ac:dyDescent="0.25"/>
    <row r="355" ht="15" customHeight="1" x14ac:dyDescent="0.25"/>
    <row r="357" ht="15" customHeight="1" x14ac:dyDescent="0.25"/>
    <row r="359" ht="15" customHeight="1" x14ac:dyDescent="0.25"/>
    <row r="361" ht="15" customHeight="1" x14ac:dyDescent="0.25"/>
    <row r="363" ht="15" customHeight="1" x14ac:dyDescent="0.25"/>
    <row r="365" ht="15" customHeight="1" x14ac:dyDescent="0.25"/>
    <row r="367" ht="15" customHeight="1" x14ac:dyDescent="0.25"/>
    <row r="369" ht="15" customHeight="1" x14ac:dyDescent="0.25"/>
    <row r="371" ht="15" customHeight="1" x14ac:dyDescent="0.25"/>
    <row r="373" ht="15" customHeight="1" x14ac:dyDescent="0.25"/>
    <row r="375" ht="15" customHeight="1" x14ac:dyDescent="0.25"/>
    <row r="377" ht="15" customHeight="1" x14ac:dyDescent="0.25"/>
    <row r="379" ht="15" customHeight="1" x14ac:dyDescent="0.25"/>
    <row r="381" ht="15" customHeight="1" x14ac:dyDescent="0.25"/>
    <row r="383" ht="15" customHeight="1" x14ac:dyDescent="0.25"/>
    <row r="385" ht="15" customHeight="1" x14ac:dyDescent="0.25"/>
    <row r="387" ht="15" customHeight="1" x14ac:dyDescent="0.25"/>
    <row r="389" ht="15" customHeight="1" x14ac:dyDescent="0.25"/>
    <row r="391" ht="15" customHeight="1" x14ac:dyDescent="0.25"/>
    <row r="393" ht="15" customHeight="1" x14ac:dyDescent="0.25"/>
    <row r="395" ht="15" customHeight="1" x14ac:dyDescent="0.25"/>
    <row r="397" ht="15" customHeight="1" x14ac:dyDescent="0.25"/>
    <row r="399" ht="15" customHeight="1" x14ac:dyDescent="0.25"/>
    <row r="401" ht="15" customHeight="1" x14ac:dyDescent="0.25"/>
    <row r="403" ht="15" customHeight="1" x14ac:dyDescent="0.25"/>
    <row r="405" ht="15" customHeight="1" x14ac:dyDescent="0.25"/>
    <row r="407" ht="15" customHeight="1" x14ac:dyDescent="0.25"/>
  </sheetData>
  <mergeCells count="1">
    <mergeCell ref="E1:E2"/>
  </mergeCells>
  <conditionalFormatting sqref="AJ8:XFD8">
    <cfRule type="notContainsBlanks" priority="11" stopIfTrue="1">
      <formula>LEN(TRIM(AJ8))&gt;0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E1 E3:E1048576">
    <cfRule type="cellIs" dxfId="26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25" priority="10"/>
  </conditionalFormatting>
  <conditionalFormatting sqref="F6:S7 V6:AI7">
    <cfRule type="cellIs" dxfId="24" priority="5" stopIfTrue="1" operator="notBetween">
      <formula>0.35</formula>
      <formula>-0.35</formula>
    </cfRule>
    <cfRule type="cellIs" dxfId="23" priority="6" operator="notBetween">
      <formula>0.2</formula>
      <formula>-0.2</formula>
    </cfRule>
  </conditionalFormatting>
  <conditionalFormatting sqref="T6:U7">
    <cfRule type="cellIs" dxfId="22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21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2C2B-1F7A-43FB-A5FF-061158A50E26}">
  <sheetPr codeName="Sheet43">
    <tabColor rgb="FF00B050"/>
  </sheetPr>
  <dimension ref="A1:AM407"/>
  <sheetViews>
    <sheetView zoomScale="70" zoomScaleNormal="70" workbookViewId="0">
      <pane xSplit="2" ySplit="8" topLeftCell="C9" activePane="bottomRight" state="frozenSplit"/>
      <selection pane="topRight" activeCell="C1" sqref="C1"/>
      <selection pane="bottomLeft" activeCell="A9" sqref="A9"/>
      <selection pane="bottomRight" activeCell="AL1" sqref="AL1:AM1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734" customWidth="1"/>
    <col min="5" max="5" width="15.140625" style="734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  <col min="36" max="36" width="12" bestFit="1" customWidth="1"/>
    <col min="37" max="38" width="12.42578125" bestFit="1" customWidth="1"/>
    <col min="39" max="39" width="12.85546875" bestFit="1" customWidth="1"/>
  </cols>
  <sheetData>
    <row r="1" spans="1:39" x14ac:dyDescent="0.25">
      <c r="A1" s="1">
        <f>'Offset Solver'!E30</f>
        <v>0</v>
      </c>
      <c r="B1" s="12" t="s">
        <v>32</v>
      </c>
      <c r="C1" s="25">
        <f>MIN(AMP6_8[Date])</f>
        <v>43706.613819444443</v>
      </c>
      <c r="D1" s="310"/>
      <c r="E1" s="794" t="s">
        <v>40</v>
      </c>
      <c r="F1" s="2">
        <f>IFERROR(AVERAGEIFS(AMP6_8[[#All],[Dim 1_1]],AMP6_8[[#All],[Blade Part Number]],$B1,AMP6_8[[#All],[Date]],"&gt;"&amp;$A$1,AMP6_8[[#All],[Date]],"&lt;"&amp;$A$2),"")</f>
        <v>41.328166666666668</v>
      </c>
      <c r="G1" s="2">
        <f>IFERROR(AVERAGEIFS(AMP6_8[[#All],[Dim 1_2]],AMP6_8[[#All],[Blade Part Number]],$B1,AMP6_8[[#All],[Date]],"&gt;"&amp;$A$1,AMP6_8[[#All],[Date]],"&lt;"&amp;$A$2),"")</f>
        <v>41.431333333333335</v>
      </c>
      <c r="H1" s="2">
        <f>IFERROR(AVERAGEIFS(AMP6_8[[#All],[Dim 2_1]],AMP6_8[[#All],[Blade Part Number]],$B1,AMP6_8[[#All],[Date]],"&gt;"&amp;$A$1,AMP6_8[[#All],[Date]],"&lt;"&amp;$A$2),"")</f>
        <v>155.803</v>
      </c>
      <c r="I1" s="2">
        <f>IFERROR(AVERAGEIFS(AMP6_8[[#All],[Dim 2_2]],AMP6_8[[#All],[Blade Part Number]],$B1,AMP6_8[[#All],[Date]],"&gt;"&amp;$A$1,AMP6_8[[#All],[Date]],"&lt;"&amp;$A$2),"")</f>
        <v>155.67616666666666</v>
      </c>
      <c r="J1" s="2" t="str">
        <f>IFERROR(AVERAGEIFS(AMP6_8[[#All],[Dim 3_1]],AMP6_8[[#All],[Blade Part Number]],$B1,AMP6_8[[#All],[Date]],"&gt;"&amp;$A$1,AMP6_8[[#All],[Date]],"&lt;"&amp;$A$2),"")</f>
        <v/>
      </c>
      <c r="K1" s="2" t="str">
        <f>IFERROR(AVERAGEIFS(AMP6_8[[#All],[Dim 3_2]],AMP6_8[[#All],[Blade Part Number]],$B1,AMP6_8[[#All],[Date]],"&gt;"&amp;$A$1,AMP6_8[[#All],[Date]],"&lt;"&amp;$A$2),"")</f>
        <v/>
      </c>
      <c r="L1" s="2">
        <f>IFERROR(AVERAGEIFS(AMP6_8[[#All],[Dim 4_1]],AMP6_8[[#All],[Blade Part Number]],$B1,AMP6_8[[#All],[Date]],"&gt;"&amp;$A$1,AMP6_8[[#All],[Date]],"&lt;"&amp;$A$2),"")</f>
        <v>155.94749999999999</v>
      </c>
      <c r="M1" s="2">
        <f>IFERROR(AVERAGEIFS(AMP6_8[[#All],[Dim 4_2]],AMP6_8[[#All],[Blade Part Number]],$B1,AMP6_8[[#All],[Date]],"&gt;"&amp;$A$1,AMP6_8[[#All],[Date]],"&lt;"&amp;$A$2),"")</f>
        <v>155.66666666666666</v>
      </c>
      <c r="N1" s="2">
        <f>IFERROR(AVERAGEIFS(AMP6_8[[#All],[Dim 5_1]],AMP6_8[[#All],[Blade Part Number]],$B1,AMP6_8[[#All],[Date]],"&gt;"&amp;$A$1,AMP6_8[[#All],[Date]],"&lt;"&amp;$A$2),"")</f>
        <v>27.267499999999998</v>
      </c>
      <c r="O1" s="2">
        <f>IFERROR(AVERAGEIFS(AMP6_8[[#All],[Dim 5_2]],AMP6_8[[#All],[Blade Part Number]],$B1,AMP6_8[[#All],[Date]],"&gt;"&amp;$A$1,AMP6_8[[#All],[Date]],"&lt;"&amp;$A$2),"")</f>
        <v>27.394333333333336</v>
      </c>
      <c r="P1" s="2" t="str">
        <f>IFERROR(AVERAGEIFS(AMP6_8[[#All],[Dim 6]],AMP6_8[[#All],[Blade Part Number]],$B1,AMP6_8[[#All],[Date]],"&gt;"&amp;$A$1,AMP6_8[[#All],[Date]],"&lt;"&amp;$A$2),"")</f>
        <v/>
      </c>
      <c r="Q1" s="2" t="str">
        <f>IFERROR(AVERAGEIFS(AMP6_8[[#All],[Dim 7]],AMP6_8[[#All],[Blade Part Number]],$B1,AMP6_8[[#All],[Date]],"&gt;"&amp;$A$1,AMP6_8[[#All],[Date]],"&lt;"&amp;$A$2),"")</f>
        <v/>
      </c>
      <c r="R1" s="2">
        <f>IFERROR(AVERAGEIFS(AMP6_8[[#All],[Dim 9_1]],AMP6_8[[#All],[Blade Part Number]],$B1,AMP6_8[[#All],[Date]],"&gt;"&amp;$A$1,AMP6_8[[#All],[Date]],"&lt;"&amp;$A$2),"")</f>
        <v>17.2575</v>
      </c>
      <c r="S1" s="2">
        <f>IFERROR(AVERAGEIFS(AMP6_8[[#All],[Dim 9_2]],AMP6_8[[#All],[Blade Part Number]],$B1,AMP6_8[[#All],[Date]],"&gt;"&amp;$A$1,AMP6_8[[#All],[Date]],"&lt;"&amp;$A$2),"")</f>
        <v>17.199333333333332</v>
      </c>
      <c r="T1" s="2">
        <f>IFERROR(AVERAGEIFS(AMP6_8[[#All],[Dim 10_1]],AMP6_8[[#All],[Blade Part Number]],$B1,AMP6_8[[#All],[Date]],"&gt;"&amp;$A$1,AMP6_8[[#All],[Date]],"&lt;"&amp;$A$2),"")</f>
        <v>34.553666666666665</v>
      </c>
      <c r="U1" s="2">
        <f>IFERROR(AVERAGEIFS(AMP6_8[[#All],[Dim 10_2]],AMP6_8[[#All],[Blade Part Number]],$B1,AMP6_8[[#All],[Date]],"&gt;"&amp;$A$1,AMP6_8[[#All],[Date]],"&lt;"&amp;$A$2),"")</f>
        <v>35.007666666666672</v>
      </c>
      <c r="V1" s="2" t="str">
        <f>IFERROR(AVERAGEIFS(AMP6_8[[#All],[Dim 11]],AMP6_8[[#All],[Blade Part Number]],$B1,AMP6_8[[#All],[Date]],"&gt;"&amp;$A$1,AMP6_8[[#All],[Date]],"&lt;"&amp;$A$2),"")</f>
        <v/>
      </c>
      <c r="W1" s="2">
        <f>IFERROR(AVERAGEIFS(AMP6_8[[#All],[Dim 11 Max]],AMP6_8[[#All],[Blade Part Number]],$B1,AMP6_8[[#All],[Date]],"&gt;"&amp;$A$1,AMP6_8[[#All],[Date]],"&lt;"&amp;$A$2),"")</f>
        <v>0.12733333333333333</v>
      </c>
      <c r="X1" s="2">
        <f>IFERROR(AVERAGEIFS(AMP6_8[[#All],[Dim 11 Min]],AMP6_8[[#All],[Blade Part Number]],$B1,AMP6_8[[#All],[Date]],"&gt;"&amp;$A$1,AMP6_8[[#All],[Date]],"&lt;"&amp;$A$2),"")</f>
        <v>-4.4333333333333336E-2</v>
      </c>
      <c r="Y1" s="2" t="str">
        <f>IFERROR(AVERAGEIFS(AMP6_8[[#All],[Dim 12]],AMP6_8[[#All],[Blade Part Number]],$B1,AMP6_8[[#All],[Date]],"&gt;"&amp;$A$1,AMP6_8[[#All],[Date]],"&lt;"&amp;$A$2),"")</f>
        <v/>
      </c>
      <c r="Z1" s="2">
        <f>IFERROR(AVERAGEIFS(AMP6_8[[#All],[Dim 12 Max]],AMP6_8[[#All],[Blade Part Number]],$B1,AMP6_8[[#All],[Date]],"&gt;"&amp;$A$1,AMP6_8[[#All],[Date]],"&lt;"&amp;$A$2),"")</f>
        <v>0.1215</v>
      </c>
      <c r="AA1" s="2">
        <f>IFERROR(AVERAGEIFS(AMP6_8[[#All],[Dim 12 Min]],AMP6_8[[#All],[Blade Part Number]],$B1,AMP6_8[[#All],[Date]],"&gt;"&amp;$A$1,AMP6_8[[#All],[Date]],"&lt;"&amp;$A$2),"")</f>
        <v>-4.6666666666666662E-2</v>
      </c>
      <c r="AB1" s="2">
        <f>IFERROR(AVERAGEIFS(AMP6_8[[#All],[T 1]],AMP6_8[[#All],[Blade Part Number]],$B1,AMP6_8[[#All],[Date]],"&gt;"&amp;$A$1,AMP6_8[[#All],[Date]],"&lt;"&amp;$A$2),"")</f>
        <v>2.6666666666666666E-3</v>
      </c>
      <c r="AC1" s="2">
        <f>IFERROR(AVERAGEIFS(AMP6_8[[#All],[T 2]],AMP6_8[[#All],[Blade Part Number]],$B1,AMP6_8[[#All],[Date]],"&gt;"&amp;$A$1,AMP6_8[[#All],[Date]],"&lt;"&amp;$A$2),"")</f>
        <v>-4.6666666666666671E-3</v>
      </c>
      <c r="AD1" s="2">
        <f>IFERROR(AVERAGEIFS(AMP6_8[[#All],[T 3]],AMP6_8[[#All],[Blade Part Number]],$B1,AMP6_8[[#All],[Date]],"&gt;"&amp;$A$1,AMP6_8[[#All],[Date]],"&lt;"&amp;$A$2),"")</f>
        <v>0.12733333333333333</v>
      </c>
      <c r="AE1" s="2">
        <f>IFERROR(AVERAGEIFS(AMP6_8[[#All],[T 4]],AMP6_8[[#All],[Blade Part Number]],$B1,AMP6_8[[#All],[Date]],"&gt;"&amp;$A$1,AMP6_8[[#All],[Date]],"&lt;"&amp;$A$2),"")</f>
        <v>-1.1499999999999998E-2</v>
      </c>
      <c r="AF1" s="2">
        <f>IFERROR(AVERAGEIFS(AMP6_8[[#All],[T 5]],AMP6_8[[#All],[Blade Part Number]],$B1,AMP6_8[[#All],[Date]],"&gt;"&amp;$A$1,AMP6_8[[#All],[Date]],"&lt;"&amp;$A$2),"")</f>
        <v>-3.666666666666666E-2</v>
      </c>
      <c r="AG1" s="2">
        <f>IFERROR(AVERAGEIFS(AMP6_8[[#All],[T 6]],AMP6_8[[#All],[Blade Part Number]],$B1,AMP6_8[[#All],[Date]],"&gt;"&amp;$A$1,AMP6_8[[#All],[Date]],"&lt;"&amp;$A$2),"")</f>
        <v>-4.6666666666666662E-2</v>
      </c>
      <c r="AH1" s="2">
        <f>IFERROR(AVERAGEIFS(AMP6_8[[#All],[T 7]],AMP6_8[[#All],[Blade Part Number]],$B1,AMP6_8[[#All],[Date]],"&gt;"&amp;$A$1,AMP6_8[[#All],[Date]],"&lt;"&amp;$A$2),"")</f>
        <v>8.5000000000000006E-2</v>
      </c>
      <c r="AI1" s="2">
        <f>IFERROR(AVERAGEIFS(AMP6_8[[#All],[T 8]],AMP6_8[[#All],[Blade Part Number]],$B1,AMP6_8[[#All],[Date]],"&gt;"&amp;$A$1,AMP6_8[[#All],[Date]],"&lt;"&amp;$A$2),"")</f>
        <v>0.1215</v>
      </c>
      <c r="AJ1" s="2" t="str">
        <f>IFERROR(AVERAGEIFS(AMP6_8[[#All],[T T1_1]],AMP6_8[[#All],[Blade Part Number]],$B1,AMP6_8[[#All],[Date]],"&gt;"&amp;$A$1,AMP6_8[[#All],[Date]],"&lt;"&amp;$A$2),"")</f>
        <v/>
      </c>
      <c r="AK1" s="2" t="str">
        <f>IFERROR(AVERAGEIFS(AMP6_8[[#All],[T T1_2]],AMP6_8[[#All],[Blade Part Number]],$B1,AMP6_8[[#All],[Date]],"&gt;"&amp;$A$1,AMP6_8[[#All],[Date]],"&lt;"&amp;$A$2),"")</f>
        <v/>
      </c>
      <c r="AL1" s="2">
        <f>IFERROR(AVERAGEIFS(AMP6_8[[#All],[T T3_1]],AMP6_8[[#All],[Blade Part Number]],$B1,AMP6_8[[#All],[Date]],"&gt;"&amp;$A$1,AMP6_8[[#All],[Date]],"&lt;"&amp;$A$2),"")</f>
        <v>-0.32216666666666666</v>
      </c>
      <c r="AM1" s="2">
        <f>IFERROR(AVERAGEIFS(AMP6_8[[#All],[T T3_2]],AMP6_8[[#All],[Blade Part Number]],$B1,AMP6_8[[#All],[Date]],"&gt;"&amp;$A$1,AMP6_8[[#All],[Date]],"&lt;"&amp;$A$2),"")</f>
        <v>-0.51466666666666672</v>
      </c>
    </row>
    <row r="2" spans="1:39" x14ac:dyDescent="0.25">
      <c r="A2" s="1">
        <f>'Offset Solver'!E31</f>
        <v>73050</v>
      </c>
      <c r="B2" s="12" t="s">
        <v>31</v>
      </c>
      <c r="C2" s="25">
        <f>MAX(AMP6_8[Date])</f>
        <v>43711.778773148151</v>
      </c>
      <c r="D2" s="310"/>
      <c r="E2" s="794"/>
      <c r="F2" s="2" t="str">
        <f>IFERROR(AVERAGEIFS(AMP6_8[[#All],[Dim 1_1]],AMP6_8[[#All],[Blade Part Number]],$B2,AMP6_8[[#All],[Date]],"&gt;"&amp;$A$1,AMP6_8[[#All],[Date]],"&lt;"&amp;$A$2),"")</f>
        <v/>
      </c>
      <c r="G2" s="2" t="str">
        <f>IFERROR(AVERAGEIFS(AMP6_8[[#All],[Dim 1_2]],AMP6_8[[#All],[Blade Part Number]],$B2,AMP6_8[[#All],[Date]],"&gt;"&amp;$A$1,AMP6_8[[#All],[Date]],"&lt;"&amp;$A$2),"")</f>
        <v/>
      </c>
      <c r="H2" s="2">
        <f>IFERROR(AVERAGEIFS(AMP6_8[[#All],[Dim 2_1]],AMP6_8[[#All],[Blade Part Number]],$B2,AMP6_8[[#All],[Date]],"&gt;"&amp;$A$1,AMP6_8[[#All],[Date]],"&lt;"&amp;$A$2),"")</f>
        <v>155.84900000000002</v>
      </c>
      <c r="I2" s="2">
        <f>IFERROR(AVERAGEIFS(AMP6_8[[#All],[Dim 2_2]],AMP6_8[[#All],[Blade Part Number]],$B2,AMP6_8[[#All],[Date]],"&gt;"&amp;$A$1,AMP6_8[[#All],[Date]],"&lt;"&amp;$A$2),"")</f>
        <v>155.73649999999998</v>
      </c>
      <c r="J2" s="2">
        <f>IFERROR(AVERAGEIFS(AMP6_8[[#All],[Dim 3_1]],AMP6_8[[#All],[Blade Part Number]],$B2,AMP6_8[[#All],[Date]],"&gt;"&amp;$A$1,AMP6_8[[#All],[Date]],"&lt;"&amp;$A$2),"")</f>
        <v>168.69216666666668</v>
      </c>
      <c r="K2" s="2">
        <f>IFERROR(AVERAGEIFS(AMP6_8[[#All],[Dim 3_2]],AMP6_8[[#All],[Blade Part Number]],$B2,AMP6_8[[#All],[Date]],"&gt;"&amp;$A$1,AMP6_8[[#All],[Date]],"&lt;"&amp;$A$2),"")</f>
        <v>168.72833333333335</v>
      </c>
      <c r="L2" s="2">
        <f>IFERROR(AVERAGEIFS(AMP6_8[[#All],[Dim 4_1]],AMP6_8[[#All],[Blade Part Number]],$B2,AMP6_8[[#All],[Date]],"&gt;"&amp;$A$1,AMP6_8[[#All],[Date]],"&lt;"&amp;$A$2),"")</f>
        <v>155.92166666666665</v>
      </c>
      <c r="M2" s="2">
        <f>IFERROR(AVERAGEIFS(AMP6_8[[#All],[Dim 4_2]],AMP6_8[[#All],[Blade Part Number]],$B2,AMP6_8[[#All],[Date]],"&gt;"&amp;$A$1,AMP6_8[[#All],[Date]],"&lt;"&amp;$A$2),"")</f>
        <v>155.71133333333333</v>
      </c>
      <c r="N2" s="2">
        <f>IFERROR(AVERAGEIFS(AMP6_8[[#All],[Dim 5_1]],AMP6_8[[#All],[Blade Part Number]],$B2,AMP6_8[[#All],[Date]],"&gt;"&amp;$A$1,AMP6_8[[#All],[Date]],"&lt;"&amp;$A$2),"")</f>
        <v>27.294666666666672</v>
      </c>
      <c r="O2" s="2">
        <f>IFERROR(AVERAGEIFS(AMP6_8[[#All],[Dim 5_2]],AMP6_8[[#All],[Blade Part Number]],$B2,AMP6_8[[#All],[Date]],"&gt;"&amp;$A$1,AMP6_8[[#All],[Date]],"&lt;"&amp;$A$2),"")</f>
        <v>27.480499999999996</v>
      </c>
      <c r="P2" s="2" t="str">
        <f>IFERROR(AVERAGEIFS(AMP6_8[[#All],[Dim 6]],AMP6_8[[#All],[Blade Part Number]],$B2,AMP6_8[[#All],[Date]],"&gt;"&amp;$A$1,AMP6_8[[#All],[Date]],"&lt;"&amp;$A$2),"")</f>
        <v/>
      </c>
      <c r="Q2" s="2" t="str">
        <f>IFERROR(AVERAGEIFS(AMP6_8[[#All],[Dim 7]],AMP6_8[[#All],[Blade Part Number]],$B2,AMP6_8[[#All],[Date]],"&gt;"&amp;$A$1,AMP6_8[[#All],[Date]],"&lt;"&amp;$A$2),"")</f>
        <v/>
      </c>
      <c r="R2" s="2">
        <f>IFERROR(AVERAGEIFS(AMP6_8[[#All],[Dim 9_1]],AMP6_8[[#All],[Blade Part Number]],$B2,AMP6_8[[#All],[Date]],"&gt;"&amp;$A$1,AMP6_8[[#All],[Date]],"&lt;"&amp;$A$2),"")</f>
        <v>17.220666666666666</v>
      </c>
      <c r="S2" s="2">
        <f>IFERROR(AVERAGEIFS(AMP6_8[[#All],[Dim 9_2]],AMP6_8[[#All],[Blade Part Number]],$B2,AMP6_8[[#All],[Date]],"&gt;"&amp;$A$1,AMP6_8[[#All],[Date]],"&lt;"&amp;$A$2),"")</f>
        <v>17.284500000000005</v>
      </c>
      <c r="T2" s="2">
        <f>IFERROR(AVERAGEIFS(AMP6_8[[#All],[Dim 10_1]],AMP6_8[[#All],[Blade Part Number]],$B2,AMP6_8[[#All],[Date]],"&gt;"&amp;$A$1,AMP6_8[[#All],[Date]],"&lt;"&amp;$A$2),"")</f>
        <v>38.220166666666671</v>
      </c>
      <c r="U2" s="2">
        <f>IFERROR(AVERAGEIFS(AMP6_8[[#All],[Dim 10_2]],AMP6_8[[#All],[Blade Part Number]],$B2,AMP6_8[[#All],[Date]],"&gt;"&amp;$A$1,AMP6_8[[#All],[Date]],"&lt;"&amp;$A$2),"")</f>
        <v>38.346166666666669</v>
      </c>
      <c r="V2" s="2" t="str">
        <f>IFERROR(AVERAGEIFS(AMP6_8[[#All],[Dim 11]],AMP6_8[[#All],[Blade Part Number]],$B2,AMP6_8[[#All],[Date]],"&gt;"&amp;$A$1,AMP6_8[[#All],[Date]],"&lt;"&amp;$A$2),"")</f>
        <v/>
      </c>
      <c r="W2" s="2">
        <f>IFERROR(AVERAGEIFS(AMP6_8[[#All],[Dim 11 Max]],AMP6_8[[#All],[Blade Part Number]],$B2,AMP6_8[[#All],[Date]],"&gt;"&amp;$A$1,AMP6_8[[#All],[Date]],"&lt;"&amp;$A$2),"")</f>
        <v>-3.5000000000000001E-3</v>
      </c>
      <c r="X2" s="2">
        <f>IFERROR(AVERAGEIFS(AMP6_8[[#All],[Dim 11 Min]],AMP6_8[[#All],[Blade Part Number]],$B2,AMP6_8[[#All],[Date]],"&gt;"&amp;$A$1,AMP6_8[[#All],[Date]],"&lt;"&amp;$A$2),"")</f>
        <v>-0.14849999999999999</v>
      </c>
      <c r="Y2" s="2" t="str">
        <f>IFERROR(AVERAGEIFS(AMP6_8[[#All],[Dim 12]],AMP6_8[[#All],[Blade Part Number]],$B2,AMP6_8[[#All],[Date]],"&gt;"&amp;$A$1,AMP6_8[[#All],[Date]],"&lt;"&amp;$A$2),"")</f>
        <v/>
      </c>
      <c r="Z2" s="2">
        <f>IFERROR(AVERAGEIFS(AMP6_8[[#All],[Dim 12 Max]],AMP6_8[[#All],[Blade Part Number]],$B2,AMP6_8[[#All],[Date]],"&gt;"&amp;$A$1,AMP6_8[[#All],[Date]],"&lt;"&amp;$A$2),"")</f>
        <v>0.11433333333333334</v>
      </c>
      <c r="AA2" s="2">
        <f>IFERROR(AVERAGEIFS(AMP6_8[[#All],[Dim 12 Min]],AMP6_8[[#All],[Blade Part Number]],$B2,AMP6_8[[#All],[Date]],"&gt;"&amp;$A$1,AMP6_8[[#All],[Date]],"&lt;"&amp;$A$2),"")</f>
        <v>6.466666666666665E-2</v>
      </c>
      <c r="AB2" s="2">
        <f>IFERROR(AVERAGEIFS(AMP6_8[[#All],[T 1]],AMP6_8[[#All],[Blade Part Number]],$B2,AMP6_8[[#All],[Date]],"&gt;"&amp;$A$1,AMP6_8[[#All],[Date]],"&lt;"&amp;$A$2),"")</f>
        <v>-5.9999999999999993E-3</v>
      </c>
      <c r="AC2" s="2">
        <f>IFERROR(AVERAGEIFS(AMP6_8[[#All],[T 2]],AMP6_8[[#All],[Blade Part Number]],$B2,AMP6_8[[#All],[Date]],"&gt;"&amp;$A$1,AMP6_8[[#All],[Date]],"&lt;"&amp;$A$2),"")</f>
        <v>-6.4500000000000002E-2</v>
      </c>
      <c r="AD2" s="2">
        <f>IFERROR(AVERAGEIFS(AMP6_8[[#All],[T 3]],AMP6_8[[#All],[Blade Part Number]],$B2,AMP6_8[[#All],[Date]],"&gt;"&amp;$A$1,AMP6_8[[#All],[Date]],"&lt;"&amp;$A$2),"")</f>
        <v>-3.1833333333333332E-2</v>
      </c>
      <c r="AE2" s="2">
        <f>IFERROR(AVERAGEIFS(AMP6_8[[#All],[T 4]],AMP6_8[[#All],[Blade Part Number]],$B2,AMP6_8[[#All],[Date]],"&gt;"&amp;$A$1,AMP6_8[[#All],[Date]],"&lt;"&amp;$A$2),"")</f>
        <v>-0.14849999999999999</v>
      </c>
      <c r="AF2" s="2">
        <f>IFERROR(AVERAGEIFS(AMP6_8[[#All],[T 5]],AMP6_8[[#All],[Blade Part Number]],$B2,AMP6_8[[#All],[Date]],"&gt;"&amp;$A$1,AMP6_8[[#All],[Date]],"&lt;"&amp;$A$2),"")</f>
        <v>9.9666666666666681E-2</v>
      </c>
      <c r="AG2" s="2">
        <f>IFERROR(AVERAGEIFS(AMP6_8[[#All],[T 6]],AMP6_8[[#All],[Blade Part Number]],$B2,AMP6_8[[#All],[Date]],"&gt;"&amp;$A$1,AMP6_8[[#All],[Date]],"&lt;"&amp;$A$2),"")</f>
        <v>9.6833333333333327E-2</v>
      </c>
      <c r="AH2" s="2">
        <f>IFERROR(AVERAGEIFS(AMP6_8[[#All],[T 7]],AMP6_8[[#All],[Blade Part Number]],$B2,AMP6_8[[#All],[Date]],"&gt;"&amp;$A$1,AMP6_8[[#All],[Date]],"&lt;"&amp;$A$2),"")</f>
        <v>6.8500000000000005E-2</v>
      </c>
      <c r="AI2" s="2">
        <f>IFERROR(AVERAGEIFS(AMP6_8[[#All],[T 8]],AMP6_8[[#All],[Blade Part Number]],$B2,AMP6_8[[#All],[Date]],"&gt;"&amp;$A$1,AMP6_8[[#All],[Date]],"&lt;"&amp;$A$2),"")</f>
        <v>0.10383333333333335</v>
      </c>
      <c r="AJ2" s="2">
        <f>IFERROR(AVERAGEIFS(AMP6_8[[#All],[T T1_1]],AMP6_8[[#All],[Blade Part Number]],$B2,AMP6_8[[#All],[Date]],"&gt;"&amp;$A$1,AMP6_8[[#All],[Date]],"&lt;"&amp;$A$2),"")</f>
        <v>0.4951666666666667</v>
      </c>
      <c r="AK2" s="2">
        <f>IFERROR(AVERAGEIFS(AMP6_8[[#All],[T T1_2]],AMP6_8[[#All],[Blade Part Number]],$B2,AMP6_8[[#All],[Date]],"&gt;"&amp;$A$1,AMP6_8[[#All],[Date]],"&lt;"&amp;$A$2),"")</f>
        <v>0.35816666666666658</v>
      </c>
      <c r="AL2" s="2" t="str">
        <f>IFERROR(AVERAGEIFS(AMP6_8[[#All],[T T3_1]],AMP6_8[[#All],[Blade Part Number]],$B2,AMP6_8[[#All],[Date]],"&gt;"&amp;$A$1,AMP6_8[[#All],[Date]],"&lt;"&amp;$A$2),"")</f>
        <v/>
      </c>
      <c r="AM2" s="2" t="str">
        <f>IFERROR(AVERAGEIFS(AMP6_8[[#All],[T T3_2]],AMP6_8[[#All],[Blade Part Number]],$B2,AMP6_8[[#All],[Date]],"&gt;"&amp;$A$1,AMP6_8[[#All],[Date]],"&lt;"&amp;$A$2),"")</f>
        <v/>
      </c>
    </row>
    <row r="3" spans="1:39" x14ac:dyDescent="0.25">
      <c r="E3" s="732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9" x14ac:dyDescent="0.25">
      <c r="E4" s="732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9" x14ac:dyDescent="0.25">
      <c r="E5" s="732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9" x14ac:dyDescent="0.25">
      <c r="C6" s="26"/>
      <c r="D6" s="311"/>
      <c r="E6" s="12" t="s">
        <v>32</v>
      </c>
      <c r="F6" s="11">
        <f t="shared" ref="F6:AI6" si="0">IFERROR(F1-F3,"")</f>
        <v>2.8166666666670892E-2</v>
      </c>
      <c r="G6" s="11">
        <f t="shared" si="0"/>
        <v>0.13133333333333752</v>
      </c>
      <c r="H6" s="11">
        <f t="shared" si="0"/>
        <v>2.9999999999859028E-3</v>
      </c>
      <c r="I6" s="11">
        <f t="shared" si="0"/>
        <v>-0.12383333333335145</v>
      </c>
      <c r="J6" s="11" t="str">
        <f t="shared" si="0"/>
        <v/>
      </c>
      <c r="K6" s="11" t="str">
        <f t="shared" si="0"/>
        <v/>
      </c>
      <c r="L6" s="11">
        <f t="shared" si="0"/>
        <v>0.14749999999997954</v>
      </c>
      <c r="M6" s="11">
        <f t="shared" si="0"/>
        <v>-0.13333333333335418</v>
      </c>
      <c r="N6" s="11">
        <f t="shared" si="0"/>
        <v>-0.13250000000000028</v>
      </c>
      <c r="O6" s="11">
        <f t="shared" si="0"/>
        <v>-5.6666666666629339E-3</v>
      </c>
      <c r="P6" s="11" t="str">
        <f t="shared" si="0"/>
        <v/>
      </c>
      <c r="Q6" s="11" t="str">
        <f t="shared" si="0"/>
        <v/>
      </c>
      <c r="R6" s="11">
        <f t="shared" si="0"/>
        <v>7.5000000000002842E-3</v>
      </c>
      <c r="S6" s="11">
        <f t="shared" si="0"/>
        <v>-5.0666666666668192E-2</v>
      </c>
      <c r="T6" s="11">
        <f t="shared" si="0"/>
        <v>2.5536666666666648</v>
      </c>
      <c r="U6" s="11">
        <f t="shared" si="0"/>
        <v>3.0076666666666725</v>
      </c>
      <c r="V6" s="11" t="str">
        <f t="shared" si="0"/>
        <v/>
      </c>
      <c r="W6" s="11">
        <f t="shared" si="0"/>
        <v>0.12733333333333333</v>
      </c>
      <c r="X6" s="11">
        <f t="shared" si="0"/>
        <v>-4.4333333333333336E-2</v>
      </c>
      <c r="Y6" s="11" t="str">
        <f t="shared" si="0"/>
        <v/>
      </c>
      <c r="Z6" s="11">
        <f t="shared" si="0"/>
        <v>0.1215</v>
      </c>
      <c r="AA6" s="11">
        <f t="shared" si="0"/>
        <v>-4.6666666666666662E-2</v>
      </c>
      <c r="AB6" s="11">
        <f t="shared" si="0"/>
        <v>2.6666666666666666E-3</v>
      </c>
      <c r="AC6" s="11">
        <f t="shared" si="0"/>
        <v>-4.6666666666666671E-3</v>
      </c>
      <c r="AD6" s="11">
        <f t="shared" si="0"/>
        <v>0.12733333333333333</v>
      </c>
      <c r="AE6" s="11">
        <f t="shared" si="0"/>
        <v>-1.1499999999999998E-2</v>
      </c>
      <c r="AF6" s="11">
        <f t="shared" si="0"/>
        <v>-3.666666666666666E-2</v>
      </c>
      <c r="AG6" s="11">
        <f t="shared" si="0"/>
        <v>-4.6666666666666662E-2</v>
      </c>
      <c r="AH6" s="11">
        <f t="shared" si="0"/>
        <v>8.5000000000000006E-2</v>
      </c>
      <c r="AI6" s="11">
        <f t="shared" si="0"/>
        <v>0.1215</v>
      </c>
      <c r="AJ6" s="11"/>
      <c r="AK6" s="11"/>
      <c r="AL6" s="11"/>
      <c r="AM6" s="11"/>
    </row>
    <row r="7" spans="1:39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4.9000000000006594E-2</v>
      </c>
      <c r="I7" s="11">
        <f t="shared" si="1"/>
        <v>-6.3500000000033197E-2</v>
      </c>
      <c r="J7" s="11">
        <f t="shared" si="1"/>
        <v>-7.8333333333091559E-3</v>
      </c>
      <c r="K7" s="11">
        <f t="shared" si="1"/>
        <v>2.8333333333364408E-2</v>
      </c>
      <c r="L7" s="11">
        <f t="shared" si="1"/>
        <v>0.12166666666664128</v>
      </c>
      <c r="M7" s="11">
        <f t="shared" si="1"/>
        <v>-8.8666666666682659E-2</v>
      </c>
      <c r="N7" s="11">
        <f t="shared" si="1"/>
        <v>-0.10533333333332706</v>
      </c>
      <c r="O7" s="11">
        <f t="shared" si="1"/>
        <v>8.0499999999997129E-2</v>
      </c>
      <c r="P7" s="11" t="str">
        <f t="shared" si="1"/>
        <v/>
      </c>
      <c r="Q7" s="11" t="str">
        <f t="shared" si="1"/>
        <v/>
      </c>
      <c r="R7" s="11">
        <f t="shared" si="1"/>
        <v>-2.9333333333333655E-2</v>
      </c>
      <c r="S7" s="11">
        <f t="shared" si="1"/>
        <v>3.450000000000486E-2</v>
      </c>
      <c r="T7" s="11">
        <f t="shared" si="1"/>
        <v>6.2201666666666711</v>
      </c>
      <c r="U7" s="11">
        <f t="shared" si="1"/>
        <v>6.3461666666666687</v>
      </c>
      <c r="V7" s="11" t="str">
        <f t="shared" si="1"/>
        <v/>
      </c>
      <c r="W7" s="11">
        <f t="shared" si="1"/>
        <v>-3.5000000000000001E-3</v>
      </c>
      <c r="X7" s="11">
        <f t="shared" si="1"/>
        <v>-0.14849999999999999</v>
      </c>
      <c r="Y7" s="11" t="str">
        <f t="shared" si="1"/>
        <v/>
      </c>
      <c r="Z7" s="11">
        <f t="shared" si="1"/>
        <v>0.11433333333333334</v>
      </c>
      <c r="AA7" s="11">
        <f t="shared" si="1"/>
        <v>6.466666666666665E-2</v>
      </c>
      <c r="AB7" s="11">
        <f t="shared" si="1"/>
        <v>-5.9999999999999993E-3</v>
      </c>
      <c r="AC7" s="11">
        <f t="shared" si="1"/>
        <v>-6.4500000000000002E-2</v>
      </c>
      <c r="AD7" s="11">
        <f t="shared" si="1"/>
        <v>-3.1833333333333332E-2</v>
      </c>
      <c r="AE7" s="11">
        <f t="shared" si="1"/>
        <v>-0.14849999999999999</v>
      </c>
      <c r="AF7" s="11">
        <f t="shared" si="1"/>
        <v>9.9666666666666681E-2</v>
      </c>
      <c r="AG7" s="11">
        <f t="shared" si="1"/>
        <v>9.6833333333333327E-2</v>
      </c>
      <c r="AH7" s="11">
        <f t="shared" si="1"/>
        <v>6.8500000000000005E-2</v>
      </c>
      <c r="AI7" s="11">
        <f t="shared" si="1"/>
        <v>0.10383333333333335</v>
      </c>
      <c r="AJ7" s="11"/>
      <c r="AK7" s="11"/>
      <c r="AL7" s="11"/>
      <c r="AM7" s="11"/>
    </row>
    <row r="8" spans="1:39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  <c r="AJ8" t="s">
        <v>2240</v>
      </c>
      <c r="AK8" t="s">
        <v>2241</v>
      </c>
      <c r="AL8" t="s">
        <v>2242</v>
      </c>
      <c r="AM8" t="s">
        <v>2243</v>
      </c>
    </row>
    <row r="9" spans="1:39" ht="15" customHeight="1" x14ac:dyDescent="0.25">
      <c r="A9" t="s">
        <v>2237</v>
      </c>
      <c r="B9" t="s">
        <v>32</v>
      </c>
      <c r="C9" s="25">
        <v>43706.613819444443</v>
      </c>
      <c r="D9" s="741" t="s">
        <v>2238</v>
      </c>
      <c r="E9" s="741">
        <f t="array" ref="E9">SUMPRODUCT(IF(AMP6_8[[#This Row],[Dim 1_1]:[T 8]]-$F$4:$AI$4&lt;0,1,0)+IF($F$5:$AI$5-AMP6_8[[#This Row],[Dim 1_1]:[T 8]]&lt;0,1,0),IF(ISNUMBER(AMP6_8[[#This Row],[Dim 1_1]:[T 8]])=TRUE,1,0))</f>
        <v>2</v>
      </c>
      <c r="F9">
        <v>42.115000000000002</v>
      </c>
      <c r="G9">
        <v>42.316000000000003</v>
      </c>
      <c r="H9">
        <v>155.684</v>
      </c>
      <c r="I9">
        <v>155.423</v>
      </c>
      <c r="L9">
        <v>156.18199999999999</v>
      </c>
      <c r="M9">
        <v>155.87799999999999</v>
      </c>
      <c r="N9">
        <v>27.077999999999999</v>
      </c>
      <c r="O9">
        <v>27.288</v>
      </c>
      <c r="R9">
        <v>17.265999999999998</v>
      </c>
      <c r="S9">
        <v>17.234000000000002</v>
      </c>
      <c r="T9">
        <v>34.606999999999999</v>
      </c>
      <c r="U9">
        <v>34.853000000000002</v>
      </c>
      <c r="W9">
        <v>0.14299999999999999</v>
      </c>
      <c r="X9">
        <v>2.5999999999999999E-2</v>
      </c>
      <c r="Z9">
        <v>0.30399999999999999</v>
      </c>
      <c r="AA9">
        <v>0.26100000000000001</v>
      </c>
      <c r="AB9">
        <v>0.121</v>
      </c>
      <c r="AC9">
        <v>0.11899999999999999</v>
      </c>
      <c r="AD9">
        <v>0.14299999999999999</v>
      </c>
      <c r="AE9">
        <v>2.5999999999999999E-2</v>
      </c>
      <c r="AF9">
        <v>0.26700000000000002</v>
      </c>
      <c r="AG9">
        <v>0.26100000000000001</v>
      </c>
      <c r="AH9">
        <v>0.27800000000000002</v>
      </c>
      <c r="AI9">
        <v>0.30399999999999999</v>
      </c>
      <c r="AL9">
        <v>-0.23799999999999999</v>
      </c>
      <c r="AM9">
        <v>-0.54200000000000004</v>
      </c>
    </row>
    <row r="10" spans="1:39" x14ac:dyDescent="0.25">
      <c r="A10" t="s">
        <v>2239</v>
      </c>
      <c r="B10" t="s">
        <v>31</v>
      </c>
      <c r="C10" s="25">
        <v>43706.616631944446</v>
      </c>
      <c r="D10" s="741" t="s">
        <v>2238</v>
      </c>
      <c r="E10" s="741">
        <f t="array" ref="E10">SUMPRODUCT(IF(AMP6_8[[#This Row],[Dim 1_1]:[T 8]]-$F$4:$AI$4&lt;0,1,0)+IF($F$5:$AI$5-AMP6_8[[#This Row],[Dim 1_1]:[T 8]]&lt;0,1,0),IF(ISNUMBER(AMP6_8[[#This Row],[Dim 1_1]:[T 8]])=TRUE,1,0))</f>
        <v>2</v>
      </c>
      <c r="H10">
        <v>156.05600000000001</v>
      </c>
      <c r="I10">
        <v>155.95500000000001</v>
      </c>
      <c r="J10">
        <v>169.922</v>
      </c>
      <c r="K10">
        <v>170.09700000000001</v>
      </c>
      <c r="L10">
        <v>156.12200000000001</v>
      </c>
      <c r="M10">
        <v>156.11600000000001</v>
      </c>
      <c r="N10">
        <v>27.094999999999999</v>
      </c>
      <c r="O10">
        <v>27.158000000000001</v>
      </c>
      <c r="R10">
        <v>17.238</v>
      </c>
      <c r="S10">
        <v>17.3</v>
      </c>
      <c r="T10">
        <v>37.584000000000003</v>
      </c>
      <c r="U10">
        <v>37.61</v>
      </c>
      <c r="W10">
        <v>3.9E-2</v>
      </c>
      <c r="X10">
        <v>-7.0999999999999994E-2</v>
      </c>
      <c r="Z10">
        <v>0.56100000000000005</v>
      </c>
      <c r="AA10">
        <v>0.52600000000000002</v>
      </c>
      <c r="AB10">
        <v>3.9E-2</v>
      </c>
      <c r="AC10">
        <v>-0.02</v>
      </c>
      <c r="AD10">
        <v>1E-3</v>
      </c>
      <c r="AE10">
        <v>-7.0999999999999994E-2</v>
      </c>
      <c r="AF10">
        <v>0.56100000000000005</v>
      </c>
      <c r="AG10">
        <v>0.55300000000000005</v>
      </c>
      <c r="AH10">
        <v>0.53500000000000003</v>
      </c>
      <c r="AI10">
        <v>0.52600000000000002</v>
      </c>
      <c r="AJ10">
        <v>-0.186</v>
      </c>
      <c r="AK10">
        <v>-1E-3</v>
      </c>
    </row>
    <row r="11" spans="1:39" ht="15" customHeight="1" x14ac:dyDescent="0.25">
      <c r="A11" t="s">
        <v>2770</v>
      </c>
      <c r="B11" t="s">
        <v>32</v>
      </c>
      <c r="C11" s="25">
        <v>43711.580231481479</v>
      </c>
      <c r="D11" s="741" t="s">
        <v>2238</v>
      </c>
      <c r="E11" s="741">
        <f t="array" ref="E11">SUMPRODUCT(IF(AMP6_8[[#This Row],[Dim 1_1]:[T 8]]-$F$4:$AI$4&lt;0,1,0)+IF($F$5:$AI$5-AMP6_8[[#This Row],[Dim 1_1]:[T 8]]&lt;0,1,0),IF(ISNUMBER(AMP6_8[[#This Row],[Dim 1_1]:[T 8]])=TRUE,1,0))</f>
        <v>0</v>
      </c>
      <c r="F11">
        <v>41.171999999999997</v>
      </c>
      <c r="G11">
        <v>41.223999999999997</v>
      </c>
      <c r="H11">
        <v>155.81</v>
      </c>
      <c r="I11">
        <v>155.80000000000001</v>
      </c>
      <c r="L11">
        <v>155.886</v>
      </c>
      <c r="M11">
        <v>155.71600000000001</v>
      </c>
      <c r="N11">
        <v>27.329000000000001</v>
      </c>
      <c r="O11">
        <v>27.329000000000001</v>
      </c>
      <c r="R11">
        <v>17.265999999999998</v>
      </c>
      <c r="S11">
        <v>17.263000000000002</v>
      </c>
      <c r="T11">
        <v>34.683</v>
      </c>
      <c r="U11">
        <v>35.090000000000003</v>
      </c>
      <c r="W11">
        <v>3.3000000000000002E-2</v>
      </c>
      <c r="X11">
        <v>-0.123</v>
      </c>
      <c r="Z11">
        <v>4.3999999999999997E-2</v>
      </c>
      <c r="AA11">
        <v>-5.2999999999999999E-2</v>
      </c>
      <c r="AB11">
        <v>-1.7000000000000001E-2</v>
      </c>
      <c r="AC11">
        <v>-2.1000000000000001E-2</v>
      </c>
      <c r="AD11">
        <v>3.3000000000000002E-2</v>
      </c>
      <c r="AE11">
        <v>-0.123</v>
      </c>
      <c r="AF11">
        <v>-0.04</v>
      </c>
      <c r="AG11">
        <v>-5.2999999999999999E-2</v>
      </c>
      <c r="AH11">
        <v>2.5000000000000001E-2</v>
      </c>
      <c r="AI11">
        <v>4.3999999999999997E-2</v>
      </c>
      <c r="AL11">
        <v>-0.41099999999999998</v>
      </c>
      <c r="AM11">
        <v>-0.48799999999999999</v>
      </c>
    </row>
    <row r="12" spans="1:39" x14ac:dyDescent="0.25">
      <c r="A12" t="s">
        <v>2771</v>
      </c>
      <c r="B12" t="s">
        <v>31</v>
      </c>
      <c r="C12" s="25">
        <v>43711.584236111114</v>
      </c>
      <c r="D12" s="741" t="s">
        <v>2238</v>
      </c>
      <c r="E12" s="741">
        <f t="array" ref="E12">SUMPRODUCT(IF(AMP6_8[[#This Row],[Dim 1_1]:[T 8]]-$F$4:$AI$4&lt;0,1,0)+IF($F$5:$AI$5-AMP6_8[[#This Row],[Dim 1_1]:[T 8]]&lt;0,1,0),IF(ISNUMBER(AMP6_8[[#This Row],[Dim 1_1]:[T 8]])=TRUE,1,0))</f>
        <v>0</v>
      </c>
      <c r="H12">
        <v>155.81200000000001</v>
      </c>
      <c r="I12">
        <v>155.696</v>
      </c>
      <c r="J12">
        <v>168.50700000000001</v>
      </c>
      <c r="K12">
        <v>168.511</v>
      </c>
      <c r="L12">
        <v>155.88999999999999</v>
      </c>
      <c r="M12">
        <v>155.63</v>
      </c>
      <c r="N12">
        <v>27.327999999999999</v>
      </c>
      <c r="O12">
        <v>27.548999999999999</v>
      </c>
      <c r="R12">
        <v>17.219000000000001</v>
      </c>
      <c r="S12">
        <v>17.329000000000001</v>
      </c>
      <c r="T12">
        <v>37.578000000000003</v>
      </c>
      <c r="U12">
        <v>37.817999999999998</v>
      </c>
      <c r="W12">
        <v>1.4999999999999999E-2</v>
      </c>
      <c r="X12">
        <v>-0.112</v>
      </c>
      <c r="Z12">
        <v>1.7999999999999999E-2</v>
      </c>
      <c r="AA12">
        <v>-2.4E-2</v>
      </c>
      <c r="AB12">
        <v>0</v>
      </c>
      <c r="AC12">
        <v>-6.0999999999999999E-2</v>
      </c>
      <c r="AD12">
        <v>1.4999999999999999E-2</v>
      </c>
      <c r="AE12">
        <v>-0.112</v>
      </c>
      <c r="AF12">
        <v>-1.2999999999999999E-2</v>
      </c>
      <c r="AG12">
        <v>-2.4E-2</v>
      </c>
      <c r="AH12">
        <v>-0.01</v>
      </c>
      <c r="AI12">
        <v>1.7999999999999999E-2</v>
      </c>
      <c r="AJ12">
        <v>0.434</v>
      </c>
      <c r="AK12">
        <v>0.29599999999999999</v>
      </c>
    </row>
    <row r="13" spans="1:39" ht="15" customHeight="1" x14ac:dyDescent="0.25">
      <c r="A13" t="s">
        <v>2772</v>
      </c>
      <c r="B13" t="s">
        <v>32</v>
      </c>
      <c r="C13" s="25">
        <v>43711.687048611115</v>
      </c>
      <c r="D13" s="741" t="s">
        <v>2238</v>
      </c>
      <c r="E13" s="741">
        <f t="array" ref="E13">SUMPRODUCT(IF(AMP6_8[[#This Row],[Dim 1_1]:[T 8]]-$F$4:$AI$4&lt;0,1,0)+IF($F$5:$AI$5-AMP6_8[[#This Row],[Dim 1_1]:[T 8]]&lt;0,1,0),IF(ISNUMBER(AMP6_8[[#This Row],[Dim 1_1]:[T 8]])=TRUE,1,0))</f>
        <v>0</v>
      </c>
      <c r="F13">
        <v>41.277999999999999</v>
      </c>
      <c r="G13">
        <v>41.27</v>
      </c>
      <c r="H13">
        <v>155.84</v>
      </c>
      <c r="I13">
        <v>155.77099999999999</v>
      </c>
      <c r="L13">
        <v>155.91</v>
      </c>
      <c r="M13">
        <v>155.67599999999999</v>
      </c>
      <c r="N13">
        <v>27.297999999999998</v>
      </c>
      <c r="O13">
        <v>27.353999999999999</v>
      </c>
      <c r="R13">
        <v>17.260000000000002</v>
      </c>
      <c r="S13">
        <v>17.195</v>
      </c>
      <c r="T13">
        <v>34.529000000000003</v>
      </c>
      <c r="U13">
        <v>34.832000000000001</v>
      </c>
      <c r="W13">
        <v>0.16800000000000001</v>
      </c>
      <c r="X13">
        <v>0</v>
      </c>
      <c r="Z13">
        <v>0.186</v>
      </c>
      <c r="AA13">
        <v>-7.0000000000000001E-3</v>
      </c>
      <c r="AB13">
        <v>6.0000000000000001E-3</v>
      </c>
      <c r="AC13">
        <v>0</v>
      </c>
      <c r="AD13">
        <v>0.16800000000000001</v>
      </c>
      <c r="AE13">
        <v>4.1000000000000002E-2</v>
      </c>
      <c r="AF13">
        <v>2E-3</v>
      </c>
      <c r="AG13">
        <v>-7.0000000000000001E-3</v>
      </c>
      <c r="AH13">
        <v>0.13700000000000001</v>
      </c>
      <c r="AI13">
        <v>0.186</v>
      </c>
      <c r="AL13">
        <v>-0.47799999999999998</v>
      </c>
      <c r="AM13">
        <v>-0.629</v>
      </c>
    </row>
    <row r="14" spans="1:39" x14ac:dyDescent="0.25">
      <c r="A14" t="s">
        <v>2773</v>
      </c>
      <c r="B14" t="s">
        <v>31</v>
      </c>
      <c r="C14" s="25">
        <v>43711.689583333333</v>
      </c>
      <c r="D14" s="741" t="s">
        <v>2238</v>
      </c>
      <c r="E14" s="741">
        <f t="array" ref="E14">SUMPRODUCT(IF(AMP6_8[[#This Row],[Dim 1_1]:[T 8]]-$F$4:$AI$4&lt;0,1,0)+IF($F$5:$AI$5-AMP6_8[[#This Row],[Dim 1_1]:[T 8]]&lt;0,1,0),IF(ISNUMBER(AMP6_8[[#This Row],[Dim 1_1]:[T 8]])=TRUE,1,0))</f>
        <v>0</v>
      </c>
      <c r="H14">
        <v>155.81100000000001</v>
      </c>
      <c r="I14">
        <v>155.68700000000001</v>
      </c>
      <c r="J14">
        <v>168.279</v>
      </c>
      <c r="K14">
        <v>168.25200000000001</v>
      </c>
      <c r="L14">
        <v>155.893</v>
      </c>
      <c r="M14">
        <v>155.619</v>
      </c>
      <c r="N14">
        <v>27.323</v>
      </c>
      <c r="O14">
        <v>27.561</v>
      </c>
      <c r="R14">
        <v>17.219000000000001</v>
      </c>
      <c r="S14">
        <v>17.283000000000001</v>
      </c>
      <c r="T14">
        <v>39.502000000000002</v>
      </c>
      <c r="U14">
        <v>39.630000000000003</v>
      </c>
      <c r="W14">
        <v>-2E-3</v>
      </c>
      <c r="X14">
        <v>-0.14799999999999999</v>
      </c>
      <c r="Z14">
        <v>1.6E-2</v>
      </c>
      <c r="AA14">
        <v>-1.2999999999999999E-2</v>
      </c>
      <c r="AB14">
        <v>-2E-3</v>
      </c>
      <c r="AC14">
        <v>-6.5000000000000002E-2</v>
      </c>
      <c r="AD14">
        <v>-0.03</v>
      </c>
      <c r="AE14">
        <v>-0.14799999999999999</v>
      </c>
      <c r="AF14">
        <v>1.6E-2</v>
      </c>
      <c r="AG14">
        <v>8.9999999999999993E-3</v>
      </c>
      <c r="AH14">
        <v>-1.2999999999999999E-2</v>
      </c>
      <c r="AI14">
        <v>1.2E-2</v>
      </c>
      <c r="AJ14">
        <v>0.55000000000000004</v>
      </c>
      <c r="AK14">
        <v>0.39900000000000002</v>
      </c>
    </row>
    <row r="15" spans="1:39" ht="15" customHeight="1" x14ac:dyDescent="0.25">
      <c r="A15" t="s">
        <v>2774</v>
      </c>
      <c r="B15" t="s">
        <v>32</v>
      </c>
      <c r="C15" s="25">
        <v>43711.691874999997</v>
      </c>
      <c r="D15" s="741" t="s">
        <v>2238</v>
      </c>
      <c r="E15" s="741">
        <f t="array" ref="E15">SUMPRODUCT(IF(AMP6_8[[#This Row],[Dim 1_1]:[T 8]]-$F$4:$AI$4&lt;0,1,0)+IF($F$5:$AI$5-AMP6_8[[#This Row],[Dim 1_1]:[T 8]]&lt;0,1,0),IF(ISNUMBER(AMP6_8[[#This Row],[Dim 1_1]:[T 8]])=TRUE,1,0))</f>
        <v>0</v>
      </c>
      <c r="F15">
        <v>41.134999999999998</v>
      </c>
      <c r="G15">
        <v>41.250999999999998</v>
      </c>
      <c r="H15">
        <v>155.803</v>
      </c>
      <c r="I15">
        <v>155.65799999999999</v>
      </c>
      <c r="L15">
        <v>155.88399999999999</v>
      </c>
      <c r="M15">
        <v>155.54400000000001</v>
      </c>
      <c r="N15">
        <v>27.321000000000002</v>
      </c>
      <c r="O15">
        <v>27.492999999999999</v>
      </c>
      <c r="R15">
        <v>17.253</v>
      </c>
      <c r="S15">
        <v>17.117000000000001</v>
      </c>
      <c r="T15">
        <v>34.371000000000002</v>
      </c>
      <c r="U15">
        <v>35.343000000000004</v>
      </c>
      <c r="W15">
        <v>0.18099999999999999</v>
      </c>
      <c r="X15">
        <v>-5.8999999999999997E-2</v>
      </c>
      <c r="Z15">
        <v>8.4000000000000005E-2</v>
      </c>
      <c r="AA15">
        <v>-0.20599999999999999</v>
      </c>
      <c r="AB15">
        <v>-4.3999999999999997E-2</v>
      </c>
      <c r="AC15">
        <v>-5.8999999999999997E-2</v>
      </c>
      <c r="AD15">
        <v>0.18099999999999999</v>
      </c>
      <c r="AE15">
        <v>2.7E-2</v>
      </c>
      <c r="AF15">
        <v>-0.19600000000000001</v>
      </c>
      <c r="AG15">
        <v>-0.20599999999999999</v>
      </c>
      <c r="AH15">
        <v>3.3000000000000002E-2</v>
      </c>
      <c r="AI15">
        <v>8.4000000000000005E-2</v>
      </c>
      <c r="AL15">
        <v>-0.46600000000000003</v>
      </c>
      <c r="AM15">
        <v>-0.68600000000000005</v>
      </c>
    </row>
    <row r="16" spans="1:39" x14ac:dyDescent="0.25">
      <c r="A16" t="s">
        <v>2775</v>
      </c>
      <c r="B16" t="s">
        <v>31</v>
      </c>
      <c r="C16" s="25">
        <v>43711.69425925926</v>
      </c>
      <c r="D16" s="741" t="s">
        <v>2238</v>
      </c>
      <c r="E16" s="741">
        <f t="array" ref="E16">SUMPRODUCT(IF(AMP6_8[[#This Row],[Dim 1_1]:[T 8]]-$F$4:$AI$4&lt;0,1,0)+IF($F$5:$AI$5-AMP6_8[[#This Row],[Dim 1_1]:[T 8]]&lt;0,1,0),IF(ISNUMBER(AMP6_8[[#This Row],[Dim 1_1]:[T 8]])=TRUE,1,0))</f>
        <v>0</v>
      </c>
      <c r="H16">
        <v>155.803</v>
      </c>
      <c r="I16">
        <v>155.744</v>
      </c>
      <c r="J16">
        <v>168.47900000000001</v>
      </c>
      <c r="K16">
        <v>168.505</v>
      </c>
      <c r="L16">
        <v>155.876</v>
      </c>
      <c r="M16">
        <v>155.71600000000001</v>
      </c>
      <c r="N16">
        <v>27.341000000000001</v>
      </c>
      <c r="O16">
        <v>27.468</v>
      </c>
      <c r="R16">
        <v>17.202000000000002</v>
      </c>
      <c r="S16">
        <v>17.228000000000002</v>
      </c>
      <c r="T16">
        <v>38.384999999999998</v>
      </c>
      <c r="U16">
        <v>38.225999999999999</v>
      </c>
      <c r="W16">
        <v>-3.6999999999999998E-2</v>
      </c>
      <c r="X16">
        <v>-0.153</v>
      </c>
      <c r="Z16">
        <v>0.105</v>
      </c>
      <c r="AA16">
        <v>6.4000000000000001E-2</v>
      </c>
      <c r="AB16">
        <v>-3.6999999999999998E-2</v>
      </c>
      <c r="AC16">
        <v>-9.1999999999999998E-2</v>
      </c>
      <c r="AD16">
        <v>-4.2999999999999997E-2</v>
      </c>
      <c r="AE16">
        <v>-0.153</v>
      </c>
      <c r="AF16">
        <v>6.6000000000000003E-2</v>
      </c>
      <c r="AG16">
        <v>0.08</v>
      </c>
      <c r="AH16">
        <v>6.4000000000000001E-2</v>
      </c>
      <c r="AI16">
        <v>0.105</v>
      </c>
      <c r="AJ16">
        <v>0.55900000000000005</v>
      </c>
      <c r="AK16">
        <v>0.28899999999999998</v>
      </c>
    </row>
    <row r="17" spans="1:39" ht="15" customHeight="1" x14ac:dyDescent="0.25">
      <c r="A17" t="s">
        <v>2776</v>
      </c>
      <c r="B17" t="s">
        <v>32</v>
      </c>
      <c r="C17" s="25">
        <v>43711.716168981482</v>
      </c>
      <c r="D17" s="741" t="s">
        <v>2238</v>
      </c>
      <c r="E17" s="741">
        <f t="array" ref="E17">SUMPRODUCT(IF(AMP6_8[[#This Row],[Dim 1_1]:[T 8]]-$F$4:$AI$4&lt;0,1,0)+IF($F$5:$AI$5-AMP6_8[[#This Row],[Dim 1_1]:[T 8]]&lt;0,1,0),IF(ISNUMBER(AMP6_8[[#This Row],[Dim 1_1]:[T 8]])=TRUE,1,0))</f>
        <v>0</v>
      </c>
      <c r="F17">
        <v>41.134</v>
      </c>
      <c r="G17">
        <v>41.384</v>
      </c>
      <c r="H17">
        <v>155.83699999999999</v>
      </c>
      <c r="I17">
        <v>155.614</v>
      </c>
      <c r="L17">
        <v>155.91</v>
      </c>
      <c r="M17">
        <v>155.47200000000001</v>
      </c>
      <c r="N17">
        <v>27.294</v>
      </c>
      <c r="O17">
        <v>27.574000000000002</v>
      </c>
      <c r="R17">
        <v>17.244</v>
      </c>
      <c r="S17">
        <v>17.143999999999998</v>
      </c>
      <c r="T17">
        <v>34.462000000000003</v>
      </c>
      <c r="U17">
        <v>34.932000000000002</v>
      </c>
      <c r="W17">
        <v>0.152</v>
      </c>
      <c r="X17">
        <v>-3.5999999999999997E-2</v>
      </c>
      <c r="Z17">
        <v>1.2E-2</v>
      </c>
      <c r="AA17">
        <v>-0.222</v>
      </c>
      <c r="AB17">
        <v>-2.5000000000000001E-2</v>
      </c>
      <c r="AC17">
        <v>-3.5999999999999997E-2</v>
      </c>
      <c r="AD17">
        <v>0.152</v>
      </c>
      <c r="AE17">
        <v>3.4000000000000002E-2</v>
      </c>
      <c r="AF17">
        <v>-0.20599999999999999</v>
      </c>
      <c r="AG17">
        <v>-0.222</v>
      </c>
      <c r="AH17">
        <v>-2.4E-2</v>
      </c>
      <c r="AI17">
        <v>1.2E-2</v>
      </c>
      <c r="AL17">
        <v>-9.9000000000000005E-2</v>
      </c>
      <c r="AM17">
        <v>-0.39500000000000002</v>
      </c>
    </row>
    <row r="18" spans="1:39" x14ac:dyDescent="0.25">
      <c r="A18" t="s">
        <v>2777</v>
      </c>
      <c r="B18" t="s">
        <v>31</v>
      </c>
      <c r="C18" s="25">
        <v>43711.718321759261</v>
      </c>
      <c r="D18" s="741" t="s">
        <v>2238</v>
      </c>
      <c r="E18" s="741">
        <f t="array" ref="E18">SUMPRODUCT(IF(AMP6_8[[#This Row],[Dim 1_1]:[T 8]]-$F$4:$AI$4&lt;0,1,0)+IF($F$5:$AI$5-AMP6_8[[#This Row],[Dim 1_1]:[T 8]]&lt;0,1,0),IF(ISNUMBER(AMP6_8[[#This Row],[Dim 1_1]:[T 8]])=TRUE,1,0))</f>
        <v>0</v>
      </c>
      <c r="H18">
        <v>155.79300000000001</v>
      </c>
      <c r="I18">
        <v>155.65199999999999</v>
      </c>
      <c r="J18">
        <v>168.465</v>
      </c>
      <c r="K18">
        <v>168.47800000000001</v>
      </c>
      <c r="L18">
        <v>155.87100000000001</v>
      </c>
      <c r="M18">
        <v>155.578</v>
      </c>
      <c r="N18">
        <v>27.347000000000001</v>
      </c>
      <c r="O18">
        <v>27.584</v>
      </c>
      <c r="R18">
        <v>17.236999999999998</v>
      </c>
      <c r="S18">
        <v>17.297999999999998</v>
      </c>
      <c r="T18">
        <v>38.578000000000003</v>
      </c>
      <c r="U18">
        <v>39.024999999999999</v>
      </c>
      <c r="W18">
        <v>3.0000000000000001E-3</v>
      </c>
      <c r="X18">
        <v>-0.17399999999999999</v>
      </c>
      <c r="Z18">
        <v>0.04</v>
      </c>
      <c r="AA18">
        <v>-1.4E-2</v>
      </c>
      <c r="AB18">
        <v>3.0000000000000001E-3</v>
      </c>
      <c r="AC18">
        <v>-5.0999999999999997E-2</v>
      </c>
      <c r="AD18">
        <v>-3.2000000000000001E-2</v>
      </c>
      <c r="AE18">
        <v>-0.17399999999999999</v>
      </c>
      <c r="AF18">
        <v>2.1999999999999999E-2</v>
      </c>
      <c r="AG18">
        <v>2.8000000000000001E-2</v>
      </c>
      <c r="AH18">
        <v>-1.4E-2</v>
      </c>
      <c r="AI18">
        <v>0.04</v>
      </c>
      <c r="AJ18">
        <v>1.1240000000000001</v>
      </c>
      <c r="AK18">
        <v>0.81399999999999995</v>
      </c>
    </row>
    <row r="19" spans="1:39" ht="15" customHeight="1" x14ac:dyDescent="0.25">
      <c r="A19" t="s">
        <v>2778</v>
      </c>
      <c r="B19" t="s">
        <v>32</v>
      </c>
      <c r="C19" s="25">
        <v>43711.776423611111</v>
      </c>
      <c r="D19" s="741" t="s">
        <v>2238</v>
      </c>
      <c r="E19" s="741">
        <f t="array" ref="E19">SUMPRODUCT(IF(AMP6_8[[#This Row],[Dim 1_1]:[T 8]]-$F$4:$AI$4&lt;0,1,0)+IF($F$5:$AI$5-AMP6_8[[#This Row],[Dim 1_1]:[T 8]]&lt;0,1,0),IF(ISNUMBER(AMP6_8[[#This Row],[Dim 1_1]:[T 8]])=TRUE,1,0))</f>
        <v>0</v>
      </c>
      <c r="F19">
        <v>41.134999999999998</v>
      </c>
      <c r="G19">
        <v>41.143000000000001</v>
      </c>
      <c r="H19">
        <v>155.84399999999999</v>
      </c>
      <c r="I19">
        <v>155.791</v>
      </c>
      <c r="L19">
        <v>155.91300000000001</v>
      </c>
      <c r="M19">
        <v>155.714</v>
      </c>
      <c r="N19">
        <v>27.285</v>
      </c>
      <c r="O19">
        <v>27.327999999999999</v>
      </c>
      <c r="R19">
        <v>17.256</v>
      </c>
      <c r="S19">
        <v>17.242999999999999</v>
      </c>
      <c r="T19">
        <v>34.67</v>
      </c>
      <c r="U19">
        <v>34.996000000000002</v>
      </c>
      <c r="W19">
        <v>8.6999999999999994E-2</v>
      </c>
      <c r="X19">
        <v>-7.3999999999999996E-2</v>
      </c>
      <c r="Z19">
        <v>9.9000000000000005E-2</v>
      </c>
      <c r="AA19">
        <v>-5.2999999999999999E-2</v>
      </c>
      <c r="AB19">
        <v>-2.5000000000000001E-2</v>
      </c>
      <c r="AC19">
        <v>-3.1E-2</v>
      </c>
      <c r="AD19">
        <v>8.6999999999999994E-2</v>
      </c>
      <c r="AE19">
        <v>-7.3999999999999996E-2</v>
      </c>
      <c r="AF19">
        <v>-4.7E-2</v>
      </c>
      <c r="AG19">
        <v>-5.2999999999999999E-2</v>
      </c>
      <c r="AH19">
        <v>6.0999999999999999E-2</v>
      </c>
      <c r="AI19">
        <v>9.9000000000000005E-2</v>
      </c>
      <c r="AL19">
        <v>-0.24099999999999999</v>
      </c>
      <c r="AM19">
        <v>-0.34799999999999998</v>
      </c>
    </row>
    <row r="20" spans="1:39" x14ac:dyDescent="0.25">
      <c r="A20" t="s">
        <v>2779</v>
      </c>
      <c r="B20" t="s">
        <v>31</v>
      </c>
      <c r="C20" s="25">
        <v>43711.778773148151</v>
      </c>
      <c r="D20" s="741" t="s">
        <v>2238</v>
      </c>
      <c r="E20" s="741">
        <f t="array" ref="E20">SUMPRODUCT(IF(AMP6_8[[#This Row],[Dim 1_1]:[T 8]]-$F$4:$AI$4&lt;0,1,0)+IF($F$5:$AI$5-AMP6_8[[#This Row],[Dim 1_1]:[T 8]]&lt;0,1,0),IF(ISNUMBER(AMP6_8[[#This Row],[Dim 1_1]:[T 8]])=TRUE,1,0))</f>
        <v>0</v>
      </c>
      <c r="H20">
        <v>155.81899999999999</v>
      </c>
      <c r="I20">
        <v>155.685</v>
      </c>
      <c r="J20">
        <v>168.501</v>
      </c>
      <c r="K20">
        <v>168.52699999999999</v>
      </c>
      <c r="L20">
        <v>155.87799999999999</v>
      </c>
      <c r="M20">
        <v>155.60900000000001</v>
      </c>
      <c r="N20">
        <v>27.334</v>
      </c>
      <c r="O20">
        <v>27.562999999999999</v>
      </c>
      <c r="R20">
        <v>17.209</v>
      </c>
      <c r="S20">
        <v>17.268999999999998</v>
      </c>
      <c r="T20">
        <v>37.694000000000003</v>
      </c>
      <c r="U20">
        <v>37.768000000000001</v>
      </c>
      <c r="W20">
        <v>-3.9E-2</v>
      </c>
      <c r="X20">
        <v>-0.23300000000000001</v>
      </c>
      <c r="Z20">
        <v>-5.3999999999999999E-2</v>
      </c>
      <c r="AA20">
        <v>-0.151</v>
      </c>
      <c r="AB20">
        <v>-3.9E-2</v>
      </c>
      <c r="AC20">
        <v>-9.8000000000000004E-2</v>
      </c>
      <c r="AD20">
        <v>-0.10199999999999999</v>
      </c>
      <c r="AE20">
        <v>-0.23300000000000001</v>
      </c>
      <c r="AF20">
        <v>-5.3999999999999999E-2</v>
      </c>
      <c r="AG20">
        <v>-6.5000000000000002E-2</v>
      </c>
      <c r="AH20">
        <v>-0.151</v>
      </c>
      <c r="AI20">
        <v>-7.8E-2</v>
      </c>
      <c r="AJ20">
        <v>0.49</v>
      </c>
      <c r="AK20">
        <v>0.35199999999999998</v>
      </c>
    </row>
    <row r="21" spans="1:39" ht="15" customHeight="1" x14ac:dyDescent="0.25"/>
    <row r="23" spans="1:39" ht="15" customHeight="1" x14ac:dyDescent="0.25"/>
    <row r="25" spans="1:39" ht="15" customHeight="1" x14ac:dyDescent="0.25"/>
    <row r="27" spans="1:39" ht="15" customHeight="1" x14ac:dyDescent="0.25"/>
    <row r="29" spans="1:39" ht="15" customHeight="1" x14ac:dyDescent="0.25"/>
    <row r="31" spans="1:39" ht="15" customHeight="1" x14ac:dyDescent="0.25"/>
    <row r="33" ht="15" customHeight="1" x14ac:dyDescent="0.25"/>
    <row r="35" ht="15" customHeight="1" x14ac:dyDescent="0.25"/>
    <row r="37" ht="15" customHeight="1" x14ac:dyDescent="0.25"/>
    <row r="39" ht="15" customHeight="1" x14ac:dyDescent="0.25"/>
    <row r="41" ht="15" customHeight="1" x14ac:dyDescent="0.25"/>
    <row r="43" ht="15" customHeight="1" x14ac:dyDescent="0.25"/>
    <row r="45" ht="15" customHeight="1" x14ac:dyDescent="0.25"/>
    <row r="47" ht="15" customHeight="1" x14ac:dyDescent="0.25"/>
    <row r="49" ht="15" customHeight="1" x14ac:dyDescent="0.25"/>
    <row r="51" ht="15" customHeight="1" x14ac:dyDescent="0.25"/>
    <row r="53" ht="15" customHeight="1" x14ac:dyDescent="0.25"/>
    <row r="55" ht="15" customHeight="1" x14ac:dyDescent="0.25"/>
    <row r="57" ht="15" customHeight="1" x14ac:dyDescent="0.25"/>
    <row r="59" ht="15" customHeight="1" x14ac:dyDescent="0.25"/>
    <row r="61" ht="15" customHeight="1" x14ac:dyDescent="0.25"/>
    <row r="63" ht="15" customHeight="1" x14ac:dyDescent="0.25"/>
    <row r="65" ht="15" customHeight="1" x14ac:dyDescent="0.25"/>
    <row r="67" ht="15" customHeight="1" x14ac:dyDescent="0.25"/>
    <row r="69" ht="15" customHeight="1" x14ac:dyDescent="0.25"/>
    <row r="71" ht="15" customHeight="1" x14ac:dyDescent="0.25"/>
    <row r="73" ht="15" customHeight="1" x14ac:dyDescent="0.25"/>
    <row r="75" ht="15" customHeight="1" x14ac:dyDescent="0.25"/>
    <row r="77" ht="15" customHeight="1" x14ac:dyDescent="0.25"/>
    <row r="79" ht="15" customHeight="1" x14ac:dyDescent="0.25"/>
    <row r="81" ht="15" customHeight="1" x14ac:dyDescent="0.25"/>
    <row r="83" ht="15" customHeight="1" x14ac:dyDescent="0.25"/>
    <row r="85" ht="15" customHeight="1" x14ac:dyDescent="0.25"/>
    <row r="87" ht="15" customHeight="1" x14ac:dyDescent="0.25"/>
    <row r="89" ht="15" customHeight="1" x14ac:dyDescent="0.25"/>
    <row r="91" ht="15" customHeight="1" x14ac:dyDescent="0.25"/>
    <row r="93" ht="15" customHeight="1" x14ac:dyDescent="0.25"/>
    <row r="95" ht="15" customHeight="1" x14ac:dyDescent="0.25"/>
    <row r="97" ht="15" customHeight="1" x14ac:dyDescent="0.25"/>
    <row r="99" ht="15" customHeight="1" x14ac:dyDescent="0.25"/>
    <row r="101" ht="15" customHeight="1" x14ac:dyDescent="0.25"/>
    <row r="103" ht="15" customHeight="1" x14ac:dyDescent="0.25"/>
    <row r="105" ht="15" customHeight="1" x14ac:dyDescent="0.25"/>
    <row r="107" ht="15" customHeight="1" x14ac:dyDescent="0.25"/>
    <row r="109" ht="15" customHeight="1" x14ac:dyDescent="0.25"/>
    <row r="111" ht="15" customHeight="1" x14ac:dyDescent="0.25"/>
    <row r="113" ht="15" customHeight="1" x14ac:dyDescent="0.25"/>
    <row r="115" ht="15" customHeight="1" x14ac:dyDescent="0.25"/>
    <row r="117" ht="15" customHeight="1" x14ac:dyDescent="0.25"/>
    <row r="119" ht="15" customHeight="1" x14ac:dyDescent="0.25"/>
    <row r="121" ht="15" customHeight="1" x14ac:dyDescent="0.25"/>
    <row r="123" ht="15" customHeight="1" x14ac:dyDescent="0.25"/>
    <row r="125" ht="15" customHeight="1" x14ac:dyDescent="0.25"/>
    <row r="128" ht="15" customHeight="1" x14ac:dyDescent="0.25"/>
    <row r="129" ht="15" customHeight="1" x14ac:dyDescent="0.25"/>
    <row r="131" ht="15" customHeight="1" x14ac:dyDescent="0.25"/>
    <row r="133" ht="15" customHeight="1" x14ac:dyDescent="0.25"/>
    <row r="135" ht="15" customHeight="1" x14ac:dyDescent="0.25"/>
    <row r="137" ht="15" customHeight="1" x14ac:dyDescent="0.25"/>
    <row r="139" ht="15" customHeight="1" x14ac:dyDescent="0.25"/>
    <row r="141" ht="15" customHeight="1" x14ac:dyDescent="0.25"/>
    <row r="143" ht="15" customHeight="1" x14ac:dyDescent="0.25"/>
    <row r="145" ht="15" customHeight="1" x14ac:dyDescent="0.25"/>
    <row r="147" ht="15" customHeight="1" x14ac:dyDescent="0.25"/>
    <row r="149" ht="15" customHeight="1" x14ac:dyDescent="0.25"/>
    <row r="151" ht="15" customHeight="1" x14ac:dyDescent="0.25"/>
    <row r="153" ht="15" customHeight="1" x14ac:dyDescent="0.25"/>
    <row r="155" ht="15" customHeight="1" x14ac:dyDescent="0.25"/>
    <row r="157" ht="15" customHeight="1" x14ac:dyDescent="0.25"/>
    <row r="159" ht="15" customHeight="1" x14ac:dyDescent="0.25"/>
    <row r="161" ht="15" customHeight="1" x14ac:dyDescent="0.25"/>
    <row r="163" ht="15" customHeight="1" x14ac:dyDescent="0.25"/>
    <row r="165" ht="15" customHeight="1" x14ac:dyDescent="0.25"/>
    <row r="167" ht="15" customHeight="1" x14ac:dyDescent="0.25"/>
    <row r="169" ht="15" customHeight="1" x14ac:dyDescent="0.25"/>
    <row r="171" ht="15" customHeight="1" x14ac:dyDescent="0.25"/>
    <row r="173" ht="15" customHeight="1" x14ac:dyDescent="0.25"/>
    <row r="175" ht="15" customHeight="1" x14ac:dyDescent="0.25"/>
    <row r="177" ht="15" customHeight="1" x14ac:dyDescent="0.25"/>
    <row r="179" ht="15" customHeight="1" x14ac:dyDescent="0.25"/>
    <row r="181" ht="15" customHeight="1" x14ac:dyDescent="0.25"/>
    <row r="183" ht="15" customHeight="1" x14ac:dyDescent="0.25"/>
    <row r="185" ht="15" customHeight="1" x14ac:dyDescent="0.25"/>
    <row r="187" ht="15" customHeight="1" x14ac:dyDescent="0.25"/>
    <row r="189" ht="15" customHeight="1" x14ac:dyDescent="0.25"/>
    <row r="191" ht="15" customHeight="1" x14ac:dyDescent="0.25"/>
    <row r="193" ht="15" customHeight="1" x14ac:dyDescent="0.25"/>
    <row r="195" ht="15" customHeight="1" x14ac:dyDescent="0.25"/>
    <row r="197" ht="15" customHeight="1" x14ac:dyDescent="0.25"/>
    <row r="199" ht="15" customHeight="1" x14ac:dyDescent="0.25"/>
    <row r="201" ht="15" customHeight="1" x14ac:dyDescent="0.25"/>
    <row r="203" ht="15" customHeight="1" x14ac:dyDescent="0.25"/>
    <row r="205" ht="15" customHeight="1" x14ac:dyDescent="0.25"/>
    <row r="207" ht="15" customHeight="1" x14ac:dyDescent="0.25"/>
    <row r="209" ht="15" customHeight="1" x14ac:dyDescent="0.25"/>
    <row r="211" ht="15" customHeight="1" x14ac:dyDescent="0.25"/>
    <row r="213" ht="15" customHeight="1" x14ac:dyDescent="0.25"/>
    <row r="215" ht="15" customHeight="1" x14ac:dyDescent="0.25"/>
    <row r="217" ht="15" customHeight="1" x14ac:dyDescent="0.25"/>
    <row r="219" ht="15" customHeight="1" x14ac:dyDescent="0.25"/>
    <row r="221" ht="15" customHeight="1" x14ac:dyDescent="0.25"/>
    <row r="223" ht="15" customHeight="1" x14ac:dyDescent="0.25"/>
    <row r="225" ht="15" customHeight="1" x14ac:dyDescent="0.25"/>
    <row r="227" ht="15" customHeight="1" x14ac:dyDescent="0.25"/>
    <row r="229" ht="15" customHeight="1" x14ac:dyDescent="0.25"/>
    <row r="231" ht="15" customHeight="1" x14ac:dyDescent="0.25"/>
    <row r="233" ht="15" customHeight="1" x14ac:dyDescent="0.25"/>
    <row r="235" ht="15" customHeight="1" x14ac:dyDescent="0.25"/>
    <row r="237" ht="15" customHeight="1" x14ac:dyDescent="0.25"/>
    <row r="239" ht="15" customHeight="1" x14ac:dyDescent="0.25"/>
    <row r="241" ht="15" customHeight="1" x14ac:dyDescent="0.25"/>
    <row r="243" ht="15" customHeight="1" x14ac:dyDescent="0.25"/>
    <row r="245" ht="15" customHeight="1" x14ac:dyDescent="0.25"/>
    <row r="247" ht="15" customHeight="1" x14ac:dyDescent="0.25"/>
    <row r="249" ht="15" customHeight="1" x14ac:dyDescent="0.25"/>
    <row r="251" ht="15" customHeight="1" x14ac:dyDescent="0.25"/>
    <row r="253" ht="15" customHeight="1" x14ac:dyDescent="0.25"/>
    <row r="255" ht="15" customHeight="1" x14ac:dyDescent="0.25"/>
    <row r="257" ht="15" customHeight="1" x14ac:dyDescent="0.25"/>
    <row r="259" ht="15" customHeight="1" x14ac:dyDescent="0.25"/>
    <row r="261" ht="15" customHeight="1" x14ac:dyDescent="0.25"/>
    <row r="263" ht="15" customHeight="1" x14ac:dyDescent="0.25"/>
    <row r="265" ht="15" customHeight="1" x14ac:dyDescent="0.25"/>
    <row r="267" ht="15" customHeight="1" x14ac:dyDescent="0.25"/>
    <row r="269" ht="15" customHeight="1" x14ac:dyDescent="0.25"/>
    <row r="271" ht="15" customHeight="1" x14ac:dyDescent="0.25"/>
    <row r="273" ht="15" customHeight="1" x14ac:dyDescent="0.25"/>
    <row r="275" ht="15" customHeight="1" x14ac:dyDescent="0.25"/>
    <row r="277" ht="15" customHeight="1" x14ac:dyDescent="0.25"/>
    <row r="279" ht="15" customHeight="1" x14ac:dyDescent="0.25"/>
    <row r="281" ht="15" customHeight="1" x14ac:dyDescent="0.25"/>
    <row r="283" ht="15" customHeight="1" x14ac:dyDescent="0.25"/>
    <row r="285" ht="15" customHeight="1" x14ac:dyDescent="0.25"/>
    <row r="287" ht="15" customHeight="1" x14ac:dyDescent="0.25"/>
    <row r="289" ht="15" customHeight="1" x14ac:dyDescent="0.25"/>
    <row r="291" ht="15" customHeight="1" x14ac:dyDescent="0.25"/>
    <row r="293" ht="15" customHeight="1" x14ac:dyDescent="0.25"/>
    <row r="295" ht="15" customHeight="1" x14ac:dyDescent="0.25"/>
    <row r="297" ht="15" customHeight="1" x14ac:dyDescent="0.25"/>
    <row r="299" ht="15" customHeight="1" x14ac:dyDescent="0.25"/>
    <row r="301" ht="15" customHeight="1" x14ac:dyDescent="0.25"/>
    <row r="303" ht="15" customHeight="1" x14ac:dyDescent="0.25"/>
    <row r="305" ht="15" customHeight="1" x14ac:dyDescent="0.25"/>
    <row r="307" ht="15" customHeight="1" x14ac:dyDescent="0.25"/>
    <row r="309" ht="15" customHeight="1" x14ac:dyDescent="0.25"/>
    <row r="311" ht="15" customHeight="1" x14ac:dyDescent="0.25"/>
    <row r="313" ht="15" customHeight="1" x14ac:dyDescent="0.25"/>
    <row r="315" ht="15" customHeight="1" x14ac:dyDescent="0.25"/>
    <row r="317" ht="15" customHeight="1" x14ac:dyDescent="0.25"/>
    <row r="319" ht="15" customHeight="1" x14ac:dyDescent="0.25"/>
    <row r="321" ht="15" customHeight="1" x14ac:dyDescent="0.25"/>
    <row r="323" ht="15" customHeight="1" x14ac:dyDescent="0.25"/>
    <row r="325" ht="15" customHeight="1" x14ac:dyDescent="0.25"/>
    <row r="327" ht="15" customHeight="1" x14ac:dyDescent="0.25"/>
    <row r="329" ht="15" customHeight="1" x14ac:dyDescent="0.25"/>
    <row r="331" ht="15" customHeight="1" x14ac:dyDescent="0.25"/>
    <row r="333" ht="15" customHeight="1" x14ac:dyDescent="0.25"/>
    <row r="335" ht="15" customHeight="1" x14ac:dyDescent="0.25"/>
    <row r="337" ht="15" customHeight="1" x14ac:dyDescent="0.25"/>
    <row r="339" ht="15" customHeight="1" x14ac:dyDescent="0.25"/>
    <row r="341" ht="15" customHeight="1" x14ac:dyDescent="0.25"/>
    <row r="343" ht="15" customHeight="1" x14ac:dyDescent="0.25"/>
    <row r="345" ht="15" customHeight="1" x14ac:dyDescent="0.25"/>
    <row r="347" ht="15" customHeight="1" x14ac:dyDescent="0.25"/>
    <row r="349" ht="15" customHeight="1" x14ac:dyDescent="0.25"/>
    <row r="351" ht="15" customHeight="1" x14ac:dyDescent="0.25"/>
    <row r="353" ht="15" customHeight="1" x14ac:dyDescent="0.25"/>
    <row r="355" ht="15" customHeight="1" x14ac:dyDescent="0.25"/>
    <row r="357" ht="15" customHeight="1" x14ac:dyDescent="0.25"/>
    <row r="359" ht="15" customHeight="1" x14ac:dyDescent="0.25"/>
    <row r="361" ht="15" customHeight="1" x14ac:dyDescent="0.25"/>
    <row r="363" ht="15" customHeight="1" x14ac:dyDescent="0.25"/>
    <row r="365" ht="15" customHeight="1" x14ac:dyDescent="0.25"/>
    <row r="367" ht="15" customHeight="1" x14ac:dyDescent="0.25"/>
    <row r="369" ht="15" customHeight="1" x14ac:dyDescent="0.25"/>
    <row r="371" ht="15" customHeight="1" x14ac:dyDescent="0.25"/>
    <row r="373" ht="15" customHeight="1" x14ac:dyDescent="0.25"/>
    <row r="375" ht="15" customHeight="1" x14ac:dyDescent="0.25"/>
    <row r="377" ht="15" customHeight="1" x14ac:dyDescent="0.25"/>
    <row r="379" ht="15" customHeight="1" x14ac:dyDescent="0.25"/>
    <row r="381" ht="15" customHeight="1" x14ac:dyDescent="0.25"/>
    <row r="383" ht="15" customHeight="1" x14ac:dyDescent="0.25"/>
    <row r="385" ht="15" customHeight="1" x14ac:dyDescent="0.25"/>
    <row r="387" ht="15" customHeight="1" x14ac:dyDescent="0.25"/>
    <row r="389" ht="15" customHeight="1" x14ac:dyDescent="0.25"/>
    <row r="391" ht="15" customHeight="1" x14ac:dyDescent="0.25"/>
    <row r="393" ht="15" customHeight="1" x14ac:dyDescent="0.25"/>
    <row r="395" ht="15" customHeight="1" x14ac:dyDescent="0.25"/>
    <row r="397" ht="15" customHeight="1" x14ac:dyDescent="0.25"/>
    <row r="399" ht="15" customHeight="1" x14ac:dyDescent="0.25"/>
    <row r="401" ht="15" customHeight="1" x14ac:dyDescent="0.25"/>
    <row r="403" ht="15" customHeight="1" x14ac:dyDescent="0.25"/>
    <row r="405" ht="15" customHeight="1" x14ac:dyDescent="0.25"/>
    <row r="407" ht="15" customHeight="1" x14ac:dyDescent="0.25"/>
  </sheetData>
  <mergeCells count="1">
    <mergeCell ref="E1:E2"/>
  </mergeCells>
  <phoneticPr fontId="53" type="noConversion"/>
  <conditionalFormatting sqref="AN8:XFD8">
    <cfRule type="notContainsBlanks" priority="11" stopIfTrue="1">
      <formula>LEN(TRIM(AN8))&gt;0</formula>
    </cfRule>
  </conditionalFormatting>
  <conditionalFormatting sqref="A6:AM8">
    <cfRule type="notContainsBlanks" priority="7" stopIfTrue="1">
      <formula>LEN(TRIM(A6))&gt;0</formula>
    </cfRule>
  </conditionalFormatting>
  <conditionalFormatting sqref="E1 E3:E1048576">
    <cfRule type="cellIs" dxfId="20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19" priority="10"/>
  </conditionalFormatting>
  <conditionalFormatting sqref="F6:S7 V6:AM7">
    <cfRule type="cellIs" dxfId="18" priority="5" stopIfTrue="1" operator="notBetween">
      <formula>0.35</formula>
      <formula>-0.35</formula>
    </cfRule>
    <cfRule type="cellIs" dxfId="17" priority="6" operator="notBetween">
      <formula>0.2</formula>
      <formula>-0.2</formula>
    </cfRule>
  </conditionalFormatting>
  <conditionalFormatting sqref="T6:U7">
    <cfRule type="cellIs" dxfId="16" priority="4" operator="lessThanOrEqual">
      <formula>1</formula>
    </cfRule>
  </conditionalFormatting>
  <conditionalFormatting sqref="F1:AM1048576">
    <cfRule type="containsBlanks" priority="3" stopIfTrue="1">
      <formula>LEN(TRIM(F1))=0</formula>
    </cfRule>
    <cfRule type="cellIs" dxfId="15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>
    <tabColor rgb="FF00B050"/>
  </sheetPr>
  <dimension ref="A1:AI139"/>
  <sheetViews>
    <sheetView workbookViewId="0">
      <pane xSplit="2" ySplit="8" topLeftCell="S220" activePane="bottomRight" state="frozenSplit"/>
      <selection pane="topRight" activeCell="C1" sqref="C1"/>
      <selection pane="bottomLeft" activeCell="A9" sqref="A9"/>
      <selection pane="bottomRight" activeCell="C226" sqref="C226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MIN(AMP7_6[Date])</f>
        <v>43698.853344907409</v>
      </c>
      <c r="D1" s="310"/>
      <c r="E1" s="794" t="s">
        <v>40</v>
      </c>
      <c r="F1" s="2">
        <f>IFERROR(AVERAGEIFS(AMP7_6[[#All],[Dim 1_1]],AMP7_6[[#All],[Blade Part Number]],$B1,AMP7_6[[#All],[Date]],"&gt;"&amp;$A$1,AMP7_6[[#All],[Date]],"&lt;"&amp;$A$2),"")</f>
        <v>41.149969230769223</v>
      </c>
      <c r="G1" s="2">
        <f>IFERROR(AVERAGEIFS(AMP7_6[[#All],[Dim 1_2]],AMP7_6[[#All],[Blade Part Number]],$B1,AMP7_6[[#All],[Date]],"&gt;"&amp;$A$1,AMP7_6[[#All],[Date]],"&lt;"&amp;$A$2),"")</f>
        <v>41.182138461538457</v>
      </c>
      <c r="H1" s="2">
        <f>IFERROR(AVERAGEIFS(AMP7_6[[#All],[Dim 2_1]],AMP7_6[[#All],[Blade Part Number]],$B1,AMP7_6[[#All],[Date]],"&gt;"&amp;$A$1,AMP7_6[[#All],[Date]],"&lt;"&amp;$A$2),"")</f>
        <v>156.05132307692307</v>
      </c>
      <c r="I1" s="2">
        <f>IFERROR(AVERAGEIFS(AMP7_6[[#All],[Dim 2_2]],AMP7_6[[#All],[Blade Part Number]],$B1,AMP7_6[[#All],[Date]],"&gt;"&amp;$A$1,AMP7_6[[#All],[Date]],"&lt;"&amp;$A$2),"")</f>
        <v>156.25106153846147</v>
      </c>
      <c r="J1" s="2" t="str">
        <f>IFERROR(AVERAGEIFS(AMP7_6[[#All],[Dim 3_1]],AMP7_6[[#All],[Blade Part Number]],$B1,AMP7_6[[#All],[Date]],"&gt;"&amp;$A$1,AMP7_6[[#All],[Date]],"&lt;"&amp;$A$2),"")</f>
        <v/>
      </c>
      <c r="K1" s="2" t="str">
        <f>IFERROR(AVERAGEIFS(AMP7_6[[#All],[Dim 3_2]],AMP7_6[[#All],[Blade Part Number]],$B1,AMP7_6[[#All],[Date]],"&gt;"&amp;$A$1,AMP7_6[[#All],[Date]],"&lt;"&amp;$A$2),"")</f>
        <v/>
      </c>
      <c r="L1" s="2">
        <f>IFERROR(AVERAGEIFS(AMP7_6[[#All],[Dim 4_1]],AMP7_6[[#All],[Blade Part Number]],$B1,AMP7_6[[#All],[Date]],"&gt;"&amp;$A$1,AMP7_6[[#All],[Date]],"&lt;"&amp;$A$2),"")</f>
        <v>155.96338461538465</v>
      </c>
      <c r="M1" s="2">
        <f>IFERROR(AVERAGEIFS(AMP7_6[[#All],[Dim 4_2]],AMP7_6[[#All],[Blade Part Number]],$B1,AMP7_6[[#All],[Date]],"&gt;"&amp;$A$1,AMP7_6[[#All],[Date]],"&lt;"&amp;$A$2),"")</f>
        <v>155.8782615384616</v>
      </c>
      <c r="N1" s="2">
        <f>IFERROR(AVERAGEIFS(AMP7_6[[#All],[Dim 5_1]],AMP7_6[[#All],[Blade Part Number]],$B1,AMP7_6[[#All],[Date]],"&gt;"&amp;$A$1,AMP7_6[[#All],[Date]],"&lt;"&amp;$A$2),"")</f>
        <v>27.249599999999994</v>
      </c>
      <c r="O1" s="2">
        <f>IFERROR(AVERAGEIFS(AMP7_6[[#All],[Dim 5_2]],AMP7_6[[#All],[Blade Part Number]],$B1,AMP7_6[[#All],[Date]],"&gt;"&amp;$A$1,AMP7_6[[#All],[Date]],"&lt;"&amp;$A$2),"")</f>
        <v>27.353938461538476</v>
      </c>
      <c r="P1" s="2" t="str">
        <f>IFERROR(AVERAGEIFS(AMP7_6[[#All],[Dim 6]],AMP7_6[[#All],[Blade Part Number]],$B1,AMP7_6[[#All],[Date]],"&gt;"&amp;$A$1,AMP7_6[[#All],[Date]],"&lt;"&amp;$A$2),"")</f>
        <v/>
      </c>
      <c r="Q1" s="2" t="str">
        <f>IFERROR(AVERAGEIFS(AMP7_6[[#All],[Dim 7]],AMP7_6[[#All],[Blade Part Number]],$B1,AMP7_6[[#All],[Date]],"&gt;"&amp;$A$1,AMP7_6[[#All],[Date]],"&lt;"&amp;$A$2),"")</f>
        <v/>
      </c>
      <c r="R1" s="2">
        <f>IFERROR(AVERAGEIFS(AMP7_6[[#All],[Dim 9_1]],AMP7_6[[#All],[Blade Part Number]],$B1,AMP7_6[[#All],[Date]],"&gt;"&amp;$A$1,AMP7_6[[#All],[Date]],"&lt;"&amp;$A$2),"")</f>
        <v>17.319276923076924</v>
      </c>
      <c r="S1" s="2">
        <f>IFERROR(AVERAGEIFS(AMP7_6[[#All],[Dim 9_2]],AMP7_6[[#All],[Blade Part Number]],$B1,AMP7_6[[#All],[Date]],"&gt;"&amp;$A$1,AMP7_6[[#All],[Date]],"&lt;"&amp;$A$2),"")</f>
        <v>17.263461538461534</v>
      </c>
      <c r="T1" s="2">
        <f>IFERROR(AVERAGEIFS(AMP7_6[[#All],[Dim 10_1]],AMP7_6[[#All],[Blade Part Number]],$B1,AMP7_6[[#All],[Date]],"&gt;"&amp;$A$1,AMP7_6[[#All],[Date]],"&lt;"&amp;$A$2),"")</f>
        <v>33.6524</v>
      </c>
      <c r="U1" s="2">
        <f>IFERROR(AVERAGEIFS(AMP7_6[[#All],[Dim 10_2]],AMP7_6[[#All],[Blade Part Number]],$B1,AMP7_6[[#All],[Date]],"&gt;"&amp;$A$1,AMP7_6[[#All],[Date]],"&lt;"&amp;$A$2),"")</f>
        <v>34.797538461538458</v>
      </c>
      <c r="V1" s="2" t="str">
        <f>IFERROR(AVERAGEIFS(AMP7_6[[#All],[Dim 11]],AMP7_6[[#All],[Blade Part Number]],$B1,AMP7_6[[#All],[Date]],"&gt;"&amp;$A$1,AMP7_6[[#All],[Date]],"&lt;"&amp;$A$2),"")</f>
        <v/>
      </c>
      <c r="W1" s="2">
        <f>IFERROR(AVERAGEIFS(AMP7_6[[#All],[Dim 11 Max]],AMP7_6[[#All],[Blade Part Number]],$B1,AMP7_6[[#All],[Date]],"&gt;"&amp;$A$1,AMP7_6[[#All],[Date]],"&lt;"&amp;$A$2),"")</f>
        <v>-0.11766153846153841</v>
      </c>
      <c r="X1" s="2">
        <f>IFERROR(AVERAGEIFS(AMP7_6[[#All],[Dim 11 Min]],AMP7_6[[#All],[Blade Part Number]],$B1,AMP7_6[[#All],[Date]],"&gt;"&amp;$A$1,AMP7_6[[#All],[Date]],"&lt;"&amp;$A$2),"")</f>
        <v>-0.3481538461538462</v>
      </c>
      <c r="Y1" s="2" t="str">
        <f>IFERROR(AVERAGEIFS(AMP7_6[[#All],[Dim 12]],AMP7_6[[#All],[Blade Part Number]],$B1,AMP7_6[[#All],[Date]],"&gt;"&amp;$A$1,AMP7_6[[#All],[Date]],"&lt;"&amp;$A$2),"")</f>
        <v/>
      </c>
      <c r="Z1" s="2">
        <f>IFERROR(AVERAGEIFS(AMP7_6[[#All],[Dim 12 Max]],AMP7_6[[#All],[Blade Part Number]],$B1,AMP7_6[[#All],[Date]],"&gt;"&amp;$A$1,AMP7_6[[#All],[Date]],"&lt;"&amp;$A$2),"")</f>
        <v>5.7984615384615384E-2</v>
      </c>
      <c r="AA1" s="2">
        <f>IFERROR(AVERAGEIFS(AMP7_6[[#All],[Dim 12 Min]],AMP7_6[[#All],[Blade Part Number]],$B1,AMP7_6[[#All],[Date]],"&gt;"&amp;$A$1,AMP7_6[[#All],[Date]],"&lt;"&amp;$A$2),"")</f>
        <v>-0.21124615384615383</v>
      </c>
      <c r="AB1" s="2">
        <f>IFERROR(AVERAGEIFS(AMP7_6[[#All],[T 1]],AMP7_6[[#All],[Blade Part Number]],$B1,AMP7_6[[#All],[Date]],"&gt;"&amp;$A$1,AMP7_6[[#All],[Date]],"&lt;"&amp;$A$2),"")</f>
        <v>-0.21046153846153842</v>
      </c>
      <c r="AC1" s="2">
        <f>IFERROR(AVERAGEIFS(AMP7_6[[#All],[T 2]],AMP7_6[[#All],[Blade Part Number]],$B1,AMP7_6[[#All],[Date]],"&gt;"&amp;$A$1,AMP7_6[[#All],[Date]],"&lt;"&amp;$A$2),"")</f>
        <v>-0.12409230769230763</v>
      </c>
      <c r="AD1" s="2">
        <f>IFERROR(AVERAGEIFS(AMP7_6[[#All],[T 3]],AMP7_6[[#All],[Blade Part Number]],$B1,AMP7_6[[#All],[Date]],"&gt;"&amp;$A$1,AMP7_6[[#All],[Date]],"&lt;"&amp;$A$2),"")</f>
        <v>-0.34601538461538461</v>
      </c>
      <c r="AE1" s="2">
        <f>IFERROR(AVERAGEIFS(AMP7_6[[#All],[T 4]],AMP7_6[[#All],[Blade Part Number]],$B1,AMP7_6[[#All],[Date]],"&gt;"&amp;$A$1,AMP7_6[[#All],[Date]],"&lt;"&amp;$A$2),"")</f>
        <v>-0.22739999999999994</v>
      </c>
      <c r="AF1" s="2">
        <f>IFERROR(AVERAGEIFS(AMP7_6[[#All],[T 5]],AMP7_6[[#All],[Blade Part Number]],$B1,AMP7_6[[#All],[Date]],"&gt;"&amp;$A$1,AMP7_6[[#All],[Date]],"&lt;"&amp;$A$2),"")</f>
        <v>4.1692307692307681E-2</v>
      </c>
      <c r="AG1" s="2">
        <f>IFERROR(AVERAGEIFS(AMP7_6[[#All],[T 6]],AMP7_6[[#All],[Blade Part Number]],$B1,AMP7_6[[#All],[Date]],"&gt;"&amp;$A$1,AMP7_6[[#All],[Date]],"&lt;"&amp;$A$2),"")</f>
        <v>-6.1276923076923083E-2</v>
      </c>
      <c r="AH1" s="2">
        <f>IFERROR(AVERAGEIFS(AMP7_6[[#All],[T 7]],AMP7_6[[#All],[Blade Part Number]],$B1,AMP7_6[[#All],[Date]],"&gt;"&amp;$A$1,AMP7_6[[#All],[Date]],"&lt;"&amp;$A$2),"")</f>
        <v>-2.2061538461538459E-2</v>
      </c>
      <c r="AI1" s="2">
        <f>IFERROR(AVERAGEIFS(AMP7_6[[#All],[T 8]],AMP7_6[[#All],[Blade Part Number]],$B1,AMP7_6[[#All],[Date]],"&gt;"&amp;$A$1,AMP7_6[[#All],[Date]],"&lt;"&amp;$A$2),"")</f>
        <v>-0.20878461538461535</v>
      </c>
    </row>
    <row r="2" spans="1:35" x14ac:dyDescent="0.25">
      <c r="A2" s="1">
        <f>'Offset Solver'!E31</f>
        <v>73050</v>
      </c>
      <c r="B2" s="12" t="s">
        <v>31</v>
      </c>
      <c r="C2" s="25">
        <f>MAX(AMP7_6[Date])</f>
        <v>43712.30736111111</v>
      </c>
      <c r="D2" s="310"/>
      <c r="E2" s="794"/>
      <c r="F2" s="2" t="str">
        <f>IFERROR(AVERAGEIFS(AMP7_6[[#All],[Dim 1_1]],AMP7_6[[#All],[Blade Part Number]],$B2,AMP7_6[[#All],[Date]],"&gt;"&amp;$A$1,AMP7_6[[#All],[Date]],"&lt;"&amp;$A$2),"")</f>
        <v/>
      </c>
      <c r="G2" s="2" t="str">
        <f>IFERROR(AVERAGEIFS(AMP7_6[[#All],[Dim 1_2]],AMP7_6[[#All],[Blade Part Number]],$B2,AMP7_6[[#All],[Date]],"&gt;"&amp;$A$1,AMP7_6[[#All],[Date]],"&lt;"&amp;$A$2),"")</f>
        <v/>
      </c>
      <c r="H2" s="2">
        <f>IFERROR(AVERAGEIFS(AMP7_6[[#All],[Dim 2_1]],AMP7_6[[#All],[Blade Part Number]],$B2,AMP7_6[[#All],[Date]],"&gt;"&amp;$A$1,AMP7_6[[#All],[Date]],"&lt;"&amp;$A$2),"")</f>
        <v>156.10243076923075</v>
      </c>
      <c r="I2" s="2">
        <f>IFERROR(AVERAGEIFS(AMP7_6[[#All],[Dim 2_2]],AMP7_6[[#All],[Blade Part Number]],$B2,AMP7_6[[#All],[Date]],"&gt;"&amp;$A$1,AMP7_6[[#All],[Date]],"&lt;"&amp;$A$2),"")</f>
        <v>156.16892307692308</v>
      </c>
      <c r="J2" s="2">
        <f>IFERROR(AVERAGEIFS(AMP7_6[[#All],[Dim 3_1]],AMP7_6[[#All],[Blade Part Number]],$B2,AMP7_6[[#All],[Date]],"&gt;"&amp;$A$1,AMP7_6[[#All],[Date]],"&lt;"&amp;$A$2),"")</f>
        <v>168.78456923076919</v>
      </c>
      <c r="K2" s="2">
        <f>IFERROR(AVERAGEIFS(AMP7_6[[#All],[Dim 3_2]],AMP7_6[[#All],[Blade Part Number]],$B2,AMP7_6[[#All],[Date]],"&gt;"&amp;$A$1,AMP7_6[[#All],[Date]],"&lt;"&amp;$A$2),"")</f>
        <v>168.85750769230765</v>
      </c>
      <c r="L2" s="2">
        <f>IFERROR(AVERAGEIFS(AMP7_6[[#All],[Dim 4_1]],AMP7_6[[#All],[Blade Part Number]],$B2,AMP7_6[[#All],[Date]],"&gt;"&amp;$A$1,AMP7_6[[#All],[Date]],"&lt;"&amp;$A$2),"")</f>
        <v>156.16936923076921</v>
      </c>
      <c r="M2" s="2">
        <f>IFERROR(AVERAGEIFS(AMP7_6[[#All],[Dim 4_2]],AMP7_6[[#All],[Blade Part Number]],$B2,AMP7_6[[#All],[Date]],"&gt;"&amp;$A$1,AMP7_6[[#All],[Date]],"&lt;"&amp;$A$2),"")</f>
        <v>155.97460000000004</v>
      </c>
      <c r="N2" s="2">
        <f>IFERROR(AVERAGEIFS(AMP7_6[[#All],[Dim 5_1]],AMP7_6[[#All],[Blade Part Number]],$B2,AMP7_6[[#All],[Date]],"&gt;"&amp;$A$1,AMP7_6[[#All],[Date]],"&lt;"&amp;$A$2),"")</f>
        <v>27.089676923076919</v>
      </c>
      <c r="O2" s="2">
        <f>IFERROR(AVERAGEIFS(AMP7_6[[#All],[Dim 5_2]],AMP7_6[[#All],[Blade Part Number]],$B2,AMP7_6[[#All],[Date]],"&gt;"&amp;$A$1,AMP7_6[[#All],[Date]],"&lt;"&amp;$A$2),"")</f>
        <v>27.455630769230758</v>
      </c>
      <c r="P2" s="2" t="str">
        <f>IFERROR(AVERAGEIFS(AMP7_6[[#All],[Dim 6]],AMP7_6[[#All],[Blade Part Number]],$B2,AMP7_6[[#All],[Date]],"&gt;"&amp;$A$1,AMP7_6[[#All],[Date]],"&lt;"&amp;$A$2),"")</f>
        <v/>
      </c>
      <c r="Q2" s="2" t="str">
        <f>IFERROR(AVERAGEIFS(AMP7_6[[#All],[Dim 7]],AMP7_6[[#All],[Blade Part Number]],$B2,AMP7_6[[#All],[Date]],"&gt;"&amp;$A$1,AMP7_6[[#All],[Date]],"&lt;"&amp;$A$2),"")</f>
        <v/>
      </c>
      <c r="R2" s="2">
        <f>IFERROR(AVERAGEIFS(AMP7_6[[#All],[Dim 9_1]],AMP7_6[[#All],[Blade Part Number]],$B2,AMP7_6[[#All],[Date]],"&gt;"&amp;$A$1,AMP7_6[[#All],[Date]],"&lt;"&amp;$A$2),"")</f>
        <v>17.271015384615399</v>
      </c>
      <c r="S2" s="2">
        <f>IFERROR(AVERAGEIFS(AMP7_6[[#All],[Dim 9_2]],AMP7_6[[#All],[Blade Part Number]],$B2,AMP7_6[[#All],[Date]],"&gt;"&amp;$A$1,AMP7_6[[#All],[Date]],"&lt;"&amp;$A$2),"")</f>
        <v>17.297000000000008</v>
      </c>
      <c r="T2" s="2">
        <f>IFERROR(AVERAGEIFS(AMP7_6[[#All],[Dim 10_1]],AMP7_6[[#All],[Blade Part Number]],$B2,AMP7_6[[#All],[Date]],"&gt;"&amp;$A$1,AMP7_6[[#All],[Date]],"&lt;"&amp;$A$2),"")</f>
        <v>37.50135384615384</v>
      </c>
      <c r="U2" s="2">
        <f>IFERROR(AVERAGEIFS(AMP7_6[[#All],[Dim 10_2]],AMP7_6[[#All],[Blade Part Number]],$B2,AMP7_6[[#All],[Date]],"&gt;"&amp;$A$1,AMP7_6[[#All],[Date]],"&lt;"&amp;$A$2),"")</f>
        <v>37.67943076923077</v>
      </c>
      <c r="V2" s="2" t="str">
        <f>IFERROR(AVERAGEIFS(AMP7_6[[#All],[Dim 11]],AMP7_6[[#All],[Blade Part Number]],$B2,AMP7_6[[#All],[Date]],"&gt;"&amp;$A$1,AMP7_6[[#All],[Date]],"&lt;"&amp;$A$2),"")</f>
        <v/>
      </c>
      <c r="W2" s="2">
        <f>IFERROR(AVERAGEIFS(AMP7_6[[#All],[Dim 11 Max]],AMP7_6[[#All],[Blade Part Number]],$B2,AMP7_6[[#All],[Date]],"&gt;"&amp;$A$1,AMP7_6[[#All],[Date]],"&lt;"&amp;$A$2),"")</f>
        <v>-2.3476923076923065E-2</v>
      </c>
      <c r="X2" s="2">
        <f>IFERROR(AVERAGEIFS(AMP7_6[[#All],[Dim 11 Min]],AMP7_6[[#All],[Blade Part Number]],$B2,AMP7_6[[#All],[Date]],"&gt;"&amp;$A$1,AMP7_6[[#All],[Date]],"&lt;"&amp;$A$2),"")</f>
        <v>-0.28816923076923068</v>
      </c>
      <c r="Y2" s="2" t="str">
        <f>IFERROR(AVERAGEIFS(AMP7_6[[#All],[Dim 12]],AMP7_6[[#All],[Blade Part Number]],$B2,AMP7_6[[#All],[Date]],"&gt;"&amp;$A$1,AMP7_6[[#All],[Date]],"&lt;"&amp;$A$2),"")</f>
        <v/>
      </c>
      <c r="Z2" s="2">
        <f>IFERROR(AVERAGEIFS(AMP7_6[[#All],[Dim 12 Max]],AMP7_6[[#All],[Blade Part Number]],$B2,AMP7_6[[#All],[Date]],"&gt;"&amp;$A$1,AMP7_6[[#All],[Date]],"&lt;"&amp;$A$2),"")</f>
        <v>4.7692307692307701E-2</v>
      </c>
      <c r="AA2" s="2">
        <f>IFERROR(AVERAGEIFS(AMP7_6[[#All],[Dim 12 Min]],AMP7_6[[#All],[Blade Part Number]],$B2,AMP7_6[[#All],[Date]],"&gt;"&amp;$A$1,AMP7_6[[#All],[Date]],"&lt;"&amp;$A$2),"")</f>
        <v>-0.22629230769230765</v>
      </c>
      <c r="AB2" s="2">
        <f>IFERROR(AVERAGEIFS(AMP7_6[[#All],[T 1]],AMP7_6[[#All],[Blade Part Number]],$B2,AMP7_6[[#All],[Date]],"&gt;"&amp;$A$1,AMP7_6[[#All],[Date]],"&lt;"&amp;$A$2),"")</f>
        <v>-0.13935384615384608</v>
      </c>
      <c r="AC2" s="2">
        <f>IFERROR(AVERAGEIFS(AMP7_6[[#All],[T 2]],AMP7_6[[#All],[Blade Part Number]],$B2,AMP7_6[[#All],[Date]],"&gt;"&amp;$A$1,AMP7_6[[#All],[Date]],"&lt;"&amp;$A$2),"")</f>
        <v>-3.6092307692307694E-2</v>
      </c>
      <c r="AD2" s="2">
        <f>IFERROR(AVERAGEIFS(AMP7_6[[#All],[T 3]],AMP7_6[[#All],[Blade Part Number]],$B2,AMP7_6[[#All],[Date]],"&gt;"&amp;$A$1,AMP7_6[[#All],[Date]],"&lt;"&amp;$A$2),"")</f>
        <v>-0.2865076923076923</v>
      </c>
      <c r="AE2" s="2">
        <f>IFERROR(AVERAGEIFS(AMP7_6[[#All],[T 4]],AMP7_6[[#All],[Blade Part Number]],$B2,AMP7_6[[#All],[Date]],"&gt;"&amp;$A$1,AMP7_6[[#All],[Date]],"&lt;"&amp;$A$2),"")</f>
        <v>-0.10847692307692308</v>
      </c>
      <c r="AF2" s="2">
        <f>IFERROR(AVERAGEIFS(AMP7_6[[#All],[T 5]],AMP7_6[[#All],[Blade Part Number]],$B2,AMP7_6[[#All],[Date]],"&gt;"&amp;$A$1,AMP7_6[[#All],[Date]],"&lt;"&amp;$A$2),"")</f>
        <v>-2.447692307692308E-2</v>
      </c>
      <c r="AG2" s="2">
        <f>IFERROR(AVERAGEIFS(AMP7_6[[#All],[T 6]],AMP7_6[[#All],[Blade Part Number]],$B2,AMP7_6[[#All],[Date]],"&gt;"&amp;$A$1,AMP7_6[[#All],[Date]],"&lt;"&amp;$A$2),"")</f>
        <v>-0.12623076923076923</v>
      </c>
      <c r="AH2" s="2">
        <f>IFERROR(AVERAGEIFS(AMP7_6[[#All],[T 7]],AMP7_6[[#All],[Blade Part Number]],$B2,AMP7_6[[#All],[Date]],"&gt;"&amp;$A$1,AMP7_6[[#All],[Date]],"&lt;"&amp;$A$2),"")</f>
        <v>3.8553846153846161E-2</v>
      </c>
      <c r="AI2" s="2">
        <f>IFERROR(AVERAGEIFS(AMP7_6[[#All],[T 8]],AMP7_6[[#All],[Blade Part Number]],$B2,AMP7_6[[#All],[Date]],"&gt;"&amp;$A$1,AMP7_6[[#All],[Date]],"&lt;"&amp;$A$2),"")</f>
        <v>-0.21852307692307688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-0.1500307692307743</v>
      </c>
      <c r="G6" s="11">
        <f t="shared" si="0"/>
        <v>-0.11786153846153979</v>
      </c>
      <c r="H6" s="11">
        <f t="shared" si="0"/>
        <v>0.25132307692305744</v>
      </c>
      <c r="I6" s="11">
        <f t="shared" si="0"/>
        <v>0.45106153846145958</v>
      </c>
      <c r="J6" s="11" t="str">
        <f t="shared" si="0"/>
        <v/>
      </c>
      <c r="K6" s="11" t="str">
        <f t="shared" si="0"/>
        <v/>
      </c>
      <c r="L6" s="11">
        <f t="shared" si="0"/>
        <v>0.16338461538464344</v>
      </c>
      <c r="M6" s="11">
        <f t="shared" si="0"/>
        <v>7.8261538461589453E-2</v>
      </c>
      <c r="N6" s="11">
        <f t="shared" si="0"/>
        <v>-0.15040000000000475</v>
      </c>
      <c r="O6" s="11">
        <f t="shared" si="0"/>
        <v>-4.6061538461522389E-2</v>
      </c>
      <c r="P6" s="11" t="str">
        <f t="shared" si="0"/>
        <v/>
      </c>
      <c r="Q6" s="11" t="str">
        <f t="shared" si="0"/>
        <v/>
      </c>
      <c r="R6" s="11">
        <f t="shared" si="0"/>
        <v>6.927692307692368E-2</v>
      </c>
      <c r="S6" s="11">
        <f t="shared" si="0"/>
        <v>1.3461538461534417E-2</v>
      </c>
      <c r="T6" s="11">
        <f t="shared" si="0"/>
        <v>1.6524000000000001</v>
      </c>
      <c r="U6" s="11">
        <f t="shared" si="0"/>
        <v>2.7975384615384584</v>
      </c>
      <c r="V6" s="11" t="str">
        <f t="shared" si="0"/>
        <v/>
      </c>
      <c r="W6" s="11">
        <f t="shared" si="0"/>
        <v>-0.11766153846153841</v>
      </c>
      <c r="X6" s="11">
        <f t="shared" si="0"/>
        <v>-0.3481538461538462</v>
      </c>
      <c r="Y6" s="11" t="str">
        <f t="shared" si="0"/>
        <v/>
      </c>
      <c r="Z6" s="11">
        <f t="shared" si="0"/>
        <v>5.7984615384615384E-2</v>
      </c>
      <c r="AA6" s="11">
        <f t="shared" si="0"/>
        <v>-0.21124615384615383</v>
      </c>
      <c r="AB6" s="11">
        <f t="shared" si="0"/>
        <v>-0.21046153846153842</v>
      </c>
      <c r="AC6" s="11">
        <f t="shared" si="0"/>
        <v>-0.12409230769230763</v>
      </c>
      <c r="AD6" s="11">
        <f t="shared" si="0"/>
        <v>-0.34601538461538461</v>
      </c>
      <c r="AE6" s="11">
        <f t="shared" si="0"/>
        <v>-0.22739999999999994</v>
      </c>
      <c r="AF6" s="11">
        <f t="shared" si="0"/>
        <v>4.1692307692307681E-2</v>
      </c>
      <c r="AG6" s="11">
        <f t="shared" si="0"/>
        <v>-6.1276923076923083E-2</v>
      </c>
      <c r="AH6" s="11">
        <f t="shared" si="0"/>
        <v>-2.2061538461538459E-2</v>
      </c>
      <c r="AI6" s="11">
        <f t="shared" si="0"/>
        <v>-0.20878461538461535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0.30243076923073886</v>
      </c>
      <c r="I7" s="11">
        <f t="shared" si="1"/>
        <v>0.36892307692306758</v>
      </c>
      <c r="J7" s="11">
        <f t="shared" si="1"/>
        <v>8.4569230769204751E-2</v>
      </c>
      <c r="K7" s="11">
        <f t="shared" si="1"/>
        <v>0.15750769230766082</v>
      </c>
      <c r="L7" s="11">
        <f t="shared" si="1"/>
        <v>0.3693692307691947</v>
      </c>
      <c r="M7" s="11">
        <f t="shared" si="1"/>
        <v>0.17460000000002651</v>
      </c>
      <c r="N7" s="11">
        <f t="shared" si="1"/>
        <v>-0.31032307692307981</v>
      </c>
      <c r="O7" s="11">
        <f t="shared" si="1"/>
        <v>5.5630769230759824E-2</v>
      </c>
      <c r="P7" s="11" t="str">
        <f t="shared" si="1"/>
        <v/>
      </c>
      <c r="Q7" s="11" t="str">
        <f t="shared" si="1"/>
        <v/>
      </c>
      <c r="R7" s="11">
        <f t="shared" si="1"/>
        <v>2.1015384615399313E-2</v>
      </c>
      <c r="S7" s="11">
        <f t="shared" si="1"/>
        <v>4.7000000000007702E-2</v>
      </c>
      <c r="T7" s="11">
        <f t="shared" si="1"/>
        <v>5.5013538461538403</v>
      </c>
      <c r="U7" s="11">
        <f t="shared" si="1"/>
        <v>5.6794307692307697</v>
      </c>
      <c r="V7" s="11" t="str">
        <f t="shared" si="1"/>
        <v/>
      </c>
      <c r="W7" s="11">
        <f t="shared" si="1"/>
        <v>-2.3476923076923065E-2</v>
      </c>
      <c r="X7" s="11">
        <f t="shared" si="1"/>
        <v>-0.28816923076923068</v>
      </c>
      <c r="Y7" s="11" t="str">
        <f t="shared" si="1"/>
        <v/>
      </c>
      <c r="Z7" s="11">
        <f t="shared" si="1"/>
        <v>4.7692307692307701E-2</v>
      </c>
      <c r="AA7" s="11">
        <f t="shared" si="1"/>
        <v>-0.22629230769230765</v>
      </c>
      <c r="AB7" s="11">
        <f t="shared" si="1"/>
        <v>-0.13935384615384608</v>
      </c>
      <c r="AC7" s="11">
        <f t="shared" si="1"/>
        <v>-3.6092307692307694E-2</v>
      </c>
      <c r="AD7" s="11">
        <f t="shared" si="1"/>
        <v>-0.2865076923076923</v>
      </c>
      <c r="AE7" s="11">
        <f t="shared" si="1"/>
        <v>-0.10847692307692308</v>
      </c>
      <c r="AF7" s="11">
        <f t="shared" si="1"/>
        <v>-2.447692307692308E-2</v>
      </c>
      <c r="AG7" s="11">
        <f t="shared" si="1"/>
        <v>-0.12623076923076923</v>
      </c>
      <c r="AH7" s="11">
        <f t="shared" si="1"/>
        <v>3.8553846153846161E-2</v>
      </c>
      <c r="AI7" s="11">
        <f t="shared" si="1"/>
        <v>-0.21852307692307688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1126</v>
      </c>
      <c r="B9" t="s">
        <v>32</v>
      </c>
      <c r="C9" s="25">
        <v>43698.853344907409</v>
      </c>
      <c r="D9" s="741" t="s">
        <v>969</v>
      </c>
      <c r="E9" s="741">
        <f t="array" ref="E9">SUMPRODUCT(IF(AMP7_6[[#This Row],[Dim 1_1]:[T 8]]-$F$4:$AI$4&lt;0,1,0)+IF($F$5:$AI$5-AMP7_6[[#This Row],[Dim 1_1]:[T 8]]&lt;0,1,0),IF(ISNUMBER(AMP7_6[[#This Row],[Dim 1_1]:[T 8]])=TRUE,1,0))</f>
        <v>0</v>
      </c>
      <c r="F9">
        <v>40.959000000000003</v>
      </c>
      <c r="G9">
        <v>40.942999999999998</v>
      </c>
      <c r="H9">
        <v>156.029</v>
      </c>
      <c r="I9">
        <v>156.274</v>
      </c>
      <c r="L9">
        <v>155.93600000000001</v>
      </c>
      <c r="M9">
        <v>155.87200000000001</v>
      </c>
      <c r="N9">
        <v>27.266999999999999</v>
      </c>
      <c r="O9">
        <v>27.358000000000001</v>
      </c>
      <c r="R9">
        <v>17.327000000000002</v>
      </c>
      <c r="S9">
        <v>17.251000000000001</v>
      </c>
      <c r="T9">
        <v>33.604999999999997</v>
      </c>
      <c r="U9">
        <v>34.847000000000001</v>
      </c>
      <c r="W9">
        <v>-0.08</v>
      </c>
      <c r="X9">
        <v>-0.29699999999999999</v>
      </c>
      <c r="Z9">
        <v>9.4E-2</v>
      </c>
      <c r="AA9">
        <v>-0.14399999999999999</v>
      </c>
      <c r="AB9">
        <v>-0.17399999999999999</v>
      </c>
      <c r="AC9">
        <v>-0.08</v>
      </c>
      <c r="AD9">
        <v>-0.29699999999999999</v>
      </c>
      <c r="AE9">
        <v>-0.16300000000000001</v>
      </c>
      <c r="AF9">
        <v>9.4E-2</v>
      </c>
      <c r="AG9">
        <v>-1E-3</v>
      </c>
      <c r="AH9">
        <v>6.0999999999999999E-2</v>
      </c>
      <c r="AI9">
        <v>-0.14399999999999999</v>
      </c>
    </row>
    <row r="10" spans="1:35" x14ac:dyDescent="0.25">
      <c r="A10" t="s">
        <v>1127</v>
      </c>
      <c r="B10" t="s">
        <v>31</v>
      </c>
      <c r="C10" s="25">
        <v>43698.855381944442</v>
      </c>
      <c r="D10" s="741" t="s">
        <v>969</v>
      </c>
      <c r="E10" s="741">
        <f t="array" ref="E10">SUMPRODUCT(IF(AMP7_6[[#This Row],[Dim 1_1]:[T 8]]-$F$4:$AI$4&lt;0,1,0)+IF($F$5:$AI$5-AMP7_6[[#This Row],[Dim 1_1]:[T 8]]&lt;0,1,0),IF(ISNUMBER(AMP7_6[[#This Row],[Dim 1_1]:[T 8]])=TRUE,1,0))</f>
        <v>0</v>
      </c>
      <c r="H10">
        <v>156.095</v>
      </c>
      <c r="I10">
        <v>156.18100000000001</v>
      </c>
      <c r="J10">
        <v>168.56100000000001</v>
      </c>
      <c r="K10">
        <v>168.589</v>
      </c>
      <c r="L10">
        <v>156.18899999999999</v>
      </c>
      <c r="M10">
        <v>155.99</v>
      </c>
      <c r="N10">
        <v>27.076000000000001</v>
      </c>
      <c r="O10">
        <v>27.443999999999999</v>
      </c>
      <c r="R10">
        <v>17.274000000000001</v>
      </c>
      <c r="S10">
        <v>17.273</v>
      </c>
      <c r="T10">
        <v>36.71</v>
      </c>
      <c r="U10">
        <v>36.881999999999998</v>
      </c>
      <c r="W10">
        <v>9.5000000000000001E-2</v>
      </c>
      <c r="X10">
        <v>-0.151</v>
      </c>
      <c r="Z10">
        <v>0.11799999999999999</v>
      </c>
      <c r="AA10">
        <v>-0.14599999999999999</v>
      </c>
      <c r="AB10">
        <v>-3.1E-2</v>
      </c>
      <c r="AC10">
        <v>9.5000000000000001E-2</v>
      </c>
      <c r="AD10">
        <v>-0.151</v>
      </c>
      <c r="AE10">
        <v>5.8000000000000003E-2</v>
      </c>
      <c r="AF10">
        <v>3.9E-2</v>
      </c>
      <c r="AG10">
        <v>-4.9000000000000002E-2</v>
      </c>
      <c r="AH10">
        <v>0.11799999999999999</v>
      </c>
      <c r="AI10">
        <v>-0.14599999999999999</v>
      </c>
    </row>
    <row r="11" spans="1:35" x14ac:dyDescent="0.25">
      <c r="A11" t="s">
        <v>1128</v>
      </c>
      <c r="B11" t="s">
        <v>32</v>
      </c>
      <c r="C11" s="25">
        <v>43699.337418981479</v>
      </c>
      <c r="D11" s="741" t="s">
        <v>969</v>
      </c>
      <c r="E11" s="741">
        <f t="array" ref="E11">SUMPRODUCT(IF(AMP7_6[[#This Row],[Dim 1_1]:[T 8]]-$F$4:$AI$4&lt;0,1,0)+IF($F$5:$AI$5-AMP7_6[[#This Row],[Dim 1_1]:[T 8]]&lt;0,1,0),IF(ISNUMBER(AMP7_6[[#This Row],[Dim 1_1]:[T 8]])=TRUE,1,0))</f>
        <v>0</v>
      </c>
      <c r="F11">
        <v>41.127000000000002</v>
      </c>
      <c r="G11">
        <v>41.24</v>
      </c>
      <c r="H11">
        <v>156.071</v>
      </c>
      <c r="I11">
        <v>156.23599999999999</v>
      </c>
      <c r="L11">
        <v>155.97499999999999</v>
      </c>
      <c r="M11">
        <v>155.86600000000001</v>
      </c>
      <c r="N11">
        <v>27.215</v>
      </c>
      <c r="O11">
        <v>27.338999999999999</v>
      </c>
      <c r="R11">
        <v>17.29</v>
      </c>
      <c r="S11">
        <v>17.268999999999998</v>
      </c>
      <c r="T11">
        <v>34.262999999999998</v>
      </c>
      <c r="U11">
        <v>34.195</v>
      </c>
      <c r="W11">
        <v>-9.6000000000000002E-2</v>
      </c>
      <c r="X11">
        <v>-0.30099999999999999</v>
      </c>
      <c r="Z11">
        <v>9.7000000000000003E-2</v>
      </c>
      <c r="AA11">
        <v>-0.16600000000000001</v>
      </c>
      <c r="AB11">
        <v>-0.192</v>
      </c>
      <c r="AC11">
        <v>-9.6000000000000002E-2</v>
      </c>
      <c r="AD11">
        <v>-0.30099999999999999</v>
      </c>
      <c r="AE11">
        <v>-0.161</v>
      </c>
      <c r="AF11">
        <v>9.7000000000000003E-2</v>
      </c>
      <c r="AG11">
        <v>-1.7999999999999999E-2</v>
      </c>
      <c r="AH11">
        <v>0.05</v>
      </c>
      <c r="AI11">
        <v>-0.16600000000000001</v>
      </c>
    </row>
    <row r="12" spans="1:35" x14ac:dyDescent="0.25">
      <c r="A12" t="s">
        <v>1129</v>
      </c>
      <c r="B12" t="s">
        <v>31</v>
      </c>
      <c r="C12" s="25">
        <v>43699.339953703704</v>
      </c>
      <c r="D12" s="741" t="s">
        <v>969</v>
      </c>
      <c r="E12" s="741">
        <f t="array" ref="E12">SUMPRODUCT(IF(AMP7_6[[#This Row],[Dim 1_1]:[T 8]]-$F$4:$AI$4&lt;0,1,0)+IF($F$5:$AI$5-AMP7_6[[#This Row],[Dim 1_1]:[T 8]]&lt;0,1,0),IF(ISNUMBER(AMP7_6[[#This Row],[Dim 1_1]:[T 8]])=TRUE,1,0))</f>
        <v>0</v>
      </c>
      <c r="H12">
        <v>156.09899999999999</v>
      </c>
      <c r="I12">
        <v>156.13800000000001</v>
      </c>
      <c r="J12">
        <v>168.78100000000001</v>
      </c>
      <c r="K12">
        <v>168.833</v>
      </c>
      <c r="L12">
        <v>156.17500000000001</v>
      </c>
      <c r="M12">
        <v>155.958</v>
      </c>
      <c r="N12">
        <v>27.094000000000001</v>
      </c>
      <c r="O12">
        <v>27.475999999999999</v>
      </c>
      <c r="R12">
        <v>17.271999999999998</v>
      </c>
      <c r="S12">
        <v>17.335999999999999</v>
      </c>
      <c r="T12">
        <v>37.841000000000001</v>
      </c>
      <c r="U12">
        <v>38.009</v>
      </c>
      <c r="W12">
        <v>4.7E-2</v>
      </c>
      <c r="X12">
        <v>-0.20799999999999999</v>
      </c>
      <c r="Z12">
        <v>1.7999999999999999E-2</v>
      </c>
      <c r="AA12">
        <v>-0.27</v>
      </c>
      <c r="AB12">
        <v>-8.3000000000000004E-2</v>
      </c>
      <c r="AC12">
        <v>4.7E-2</v>
      </c>
      <c r="AD12">
        <v>-0.20799999999999999</v>
      </c>
      <c r="AE12">
        <v>-8.9999999999999993E-3</v>
      </c>
      <c r="AF12">
        <v>-0.06</v>
      </c>
      <c r="AG12">
        <v>-0.16500000000000001</v>
      </c>
      <c r="AH12">
        <v>1.7999999999999999E-2</v>
      </c>
      <c r="AI12">
        <v>-0.27</v>
      </c>
    </row>
    <row r="13" spans="1:35" x14ac:dyDescent="0.25">
      <c r="A13" t="s">
        <v>1130</v>
      </c>
      <c r="B13" t="s">
        <v>32</v>
      </c>
      <c r="C13" s="25">
        <v>43699.423888888887</v>
      </c>
      <c r="D13" s="741" t="s">
        <v>969</v>
      </c>
      <c r="E13" s="741">
        <f t="array" ref="E13">SUMPRODUCT(IF(AMP7_6[[#This Row],[Dim 1_1]:[T 8]]-$F$4:$AI$4&lt;0,1,0)+IF($F$5:$AI$5-AMP7_6[[#This Row],[Dim 1_1]:[T 8]]&lt;0,1,0),IF(ISNUMBER(AMP7_6[[#This Row],[Dim 1_1]:[T 8]])=TRUE,1,0))</f>
        <v>0</v>
      </c>
      <c r="F13">
        <v>41.072000000000003</v>
      </c>
      <c r="G13">
        <v>41.256999999999998</v>
      </c>
      <c r="H13">
        <v>156.08199999999999</v>
      </c>
      <c r="I13">
        <v>156.244</v>
      </c>
      <c r="L13">
        <v>156.00200000000001</v>
      </c>
      <c r="M13">
        <v>155.88800000000001</v>
      </c>
      <c r="N13">
        <v>27.202000000000002</v>
      </c>
      <c r="O13">
        <v>27.341000000000001</v>
      </c>
      <c r="R13">
        <v>17.32</v>
      </c>
      <c r="S13">
        <v>17.225999999999999</v>
      </c>
      <c r="T13">
        <v>33.698999999999998</v>
      </c>
      <c r="U13">
        <v>34.844999999999999</v>
      </c>
      <c r="W13">
        <v>-0.191</v>
      </c>
      <c r="X13">
        <v>-0.34300000000000003</v>
      </c>
      <c r="Z13">
        <v>7.0000000000000001E-3</v>
      </c>
      <c r="AA13">
        <v>-0.183</v>
      </c>
      <c r="AB13">
        <v>-0.28499999999999998</v>
      </c>
      <c r="AC13">
        <v>-0.191</v>
      </c>
      <c r="AD13">
        <v>-0.34300000000000003</v>
      </c>
      <c r="AE13">
        <v>-0.23799999999999999</v>
      </c>
      <c r="AF13">
        <v>-2.3E-2</v>
      </c>
      <c r="AG13">
        <v>-0.115</v>
      </c>
      <c r="AH13">
        <v>7.0000000000000001E-3</v>
      </c>
      <c r="AI13">
        <v>-0.183</v>
      </c>
    </row>
    <row r="14" spans="1:35" x14ac:dyDescent="0.25">
      <c r="A14" t="s">
        <v>1131</v>
      </c>
      <c r="B14" t="s">
        <v>31</v>
      </c>
      <c r="C14" s="25">
        <v>43699.425995370373</v>
      </c>
      <c r="D14" s="741" t="s">
        <v>969</v>
      </c>
      <c r="E14" s="741">
        <f t="array" ref="E14">SUMPRODUCT(IF(AMP7_6[[#This Row],[Dim 1_1]:[T 8]]-$F$4:$AI$4&lt;0,1,0)+IF($F$5:$AI$5-AMP7_6[[#This Row],[Dim 1_1]:[T 8]]&lt;0,1,0),IF(ISNUMBER(AMP7_6[[#This Row],[Dim 1_1]:[T 8]])=TRUE,1,0))</f>
        <v>0</v>
      </c>
      <c r="H14">
        <v>156.125</v>
      </c>
      <c r="I14">
        <v>156.202</v>
      </c>
      <c r="J14">
        <v>168.75899999999999</v>
      </c>
      <c r="K14">
        <v>168.792</v>
      </c>
      <c r="L14">
        <v>156.245</v>
      </c>
      <c r="M14">
        <v>156.04300000000001</v>
      </c>
      <c r="N14">
        <v>27.02</v>
      </c>
      <c r="O14">
        <v>27.399000000000001</v>
      </c>
      <c r="R14">
        <v>17.266999999999999</v>
      </c>
      <c r="S14">
        <v>17.312000000000001</v>
      </c>
      <c r="T14">
        <v>38.948999999999998</v>
      </c>
      <c r="U14">
        <v>38.207999999999998</v>
      </c>
      <c r="W14">
        <v>6.3E-2</v>
      </c>
      <c r="X14">
        <v>-0.254</v>
      </c>
      <c r="Z14">
        <v>7.5999999999999998E-2</v>
      </c>
      <c r="AA14">
        <v>-0.22700000000000001</v>
      </c>
      <c r="AB14">
        <v>-7.9000000000000001E-2</v>
      </c>
      <c r="AC14">
        <v>6.3E-2</v>
      </c>
      <c r="AD14">
        <v>-0.254</v>
      </c>
      <c r="AE14">
        <v>-0.08</v>
      </c>
      <c r="AF14">
        <v>1.7000000000000001E-2</v>
      </c>
      <c r="AG14">
        <v>-8.4000000000000005E-2</v>
      </c>
      <c r="AH14">
        <v>7.5999999999999998E-2</v>
      </c>
      <c r="AI14">
        <v>-0.22700000000000001</v>
      </c>
    </row>
    <row r="15" spans="1:35" x14ac:dyDescent="0.25">
      <c r="A15" t="s">
        <v>1132</v>
      </c>
      <c r="B15" t="s">
        <v>32</v>
      </c>
      <c r="C15" s="25">
        <v>43699.481909722221</v>
      </c>
      <c r="D15" s="741" t="s">
        <v>969</v>
      </c>
      <c r="E15" s="741">
        <f t="array" ref="E15">SUMPRODUCT(IF(AMP7_6[[#This Row],[Dim 1_1]:[T 8]]-$F$4:$AI$4&lt;0,1,0)+IF($F$5:$AI$5-AMP7_6[[#This Row],[Dim 1_1]:[T 8]]&lt;0,1,0),IF(ISNUMBER(AMP7_6[[#This Row],[Dim 1_1]:[T 8]])=TRUE,1,0))</f>
        <v>0</v>
      </c>
      <c r="F15">
        <v>41.238</v>
      </c>
      <c r="G15">
        <v>41.298000000000002</v>
      </c>
      <c r="H15">
        <v>156.018</v>
      </c>
      <c r="I15">
        <v>156.22800000000001</v>
      </c>
      <c r="L15">
        <v>155.94200000000001</v>
      </c>
      <c r="M15">
        <v>155.87</v>
      </c>
      <c r="N15">
        <v>27.288</v>
      </c>
      <c r="O15">
        <v>27.414999999999999</v>
      </c>
      <c r="R15">
        <v>17.306000000000001</v>
      </c>
      <c r="S15">
        <v>17.195</v>
      </c>
      <c r="T15">
        <v>33.549999999999997</v>
      </c>
      <c r="U15">
        <v>34.844999999999999</v>
      </c>
      <c r="W15">
        <v>-5.2999999999999999E-2</v>
      </c>
      <c r="X15">
        <v>-0.224</v>
      </c>
      <c r="Z15">
        <v>0.11</v>
      </c>
      <c r="AA15">
        <v>-0.114</v>
      </c>
      <c r="AB15">
        <v>-0.14399999999999999</v>
      </c>
      <c r="AC15">
        <v>-5.2999999999999999E-2</v>
      </c>
      <c r="AD15">
        <v>-0.224</v>
      </c>
      <c r="AE15">
        <v>-0.123</v>
      </c>
      <c r="AF15">
        <v>0.11</v>
      </c>
      <c r="AG15">
        <v>-8.9999999999999993E-3</v>
      </c>
      <c r="AH15">
        <v>3.3000000000000002E-2</v>
      </c>
      <c r="AI15">
        <v>-0.114</v>
      </c>
    </row>
    <row r="16" spans="1:35" x14ac:dyDescent="0.25">
      <c r="A16" t="s">
        <v>1133</v>
      </c>
      <c r="B16" t="s">
        <v>31</v>
      </c>
      <c r="C16" s="25">
        <v>43699.483969907407</v>
      </c>
      <c r="D16" s="741" t="s">
        <v>969</v>
      </c>
      <c r="E16" s="741">
        <f t="array" ref="E16">SUMPRODUCT(IF(AMP7_6[[#This Row],[Dim 1_1]:[T 8]]-$F$4:$AI$4&lt;0,1,0)+IF($F$5:$AI$5-AMP7_6[[#This Row],[Dim 1_1]:[T 8]]&lt;0,1,0),IF(ISNUMBER(AMP7_6[[#This Row],[Dim 1_1]:[T 8]])=TRUE,1,0))</f>
        <v>0</v>
      </c>
      <c r="H16">
        <v>156.08500000000001</v>
      </c>
      <c r="I16">
        <v>156.13200000000001</v>
      </c>
      <c r="J16">
        <v>168.85599999999999</v>
      </c>
      <c r="K16">
        <v>168.88</v>
      </c>
      <c r="L16">
        <v>156.16300000000001</v>
      </c>
      <c r="M16">
        <v>155.94399999999999</v>
      </c>
      <c r="N16">
        <v>27.082000000000001</v>
      </c>
      <c r="O16">
        <v>27.47</v>
      </c>
      <c r="R16">
        <v>17.266999999999999</v>
      </c>
      <c r="S16">
        <v>17.268999999999998</v>
      </c>
      <c r="T16">
        <v>36.479999999999997</v>
      </c>
      <c r="U16">
        <v>37.743000000000002</v>
      </c>
      <c r="W16">
        <v>9.5000000000000001E-2</v>
      </c>
      <c r="X16">
        <v>-0.24199999999999999</v>
      </c>
      <c r="Z16">
        <v>6.0000000000000001E-3</v>
      </c>
      <c r="AA16">
        <v>-0.26900000000000002</v>
      </c>
      <c r="AB16">
        <v>-3.7999999999999999E-2</v>
      </c>
      <c r="AC16">
        <v>9.5000000000000001E-2</v>
      </c>
      <c r="AD16">
        <v>-0.24199999999999999</v>
      </c>
      <c r="AE16">
        <v>-8.3000000000000004E-2</v>
      </c>
      <c r="AF16">
        <v>-7.0000000000000001E-3</v>
      </c>
      <c r="AG16">
        <v>-0.115</v>
      </c>
      <c r="AH16">
        <v>6.0000000000000001E-3</v>
      </c>
      <c r="AI16">
        <v>-0.26900000000000002</v>
      </c>
    </row>
    <row r="17" spans="1:35" x14ac:dyDescent="0.25">
      <c r="A17" t="s">
        <v>1134</v>
      </c>
      <c r="B17" t="s">
        <v>32</v>
      </c>
      <c r="C17" s="25">
        <v>43699.563159722224</v>
      </c>
      <c r="D17" s="741" t="s">
        <v>969</v>
      </c>
      <c r="E17" s="741">
        <f t="array" ref="E17">SUMPRODUCT(IF(AMP7_6[[#This Row],[Dim 1_1]:[T 8]]-$F$4:$AI$4&lt;0,1,0)+IF($F$5:$AI$5-AMP7_6[[#This Row],[Dim 1_1]:[T 8]]&lt;0,1,0),IF(ISNUMBER(AMP7_6[[#This Row],[Dim 1_1]:[T 8]])=TRUE,1,0))</f>
        <v>0</v>
      </c>
      <c r="F17">
        <v>41.091999999999999</v>
      </c>
      <c r="G17">
        <v>41.265999999999998</v>
      </c>
      <c r="H17">
        <v>156.22900000000001</v>
      </c>
      <c r="I17">
        <v>156.416</v>
      </c>
      <c r="L17">
        <v>156.108</v>
      </c>
      <c r="M17">
        <v>156.04400000000001</v>
      </c>
      <c r="N17">
        <v>27.119</v>
      </c>
      <c r="O17">
        <v>27.178999999999998</v>
      </c>
      <c r="R17">
        <v>17.327999999999999</v>
      </c>
      <c r="S17">
        <v>17.184999999999999</v>
      </c>
      <c r="T17">
        <v>33.542999999999999</v>
      </c>
      <c r="U17">
        <v>34.741999999999997</v>
      </c>
      <c r="W17">
        <v>-0.26400000000000001</v>
      </c>
      <c r="X17">
        <v>-0.35299999999999998</v>
      </c>
      <c r="Z17">
        <v>-5.1999999999999998E-2</v>
      </c>
      <c r="AA17">
        <v>-0.24299999999999999</v>
      </c>
      <c r="AB17">
        <v>-0.34300000000000003</v>
      </c>
      <c r="AC17">
        <v>-0.26400000000000001</v>
      </c>
      <c r="AD17">
        <v>-0.35299999999999998</v>
      </c>
      <c r="AE17">
        <v>-0.26800000000000002</v>
      </c>
      <c r="AF17">
        <v>-9.8000000000000004E-2</v>
      </c>
      <c r="AG17">
        <v>-0.20200000000000001</v>
      </c>
      <c r="AH17">
        <v>-5.1999999999999998E-2</v>
      </c>
      <c r="AI17">
        <v>-0.24299999999999999</v>
      </c>
    </row>
    <row r="18" spans="1:35" x14ac:dyDescent="0.25">
      <c r="A18" t="s">
        <v>1135</v>
      </c>
      <c r="B18" t="s">
        <v>31</v>
      </c>
      <c r="C18" s="25">
        <v>43699.565208333333</v>
      </c>
      <c r="D18" s="741" t="s">
        <v>969</v>
      </c>
      <c r="E18" s="741">
        <f t="array" ref="E18">SUMPRODUCT(IF(AMP7_6[[#This Row],[Dim 1_1]:[T 8]]-$F$4:$AI$4&lt;0,1,0)+IF($F$5:$AI$5-AMP7_6[[#This Row],[Dim 1_1]:[T 8]]&lt;0,1,0),IF(ISNUMBER(AMP7_6[[#This Row],[Dim 1_1]:[T 8]])=TRUE,1,0))</f>
        <v>0</v>
      </c>
      <c r="H18">
        <v>156.173</v>
      </c>
      <c r="I18">
        <v>156.21199999999999</v>
      </c>
      <c r="J18">
        <v>168.91200000000001</v>
      </c>
      <c r="K18">
        <v>168.964</v>
      </c>
      <c r="L18">
        <v>156.273</v>
      </c>
      <c r="M18">
        <v>156.04300000000001</v>
      </c>
      <c r="N18">
        <v>26.984000000000002</v>
      </c>
      <c r="O18">
        <v>27.39</v>
      </c>
      <c r="R18">
        <v>17.268000000000001</v>
      </c>
      <c r="S18">
        <v>17.263000000000002</v>
      </c>
      <c r="T18">
        <v>37.731000000000002</v>
      </c>
      <c r="U18">
        <v>38.542999999999999</v>
      </c>
      <c r="W18">
        <v>-6.8000000000000005E-2</v>
      </c>
      <c r="X18">
        <v>-0.28799999999999998</v>
      </c>
      <c r="Z18">
        <v>-2.5999999999999999E-2</v>
      </c>
      <c r="AA18">
        <v>-0.30599999999999999</v>
      </c>
      <c r="AB18">
        <v>-0.20899999999999999</v>
      </c>
      <c r="AC18">
        <v>-6.8000000000000005E-2</v>
      </c>
      <c r="AD18">
        <v>-0.28799999999999998</v>
      </c>
      <c r="AE18">
        <v>-7.6999999999999999E-2</v>
      </c>
      <c r="AF18">
        <v>-0.155</v>
      </c>
      <c r="AG18">
        <v>-0.255</v>
      </c>
      <c r="AH18">
        <v>-2.5999999999999999E-2</v>
      </c>
      <c r="AI18">
        <v>-0.30599999999999999</v>
      </c>
    </row>
    <row r="19" spans="1:35" x14ac:dyDescent="0.25">
      <c r="A19" t="s">
        <v>1243</v>
      </c>
      <c r="B19" t="s">
        <v>32</v>
      </c>
      <c r="C19" s="25">
        <v>43699.682187500002</v>
      </c>
      <c r="D19" s="741" t="s">
        <v>969</v>
      </c>
      <c r="E19" s="741">
        <f t="array" ref="E19">SUMPRODUCT(IF(AMP7_6[[#This Row],[Dim 1_1]:[T 8]]-$F$4:$AI$4&lt;0,1,0)+IF($F$5:$AI$5-AMP7_6[[#This Row],[Dim 1_1]:[T 8]]&lt;0,1,0),IF(ISNUMBER(AMP7_6[[#This Row],[Dim 1_1]:[T 8]])=TRUE,1,0))</f>
        <v>0</v>
      </c>
      <c r="F19">
        <v>41.139000000000003</v>
      </c>
      <c r="G19">
        <v>41.246000000000002</v>
      </c>
      <c r="H19">
        <v>156.06800000000001</v>
      </c>
      <c r="I19">
        <v>156.214</v>
      </c>
      <c r="L19">
        <v>156.03200000000001</v>
      </c>
      <c r="M19">
        <v>155.93199999999999</v>
      </c>
      <c r="N19">
        <v>27.202000000000002</v>
      </c>
      <c r="O19">
        <v>27.312000000000001</v>
      </c>
      <c r="R19">
        <v>17.321000000000002</v>
      </c>
      <c r="S19">
        <v>17.204999999999998</v>
      </c>
      <c r="T19">
        <v>33.484000000000002</v>
      </c>
      <c r="U19">
        <v>34.707999999999998</v>
      </c>
      <c r="W19">
        <v>-0.17799999999999999</v>
      </c>
      <c r="X19">
        <v>-0.33400000000000002</v>
      </c>
      <c r="Z19">
        <v>2.4E-2</v>
      </c>
      <c r="AA19">
        <v>-0.13700000000000001</v>
      </c>
      <c r="AB19">
        <v>-0.28100000000000003</v>
      </c>
      <c r="AC19">
        <v>-0.17799999999999999</v>
      </c>
      <c r="AD19">
        <v>-0.33400000000000002</v>
      </c>
      <c r="AE19">
        <v>-0.23899999999999999</v>
      </c>
      <c r="AF19">
        <v>2.4E-2</v>
      </c>
      <c r="AG19">
        <v>-7.8E-2</v>
      </c>
      <c r="AH19">
        <v>-4.0000000000000001E-3</v>
      </c>
      <c r="AI19">
        <v>-0.13700000000000001</v>
      </c>
    </row>
    <row r="20" spans="1:35" x14ac:dyDescent="0.25">
      <c r="A20" t="s">
        <v>1244</v>
      </c>
      <c r="B20" t="s">
        <v>31</v>
      </c>
      <c r="C20" s="25">
        <v>43699.684201388889</v>
      </c>
      <c r="D20" s="741" t="s">
        <v>969</v>
      </c>
      <c r="E20" s="741">
        <f t="array" ref="E20">SUMPRODUCT(IF(AMP7_6[[#This Row],[Dim 1_1]:[T 8]]-$F$4:$AI$4&lt;0,1,0)+IF($F$5:$AI$5-AMP7_6[[#This Row],[Dim 1_1]:[T 8]]&lt;0,1,0),IF(ISNUMBER(AMP7_6[[#This Row],[Dim 1_1]:[T 8]])=TRUE,1,0))</f>
        <v>0</v>
      </c>
      <c r="H20">
        <v>156.124</v>
      </c>
      <c r="I20">
        <v>156.18</v>
      </c>
      <c r="J20">
        <v>168.773</v>
      </c>
      <c r="K20">
        <v>168.95400000000001</v>
      </c>
      <c r="L20">
        <v>156.226</v>
      </c>
      <c r="M20">
        <v>156.006</v>
      </c>
      <c r="N20">
        <v>27.032</v>
      </c>
      <c r="O20">
        <v>27.433</v>
      </c>
      <c r="R20">
        <v>17.295999999999999</v>
      </c>
      <c r="S20">
        <v>17.356999999999999</v>
      </c>
      <c r="T20">
        <v>37.613</v>
      </c>
      <c r="U20">
        <v>38.055</v>
      </c>
      <c r="W20">
        <v>4.1000000000000002E-2</v>
      </c>
      <c r="X20">
        <v>-0.27</v>
      </c>
      <c r="Z20">
        <v>5.0000000000000001E-3</v>
      </c>
      <c r="AA20">
        <v>-0.309</v>
      </c>
      <c r="AB20">
        <v>-6.0999999999999999E-2</v>
      </c>
      <c r="AC20">
        <v>4.1000000000000002E-2</v>
      </c>
      <c r="AD20">
        <v>-0.27</v>
      </c>
      <c r="AE20">
        <v>-0.25700000000000001</v>
      </c>
      <c r="AF20">
        <v>-3.6999999999999998E-2</v>
      </c>
      <c r="AG20">
        <v>-0.14299999999999999</v>
      </c>
      <c r="AH20">
        <v>5.0000000000000001E-3</v>
      </c>
      <c r="AI20">
        <v>-0.309</v>
      </c>
    </row>
    <row r="21" spans="1:35" x14ac:dyDescent="0.25">
      <c r="A21" t="s">
        <v>1245</v>
      </c>
      <c r="B21" t="s">
        <v>32</v>
      </c>
      <c r="C21" s="25">
        <v>43699.79042824074</v>
      </c>
      <c r="D21" s="741" t="s">
        <v>969</v>
      </c>
      <c r="E21" s="741">
        <f t="array" ref="E21">SUMPRODUCT(IF(AMP7_6[[#This Row],[Dim 1_1]:[T 8]]-$F$4:$AI$4&lt;0,1,0)+IF($F$5:$AI$5-AMP7_6[[#This Row],[Dim 1_1]:[T 8]]&lt;0,1,0),IF(ISNUMBER(AMP7_6[[#This Row],[Dim 1_1]:[T 8]])=TRUE,1,0))</f>
        <v>0</v>
      </c>
      <c r="F21">
        <v>41.264000000000003</v>
      </c>
      <c r="G21">
        <v>41.228000000000002</v>
      </c>
      <c r="H21">
        <v>156.101</v>
      </c>
      <c r="I21">
        <v>156.27099999999999</v>
      </c>
      <c r="L21">
        <v>155.99700000000001</v>
      </c>
      <c r="M21">
        <v>155.88999999999999</v>
      </c>
      <c r="N21">
        <v>27.27</v>
      </c>
      <c r="O21">
        <v>27.373000000000001</v>
      </c>
      <c r="R21">
        <v>17.324000000000002</v>
      </c>
      <c r="S21">
        <v>17.222000000000001</v>
      </c>
      <c r="T21">
        <v>33.728000000000002</v>
      </c>
      <c r="U21">
        <v>34.593000000000004</v>
      </c>
      <c r="W21">
        <v>-0.11899999999999999</v>
      </c>
      <c r="X21">
        <v>-0.34200000000000003</v>
      </c>
      <c r="Z21">
        <v>-8.2000000000000003E-2</v>
      </c>
      <c r="AA21">
        <v>-0.28199999999999997</v>
      </c>
      <c r="AB21">
        <v>-0.23100000000000001</v>
      </c>
      <c r="AC21">
        <v>-0.11899999999999999</v>
      </c>
      <c r="AD21">
        <v>-0.34200000000000003</v>
      </c>
      <c r="AE21">
        <v>-0.216</v>
      </c>
      <c r="AF21">
        <v>-8.2000000000000003E-2</v>
      </c>
      <c r="AG21">
        <v>-0.20799999999999999</v>
      </c>
      <c r="AH21">
        <v>-8.5000000000000006E-2</v>
      </c>
      <c r="AI21">
        <v>-0.28199999999999997</v>
      </c>
    </row>
    <row r="22" spans="1:35" x14ac:dyDescent="0.25">
      <c r="A22" t="s">
        <v>1246</v>
      </c>
      <c r="B22" t="s">
        <v>31</v>
      </c>
      <c r="C22" s="25">
        <v>43699.792523148149</v>
      </c>
      <c r="D22" s="741" t="s">
        <v>969</v>
      </c>
      <c r="E22" s="741">
        <f t="array" ref="E22">SUMPRODUCT(IF(AMP7_6[[#This Row],[Dim 1_1]:[T 8]]-$F$4:$AI$4&lt;0,1,0)+IF($F$5:$AI$5-AMP7_6[[#This Row],[Dim 1_1]:[T 8]]&lt;0,1,0),IF(ISNUMBER(AMP7_6[[#This Row],[Dim 1_1]:[T 8]])=TRUE,1,0))</f>
        <v>0</v>
      </c>
      <c r="H22">
        <v>156.09800000000001</v>
      </c>
      <c r="I22">
        <v>156.24799999999999</v>
      </c>
      <c r="J22">
        <v>168.97300000000001</v>
      </c>
      <c r="K22">
        <v>169.16200000000001</v>
      </c>
      <c r="L22">
        <v>156.21100000000001</v>
      </c>
      <c r="M22">
        <v>156.11799999999999</v>
      </c>
      <c r="N22">
        <v>26.981000000000002</v>
      </c>
      <c r="O22">
        <v>27.274999999999999</v>
      </c>
      <c r="R22">
        <v>17.285</v>
      </c>
      <c r="S22">
        <v>17.239000000000001</v>
      </c>
      <c r="T22">
        <v>37.552999999999997</v>
      </c>
      <c r="U22">
        <v>37.024000000000001</v>
      </c>
      <c r="W22">
        <v>-4.3999999999999997E-2</v>
      </c>
      <c r="X22">
        <v>-0.316</v>
      </c>
      <c r="Z22">
        <v>0.123</v>
      </c>
      <c r="AA22">
        <v>-0.17299999999999999</v>
      </c>
      <c r="AB22">
        <v>-0.17599999999999999</v>
      </c>
      <c r="AC22">
        <v>-4.3999999999999997E-2</v>
      </c>
      <c r="AD22">
        <v>-0.316</v>
      </c>
      <c r="AE22">
        <v>-0.10199999999999999</v>
      </c>
      <c r="AF22">
        <v>-8.0000000000000002E-3</v>
      </c>
      <c r="AG22">
        <v>-0.105</v>
      </c>
      <c r="AH22">
        <v>0.123</v>
      </c>
      <c r="AI22">
        <v>-0.17299999999999999</v>
      </c>
    </row>
    <row r="23" spans="1:35" x14ac:dyDescent="0.25">
      <c r="A23" t="s">
        <v>1247</v>
      </c>
      <c r="B23" t="s">
        <v>32</v>
      </c>
      <c r="C23" s="25">
        <v>43700.444618055553</v>
      </c>
      <c r="D23" s="741" t="s">
        <v>969</v>
      </c>
      <c r="E23" s="741">
        <f t="array" ref="E23">SUMPRODUCT(IF(AMP7_6[[#This Row],[Dim 1_1]:[T 8]]-$F$4:$AI$4&lt;0,1,0)+IF($F$5:$AI$5-AMP7_6[[#This Row],[Dim 1_1]:[T 8]]&lt;0,1,0),IF(ISNUMBER(AMP7_6[[#This Row],[Dim 1_1]:[T 8]])=TRUE,1,0))</f>
        <v>0</v>
      </c>
      <c r="F23">
        <v>41.292000000000002</v>
      </c>
      <c r="G23">
        <v>41.371000000000002</v>
      </c>
      <c r="H23">
        <v>155.85400000000001</v>
      </c>
      <c r="I23">
        <v>156.07599999999999</v>
      </c>
      <c r="L23">
        <v>155.779</v>
      </c>
      <c r="M23">
        <v>155.727</v>
      </c>
      <c r="N23">
        <v>27.423999999999999</v>
      </c>
      <c r="O23">
        <v>27.512</v>
      </c>
      <c r="R23">
        <v>17.305</v>
      </c>
      <c r="S23">
        <v>17.408000000000001</v>
      </c>
      <c r="T23">
        <v>33.881999999999998</v>
      </c>
      <c r="U23">
        <v>34.860999999999997</v>
      </c>
      <c r="W23">
        <v>4.9000000000000002E-2</v>
      </c>
      <c r="X23">
        <v>-0.27700000000000002</v>
      </c>
      <c r="Z23">
        <v>0.23699999999999999</v>
      </c>
      <c r="AA23">
        <v>-8.5000000000000006E-2</v>
      </c>
      <c r="AB23">
        <v>-3.1E-2</v>
      </c>
      <c r="AC23">
        <v>4.9000000000000002E-2</v>
      </c>
      <c r="AD23">
        <v>-0.27700000000000002</v>
      </c>
      <c r="AE23">
        <v>-0.13200000000000001</v>
      </c>
      <c r="AF23">
        <v>0.23699999999999999</v>
      </c>
      <c r="AG23">
        <v>0.14199999999999999</v>
      </c>
      <c r="AH23">
        <v>0.20200000000000001</v>
      </c>
      <c r="AI23">
        <v>-8.5000000000000006E-2</v>
      </c>
    </row>
    <row r="24" spans="1:35" x14ac:dyDescent="0.25">
      <c r="A24" t="s">
        <v>1248</v>
      </c>
      <c r="B24" t="s">
        <v>31</v>
      </c>
      <c r="C24" s="25">
        <v>43700.446875000001</v>
      </c>
      <c r="D24" s="741" t="s">
        <v>969</v>
      </c>
      <c r="E24" s="741">
        <f t="array" ref="E24">SUMPRODUCT(IF(AMP7_6[[#This Row],[Dim 1_1]:[T 8]]-$F$4:$AI$4&lt;0,1,0)+IF($F$5:$AI$5-AMP7_6[[#This Row],[Dim 1_1]:[T 8]]&lt;0,1,0),IF(ISNUMBER(AMP7_6[[#This Row],[Dim 1_1]:[T 8]])=TRUE,1,0))</f>
        <v>0</v>
      </c>
      <c r="H24">
        <v>155.94200000000001</v>
      </c>
      <c r="I24">
        <v>155.98599999999999</v>
      </c>
      <c r="J24">
        <v>168.70500000000001</v>
      </c>
      <c r="K24">
        <v>168.80799999999999</v>
      </c>
      <c r="L24">
        <v>155.99799999999999</v>
      </c>
      <c r="M24">
        <v>155.77500000000001</v>
      </c>
      <c r="N24">
        <v>27.248000000000001</v>
      </c>
      <c r="O24">
        <v>27.631</v>
      </c>
      <c r="R24">
        <v>17.289000000000001</v>
      </c>
      <c r="S24">
        <v>17.346</v>
      </c>
      <c r="T24">
        <v>38.350999999999999</v>
      </c>
      <c r="U24">
        <v>37.393000000000001</v>
      </c>
      <c r="W24">
        <v>0.185</v>
      </c>
      <c r="X24">
        <v>-2.5000000000000001E-2</v>
      </c>
      <c r="Z24">
        <v>0.16600000000000001</v>
      </c>
      <c r="AA24">
        <v>-5.0000000000000001E-3</v>
      </c>
      <c r="AB24">
        <v>8.5000000000000006E-2</v>
      </c>
      <c r="AC24">
        <v>0.185</v>
      </c>
      <c r="AD24">
        <v>-2.5000000000000001E-2</v>
      </c>
      <c r="AE24">
        <v>0.122</v>
      </c>
      <c r="AF24">
        <v>0.126</v>
      </c>
      <c r="AG24">
        <v>5.3999999999999999E-2</v>
      </c>
      <c r="AH24">
        <v>0.16600000000000001</v>
      </c>
      <c r="AI24">
        <v>-5.0000000000000001E-3</v>
      </c>
    </row>
    <row r="25" spans="1:35" x14ac:dyDescent="0.25">
      <c r="A25" t="s">
        <v>1405</v>
      </c>
      <c r="B25" t="s">
        <v>32</v>
      </c>
      <c r="C25" s="25">
        <v>43701.357361111113</v>
      </c>
      <c r="D25" s="741" t="s">
        <v>969</v>
      </c>
      <c r="E25" s="741">
        <f t="array" ref="E25">SUMPRODUCT(IF(AMP7_6[[#This Row],[Dim 1_1]:[T 8]]-$F$4:$AI$4&lt;0,1,0)+IF($F$5:$AI$5-AMP7_6[[#This Row],[Dim 1_1]:[T 8]]&lt;0,1,0),IF(ISNUMBER(AMP7_6[[#This Row],[Dim 1_1]:[T 8]])=TRUE,1,0))</f>
        <v>0</v>
      </c>
      <c r="F25">
        <v>41.328000000000003</v>
      </c>
      <c r="G25">
        <v>41.232999999999997</v>
      </c>
      <c r="H25">
        <v>155.86500000000001</v>
      </c>
      <c r="I25">
        <v>156.1</v>
      </c>
      <c r="L25">
        <v>155.78899999999999</v>
      </c>
      <c r="M25">
        <v>155.76900000000001</v>
      </c>
      <c r="N25">
        <v>27.425000000000001</v>
      </c>
      <c r="O25">
        <v>27.483000000000001</v>
      </c>
      <c r="R25">
        <v>17.324999999999999</v>
      </c>
      <c r="S25">
        <v>17.395</v>
      </c>
      <c r="T25">
        <v>33.808999999999997</v>
      </c>
      <c r="U25">
        <v>34.863999999999997</v>
      </c>
      <c r="W25">
        <v>4.3999999999999997E-2</v>
      </c>
      <c r="X25">
        <v>-0.26100000000000001</v>
      </c>
      <c r="Z25">
        <v>0.23100000000000001</v>
      </c>
      <c r="AA25">
        <v>-0.13100000000000001</v>
      </c>
      <c r="AB25">
        <v>-1.4999999999999999E-2</v>
      </c>
      <c r="AC25">
        <v>4.3999999999999997E-2</v>
      </c>
      <c r="AD25">
        <v>-0.26100000000000001</v>
      </c>
      <c r="AE25">
        <v>-0.21099999999999999</v>
      </c>
      <c r="AF25">
        <v>0.23100000000000001</v>
      </c>
      <c r="AG25">
        <v>0.13200000000000001</v>
      </c>
      <c r="AH25">
        <v>0.03</v>
      </c>
      <c r="AI25">
        <v>-0.13100000000000001</v>
      </c>
    </row>
    <row r="26" spans="1:35" x14ac:dyDescent="0.25">
      <c r="A26" t="s">
        <v>1406</v>
      </c>
      <c r="B26" t="s">
        <v>31</v>
      </c>
      <c r="C26" s="25">
        <v>43701.358981481484</v>
      </c>
      <c r="D26" s="741" t="s">
        <v>969</v>
      </c>
      <c r="E26" s="741">
        <f t="array" ref="E26">SUMPRODUCT(IF(AMP7_6[[#This Row],[Dim 1_1]:[T 8]]-$F$4:$AI$4&lt;0,1,0)+IF($F$5:$AI$5-AMP7_6[[#This Row],[Dim 1_1]:[T 8]]&lt;0,1,0),IF(ISNUMBER(AMP7_6[[#This Row],[Dim 1_1]:[T 8]])=TRUE,1,0))</f>
        <v>0</v>
      </c>
      <c r="H26">
        <v>155.928</v>
      </c>
      <c r="I26">
        <v>155.96</v>
      </c>
      <c r="J26">
        <v>168.721</v>
      </c>
      <c r="K26">
        <v>168.73599999999999</v>
      </c>
      <c r="L26">
        <v>156.01499999999999</v>
      </c>
      <c r="M26">
        <v>155.77000000000001</v>
      </c>
      <c r="N26">
        <v>27.238</v>
      </c>
      <c r="O26">
        <v>27.66</v>
      </c>
      <c r="R26">
        <v>17.271999999999998</v>
      </c>
      <c r="S26">
        <v>17.352</v>
      </c>
      <c r="T26">
        <v>38.125999999999998</v>
      </c>
      <c r="U26">
        <v>36.365000000000002</v>
      </c>
      <c r="W26">
        <v>0.17100000000000001</v>
      </c>
      <c r="X26">
        <v>-6.2E-2</v>
      </c>
      <c r="Z26">
        <v>0.13200000000000001</v>
      </c>
      <c r="AA26">
        <v>-7.6999999999999999E-2</v>
      </c>
      <c r="AB26">
        <v>7.2999999999999995E-2</v>
      </c>
      <c r="AC26">
        <v>0.17100000000000001</v>
      </c>
      <c r="AD26">
        <v>-6.2E-2</v>
      </c>
      <c r="AE26">
        <v>0.104</v>
      </c>
      <c r="AF26">
        <v>0.13200000000000001</v>
      </c>
      <c r="AG26">
        <v>3.5000000000000003E-2</v>
      </c>
      <c r="AH26">
        <v>0.107</v>
      </c>
      <c r="AI26">
        <v>-7.6999999999999999E-2</v>
      </c>
    </row>
    <row r="27" spans="1:35" x14ac:dyDescent="0.25">
      <c r="A27" t="s">
        <v>1407</v>
      </c>
      <c r="B27" t="s">
        <v>32</v>
      </c>
      <c r="C27" s="25">
        <v>43701.419872685183</v>
      </c>
      <c r="D27" s="741" t="s">
        <v>969</v>
      </c>
      <c r="E27" s="741">
        <f t="array" ref="E27">SUMPRODUCT(IF(AMP7_6[[#This Row],[Dim 1_1]:[T 8]]-$F$4:$AI$4&lt;0,1,0)+IF($F$5:$AI$5-AMP7_6[[#This Row],[Dim 1_1]:[T 8]]&lt;0,1,0),IF(ISNUMBER(AMP7_6[[#This Row],[Dim 1_1]:[T 8]])=TRUE,1,0))</f>
        <v>0</v>
      </c>
      <c r="F27">
        <v>41.212000000000003</v>
      </c>
      <c r="G27">
        <v>41.204999999999998</v>
      </c>
      <c r="H27">
        <v>155.959</v>
      </c>
      <c r="I27">
        <v>156.19</v>
      </c>
      <c r="L27">
        <v>155.86799999999999</v>
      </c>
      <c r="M27">
        <v>155.834</v>
      </c>
      <c r="N27">
        <v>27.341000000000001</v>
      </c>
      <c r="O27">
        <v>27.398</v>
      </c>
      <c r="R27">
        <v>17.343</v>
      </c>
      <c r="S27">
        <v>17.344999999999999</v>
      </c>
      <c r="T27">
        <v>33.674999999999997</v>
      </c>
      <c r="U27">
        <v>34.920999999999999</v>
      </c>
      <c r="W27">
        <v>-0.05</v>
      </c>
      <c r="X27">
        <v>-0.35099999999999998</v>
      </c>
      <c r="Z27">
        <v>0.122</v>
      </c>
      <c r="AA27">
        <v>-0.21299999999999999</v>
      </c>
      <c r="AB27">
        <v>-0.128</v>
      </c>
      <c r="AC27">
        <v>-0.05</v>
      </c>
      <c r="AD27">
        <v>-0.35099999999999998</v>
      </c>
      <c r="AE27">
        <v>-0.20899999999999999</v>
      </c>
      <c r="AF27">
        <v>0.122</v>
      </c>
      <c r="AG27">
        <v>3.3000000000000002E-2</v>
      </c>
      <c r="AH27">
        <v>-2.9000000000000001E-2</v>
      </c>
      <c r="AI27">
        <v>-0.21299999999999999</v>
      </c>
    </row>
    <row r="28" spans="1:35" x14ac:dyDescent="0.25">
      <c r="A28" t="s">
        <v>1408</v>
      </c>
      <c r="B28" t="s">
        <v>31</v>
      </c>
      <c r="C28" s="25">
        <v>43701.422361111108</v>
      </c>
      <c r="D28" s="741" t="s">
        <v>969</v>
      </c>
      <c r="E28" s="741">
        <f t="array" ref="E28">SUMPRODUCT(IF(AMP7_6[[#This Row],[Dim 1_1]:[T 8]]-$F$4:$AI$4&lt;0,1,0)+IF($F$5:$AI$5-AMP7_6[[#This Row],[Dim 1_1]:[T 8]]&lt;0,1,0),IF(ISNUMBER(AMP7_6[[#This Row],[Dim 1_1]:[T 8]])=TRUE,1,0))</f>
        <v>0</v>
      </c>
      <c r="H28">
        <v>156.00899999999999</v>
      </c>
      <c r="I28">
        <v>156.06100000000001</v>
      </c>
      <c r="J28">
        <v>168.74</v>
      </c>
      <c r="K28">
        <v>168.774</v>
      </c>
      <c r="L28">
        <v>156.07499999999999</v>
      </c>
      <c r="M28">
        <v>155.84200000000001</v>
      </c>
      <c r="N28">
        <v>27.187000000000001</v>
      </c>
      <c r="O28">
        <v>27.562999999999999</v>
      </c>
      <c r="R28">
        <v>17.283000000000001</v>
      </c>
      <c r="S28">
        <v>17.347000000000001</v>
      </c>
      <c r="T28">
        <v>37.884</v>
      </c>
      <c r="U28">
        <v>37.579000000000001</v>
      </c>
      <c r="W28">
        <v>7.2999999999999995E-2</v>
      </c>
      <c r="X28">
        <v>-0.22700000000000001</v>
      </c>
      <c r="Z28">
        <v>2.7E-2</v>
      </c>
      <c r="AA28">
        <v>-0.217</v>
      </c>
      <c r="AB28">
        <v>-3.1E-2</v>
      </c>
      <c r="AC28">
        <v>7.2999999999999995E-2</v>
      </c>
      <c r="AD28">
        <v>-0.22700000000000001</v>
      </c>
      <c r="AE28">
        <v>-6.2E-2</v>
      </c>
      <c r="AF28">
        <v>2.7E-2</v>
      </c>
      <c r="AG28">
        <v>-0.05</v>
      </c>
      <c r="AH28">
        <v>4.0000000000000001E-3</v>
      </c>
      <c r="AI28">
        <v>-0.217</v>
      </c>
    </row>
    <row r="29" spans="1:35" x14ac:dyDescent="0.25">
      <c r="A29" t="s">
        <v>1409</v>
      </c>
      <c r="B29" t="s">
        <v>32</v>
      </c>
      <c r="C29" s="25">
        <v>43701.5000462963</v>
      </c>
      <c r="D29" s="741" t="s">
        <v>969</v>
      </c>
      <c r="E29" s="741">
        <f t="array" ref="E29">SUMPRODUCT(IF(AMP7_6[[#This Row],[Dim 1_1]:[T 8]]-$F$4:$AI$4&lt;0,1,0)+IF($F$5:$AI$5-AMP7_6[[#This Row],[Dim 1_1]:[T 8]]&lt;0,1,0),IF(ISNUMBER(AMP7_6[[#This Row],[Dim 1_1]:[T 8]])=TRUE,1,0))</f>
        <v>0</v>
      </c>
      <c r="F29">
        <v>41.243000000000002</v>
      </c>
      <c r="G29">
        <v>41.301000000000002</v>
      </c>
      <c r="H29">
        <v>155.94499999999999</v>
      </c>
      <c r="I29">
        <v>156.21299999999999</v>
      </c>
      <c r="L29">
        <v>155.86799999999999</v>
      </c>
      <c r="M29">
        <v>155.84899999999999</v>
      </c>
      <c r="N29">
        <v>27.366</v>
      </c>
      <c r="O29">
        <v>27.422000000000001</v>
      </c>
      <c r="R29">
        <v>17.341000000000001</v>
      </c>
      <c r="S29">
        <v>17.222000000000001</v>
      </c>
      <c r="T29">
        <v>33.682000000000002</v>
      </c>
      <c r="U29">
        <v>34.914000000000001</v>
      </c>
      <c r="W29">
        <v>-1.9E-2</v>
      </c>
      <c r="X29">
        <v>-0.22600000000000001</v>
      </c>
      <c r="Z29">
        <v>8.6999999999999994E-2</v>
      </c>
      <c r="AA29">
        <v>-0.13100000000000001</v>
      </c>
      <c r="AB29">
        <v>-0.10299999999999999</v>
      </c>
      <c r="AC29">
        <v>-1.9E-2</v>
      </c>
      <c r="AD29">
        <v>-0.22600000000000001</v>
      </c>
      <c r="AE29">
        <v>-9.0999999999999998E-2</v>
      </c>
      <c r="AF29">
        <v>8.6999999999999994E-2</v>
      </c>
      <c r="AG29">
        <v>-0.02</v>
      </c>
      <c r="AH29">
        <v>0.04</v>
      </c>
      <c r="AI29">
        <v>-0.13100000000000001</v>
      </c>
    </row>
    <row r="30" spans="1:35" x14ac:dyDescent="0.25">
      <c r="A30" t="s">
        <v>1410</v>
      </c>
      <c r="B30" t="s">
        <v>31</v>
      </c>
      <c r="C30" s="25">
        <v>43701.501712962963</v>
      </c>
      <c r="D30" s="741" t="s">
        <v>969</v>
      </c>
      <c r="E30" s="741">
        <f t="array" ref="E30">SUMPRODUCT(IF(AMP7_6[[#This Row],[Dim 1_1]:[T 8]]-$F$4:$AI$4&lt;0,1,0)+IF($F$5:$AI$5-AMP7_6[[#This Row],[Dim 1_1]:[T 8]]&lt;0,1,0),IF(ISNUMBER(AMP7_6[[#This Row],[Dim 1_1]:[T 8]])=TRUE,1,0))</f>
        <v>0</v>
      </c>
      <c r="H30">
        <v>156.02199999999999</v>
      </c>
      <c r="I30">
        <v>156.07400000000001</v>
      </c>
      <c r="J30">
        <v>168.82499999999999</v>
      </c>
      <c r="K30">
        <v>168.81200000000001</v>
      </c>
      <c r="L30">
        <v>156.125</v>
      </c>
      <c r="M30">
        <v>155.881</v>
      </c>
      <c r="N30">
        <v>27.125</v>
      </c>
      <c r="O30">
        <v>27.524999999999999</v>
      </c>
      <c r="R30">
        <v>17.193000000000001</v>
      </c>
      <c r="S30">
        <v>17.283000000000001</v>
      </c>
      <c r="T30">
        <v>37.225000000000001</v>
      </c>
      <c r="U30">
        <v>35.378</v>
      </c>
      <c r="W30">
        <v>1.4999999999999999E-2</v>
      </c>
      <c r="X30">
        <v>-0.245</v>
      </c>
      <c r="Z30">
        <v>4.1000000000000002E-2</v>
      </c>
      <c r="AA30">
        <v>-0.21299999999999999</v>
      </c>
      <c r="AB30">
        <v>-0.09</v>
      </c>
      <c r="AC30">
        <v>1.4999999999999999E-2</v>
      </c>
      <c r="AD30">
        <v>-0.245</v>
      </c>
      <c r="AE30">
        <v>-2.1999999999999999E-2</v>
      </c>
      <c r="AF30">
        <v>4.1000000000000002E-2</v>
      </c>
      <c r="AG30">
        <v>-6.2E-2</v>
      </c>
      <c r="AH30">
        <v>-7.0000000000000001E-3</v>
      </c>
      <c r="AI30">
        <v>-0.21299999999999999</v>
      </c>
    </row>
    <row r="31" spans="1:35" x14ac:dyDescent="0.25">
      <c r="A31" t="s">
        <v>1411</v>
      </c>
      <c r="B31" t="s">
        <v>32</v>
      </c>
      <c r="C31" s="25">
        <v>43701.597233796296</v>
      </c>
      <c r="D31" s="741" t="s">
        <v>969</v>
      </c>
      <c r="E31" s="741">
        <f t="array" ref="E31">SUMPRODUCT(IF(AMP7_6[[#This Row],[Dim 1_1]:[T 8]]-$F$4:$AI$4&lt;0,1,0)+IF($F$5:$AI$5-AMP7_6[[#This Row],[Dim 1_1]:[T 8]]&lt;0,1,0),IF(ISNUMBER(AMP7_6[[#This Row],[Dim 1_1]:[T 8]])=TRUE,1,0))</f>
        <v>0</v>
      </c>
      <c r="F31">
        <v>41.238999999999997</v>
      </c>
      <c r="G31">
        <v>41.2</v>
      </c>
      <c r="H31">
        <v>156.001</v>
      </c>
      <c r="I31">
        <v>156.20599999999999</v>
      </c>
      <c r="L31">
        <v>155.93799999999999</v>
      </c>
      <c r="M31">
        <v>155.852</v>
      </c>
      <c r="N31">
        <v>27.286999999999999</v>
      </c>
      <c r="O31">
        <v>27.369</v>
      </c>
      <c r="R31">
        <v>17.327000000000002</v>
      </c>
      <c r="S31">
        <v>17.312999999999999</v>
      </c>
      <c r="T31">
        <v>33.649000000000001</v>
      </c>
      <c r="U31">
        <v>34.731000000000002</v>
      </c>
      <c r="W31">
        <v>-0.105</v>
      </c>
      <c r="X31">
        <v>-0.35599999999999998</v>
      </c>
      <c r="Z31">
        <v>7.4999999999999997E-2</v>
      </c>
      <c r="AA31">
        <v>-0.215</v>
      </c>
      <c r="AB31">
        <v>-0.188</v>
      </c>
      <c r="AC31">
        <v>-0.105</v>
      </c>
      <c r="AD31">
        <v>-0.35599999999999998</v>
      </c>
      <c r="AE31">
        <v>-0.23</v>
      </c>
      <c r="AF31">
        <v>7.4999999999999997E-2</v>
      </c>
      <c r="AG31">
        <v>-2.3E-2</v>
      </c>
      <c r="AH31">
        <v>-2.9000000000000001E-2</v>
      </c>
      <c r="AI31">
        <v>-0.215</v>
      </c>
    </row>
    <row r="32" spans="1:35" x14ac:dyDescent="0.25">
      <c r="A32" t="s">
        <v>1412</v>
      </c>
      <c r="B32" t="s">
        <v>31</v>
      </c>
      <c r="C32" s="25">
        <v>43701.598865740743</v>
      </c>
      <c r="D32" s="741" t="s">
        <v>969</v>
      </c>
      <c r="E32" s="741">
        <f t="array" ref="E32">SUMPRODUCT(IF(AMP7_6[[#This Row],[Dim 1_1]:[T 8]]-$F$4:$AI$4&lt;0,1,0)+IF($F$5:$AI$5-AMP7_6[[#This Row],[Dim 1_1]:[T 8]]&lt;0,1,0),IF(ISNUMBER(AMP7_6[[#This Row],[Dim 1_1]:[T 8]])=TRUE,1,0))</f>
        <v>0</v>
      </c>
      <c r="H32">
        <v>156.05799999999999</v>
      </c>
      <c r="I32">
        <v>156.10400000000001</v>
      </c>
      <c r="J32">
        <v>168.82</v>
      </c>
      <c r="K32">
        <v>168.76499999999999</v>
      </c>
      <c r="L32">
        <v>156.137</v>
      </c>
      <c r="M32">
        <v>155.91</v>
      </c>
      <c r="N32">
        <v>27.13</v>
      </c>
      <c r="O32">
        <v>27.521000000000001</v>
      </c>
      <c r="R32">
        <v>17.303000000000001</v>
      </c>
      <c r="S32">
        <v>17.324000000000002</v>
      </c>
      <c r="T32">
        <v>38.670999999999999</v>
      </c>
      <c r="U32">
        <v>37.896999999999998</v>
      </c>
      <c r="W32">
        <v>0.04</v>
      </c>
      <c r="X32">
        <v>-0.23400000000000001</v>
      </c>
      <c r="Z32">
        <v>6.7000000000000004E-2</v>
      </c>
      <c r="AA32">
        <v>-0.17599999999999999</v>
      </c>
      <c r="AB32">
        <v>-7.0999999999999994E-2</v>
      </c>
      <c r="AC32">
        <v>0.04</v>
      </c>
      <c r="AD32">
        <v>-0.23400000000000001</v>
      </c>
      <c r="AE32">
        <v>-0.02</v>
      </c>
      <c r="AF32">
        <v>6.7000000000000004E-2</v>
      </c>
      <c r="AG32">
        <v>-3.3000000000000002E-2</v>
      </c>
      <c r="AH32">
        <v>5.0999999999999997E-2</v>
      </c>
      <c r="AI32">
        <v>-0.17599999999999999</v>
      </c>
    </row>
    <row r="33" spans="1:35" x14ac:dyDescent="0.25">
      <c r="A33" t="s">
        <v>1413</v>
      </c>
      <c r="B33" t="s">
        <v>32</v>
      </c>
      <c r="C33" s="25">
        <v>43701.677152777775</v>
      </c>
      <c r="D33" s="741" t="s">
        <v>969</v>
      </c>
      <c r="E33" s="741">
        <f t="array" ref="E33">SUMPRODUCT(IF(AMP7_6[[#This Row],[Dim 1_1]:[T 8]]-$F$4:$AI$4&lt;0,1,0)+IF($F$5:$AI$5-AMP7_6[[#This Row],[Dim 1_1]:[T 8]]&lt;0,1,0),IF(ISNUMBER(AMP7_6[[#This Row],[Dim 1_1]:[T 8]])=TRUE,1,0))</f>
        <v>0</v>
      </c>
      <c r="F33">
        <v>41.256</v>
      </c>
      <c r="G33">
        <v>41.171999999999997</v>
      </c>
      <c r="H33">
        <v>155.94900000000001</v>
      </c>
      <c r="I33">
        <v>156.21199999999999</v>
      </c>
      <c r="L33">
        <v>155.85900000000001</v>
      </c>
      <c r="M33">
        <v>155.87899999999999</v>
      </c>
      <c r="N33">
        <v>27.36</v>
      </c>
      <c r="O33">
        <v>27.372</v>
      </c>
      <c r="R33">
        <v>17.327000000000002</v>
      </c>
      <c r="S33">
        <v>17.312999999999999</v>
      </c>
      <c r="T33">
        <v>33.613999999999997</v>
      </c>
      <c r="U33">
        <v>34.74</v>
      </c>
      <c r="W33">
        <v>-2.5999999999999999E-2</v>
      </c>
      <c r="X33">
        <v>-0.32700000000000001</v>
      </c>
      <c r="Z33">
        <v>0.122</v>
      </c>
      <c r="AA33">
        <v>-0.223</v>
      </c>
      <c r="AB33">
        <v>-0.106</v>
      </c>
      <c r="AC33">
        <v>-2.5999999999999999E-2</v>
      </c>
      <c r="AD33">
        <v>-0.32700000000000001</v>
      </c>
      <c r="AE33">
        <v>-0.23400000000000001</v>
      </c>
      <c r="AF33">
        <v>0.122</v>
      </c>
      <c r="AG33">
        <v>1.4E-2</v>
      </c>
      <c r="AH33">
        <v>-3.2000000000000001E-2</v>
      </c>
      <c r="AI33">
        <v>-0.223</v>
      </c>
    </row>
    <row r="34" spans="1:35" x14ac:dyDescent="0.25">
      <c r="A34" t="s">
        <v>1414</v>
      </c>
      <c r="B34" t="s">
        <v>31</v>
      </c>
      <c r="C34" s="25">
        <v>43701.680219907408</v>
      </c>
      <c r="D34" s="741" t="s">
        <v>969</v>
      </c>
      <c r="E34" s="741">
        <f t="array" ref="E34">SUMPRODUCT(IF(AMP7_6[[#This Row],[Dim 1_1]:[T 8]]-$F$4:$AI$4&lt;0,1,0)+IF($F$5:$AI$5-AMP7_6[[#This Row],[Dim 1_1]:[T 8]]&lt;0,1,0),IF(ISNUMBER(AMP7_6[[#This Row],[Dim 1_1]:[T 8]])=TRUE,1,0))</f>
        <v>0</v>
      </c>
      <c r="H34">
        <v>156.001</v>
      </c>
      <c r="I34">
        <v>156.04599999999999</v>
      </c>
      <c r="J34">
        <v>168.79900000000001</v>
      </c>
      <c r="K34">
        <v>168.827</v>
      </c>
      <c r="L34">
        <v>156.066</v>
      </c>
      <c r="M34">
        <v>155.83799999999999</v>
      </c>
      <c r="N34">
        <v>27.202999999999999</v>
      </c>
      <c r="O34">
        <v>27.591000000000001</v>
      </c>
      <c r="R34">
        <v>17.224</v>
      </c>
      <c r="S34">
        <v>17.312999999999999</v>
      </c>
      <c r="T34">
        <v>38.115000000000002</v>
      </c>
      <c r="U34">
        <v>37.951999999999998</v>
      </c>
      <c r="W34">
        <v>4.8000000000000001E-2</v>
      </c>
      <c r="X34">
        <v>-0.28799999999999998</v>
      </c>
      <c r="Z34">
        <v>-3.6999999999999998E-2</v>
      </c>
      <c r="AA34">
        <v>-0.35199999999999998</v>
      </c>
      <c r="AB34">
        <v>-5.8000000000000003E-2</v>
      </c>
      <c r="AC34">
        <v>4.8000000000000001E-2</v>
      </c>
      <c r="AD34">
        <v>-0.28799999999999998</v>
      </c>
      <c r="AE34">
        <v>-0.14099999999999999</v>
      </c>
      <c r="AF34">
        <v>-3.6999999999999998E-2</v>
      </c>
      <c r="AG34">
        <v>-0.158</v>
      </c>
      <c r="AH34">
        <v>-0.115</v>
      </c>
      <c r="AI34">
        <v>-0.35199999999999998</v>
      </c>
    </row>
    <row r="35" spans="1:35" x14ac:dyDescent="0.25">
      <c r="A35" t="s">
        <v>1415</v>
      </c>
      <c r="B35" t="s">
        <v>32</v>
      </c>
      <c r="C35" s="25">
        <v>43701.716099537036</v>
      </c>
      <c r="D35" s="741" t="s">
        <v>969</v>
      </c>
      <c r="E35" s="741">
        <f t="array" ref="E35">SUMPRODUCT(IF(AMP7_6[[#This Row],[Dim 1_1]:[T 8]]-$F$4:$AI$4&lt;0,1,0)+IF($F$5:$AI$5-AMP7_6[[#This Row],[Dim 1_1]:[T 8]]&lt;0,1,0),IF(ISNUMBER(AMP7_6[[#This Row],[Dim 1_1]:[T 8]])=TRUE,1,0))</f>
        <v>0</v>
      </c>
      <c r="F35">
        <v>41.177</v>
      </c>
      <c r="G35">
        <v>41.222999999999999</v>
      </c>
      <c r="H35">
        <v>156.001</v>
      </c>
      <c r="I35">
        <v>156.20500000000001</v>
      </c>
      <c r="L35">
        <v>155.935</v>
      </c>
      <c r="M35">
        <v>155.88800000000001</v>
      </c>
      <c r="N35">
        <v>27.292999999999999</v>
      </c>
      <c r="O35">
        <v>27.388000000000002</v>
      </c>
      <c r="R35">
        <v>17.335999999999999</v>
      </c>
      <c r="S35">
        <v>17.286999999999999</v>
      </c>
      <c r="T35">
        <v>33.674999999999997</v>
      </c>
      <c r="U35">
        <v>34.779000000000003</v>
      </c>
      <c r="W35">
        <v>-9.1999999999999998E-2</v>
      </c>
      <c r="X35">
        <v>-0.34300000000000003</v>
      </c>
      <c r="Z35">
        <v>7.8E-2</v>
      </c>
      <c r="AA35">
        <v>-0.184</v>
      </c>
      <c r="AB35">
        <v>-0.17499999999999999</v>
      </c>
      <c r="AC35">
        <v>-9.1999999999999998E-2</v>
      </c>
      <c r="AD35">
        <v>-0.34300000000000003</v>
      </c>
      <c r="AE35">
        <v>-0.191</v>
      </c>
      <c r="AF35">
        <v>7.8E-2</v>
      </c>
      <c r="AG35">
        <v>-2.3E-2</v>
      </c>
      <c r="AH35">
        <v>2E-3</v>
      </c>
      <c r="AI35">
        <v>-0.184</v>
      </c>
    </row>
    <row r="36" spans="1:35" x14ac:dyDescent="0.25">
      <c r="A36" t="s">
        <v>1416</v>
      </c>
      <c r="B36" t="s">
        <v>31</v>
      </c>
      <c r="C36" s="25">
        <v>43701.717743055553</v>
      </c>
      <c r="D36" s="741" t="s">
        <v>969</v>
      </c>
      <c r="E36" s="741">
        <f t="array" ref="E36">SUMPRODUCT(IF(AMP7_6[[#This Row],[Dim 1_1]:[T 8]]-$F$4:$AI$4&lt;0,1,0)+IF($F$5:$AI$5-AMP7_6[[#This Row],[Dim 1_1]:[T 8]]&lt;0,1,0),IF(ISNUMBER(AMP7_6[[#This Row],[Dim 1_1]:[T 8]])=TRUE,1,0))</f>
        <v>0</v>
      </c>
      <c r="H36">
        <v>156.05000000000001</v>
      </c>
      <c r="I36">
        <v>156.12899999999999</v>
      </c>
      <c r="J36">
        <v>168.77199999999999</v>
      </c>
      <c r="K36">
        <v>168.779</v>
      </c>
      <c r="L36">
        <v>156.14099999999999</v>
      </c>
      <c r="M36">
        <v>155.94300000000001</v>
      </c>
      <c r="N36">
        <v>27.141999999999999</v>
      </c>
      <c r="O36">
        <v>27.504000000000001</v>
      </c>
      <c r="R36">
        <v>17.271999999999998</v>
      </c>
      <c r="S36">
        <v>17.305</v>
      </c>
      <c r="T36">
        <v>37.067</v>
      </c>
      <c r="U36">
        <v>37.238999999999997</v>
      </c>
      <c r="W36">
        <v>1.6E-2</v>
      </c>
      <c r="X36">
        <v>-0.223</v>
      </c>
      <c r="Z36">
        <v>6.9000000000000006E-2</v>
      </c>
      <c r="AA36">
        <v>-0.184</v>
      </c>
      <c r="AB36">
        <v>-8.4000000000000005E-2</v>
      </c>
      <c r="AC36">
        <v>1.6E-2</v>
      </c>
      <c r="AD36">
        <v>-0.223</v>
      </c>
      <c r="AE36">
        <v>-2.7E-2</v>
      </c>
      <c r="AF36">
        <v>2.7E-2</v>
      </c>
      <c r="AG36">
        <v>-6.2E-2</v>
      </c>
      <c r="AH36">
        <v>6.9000000000000006E-2</v>
      </c>
      <c r="AI36">
        <v>-0.184</v>
      </c>
    </row>
    <row r="37" spans="1:35" x14ac:dyDescent="0.25">
      <c r="A37" t="s">
        <v>1417</v>
      </c>
      <c r="B37" t="s">
        <v>32</v>
      </c>
      <c r="C37" s="25">
        <v>43702.318020833336</v>
      </c>
      <c r="D37" s="741" t="s">
        <v>969</v>
      </c>
      <c r="E37" s="741">
        <f t="array" ref="E37">SUMPRODUCT(IF(AMP7_6[[#This Row],[Dim 1_1]:[T 8]]-$F$4:$AI$4&lt;0,1,0)+IF($F$5:$AI$5-AMP7_6[[#This Row],[Dim 1_1]:[T 8]]&lt;0,1,0),IF(ISNUMBER(AMP7_6[[#This Row],[Dim 1_1]:[T 8]])=TRUE,1,0))</f>
        <v>0</v>
      </c>
      <c r="F37">
        <v>41.17</v>
      </c>
      <c r="G37">
        <v>41.173999999999999</v>
      </c>
      <c r="H37">
        <v>156.001</v>
      </c>
      <c r="I37">
        <v>156.215</v>
      </c>
      <c r="L37">
        <v>155.91499999999999</v>
      </c>
      <c r="M37">
        <v>155.88900000000001</v>
      </c>
      <c r="N37">
        <v>27.303000000000001</v>
      </c>
      <c r="O37">
        <v>27.367999999999999</v>
      </c>
      <c r="R37">
        <v>17.352</v>
      </c>
      <c r="S37">
        <v>17.298999999999999</v>
      </c>
      <c r="T37">
        <v>33.72</v>
      </c>
      <c r="U37">
        <v>34.951000000000001</v>
      </c>
      <c r="W37">
        <v>-0.11700000000000001</v>
      </c>
      <c r="X37">
        <v>-0.38100000000000001</v>
      </c>
      <c r="Z37">
        <v>7.2999999999999995E-2</v>
      </c>
      <c r="AA37">
        <v>-0.21099999999999999</v>
      </c>
      <c r="AB37">
        <v>-0.193</v>
      </c>
      <c r="AC37">
        <v>-0.11700000000000001</v>
      </c>
      <c r="AD37">
        <v>-0.38100000000000001</v>
      </c>
      <c r="AE37">
        <v>-0.24299999999999999</v>
      </c>
      <c r="AF37">
        <v>7.2999999999999995E-2</v>
      </c>
      <c r="AG37">
        <v>-2.5999999999999999E-2</v>
      </c>
      <c r="AH37">
        <v>-1.2999999999999999E-2</v>
      </c>
      <c r="AI37">
        <v>-0.21099999999999999</v>
      </c>
    </row>
    <row r="38" spans="1:35" x14ac:dyDescent="0.25">
      <c r="A38" t="s">
        <v>1418</v>
      </c>
      <c r="B38" t="s">
        <v>31</v>
      </c>
      <c r="C38" s="25">
        <v>43702.328252314815</v>
      </c>
      <c r="D38" s="741" t="s">
        <v>969</v>
      </c>
      <c r="E38" s="741">
        <f t="array" ref="E38">SUMPRODUCT(IF(AMP7_6[[#This Row],[Dim 1_1]:[T 8]]-$F$4:$AI$4&lt;0,1,0)+IF($F$5:$AI$5-AMP7_6[[#This Row],[Dim 1_1]:[T 8]]&lt;0,1,0),IF(ISNUMBER(AMP7_6[[#This Row],[Dim 1_1]:[T 8]])=TRUE,1,0))</f>
        <v>0</v>
      </c>
      <c r="H38">
        <v>156.03700000000001</v>
      </c>
      <c r="I38">
        <v>156.10499999999999</v>
      </c>
      <c r="J38">
        <v>168.76900000000001</v>
      </c>
      <c r="K38">
        <v>168.798</v>
      </c>
      <c r="L38">
        <v>156.16200000000001</v>
      </c>
      <c r="M38">
        <v>155.95500000000001</v>
      </c>
      <c r="N38">
        <v>27.116</v>
      </c>
      <c r="O38">
        <v>27.483000000000001</v>
      </c>
      <c r="R38">
        <v>17.248999999999999</v>
      </c>
      <c r="S38">
        <v>17.280999999999999</v>
      </c>
      <c r="T38">
        <v>36.978000000000002</v>
      </c>
      <c r="U38">
        <v>36.122</v>
      </c>
      <c r="W38">
        <v>0.09</v>
      </c>
      <c r="X38">
        <v>-0.221</v>
      </c>
      <c r="Z38">
        <v>0.158</v>
      </c>
      <c r="AA38">
        <v>-8.2000000000000003E-2</v>
      </c>
      <c r="AB38">
        <v>-1.7999999999999999E-2</v>
      </c>
      <c r="AC38">
        <v>0.09</v>
      </c>
      <c r="AD38">
        <v>-0.221</v>
      </c>
      <c r="AE38">
        <v>-2.4E-2</v>
      </c>
      <c r="AF38">
        <v>0.158</v>
      </c>
      <c r="AG38">
        <v>6.0999999999999999E-2</v>
      </c>
      <c r="AH38">
        <v>0.11899999999999999</v>
      </c>
      <c r="AI38">
        <v>-8.2000000000000003E-2</v>
      </c>
    </row>
    <row r="39" spans="1:35" x14ac:dyDescent="0.25">
      <c r="A39" t="s">
        <v>1419</v>
      </c>
      <c r="B39" t="s">
        <v>32</v>
      </c>
      <c r="C39" s="25">
        <v>43702.409432870372</v>
      </c>
      <c r="D39" s="741" t="s">
        <v>969</v>
      </c>
      <c r="E39" s="741">
        <f t="array" ref="E39">SUMPRODUCT(IF(AMP7_6[[#This Row],[Dim 1_1]:[T 8]]-$F$4:$AI$4&lt;0,1,0)+IF($F$5:$AI$5-AMP7_6[[#This Row],[Dim 1_1]:[T 8]]&lt;0,1,0),IF(ISNUMBER(AMP7_6[[#This Row],[Dim 1_1]:[T 8]])=TRUE,1,0))</f>
        <v>0</v>
      </c>
      <c r="F39">
        <v>41.134</v>
      </c>
      <c r="G39">
        <v>41.143999999999998</v>
      </c>
      <c r="H39">
        <v>156.06</v>
      </c>
      <c r="I39">
        <v>156.25200000000001</v>
      </c>
      <c r="L39">
        <v>155.958</v>
      </c>
      <c r="M39">
        <v>155.946</v>
      </c>
      <c r="N39">
        <v>27.262</v>
      </c>
      <c r="O39">
        <v>27.31</v>
      </c>
      <c r="R39">
        <v>17.303999999999998</v>
      </c>
      <c r="S39">
        <v>17.268999999999998</v>
      </c>
      <c r="T39">
        <v>33.622999999999998</v>
      </c>
      <c r="U39">
        <v>34.898000000000003</v>
      </c>
      <c r="W39">
        <v>-0.10299999999999999</v>
      </c>
      <c r="X39">
        <v>-0.38100000000000001</v>
      </c>
      <c r="Z39">
        <v>8.3000000000000004E-2</v>
      </c>
      <c r="AA39">
        <v>-0.216</v>
      </c>
      <c r="AB39">
        <v>-0.19</v>
      </c>
      <c r="AC39">
        <v>-0.10299999999999999</v>
      </c>
      <c r="AD39">
        <v>-0.38100000000000001</v>
      </c>
      <c r="AE39">
        <v>-0.249</v>
      </c>
      <c r="AF39">
        <v>8.3000000000000004E-2</v>
      </c>
      <c r="AG39">
        <v>-8.9999999999999993E-3</v>
      </c>
      <c r="AH39">
        <v>-4.8000000000000001E-2</v>
      </c>
      <c r="AI39">
        <v>-0.216</v>
      </c>
    </row>
    <row r="40" spans="1:35" x14ac:dyDescent="0.25">
      <c r="A40" t="s">
        <v>1420</v>
      </c>
      <c r="B40" t="s">
        <v>31</v>
      </c>
      <c r="C40" s="25">
        <v>43702.41134259259</v>
      </c>
      <c r="D40" s="741" t="s">
        <v>969</v>
      </c>
      <c r="E40" s="741">
        <f t="array" ref="E40">SUMPRODUCT(IF(AMP7_6[[#This Row],[Dim 1_1]:[T 8]]-$F$4:$AI$4&lt;0,1,0)+IF($F$5:$AI$5-AMP7_6[[#This Row],[Dim 1_1]:[T 8]]&lt;0,1,0),IF(ISNUMBER(AMP7_6[[#This Row],[Dim 1_1]:[T 8]])=TRUE,1,0))</f>
        <v>0</v>
      </c>
      <c r="H40">
        <v>156.06100000000001</v>
      </c>
      <c r="I40">
        <v>156.12100000000001</v>
      </c>
      <c r="J40">
        <v>168.767</v>
      </c>
      <c r="K40">
        <v>168.75700000000001</v>
      </c>
      <c r="L40">
        <v>156.148</v>
      </c>
      <c r="M40">
        <v>155.92500000000001</v>
      </c>
      <c r="N40">
        <v>27.128</v>
      </c>
      <c r="O40">
        <v>27.53</v>
      </c>
      <c r="R40">
        <v>17.276</v>
      </c>
      <c r="S40">
        <v>17.349</v>
      </c>
      <c r="T40">
        <v>37.927999999999997</v>
      </c>
      <c r="U40">
        <v>38.22</v>
      </c>
      <c r="W40">
        <v>5.5E-2</v>
      </c>
      <c r="X40">
        <v>-0.27400000000000002</v>
      </c>
      <c r="Z40">
        <v>-1E-3</v>
      </c>
      <c r="AA40">
        <v>-0.27900000000000003</v>
      </c>
      <c r="AB40">
        <v>-6.4000000000000001E-2</v>
      </c>
      <c r="AC40">
        <v>5.5E-2</v>
      </c>
      <c r="AD40">
        <v>-0.27400000000000002</v>
      </c>
      <c r="AE40">
        <v>-8.1000000000000003E-2</v>
      </c>
      <c r="AF40">
        <v>-2E-3</v>
      </c>
      <c r="AG40">
        <v>-0.1</v>
      </c>
      <c r="AH40">
        <v>-1E-3</v>
      </c>
      <c r="AI40">
        <v>-0.27900000000000003</v>
      </c>
    </row>
    <row r="41" spans="1:35" x14ac:dyDescent="0.25">
      <c r="A41" t="s">
        <v>1421</v>
      </c>
      <c r="B41" t="s">
        <v>32</v>
      </c>
      <c r="C41" s="25">
        <v>43702.490104166667</v>
      </c>
      <c r="D41" s="741" t="s">
        <v>969</v>
      </c>
      <c r="E41" s="741">
        <f t="array" ref="E41">SUMPRODUCT(IF(AMP7_6[[#This Row],[Dim 1_1]:[T 8]]-$F$4:$AI$4&lt;0,1,0)+IF($F$5:$AI$5-AMP7_6[[#This Row],[Dim 1_1]:[T 8]]&lt;0,1,0),IF(ISNUMBER(AMP7_6[[#This Row],[Dim 1_1]:[T 8]])=TRUE,1,0))</f>
        <v>0</v>
      </c>
      <c r="F41">
        <v>41.045000000000002</v>
      </c>
      <c r="G41">
        <v>41.078000000000003</v>
      </c>
      <c r="H41">
        <v>156.05099999999999</v>
      </c>
      <c r="I41">
        <v>156.268</v>
      </c>
      <c r="L41">
        <v>155.976</v>
      </c>
      <c r="M41">
        <v>155.94300000000001</v>
      </c>
      <c r="N41">
        <v>27.257000000000001</v>
      </c>
      <c r="O41">
        <v>27.306000000000001</v>
      </c>
      <c r="R41">
        <v>17.315999999999999</v>
      </c>
      <c r="S41">
        <v>17.225999999999999</v>
      </c>
      <c r="T41">
        <v>33.667000000000002</v>
      </c>
      <c r="U41">
        <v>34.832999999999998</v>
      </c>
      <c r="W41">
        <v>-0.155</v>
      </c>
      <c r="X41">
        <v>-0.36399999999999999</v>
      </c>
      <c r="Z41">
        <v>5.1999999999999998E-2</v>
      </c>
      <c r="AA41">
        <v>-0.184</v>
      </c>
      <c r="AB41">
        <v>-0.23300000000000001</v>
      </c>
      <c r="AC41">
        <v>-0.155</v>
      </c>
      <c r="AD41">
        <v>-0.36399999999999999</v>
      </c>
      <c r="AE41">
        <v>-0.23400000000000001</v>
      </c>
      <c r="AF41">
        <v>5.1999999999999998E-2</v>
      </c>
      <c r="AG41">
        <v>-5.5E-2</v>
      </c>
      <c r="AH41">
        <v>5.0000000000000001E-3</v>
      </c>
      <c r="AI41">
        <v>-0.184</v>
      </c>
    </row>
    <row r="42" spans="1:35" x14ac:dyDescent="0.25">
      <c r="A42" t="s">
        <v>1422</v>
      </c>
      <c r="B42" t="s">
        <v>31</v>
      </c>
      <c r="C42" s="25">
        <v>43702.491805555554</v>
      </c>
      <c r="D42" s="741" t="s">
        <v>969</v>
      </c>
      <c r="E42" s="741">
        <f t="array" ref="E42">SUMPRODUCT(IF(AMP7_6[[#This Row],[Dim 1_1]:[T 8]]-$F$4:$AI$4&lt;0,1,0)+IF($F$5:$AI$5-AMP7_6[[#This Row],[Dim 1_1]:[T 8]]&lt;0,1,0),IF(ISNUMBER(AMP7_6[[#This Row],[Dim 1_1]:[T 8]])=TRUE,1,0))</f>
        <v>0</v>
      </c>
      <c r="H42">
        <v>156.07499999999999</v>
      </c>
      <c r="I42">
        <v>156.142</v>
      </c>
      <c r="J42">
        <v>168.679</v>
      </c>
      <c r="K42">
        <v>168.67699999999999</v>
      </c>
      <c r="L42">
        <v>156.167</v>
      </c>
      <c r="M42">
        <v>155.94900000000001</v>
      </c>
      <c r="N42">
        <v>27.096</v>
      </c>
      <c r="O42">
        <v>27.486000000000001</v>
      </c>
      <c r="R42">
        <v>17.298999999999999</v>
      </c>
      <c r="S42">
        <v>17.298999999999999</v>
      </c>
      <c r="T42">
        <v>36.911000000000001</v>
      </c>
      <c r="U42">
        <v>35.826999999999998</v>
      </c>
      <c r="W42">
        <v>3.3000000000000002E-2</v>
      </c>
      <c r="X42">
        <v>-0.29099999999999998</v>
      </c>
      <c r="Z42">
        <v>4.4999999999999998E-2</v>
      </c>
      <c r="AA42">
        <v>-0.251</v>
      </c>
      <c r="AB42">
        <v>-8.1000000000000003E-2</v>
      </c>
      <c r="AC42">
        <v>3.3000000000000002E-2</v>
      </c>
      <c r="AD42">
        <v>-0.29099999999999998</v>
      </c>
      <c r="AE42">
        <v>-0.104</v>
      </c>
      <c r="AF42">
        <v>4.4999999999999998E-2</v>
      </c>
      <c r="AG42">
        <v>-4.5999999999999999E-2</v>
      </c>
      <c r="AH42">
        <v>-4.3999999999999997E-2</v>
      </c>
      <c r="AI42">
        <v>-0.251</v>
      </c>
    </row>
    <row r="43" spans="1:35" x14ac:dyDescent="0.25">
      <c r="A43" t="s">
        <v>1423</v>
      </c>
      <c r="B43" t="s">
        <v>32</v>
      </c>
      <c r="C43" s="25">
        <v>43702.58520833333</v>
      </c>
      <c r="D43" s="741" t="s">
        <v>969</v>
      </c>
      <c r="E43" s="741">
        <f t="array" ref="E43">SUMPRODUCT(IF(AMP7_6[[#This Row],[Dim 1_1]:[T 8]]-$F$4:$AI$4&lt;0,1,0)+IF($F$5:$AI$5-AMP7_6[[#This Row],[Dim 1_1]:[T 8]]&lt;0,1,0),IF(ISNUMBER(AMP7_6[[#This Row],[Dim 1_1]:[T 8]])=TRUE,1,0))</f>
        <v>0</v>
      </c>
      <c r="F43">
        <v>41.151000000000003</v>
      </c>
      <c r="G43">
        <v>41.113999999999997</v>
      </c>
      <c r="H43">
        <v>155.995</v>
      </c>
      <c r="I43">
        <v>156.21299999999999</v>
      </c>
      <c r="L43">
        <v>155.91399999999999</v>
      </c>
      <c r="M43">
        <v>155.89099999999999</v>
      </c>
      <c r="N43">
        <v>27.294</v>
      </c>
      <c r="O43">
        <v>27.347999999999999</v>
      </c>
      <c r="R43">
        <v>17.323</v>
      </c>
      <c r="S43">
        <v>17.256</v>
      </c>
      <c r="T43">
        <v>33.71</v>
      </c>
      <c r="U43">
        <v>34.78</v>
      </c>
      <c r="W43">
        <v>-0.104</v>
      </c>
      <c r="X43">
        <v>-0.36099999999999999</v>
      </c>
      <c r="Z43">
        <v>9.1999999999999998E-2</v>
      </c>
      <c r="AA43">
        <v>-0.19500000000000001</v>
      </c>
      <c r="AB43">
        <v>-0.19600000000000001</v>
      </c>
      <c r="AC43">
        <v>-0.104</v>
      </c>
      <c r="AD43">
        <v>-0.36099999999999999</v>
      </c>
      <c r="AE43">
        <v>-0.247</v>
      </c>
      <c r="AF43">
        <v>9.1999999999999998E-2</v>
      </c>
      <c r="AG43">
        <v>-1.4999999999999999E-2</v>
      </c>
      <c r="AH43">
        <v>6.2E-2</v>
      </c>
      <c r="AI43">
        <v>-0.19500000000000001</v>
      </c>
    </row>
    <row r="44" spans="1:35" x14ac:dyDescent="0.25">
      <c r="A44" t="s">
        <v>1424</v>
      </c>
      <c r="B44" t="s">
        <v>31</v>
      </c>
      <c r="C44" s="25">
        <v>43702.586851851855</v>
      </c>
      <c r="D44" s="741" t="s">
        <v>969</v>
      </c>
      <c r="E44" s="741">
        <f t="array" ref="E44">SUMPRODUCT(IF(AMP7_6[[#This Row],[Dim 1_1]:[T 8]]-$F$4:$AI$4&lt;0,1,0)+IF($F$5:$AI$5-AMP7_6[[#This Row],[Dim 1_1]:[T 8]]&lt;0,1,0),IF(ISNUMBER(AMP7_6[[#This Row],[Dim 1_1]:[T 8]])=TRUE,1,0))</f>
        <v>0</v>
      </c>
      <c r="H44">
        <v>156.07300000000001</v>
      </c>
      <c r="I44">
        <v>156.124</v>
      </c>
      <c r="J44">
        <v>168.71899999999999</v>
      </c>
      <c r="K44">
        <v>168.768</v>
      </c>
      <c r="L44">
        <v>156.137</v>
      </c>
      <c r="M44">
        <v>155.94499999999999</v>
      </c>
      <c r="N44">
        <v>27.163</v>
      </c>
      <c r="O44">
        <v>27.512</v>
      </c>
      <c r="R44">
        <v>17.253</v>
      </c>
      <c r="S44">
        <v>17.347999999999999</v>
      </c>
      <c r="T44">
        <v>35.398000000000003</v>
      </c>
      <c r="U44">
        <v>35.311999999999998</v>
      </c>
      <c r="W44">
        <v>5.3999999999999999E-2</v>
      </c>
      <c r="X44">
        <v>-0.29199999999999998</v>
      </c>
      <c r="Z44">
        <v>1.2E-2</v>
      </c>
      <c r="AA44">
        <v>-0.3</v>
      </c>
      <c r="AB44">
        <v>-4.9000000000000002E-2</v>
      </c>
      <c r="AC44">
        <v>5.3999999999999999E-2</v>
      </c>
      <c r="AD44">
        <v>-0.29199999999999998</v>
      </c>
      <c r="AE44">
        <v>-0.109</v>
      </c>
      <c r="AF44">
        <v>1.2E-2</v>
      </c>
      <c r="AG44">
        <v>-9.5000000000000001E-2</v>
      </c>
      <c r="AH44">
        <v>-2.3E-2</v>
      </c>
      <c r="AI44">
        <v>-0.3</v>
      </c>
    </row>
    <row r="45" spans="1:35" x14ac:dyDescent="0.25">
      <c r="A45" t="s">
        <v>1425</v>
      </c>
      <c r="B45" t="s">
        <v>32</v>
      </c>
      <c r="C45" s="25">
        <v>43702.676504629628</v>
      </c>
      <c r="D45" s="741" t="s">
        <v>969</v>
      </c>
      <c r="E45" s="741">
        <f t="array" ref="E45">SUMPRODUCT(IF(AMP7_6[[#This Row],[Dim 1_1]:[T 8]]-$F$4:$AI$4&lt;0,1,0)+IF($F$5:$AI$5-AMP7_6[[#This Row],[Dim 1_1]:[T 8]]&lt;0,1,0),IF(ISNUMBER(AMP7_6[[#This Row],[Dim 1_1]:[T 8]])=TRUE,1,0))</f>
        <v>0</v>
      </c>
      <c r="F45">
        <v>41.215000000000003</v>
      </c>
      <c r="G45">
        <v>41.189</v>
      </c>
      <c r="H45">
        <v>156.05600000000001</v>
      </c>
      <c r="I45">
        <v>156.286</v>
      </c>
      <c r="L45">
        <v>155.97800000000001</v>
      </c>
      <c r="M45">
        <v>155.96199999999999</v>
      </c>
      <c r="N45">
        <v>27.265999999999998</v>
      </c>
      <c r="O45">
        <v>27.302</v>
      </c>
      <c r="R45">
        <v>17.317</v>
      </c>
      <c r="S45">
        <v>17.265000000000001</v>
      </c>
      <c r="T45">
        <v>33.613999999999997</v>
      </c>
      <c r="U45">
        <v>34.677</v>
      </c>
      <c r="W45">
        <v>-0.12</v>
      </c>
      <c r="X45">
        <v>-0.38700000000000001</v>
      </c>
      <c r="Z45">
        <v>1.2999999999999999E-2</v>
      </c>
      <c r="AA45">
        <v>-0.28599999999999998</v>
      </c>
      <c r="AB45">
        <v>-0.21</v>
      </c>
      <c r="AC45">
        <v>-0.12</v>
      </c>
      <c r="AD45">
        <v>-0.38700000000000001</v>
      </c>
      <c r="AE45">
        <v>-0.248</v>
      </c>
      <c r="AF45">
        <v>1.2999999999999999E-2</v>
      </c>
      <c r="AG45">
        <v>-9.1999999999999998E-2</v>
      </c>
      <c r="AH45">
        <v>-9.9000000000000005E-2</v>
      </c>
      <c r="AI45">
        <v>-0.28599999999999998</v>
      </c>
    </row>
    <row r="46" spans="1:35" x14ac:dyDescent="0.25">
      <c r="A46" t="s">
        <v>1426</v>
      </c>
      <c r="B46" t="s">
        <v>31</v>
      </c>
      <c r="C46" s="25">
        <v>43702.678078703706</v>
      </c>
      <c r="D46" s="741" t="s">
        <v>969</v>
      </c>
      <c r="E46" s="741">
        <f t="array" ref="E46">SUMPRODUCT(IF(AMP7_6[[#This Row],[Dim 1_1]:[T 8]]-$F$4:$AI$4&lt;0,1,0)+IF($F$5:$AI$5-AMP7_6[[#This Row],[Dim 1_1]:[T 8]]&lt;0,1,0),IF(ISNUMBER(AMP7_6[[#This Row],[Dim 1_1]:[T 8]])=TRUE,1,0))</f>
        <v>0</v>
      </c>
      <c r="H46">
        <v>156.08600000000001</v>
      </c>
      <c r="I46">
        <v>156.13800000000001</v>
      </c>
      <c r="J46">
        <v>168.87100000000001</v>
      </c>
      <c r="K46">
        <v>168.917</v>
      </c>
      <c r="L46">
        <v>156.16900000000001</v>
      </c>
      <c r="M46">
        <v>155.95599999999999</v>
      </c>
      <c r="N46">
        <v>27.08</v>
      </c>
      <c r="O46">
        <v>27.478999999999999</v>
      </c>
      <c r="R46">
        <v>17.280999999999999</v>
      </c>
      <c r="S46">
        <v>17.332999999999998</v>
      </c>
      <c r="T46">
        <v>36.259</v>
      </c>
      <c r="U46">
        <v>38.179000000000002</v>
      </c>
      <c r="W46">
        <v>-1.4E-2</v>
      </c>
      <c r="X46">
        <v>-0.32600000000000001</v>
      </c>
      <c r="Z46">
        <v>-1.2E-2</v>
      </c>
      <c r="AA46">
        <v>-0.27600000000000002</v>
      </c>
      <c r="AB46">
        <v>-0.13400000000000001</v>
      </c>
      <c r="AC46">
        <v>-1.4E-2</v>
      </c>
      <c r="AD46">
        <v>-0.32600000000000001</v>
      </c>
      <c r="AE46">
        <v>-0.13600000000000001</v>
      </c>
      <c r="AF46">
        <v>-1.2E-2</v>
      </c>
      <c r="AG46">
        <v>-0.121</v>
      </c>
      <c r="AH46">
        <v>-4.5999999999999999E-2</v>
      </c>
      <c r="AI46">
        <v>-0.27600000000000002</v>
      </c>
    </row>
    <row r="47" spans="1:35" x14ac:dyDescent="0.25">
      <c r="A47" t="s">
        <v>1740</v>
      </c>
      <c r="B47" t="s">
        <v>32</v>
      </c>
      <c r="C47" s="25">
        <v>43703.317164351851</v>
      </c>
      <c r="D47" s="741" t="s">
        <v>969</v>
      </c>
      <c r="E47" s="741">
        <f t="array" ref="E47">SUMPRODUCT(IF(AMP7_6[[#This Row],[Dim 1_1]:[T 8]]-$F$4:$AI$4&lt;0,1,0)+IF($F$5:$AI$5-AMP7_6[[#This Row],[Dim 1_1]:[T 8]]&lt;0,1,0),IF(ISNUMBER(AMP7_6[[#This Row],[Dim 1_1]:[T 8]])=TRUE,1,0))</f>
        <v>0</v>
      </c>
      <c r="F47">
        <v>41.148000000000003</v>
      </c>
      <c r="G47">
        <v>41.097999999999999</v>
      </c>
      <c r="H47">
        <v>156.08099999999999</v>
      </c>
      <c r="I47">
        <v>156.304</v>
      </c>
      <c r="L47">
        <v>156.005</v>
      </c>
      <c r="M47">
        <v>155.958</v>
      </c>
      <c r="N47">
        <v>27.242000000000001</v>
      </c>
      <c r="O47">
        <v>27.265000000000001</v>
      </c>
      <c r="R47">
        <v>17.329999999999998</v>
      </c>
      <c r="S47">
        <v>17.18</v>
      </c>
      <c r="T47">
        <v>33.680999999999997</v>
      </c>
      <c r="U47">
        <v>34.976999999999997</v>
      </c>
      <c r="W47">
        <v>-0.16200000000000001</v>
      </c>
      <c r="X47">
        <v>-0.314</v>
      </c>
      <c r="Z47">
        <v>5.8000000000000003E-2</v>
      </c>
      <c r="AA47">
        <v>-0.16900000000000001</v>
      </c>
      <c r="AB47">
        <v>-0.26100000000000001</v>
      </c>
      <c r="AC47">
        <v>-0.16200000000000001</v>
      </c>
      <c r="AD47">
        <v>-0.314</v>
      </c>
      <c r="AE47">
        <v>-0.189</v>
      </c>
      <c r="AF47">
        <v>1.4E-2</v>
      </c>
      <c r="AG47">
        <v>-9.9000000000000005E-2</v>
      </c>
      <c r="AH47">
        <v>5.8000000000000003E-2</v>
      </c>
      <c r="AI47">
        <v>-0.16900000000000001</v>
      </c>
    </row>
    <row r="48" spans="1:35" x14ac:dyDescent="0.25">
      <c r="A48" t="s">
        <v>1741</v>
      </c>
      <c r="B48" t="s">
        <v>31</v>
      </c>
      <c r="C48" s="25">
        <v>43703.318761574075</v>
      </c>
      <c r="D48" s="741" t="s">
        <v>969</v>
      </c>
      <c r="E48" s="741">
        <f t="array" ref="E48">SUMPRODUCT(IF(AMP7_6[[#This Row],[Dim 1_1]:[T 8]]-$F$4:$AI$4&lt;0,1,0)+IF($F$5:$AI$5-AMP7_6[[#This Row],[Dim 1_1]:[T 8]]&lt;0,1,0),IF(ISNUMBER(AMP7_6[[#This Row],[Dim 1_1]:[T 8]])=TRUE,1,0))</f>
        <v>0</v>
      </c>
      <c r="H48">
        <v>156.12100000000001</v>
      </c>
      <c r="I48">
        <v>156.17400000000001</v>
      </c>
      <c r="J48">
        <v>168.79300000000001</v>
      </c>
      <c r="K48">
        <v>168.85300000000001</v>
      </c>
      <c r="L48">
        <v>156.214</v>
      </c>
      <c r="M48">
        <v>156.006</v>
      </c>
      <c r="N48">
        <v>27.035</v>
      </c>
      <c r="O48">
        <v>27.416</v>
      </c>
      <c r="R48">
        <v>17.286999999999999</v>
      </c>
      <c r="S48">
        <v>17.236999999999998</v>
      </c>
      <c r="T48">
        <v>36.53</v>
      </c>
      <c r="U48">
        <v>37.448</v>
      </c>
      <c r="W48">
        <v>-1E-3</v>
      </c>
      <c r="X48">
        <v>-0.223</v>
      </c>
      <c r="Z48">
        <v>0.108</v>
      </c>
      <c r="AA48">
        <v>-0.158</v>
      </c>
      <c r="AB48">
        <v>-0.115</v>
      </c>
      <c r="AC48">
        <v>-1E-3</v>
      </c>
      <c r="AD48">
        <v>-0.223</v>
      </c>
      <c r="AE48">
        <v>-1.4999999999999999E-2</v>
      </c>
      <c r="AF48">
        <v>5.0999999999999997E-2</v>
      </c>
      <c r="AG48">
        <v>-7.3999999999999996E-2</v>
      </c>
      <c r="AH48">
        <v>0.108</v>
      </c>
      <c r="AI48">
        <v>-0.158</v>
      </c>
    </row>
    <row r="49" spans="1:35" x14ac:dyDescent="0.25">
      <c r="A49" t="s">
        <v>1742</v>
      </c>
      <c r="B49" t="s">
        <v>32</v>
      </c>
      <c r="C49" s="25">
        <v>43703.404236111113</v>
      </c>
      <c r="D49" s="741" t="s">
        <v>969</v>
      </c>
      <c r="E49" s="741">
        <f t="array" ref="E49">SUMPRODUCT(IF(AMP7_6[[#This Row],[Dim 1_1]:[T 8]]-$F$4:$AI$4&lt;0,1,0)+IF($F$5:$AI$5-AMP7_6[[#This Row],[Dim 1_1]:[T 8]]&lt;0,1,0),IF(ISNUMBER(AMP7_6[[#This Row],[Dim 1_1]:[T 8]])=TRUE,1,0))</f>
        <v>0</v>
      </c>
      <c r="F49">
        <v>41.183999999999997</v>
      </c>
      <c r="G49">
        <v>41.204999999999998</v>
      </c>
      <c r="H49">
        <v>156.06200000000001</v>
      </c>
      <c r="I49">
        <v>156.26400000000001</v>
      </c>
      <c r="L49">
        <v>155.97399999999999</v>
      </c>
      <c r="M49">
        <v>155.91499999999999</v>
      </c>
      <c r="N49">
        <v>27.239000000000001</v>
      </c>
      <c r="O49">
        <v>27.318000000000001</v>
      </c>
      <c r="R49">
        <v>17.315999999999999</v>
      </c>
      <c r="S49">
        <v>17.256</v>
      </c>
      <c r="T49">
        <v>33.600999999999999</v>
      </c>
      <c r="U49">
        <v>34.947000000000003</v>
      </c>
      <c r="W49">
        <v>-0.127</v>
      </c>
      <c r="X49">
        <v>-0.375</v>
      </c>
      <c r="Z49">
        <v>3.0000000000000001E-3</v>
      </c>
      <c r="AA49">
        <v>-0.27600000000000002</v>
      </c>
      <c r="AB49">
        <v>-0.22</v>
      </c>
      <c r="AC49">
        <v>-0.127</v>
      </c>
      <c r="AD49">
        <v>-0.375</v>
      </c>
      <c r="AE49">
        <v>-0.28899999999999998</v>
      </c>
      <c r="AF49">
        <v>3.0000000000000001E-3</v>
      </c>
      <c r="AG49">
        <v>-0.108</v>
      </c>
      <c r="AH49">
        <v>-9.8000000000000004E-2</v>
      </c>
      <c r="AI49">
        <v>-0.27600000000000002</v>
      </c>
    </row>
    <row r="50" spans="1:35" x14ac:dyDescent="0.25">
      <c r="A50" t="s">
        <v>1743</v>
      </c>
      <c r="B50" t="s">
        <v>31</v>
      </c>
      <c r="C50" s="25">
        <v>43703.405787037038</v>
      </c>
      <c r="D50" s="741" t="s">
        <v>969</v>
      </c>
      <c r="E50" s="741">
        <f t="array" ref="E50">SUMPRODUCT(IF(AMP7_6[[#This Row],[Dim 1_1]:[T 8]]-$F$4:$AI$4&lt;0,1,0)+IF($F$5:$AI$5-AMP7_6[[#This Row],[Dim 1_1]:[T 8]]&lt;0,1,0),IF(ISNUMBER(AMP7_6[[#This Row],[Dim 1_1]:[T 8]])=TRUE,1,0))</f>
        <v>0</v>
      </c>
      <c r="H50">
        <v>156.11699999999999</v>
      </c>
      <c r="I50">
        <v>156.166</v>
      </c>
      <c r="J50">
        <v>168.78299999999999</v>
      </c>
      <c r="K50">
        <v>168.88</v>
      </c>
      <c r="L50">
        <v>156.18199999999999</v>
      </c>
      <c r="M50">
        <v>155.98699999999999</v>
      </c>
      <c r="N50">
        <v>27.08</v>
      </c>
      <c r="O50">
        <v>27.452999999999999</v>
      </c>
      <c r="R50">
        <v>17.245999999999999</v>
      </c>
      <c r="S50">
        <v>17.239999999999998</v>
      </c>
      <c r="T50">
        <v>38.530999999999999</v>
      </c>
      <c r="U50">
        <v>38.110999999999997</v>
      </c>
      <c r="W50">
        <v>-1.4999999999999999E-2</v>
      </c>
      <c r="X50">
        <v>-0.28899999999999998</v>
      </c>
      <c r="Z50">
        <v>0.02</v>
      </c>
      <c r="AA50">
        <v>-0.25700000000000001</v>
      </c>
      <c r="AB50">
        <v>-0.13200000000000001</v>
      </c>
      <c r="AC50">
        <v>-1.4999999999999999E-2</v>
      </c>
      <c r="AD50">
        <v>-0.28899999999999998</v>
      </c>
      <c r="AE50">
        <v>-0.107</v>
      </c>
      <c r="AF50">
        <v>-3.6999999999999998E-2</v>
      </c>
      <c r="AG50">
        <v>-0.13900000000000001</v>
      </c>
      <c r="AH50">
        <v>0.02</v>
      </c>
      <c r="AI50">
        <v>-0.25700000000000001</v>
      </c>
    </row>
    <row r="51" spans="1:35" x14ac:dyDescent="0.25">
      <c r="A51" t="s">
        <v>1744</v>
      </c>
      <c r="B51" t="s">
        <v>32</v>
      </c>
      <c r="C51" s="25">
        <v>43703.490763888891</v>
      </c>
      <c r="D51" s="741" t="s">
        <v>969</v>
      </c>
      <c r="E51" s="741">
        <f t="array" ref="E51">SUMPRODUCT(IF(AMP7_6[[#This Row],[Dim 1_1]:[T 8]]-$F$4:$AI$4&lt;0,1,0)+IF($F$5:$AI$5-AMP7_6[[#This Row],[Dim 1_1]:[T 8]]&lt;0,1,0),IF(ISNUMBER(AMP7_6[[#This Row],[Dim 1_1]:[T 8]])=TRUE,1,0))</f>
        <v>0</v>
      </c>
      <c r="F51">
        <v>41.067</v>
      </c>
      <c r="G51">
        <v>41.124000000000002</v>
      </c>
      <c r="H51">
        <v>156.11799999999999</v>
      </c>
      <c r="I51">
        <v>156.30600000000001</v>
      </c>
      <c r="L51">
        <v>156.05699999999999</v>
      </c>
      <c r="M51">
        <v>155.96199999999999</v>
      </c>
      <c r="N51">
        <v>27.138999999999999</v>
      </c>
      <c r="O51">
        <v>27.253</v>
      </c>
      <c r="R51">
        <v>17.321999999999999</v>
      </c>
      <c r="S51">
        <v>17.164999999999999</v>
      </c>
      <c r="T51">
        <v>33.575000000000003</v>
      </c>
      <c r="U51">
        <v>34.905999999999999</v>
      </c>
      <c r="W51">
        <v>-0.20399999999999999</v>
      </c>
      <c r="X51">
        <v>-0.35899999999999999</v>
      </c>
      <c r="Z51">
        <v>-2.5000000000000001E-2</v>
      </c>
      <c r="AA51">
        <v>-0.20200000000000001</v>
      </c>
      <c r="AB51">
        <v>-0.29699999999999999</v>
      </c>
      <c r="AC51">
        <v>-0.20399999999999999</v>
      </c>
      <c r="AD51">
        <v>-0.35899999999999999</v>
      </c>
      <c r="AE51">
        <v>-0.20599999999999999</v>
      </c>
      <c r="AF51">
        <v>-2.5000000000000001E-2</v>
      </c>
      <c r="AG51">
        <v>-0.14000000000000001</v>
      </c>
      <c r="AH51">
        <v>-3.9E-2</v>
      </c>
      <c r="AI51">
        <v>-0.20200000000000001</v>
      </c>
    </row>
    <row r="52" spans="1:35" x14ac:dyDescent="0.25">
      <c r="A52" t="s">
        <v>1745</v>
      </c>
      <c r="B52" t="s">
        <v>31</v>
      </c>
      <c r="C52" s="25">
        <v>43703.492337962962</v>
      </c>
      <c r="D52" s="741" t="s">
        <v>969</v>
      </c>
      <c r="E52" s="741">
        <f t="array" ref="E52">SUMPRODUCT(IF(AMP7_6[[#This Row],[Dim 1_1]:[T 8]]-$F$4:$AI$4&lt;0,1,0)+IF($F$5:$AI$5-AMP7_6[[#This Row],[Dim 1_1]:[T 8]]&lt;0,1,0),IF(ISNUMBER(AMP7_6[[#This Row],[Dim 1_1]:[T 8]])=TRUE,1,0))</f>
        <v>0</v>
      </c>
      <c r="H52">
        <v>156.18600000000001</v>
      </c>
      <c r="I52">
        <v>156.25800000000001</v>
      </c>
      <c r="J52">
        <v>168.8</v>
      </c>
      <c r="K52">
        <v>168.9</v>
      </c>
      <c r="L52">
        <v>156.28100000000001</v>
      </c>
      <c r="M52">
        <v>156.09899999999999</v>
      </c>
      <c r="N52">
        <v>27.009</v>
      </c>
      <c r="O52">
        <v>27.35</v>
      </c>
      <c r="R52">
        <v>17.292000000000002</v>
      </c>
      <c r="S52">
        <v>17.312000000000001</v>
      </c>
      <c r="T52">
        <v>38.988</v>
      </c>
      <c r="U52">
        <v>38.003999999999998</v>
      </c>
      <c r="W52">
        <v>-4.2000000000000003E-2</v>
      </c>
      <c r="X52">
        <v>-0.33900000000000002</v>
      </c>
      <c r="Z52">
        <v>4.2999999999999997E-2</v>
      </c>
      <c r="AA52">
        <v>-0.27800000000000002</v>
      </c>
      <c r="AB52">
        <v>-0.16500000000000001</v>
      </c>
      <c r="AC52">
        <v>-4.2000000000000003E-2</v>
      </c>
      <c r="AD52">
        <v>-0.33900000000000002</v>
      </c>
      <c r="AE52">
        <v>-0.108</v>
      </c>
      <c r="AF52">
        <v>-5.2999999999999999E-2</v>
      </c>
      <c r="AG52">
        <v>-0.17100000000000001</v>
      </c>
      <c r="AH52">
        <v>4.2999999999999997E-2</v>
      </c>
      <c r="AI52">
        <v>-0.27800000000000002</v>
      </c>
    </row>
    <row r="53" spans="1:35" x14ac:dyDescent="0.25">
      <c r="A53" t="s">
        <v>1746</v>
      </c>
      <c r="B53" t="s">
        <v>32</v>
      </c>
      <c r="C53" s="25">
        <v>43703.541180555556</v>
      </c>
      <c r="D53" s="741" t="s">
        <v>969</v>
      </c>
      <c r="E53" s="741">
        <f t="array" ref="E53">SUMPRODUCT(IF(AMP7_6[[#This Row],[Dim 1_1]:[T 8]]-$F$4:$AI$4&lt;0,1,0)+IF($F$5:$AI$5-AMP7_6[[#This Row],[Dim 1_1]:[T 8]]&lt;0,1,0),IF(ISNUMBER(AMP7_6[[#This Row],[Dim 1_1]:[T 8]])=TRUE,1,0))</f>
        <v>0</v>
      </c>
      <c r="F53">
        <v>41.100999999999999</v>
      </c>
      <c r="G53">
        <v>41.103999999999999</v>
      </c>
      <c r="H53">
        <v>156.077</v>
      </c>
      <c r="I53">
        <v>156.279</v>
      </c>
      <c r="L53">
        <v>155.999</v>
      </c>
      <c r="M53">
        <v>155.923</v>
      </c>
      <c r="N53">
        <v>27.216999999999999</v>
      </c>
      <c r="O53">
        <v>27.318999999999999</v>
      </c>
      <c r="R53">
        <v>17.312999999999999</v>
      </c>
      <c r="S53">
        <v>17.234000000000002</v>
      </c>
      <c r="T53">
        <v>33.585999999999999</v>
      </c>
      <c r="U53">
        <v>34.834000000000003</v>
      </c>
      <c r="W53">
        <v>-0.191</v>
      </c>
      <c r="X53">
        <v>-0.41899999999999998</v>
      </c>
      <c r="Z53">
        <v>-1.7999999999999999E-2</v>
      </c>
      <c r="AA53">
        <v>-0.26100000000000001</v>
      </c>
      <c r="AB53">
        <v>-0.27600000000000002</v>
      </c>
      <c r="AC53">
        <v>-0.191</v>
      </c>
      <c r="AD53">
        <v>-0.41899999999999998</v>
      </c>
      <c r="AE53">
        <v>-0.32100000000000001</v>
      </c>
      <c r="AF53">
        <v>-1.7999999999999999E-2</v>
      </c>
      <c r="AG53">
        <v>-0.122</v>
      </c>
      <c r="AH53">
        <v>-5.8999999999999997E-2</v>
      </c>
      <c r="AI53">
        <v>-0.26100000000000001</v>
      </c>
    </row>
    <row r="54" spans="1:35" x14ac:dyDescent="0.25">
      <c r="A54" t="s">
        <v>1747</v>
      </c>
      <c r="B54" t="s">
        <v>31</v>
      </c>
      <c r="C54" s="25">
        <v>43703.542754629627</v>
      </c>
      <c r="D54" s="741" t="s">
        <v>969</v>
      </c>
      <c r="E54" s="741">
        <f t="array" ref="E54">SUMPRODUCT(IF(AMP7_6[[#This Row],[Dim 1_1]:[T 8]]-$F$4:$AI$4&lt;0,1,0)+IF($F$5:$AI$5-AMP7_6[[#This Row],[Dim 1_1]:[T 8]]&lt;0,1,0),IF(ISNUMBER(AMP7_6[[#This Row],[Dim 1_1]:[T 8]])=TRUE,1,0))</f>
        <v>0</v>
      </c>
      <c r="H54">
        <v>156.149</v>
      </c>
      <c r="I54">
        <v>156.20400000000001</v>
      </c>
      <c r="J54">
        <v>168.774</v>
      </c>
      <c r="K54">
        <v>168.89</v>
      </c>
      <c r="L54">
        <v>156.23699999999999</v>
      </c>
      <c r="M54">
        <v>156.03800000000001</v>
      </c>
      <c r="N54">
        <v>27.030999999999999</v>
      </c>
      <c r="O54">
        <v>27.405000000000001</v>
      </c>
      <c r="R54">
        <v>17.273</v>
      </c>
      <c r="S54">
        <v>17.292000000000002</v>
      </c>
      <c r="T54">
        <v>37.481999999999999</v>
      </c>
      <c r="U54">
        <v>37.594999999999999</v>
      </c>
      <c r="W54">
        <v>-1.9E-2</v>
      </c>
      <c r="X54">
        <v>-0.32</v>
      </c>
      <c r="Z54">
        <v>4.1000000000000002E-2</v>
      </c>
      <c r="AA54">
        <v>-0.247</v>
      </c>
      <c r="AB54">
        <v>-0.14099999999999999</v>
      </c>
      <c r="AC54">
        <v>-1.9E-2</v>
      </c>
      <c r="AD54">
        <v>-0.32</v>
      </c>
      <c r="AE54">
        <v>-0.13200000000000001</v>
      </c>
      <c r="AF54">
        <v>0</v>
      </c>
      <c r="AG54">
        <v>-0.107</v>
      </c>
      <c r="AH54">
        <v>4.1000000000000002E-2</v>
      </c>
      <c r="AI54">
        <v>-0.247</v>
      </c>
    </row>
    <row r="55" spans="1:35" x14ac:dyDescent="0.25">
      <c r="A55" t="s">
        <v>1748</v>
      </c>
      <c r="B55" t="s">
        <v>32</v>
      </c>
      <c r="C55" s="25">
        <v>43703.645462962966</v>
      </c>
      <c r="D55" s="741" t="s">
        <v>969</v>
      </c>
      <c r="E55" s="741">
        <f t="array" ref="E55">SUMPRODUCT(IF(AMP7_6[[#This Row],[Dim 1_1]:[T 8]]-$F$4:$AI$4&lt;0,1,0)+IF($F$5:$AI$5-AMP7_6[[#This Row],[Dim 1_1]:[T 8]]&lt;0,1,0),IF(ISNUMBER(AMP7_6[[#This Row],[Dim 1_1]:[T 8]])=TRUE,1,0))</f>
        <v>0</v>
      </c>
      <c r="F55">
        <v>41.133000000000003</v>
      </c>
      <c r="G55">
        <v>41.113999999999997</v>
      </c>
      <c r="H55">
        <v>156.102</v>
      </c>
      <c r="I55">
        <v>156.33099999999999</v>
      </c>
      <c r="L55">
        <v>156.03800000000001</v>
      </c>
      <c r="M55">
        <v>155.97200000000001</v>
      </c>
      <c r="N55">
        <v>27.177</v>
      </c>
      <c r="O55">
        <v>27.236000000000001</v>
      </c>
      <c r="R55">
        <v>17.279</v>
      </c>
      <c r="S55">
        <v>17.210999999999999</v>
      </c>
      <c r="T55">
        <v>33.670999999999999</v>
      </c>
      <c r="U55">
        <v>34.796999999999997</v>
      </c>
      <c r="W55">
        <v>-0.222</v>
      </c>
      <c r="X55">
        <v>-0.45400000000000001</v>
      </c>
      <c r="Z55">
        <v>4.0000000000000001E-3</v>
      </c>
      <c r="AA55">
        <v>-0.26400000000000001</v>
      </c>
      <c r="AB55">
        <v>-0.30399999999999999</v>
      </c>
      <c r="AC55">
        <v>-0.222</v>
      </c>
      <c r="AD55">
        <v>-0.45400000000000001</v>
      </c>
      <c r="AE55">
        <v>-0.27400000000000002</v>
      </c>
      <c r="AF55">
        <v>4.0000000000000001E-3</v>
      </c>
      <c r="AG55">
        <v>-0.10100000000000001</v>
      </c>
      <c r="AH55">
        <v>-6.4000000000000001E-2</v>
      </c>
      <c r="AI55">
        <v>-0.26400000000000001</v>
      </c>
    </row>
    <row r="56" spans="1:35" x14ac:dyDescent="0.25">
      <c r="A56" t="s">
        <v>1749</v>
      </c>
      <c r="B56" t="s">
        <v>31</v>
      </c>
      <c r="C56" s="25">
        <v>43703.647349537037</v>
      </c>
      <c r="D56" s="741" t="s">
        <v>969</v>
      </c>
      <c r="E56" s="741">
        <f t="array" ref="E56">SUMPRODUCT(IF(AMP7_6[[#This Row],[Dim 1_1]:[T 8]]-$F$4:$AI$4&lt;0,1,0)+IF($F$5:$AI$5-AMP7_6[[#This Row],[Dim 1_1]:[T 8]]&lt;0,1,0),IF(ISNUMBER(AMP7_6[[#This Row],[Dim 1_1]:[T 8]])=TRUE,1,0))</f>
        <v>0</v>
      </c>
      <c r="H56">
        <v>156.149</v>
      </c>
      <c r="I56">
        <v>156.215</v>
      </c>
      <c r="J56">
        <v>168.81200000000001</v>
      </c>
      <c r="K56">
        <v>168.90199999999999</v>
      </c>
      <c r="L56">
        <v>156.215</v>
      </c>
      <c r="M56">
        <v>156.023</v>
      </c>
      <c r="N56">
        <v>27.045999999999999</v>
      </c>
      <c r="O56">
        <v>27.367000000000001</v>
      </c>
      <c r="R56">
        <v>17.291</v>
      </c>
      <c r="S56">
        <v>17.280999999999999</v>
      </c>
      <c r="T56">
        <v>37.695999999999998</v>
      </c>
      <c r="U56">
        <v>37.923999999999999</v>
      </c>
      <c r="W56">
        <v>-4.8000000000000001E-2</v>
      </c>
      <c r="X56">
        <v>-0.311</v>
      </c>
      <c r="Z56">
        <v>-3.2000000000000001E-2</v>
      </c>
      <c r="AA56">
        <v>-0.33600000000000002</v>
      </c>
      <c r="AB56">
        <v>-0.161</v>
      </c>
      <c r="AC56">
        <v>-4.8000000000000001E-2</v>
      </c>
      <c r="AD56">
        <v>-0.311</v>
      </c>
      <c r="AE56">
        <v>-0.112</v>
      </c>
      <c r="AF56">
        <v>-0.107</v>
      </c>
      <c r="AG56">
        <v>-0.2</v>
      </c>
      <c r="AH56">
        <v>-3.2000000000000001E-2</v>
      </c>
      <c r="AI56">
        <v>-0.33600000000000002</v>
      </c>
    </row>
    <row r="57" spans="1:35" x14ac:dyDescent="0.25">
      <c r="A57" t="s">
        <v>1750</v>
      </c>
      <c r="B57" t="s">
        <v>32</v>
      </c>
      <c r="C57" s="25">
        <v>43703.703356481485</v>
      </c>
      <c r="D57" s="741" t="s">
        <v>969</v>
      </c>
      <c r="E57" s="741">
        <f t="array" ref="E57">SUMPRODUCT(IF(AMP7_6[[#This Row],[Dim 1_1]:[T 8]]-$F$4:$AI$4&lt;0,1,0)+IF($F$5:$AI$5-AMP7_6[[#This Row],[Dim 1_1]:[T 8]]&lt;0,1,0),IF(ISNUMBER(AMP7_6[[#This Row],[Dim 1_1]:[T 8]])=TRUE,1,0))</f>
        <v>0</v>
      </c>
      <c r="F57">
        <v>41.103999999999999</v>
      </c>
      <c r="G57">
        <v>41.140999999999998</v>
      </c>
      <c r="H57">
        <v>156.11099999999999</v>
      </c>
      <c r="I57">
        <v>156.32400000000001</v>
      </c>
      <c r="L57">
        <v>156.05000000000001</v>
      </c>
      <c r="M57">
        <v>155.97499999999999</v>
      </c>
      <c r="N57">
        <v>27.178999999999998</v>
      </c>
      <c r="O57">
        <v>27.271999999999998</v>
      </c>
      <c r="R57">
        <v>17.305</v>
      </c>
      <c r="S57">
        <v>17.157</v>
      </c>
      <c r="T57">
        <v>33.591000000000001</v>
      </c>
      <c r="U57">
        <v>34.83</v>
      </c>
      <c r="W57">
        <v>-0.215</v>
      </c>
      <c r="X57">
        <v>-0.38500000000000001</v>
      </c>
      <c r="Z57">
        <v>-6.3E-2</v>
      </c>
      <c r="AA57">
        <v>-0.252</v>
      </c>
      <c r="AB57">
        <v>-0.30599999999999999</v>
      </c>
      <c r="AC57">
        <v>-0.215</v>
      </c>
      <c r="AD57">
        <v>-0.38500000000000001</v>
      </c>
      <c r="AE57">
        <v>-0.27200000000000002</v>
      </c>
      <c r="AF57">
        <v>-6.3E-2</v>
      </c>
      <c r="AG57">
        <v>-0.159</v>
      </c>
      <c r="AH57">
        <v>-6.5000000000000002E-2</v>
      </c>
      <c r="AI57">
        <v>-0.252</v>
      </c>
    </row>
    <row r="58" spans="1:35" x14ac:dyDescent="0.25">
      <c r="A58" t="s">
        <v>1751</v>
      </c>
      <c r="B58" t="s">
        <v>31</v>
      </c>
      <c r="C58" s="25">
        <v>43703.704895833333</v>
      </c>
      <c r="D58" s="741" t="s">
        <v>969</v>
      </c>
      <c r="E58" s="741">
        <f t="array" ref="E58">SUMPRODUCT(IF(AMP7_6[[#This Row],[Dim 1_1]:[T 8]]-$F$4:$AI$4&lt;0,1,0)+IF($F$5:$AI$5-AMP7_6[[#This Row],[Dim 1_1]:[T 8]]&lt;0,1,0),IF(ISNUMBER(AMP7_6[[#This Row],[Dim 1_1]:[T 8]])=TRUE,1,0))</f>
        <v>0</v>
      </c>
      <c r="H58">
        <v>156.196</v>
      </c>
      <c r="I58">
        <v>156.25800000000001</v>
      </c>
      <c r="J58">
        <v>168.85499999999999</v>
      </c>
      <c r="K58">
        <v>168.89400000000001</v>
      </c>
      <c r="L58">
        <v>156.27199999999999</v>
      </c>
      <c r="M58">
        <v>156.096</v>
      </c>
      <c r="N58">
        <v>26.984000000000002</v>
      </c>
      <c r="O58">
        <v>27.332999999999998</v>
      </c>
      <c r="R58">
        <v>17.283999999999999</v>
      </c>
      <c r="S58">
        <v>17.303999999999998</v>
      </c>
      <c r="T58">
        <v>36.515000000000001</v>
      </c>
      <c r="U58">
        <v>36.357999999999997</v>
      </c>
      <c r="W58">
        <v>-8.2000000000000003E-2</v>
      </c>
      <c r="X58">
        <v>-0.38500000000000001</v>
      </c>
      <c r="Z58">
        <v>3.4000000000000002E-2</v>
      </c>
      <c r="AA58">
        <v>-0.30099999999999999</v>
      </c>
      <c r="AB58">
        <v>-0.20699999999999999</v>
      </c>
      <c r="AC58">
        <v>-8.2000000000000003E-2</v>
      </c>
      <c r="AD58">
        <v>-0.38500000000000001</v>
      </c>
      <c r="AE58">
        <v>-0.17399999999999999</v>
      </c>
      <c r="AF58">
        <v>-8.6999999999999994E-2</v>
      </c>
      <c r="AG58">
        <v>-0.188</v>
      </c>
      <c r="AH58">
        <v>3.4000000000000002E-2</v>
      </c>
      <c r="AI58">
        <v>-0.30099999999999999</v>
      </c>
    </row>
    <row r="59" spans="1:35" x14ac:dyDescent="0.25">
      <c r="A59" t="s">
        <v>1752</v>
      </c>
      <c r="B59" t="s">
        <v>32</v>
      </c>
      <c r="C59" s="25">
        <v>43703.786354166667</v>
      </c>
      <c r="D59" s="741" t="s">
        <v>969</v>
      </c>
      <c r="E59" s="741">
        <f t="array" ref="E59">SUMPRODUCT(IF(AMP7_6[[#This Row],[Dim 1_1]:[T 8]]-$F$4:$AI$4&lt;0,1,0)+IF($F$5:$AI$5-AMP7_6[[#This Row],[Dim 1_1]:[T 8]]&lt;0,1,0),IF(ISNUMBER(AMP7_6[[#This Row],[Dim 1_1]:[T 8]])=TRUE,1,0))</f>
        <v>0</v>
      </c>
      <c r="F59">
        <v>41.067999999999998</v>
      </c>
      <c r="G59">
        <v>41.218000000000004</v>
      </c>
      <c r="H59">
        <v>156.143</v>
      </c>
      <c r="I59">
        <v>156.30099999999999</v>
      </c>
      <c r="L59">
        <v>156.072</v>
      </c>
      <c r="M59">
        <v>155.93</v>
      </c>
      <c r="N59">
        <v>27.146000000000001</v>
      </c>
      <c r="O59">
        <v>27.297000000000001</v>
      </c>
      <c r="R59">
        <v>17.318000000000001</v>
      </c>
      <c r="S59">
        <v>17.114000000000001</v>
      </c>
      <c r="T59">
        <v>33.622</v>
      </c>
      <c r="U59">
        <v>34.828000000000003</v>
      </c>
      <c r="W59">
        <v>-0.09</v>
      </c>
      <c r="X59">
        <v>-0.26600000000000001</v>
      </c>
      <c r="Z59">
        <v>7.1999999999999995E-2</v>
      </c>
      <c r="AA59">
        <v>-0.153</v>
      </c>
      <c r="AB59">
        <v>-0.26600000000000001</v>
      </c>
      <c r="AC59">
        <v>-0.17199999999999999</v>
      </c>
      <c r="AD59">
        <v>-0.246</v>
      </c>
      <c r="AE59">
        <v>-0.09</v>
      </c>
      <c r="AF59">
        <v>-5.1999999999999998E-2</v>
      </c>
      <c r="AG59">
        <v>-0.153</v>
      </c>
      <c r="AH59">
        <v>7.1999999999999995E-2</v>
      </c>
      <c r="AI59">
        <v>-0.12</v>
      </c>
    </row>
    <row r="60" spans="1:35" x14ac:dyDescent="0.25">
      <c r="A60" t="s">
        <v>1753</v>
      </c>
      <c r="B60" t="s">
        <v>31</v>
      </c>
      <c r="C60" s="25">
        <v>43703.788043981483</v>
      </c>
      <c r="D60" s="741" t="s">
        <v>969</v>
      </c>
      <c r="E60" s="741">
        <f t="array" ref="E60">SUMPRODUCT(IF(AMP7_6[[#This Row],[Dim 1_1]:[T 8]]-$F$4:$AI$4&lt;0,1,0)+IF($F$5:$AI$5-AMP7_6[[#This Row],[Dim 1_1]:[T 8]]&lt;0,1,0),IF(ISNUMBER(AMP7_6[[#This Row],[Dim 1_1]:[T 8]])=TRUE,1,0))</f>
        <v>0</v>
      </c>
      <c r="H60">
        <v>156.179</v>
      </c>
      <c r="I60">
        <v>156.26</v>
      </c>
      <c r="J60">
        <v>168.797</v>
      </c>
      <c r="K60">
        <v>168.898</v>
      </c>
      <c r="L60">
        <v>156.27199999999999</v>
      </c>
      <c r="M60">
        <v>156.059</v>
      </c>
      <c r="N60">
        <v>26.992000000000001</v>
      </c>
      <c r="O60">
        <v>27.375</v>
      </c>
      <c r="R60">
        <v>17.245000000000001</v>
      </c>
      <c r="S60">
        <v>17.294</v>
      </c>
      <c r="T60">
        <v>37.307000000000002</v>
      </c>
      <c r="U60">
        <v>38.040999999999997</v>
      </c>
      <c r="W60">
        <v>-0.10100000000000001</v>
      </c>
      <c r="X60">
        <v>-0.38100000000000001</v>
      </c>
      <c r="Z60">
        <v>3.1E-2</v>
      </c>
      <c r="AA60">
        <v>-0.29499999999999998</v>
      </c>
      <c r="AB60">
        <v>-0.20799999999999999</v>
      </c>
      <c r="AC60">
        <v>-0.10100000000000001</v>
      </c>
      <c r="AD60">
        <v>-0.38100000000000001</v>
      </c>
      <c r="AE60">
        <v>-0.189</v>
      </c>
      <c r="AF60">
        <v>-8.1000000000000003E-2</v>
      </c>
      <c r="AG60">
        <v>-0.19700000000000001</v>
      </c>
      <c r="AH60">
        <v>3.1E-2</v>
      </c>
      <c r="AI60">
        <v>-0.29499999999999998</v>
      </c>
    </row>
    <row r="61" spans="1:35" x14ac:dyDescent="0.25">
      <c r="A61" t="s">
        <v>1754</v>
      </c>
      <c r="B61" t="s">
        <v>32</v>
      </c>
      <c r="C61" s="25">
        <v>43703.879467592589</v>
      </c>
      <c r="D61" s="741" t="s">
        <v>969</v>
      </c>
      <c r="E61" s="741">
        <f t="array" ref="E61">SUMPRODUCT(IF(AMP7_6[[#This Row],[Dim 1_1]:[T 8]]-$F$4:$AI$4&lt;0,1,0)+IF($F$5:$AI$5-AMP7_6[[#This Row],[Dim 1_1]:[T 8]]&lt;0,1,0),IF(ISNUMBER(AMP7_6[[#This Row],[Dim 1_1]:[T 8]])=TRUE,1,0))</f>
        <v>0</v>
      </c>
      <c r="F61">
        <v>40.978999999999999</v>
      </c>
      <c r="G61">
        <v>41.061</v>
      </c>
      <c r="H61">
        <v>156.13499999999999</v>
      </c>
      <c r="I61">
        <v>156.31200000000001</v>
      </c>
      <c r="L61">
        <v>156.08600000000001</v>
      </c>
      <c r="M61">
        <v>155.94499999999999</v>
      </c>
      <c r="N61">
        <v>27.109000000000002</v>
      </c>
      <c r="O61">
        <v>27.254999999999999</v>
      </c>
      <c r="R61">
        <v>17.298999999999999</v>
      </c>
      <c r="S61">
        <v>17.042999999999999</v>
      </c>
      <c r="T61">
        <v>33.320999999999998</v>
      </c>
      <c r="U61">
        <v>35.075000000000003</v>
      </c>
      <c r="W61">
        <v>-0.126</v>
      </c>
      <c r="X61">
        <v>-0.27800000000000002</v>
      </c>
      <c r="Z61">
        <v>0.153</v>
      </c>
      <c r="AA61">
        <v>-8.7999999999999995E-2</v>
      </c>
      <c r="AB61">
        <v>-0.27800000000000002</v>
      </c>
      <c r="AC61">
        <v>-0.19</v>
      </c>
      <c r="AD61">
        <v>-0.20799999999999999</v>
      </c>
      <c r="AE61">
        <v>-0.126</v>
      </c>
      <c r="AF61">
        <v>4.3999999999999997E-2</v>
      </c>
      <c r="AG61">
        <v>-8.7999999999999995E-2</v>
      </c>
      <c r="AH61">
        <v>0.153</v>
      </c>
      <c r="AI61">
        <v>-2.9000000000000001E-2</v>
      </c>
    </row>
    <row r="62" spans="1:35" x14ac:dyDescent="0.25">
      <c r="A62" t="s">
        <v>1755</v>
      </c>
      <c r="B62" t="s">
        <v>31</v>
      </c>
      <c r="C62" s="25">
        <v>43703.881018518521</v>
      </c>
      <c r="D62" s="741" t="s">
        <v>969</v>
      </c>
      <c r="E62" s="741">
        <f t="array" ref="E62">SUMPRODUCT(IF(AMP7_6[[#This Row],[Dim 1_1]:[T 8]]-$F$4:$AI$4&lt;0,1,0)+IF($F$5:$AI$5-AMP7_6[[#This Row],[Dim 1_1]:[T 8]]&lt;0,1,0),IF(ISNUMBER(AMP7_6[[#This Row],[Dim 1_1]:[T 8]])=TRUE,1,0))</f>
        <v>0</v>
      </c>
      <c r="H62">
        <v>156.21100000000001</v>
      </c>
      <c r="I62">
        <v>156.24799999999999</v>
      </c>
      <c r="J62">
        <v>168.7</v>
      </c>
      <c r="K62">
        <v>168.821</v>
      </c>
      <c r="L62">
        <v>156.27199999999999</v>
      </c>
      <c r="M62">
        <v>156.029</v>
      </c>
      <c r="N62">
        <v>26.981999999999999</v>
      </c>
      <c r="O62">
        <v>27.376999999999999</v>
      </c>
      <c r="R62">
        <v>17.292999999999999</v>
      </c>
      <c r="S62">
        <v>17.308</v>
      </c>
      <c r="T62">
        <v>38.380000000000003</v>
      </c>
      <c r="U62">
        <v>38.529000000000003</v>
      </c>
      <c r="W62">
        <v>-6.9000000000000006E-2</v>
      </c>
      <c r="X62">
        <v>-0.38800000000000001</v>
      </c>
      <c r="Z62">
        <v>-4.3999999999999997E-2</v>
      </c>
      <c r="AA62">
        <v>-0.377</v>
      </c>
      <c r="AB62">
        <v>-0.17199999999999999</v>
      </c>
      <c r="AC62">
        <v>-6.9000000000000006E-2</v>
      </c>
      <c r="AD62">
        <v>-0.38800000000000001</v>
      </c>
      <c r="AE62">
        <v>-0.191</v>
      </c>
      <c r="AF62">
        <v>-0.125</v>
      </c>
      <c r="AG62">
        <v>-0.246</v>
      </c>
      <c r="AH62">
        <v>-4.3999999999999997E-2</v>
      </c>
      <c r="AI62">
        <v>-0.377</v>
      </c>
    </row>
    <row r="63" spans="1:35" x14ac:dyDescent="0.25">
      <c r="A63" t="s">
        <v>1756</v>
      </c>
      <c r="B63" t="s">
        <v>32</v>
      </c>
      <c r="C63" s="25">
        <v>43703.980891203704</v>
      </c>
      <c r="D63" s="741" t="s">
        <v>969</v>
      </c>
      <c r="E63" s="741">
        <f t="array" ref="E63">SUMPRODUCT(IF(AMP7_6[[#This Row],[Dim 1_1]:[T 8]]-$F$4:$AI$4&lt;0,1,0)+IF($F$5:$AI$5-AMP7_6[[#This Row],[Dim 1_1]:[T 8]]&lt;0,1,0),IF(ISNUMBER(AMP7_6[[#This Row],[Dim 1_1]:[T 8]])=TRUE,1,0))</f>
        <v>0</v>
      </c>
      <c r="F63">
        <v>41.189</v>
      </c>
      <c r="G63">
        <v>41.168999999999997</v>
      </c>
      <c r="H63">
        <v>156.126</v>
      </c>
      <c r="I63">
        <v>156.255</v>
      </c>
      <c r="L63">
        <v>156.05199999999999</v>
      </c>
      <c r="M63">
        <v>155.87100000000001</v>
      </c>
      <c r="N63">
        <v>27.169</v>
      </c>
      <c r="O63">
        <v>27.352</v>
      </c>
      <c r="R63">
        <v>17.306000000000001</v>
      </c>
      <c r="S63">
        <v>17.091000000000001</v>
      </c>
      <c r="T63">
        <v>33.567</v>
      </c>
      <c r="U63">
        <v>34.841999999999999</v>
      </c>
      <c r="W63">
        <v>-0.161</v>
      </c>
      <c r="X63">
        <v>-0.3</v>
      </c>
      <c r="Z63">
        <v>3.5999999999999997E-2</v>
      </c>
      <c r="AA63">
        <v>-0.20799999999999999</v>
      </c>
      <c r="AB63">
        <v>-0.3</v>
      </c>
      <c r="AC63">
        <v>-0.19800000000000001</v>
      </c>
      <c r="AD63">
        <v>-0.26300000000000001</v>
      </c>
      <c r="AE63">
        <v>-0.161</v>
      </c>
      <c r="AF63">
        <v>-9.4E-2</v>
      </c>
      <c r="AG63">
        <v>-0.20799999999999999</v>
      </c>
      <c r="AH63">
        <v>3.5999999999999997E-2</v>
      </c>
      <c r="AI63">
        <v>-0.14000000000000001</v>
      </c>
    </row>
    <row r="64" spans="1:35" x14ac:dyDescent="0.25">
      <c r="A64" t="s">
        <v>1757</v>
      </c>
      <c r="B64" t="s">
        <v>31</v>
      </c>
      <c r="C64" s="25">
        <v>43703.982407407406</v>
      </c>
      <c r="D64" s="741" t="s">
        <v>969</v>
      </c>
      <c r="E64" s="741">
        <f t="array" ref="E64">SUMPRODUCT(IF(AMP7_6[[#This Row],[Dim 1_1]:[T 8]]-$F$4:$AI$4&lt;0,1,0)+IF($F$5:$AI$5-AMP7_6[[#This Row],[Dim 1_1]:[T 8]]&lt;0,1,0),IF(ISNUMBER(AMP7_6[[#This Row],[Dim 1_1]:[T 8]])=TRUE,1,0))</f>
        <v>0</v>
      </c>
      <c r="H64">
        <v>156.20400000000001</v>
      </c>
      <c r="I64">
        <v>156.298</v>
      </c>
      <c r="J64">
        <v>168.91200000000001</v>
      </c>
      <c r="K64">
        <v>169.042</v>
      </c>
      <c r="L64">
        <v>156.28399999999999</v>
      </c>
      <c r="M64">
        <v>156.12899999999999</v>
      </c>
      <c r="N64">
        <v>26.952000000000002</v>
      </c>
      <c r="O64">
        <v>27.292000000000002</v>
      </c>
      <c r="R64">
        <v>17.260999999999999</v>
      </c>
      <c r="S64">
        <v>17.245999999999999</v>
      </c>
      <c r="T64">
        <v>39.616</v>
      </c>
      <c r="U64">
        <v>39.463999999999999</v>
      </c>
      <c r="W64">
        <v>-5.5E-2</v>
      </c>
      <c r="X64">
        <v>-0.42</v>
      </c>
      <c r="Z64">
        <v>7.6999999999999999E-2</v>
      </c>
      <c r="AA64">
        <v>-0.26700000000000002</v>
      </c>
      <c r="AB64">
        <v>-0.183</v>
      </c>
      <c r="AC64">
        <v>-5.5E-2</v>
      </c>
      <c r="AD64">
        <v>-0.42</v>
      </c>
      <c r="AE64">
        <v>-0.23599999999999999</v>
      </c>
      <c r="AF64">
        <v>-1.4999999999999999E-2</v>
      </c>
      <c r="AG64">
        <v>-0.127</v>
      </c>
      <c r="AH64">
        <v>7.6999999999999999E-2</v>
      </c>
      <c r="AI64">
        <v>-0.26700000000000002</v>
      </c>
    </row>
    <row r="65" spans="1:35" x14ac:dyDescent="0.25">
      <c r="A65" t="s">
        <v>1758</v>
      </c>
      <c r="B65" t="s">
        <v>32</v>
      </c>
      <c r="C65" s="25">
        <v>43704.035092592596</v>
      </c>
      <c r="D65" s="741" t="s">
        <v>969</v>
      </c>
      <c r="E65" s="741">
        <f t="array" ref="E65">SUMPRODUCT(IF(AMP7_6[[#This Row],[Dim 1_1]:[T 8]]-$F$4:$AI$4&lt;0,1,0)+IF($F$5:$AI$5-AMP7_6[[#This Row],[Dim 1_1]:[T 8]]&lt;0,1,0),IF(ISNUMBER(AMP7_6[[#This Row],[Dim 1_1]:[T 8]])=TRUE,1,0))</f>
        <v>0</v>
      </c>
      <c r="F65">
        <v>41.08</v>
      </c>
      <c r="G65">
        <v>40.901000000000003</v>
      </c>
      <c r="H65">
        <v>156.102</v>
      </c>
      <c r="I65">
        <v>156.256</v>
      </c>
      <c r="L65">
        <v>156.06299999999999</v>
      </c>
      <c r="M65">
        <v>155.89500000000001</v>
      </c>
      <c r="N65">
        <v>27.129000000000001</v>
      </c>
      <c r="O65">
        <v>27.292999999999999</v>
      </c>
      <c r="R65">
        <v>17.29</v>
      </c>
      <c r="S65">
        <v>17.145</v>
      </c>
      <c r="T65">
        <v>33.628999999999998</v>
      </c>
      <c r="U65">
        <v>34.814</v>
      </c>
      <c r="W65">
        <v>-0.182</v>
      </c>
      <c r="X65">
        <v>-0.33</v>
      </c>
      <c r="Z65">
        <v>2.1000000000000001E-2</v>
      </c>
      <c r="AA65">
        <v>-0.152</v>
      </c>
      <c r="AB65">
        <v>-0.29499999999999998</v>
      </c>
      <c r="AC65">
        <v>-0.182</v>
      </c>
      <c r="AD65">
        <v>-0.33</v>
      </c>
      <c r="AE65">
        <v>-0.22900000000000001</v>
      </c>
      <c r="AF65">
        <v>5.0000000000000001E-3</v>
      </c>
      <c r="AG65">
        <v>-0.10199999999999999</v>
      </c>
      <c r="AH65">
        <v>2.1000000000000001E-2</v>
      </c>
      <c r="AI65">
        <v>-0.152</v>
      </c>
    </row>
    <row r="66" spans="1:35" x14ac:dyDescent="0.25">
      <c r="A66" t="s">
        <v>1759</v>
      </c>
      <c r="B66" t="s">
        <v>31</v>
      </c>
      <c r="C66" s="25">
        <v>43704.036608796298</v>
      </c>
      <c r="D66" s="741" t="s">
        <v>969</v>
      </c>
      <c r="E66" s="741">
        <f t="array" ref="E66">SUMPRODUCT(IF(AMP7_6[[#This Row],[Dim 1_1]:[T 8]]-$F$4:$AI$4&lt;0,1,0)+IF($F$5:$AI$5-AMP7_6[[#This Row],[Dim 1_1]:[T 8]]&lt;0,1,0),IF(ISNUMBER(AMP7_6[[#This Row],[Dim 1_1]:[T 8]])=TRUE,1,0))</f>
        <v>0</v>
      </c>
      <c r="H66">
        <v>156.191</v>
      </c>
      <c r="I66">
        <v>156.261</v>
      </c>
      <c r="J66">
        <v>168.779</v>
      </c>
      <c r="K66">
        <v>169.12899999999999</v>
      </c>
      <c r="L66">
        <v>156.28</v>
      </c>
      <c r="M66">
        <v>156.07599999999999</v>
      </c>
      <c r="N66">
        <v>27.013000000000002</v>
      </c>
      <c r="O66">
        <v>27.36</v>
      </c>
      <c r="R66">
        <v>17.245000000000001</v>
      </c>
      <c r="S66">
        <v>17.274000000000001</v>
      </c>
      <c r="T66">
        <v>36.21</v>
      </c>
      <c r="U66">
        <v>35.845999999999997</v>
      </c>
      <c r="W66">
        <v>-3.5000000000000003E-2</v>
      </c>
      <c r="X66">
        <v>-0.436</v>
      </c>
      <c r="Z66">
        <v>9.4E-2</v>
      </c>
      <c r="AA66">
        <v>-0.32600000000000001</v>
      </c>
      <c r="AB66">
        <v>-0.154</v>
      </c>
      <c r="AC66">
        <v>-3.5000000000000003E-2</v>
      </c>
      <c r="AD66">
        <v>-0.436</v>
      </c>
      <c r="AE66">
        <v>-0.26800000000000002</v>
      </c>
      <c r="AF66">
        <v>-2.4E-2</v>
      </c>
      <c r="AG66">
        <v>-0.14599999999999999</v>
      </c>
      <c r="AH66">
        <v>9.4E-2</v>
      </c>
      <c r="AI66">
        <v>-0.32600000000000001</v>
      </c>
    </row>
    <row r="67" spans="1:35" x14ac:dyDescent="0.25">
      <c r="A67" t="s">
        <v>1760</v>
      </c>
      <c r="B67" t="s">
        <v>32</v>
      </c>
      <c r="C67" s="25">
        <v>43704.343761574077</v>
      </c>
      <c r="D67" s="741" t="s">
        <v>969</v>
      </c>
      <c r="E67" s="741">
        <f t="array" ref="E67">SUMPRODUCT(IF(AMP7_6[[#This Row],[Dim 1_1]:[T 8]]-$F$4:$AI$4&lt;0,1,0)+IF($F$5:$AI$5-AMP7_6[[#This Row],[Dim 1_1]:[T 8]]&lt;0,1,0),IF(ISNUMBER(AMP7_6[[#This Row],[Dim 1_1]:[T 8]])=TRUE,1,0))</f>
        <v>0</v>
      </c>
      <c r="F67">
        <v>40.923000000000002</v>
      </c>
      <c r="G67">
        <v>40.912999999999997</v>
      </c>
      <c r="H67">
        <v>155.90899999999999</v>
      </c>
      <c r="I67">
        <v>156.036</v>
      </c>
      <c r="L67">
        <v>155.822</v>
      </c>
      <c r="M67">
        <v>155.67400000000001</v>
      </c>
      <c r="N67">
        <v>27.375</v>
      </c>
      <c r="O67">
        <v>27.54</v>
      </c>
      <c r="R67">
        <v>17.341999999999999</v>
      </c>
      <c r="S67">
        <v>17.45</v>
      </c>
      <c r="T67">
        <v>33.845999999999997</v>
      </c>
      <c r="U67">
        <v>34.542999999999999</v>
      </c>
      <c r="W67">
        <v>-0.01</v>
      </c>
      <c r="X67">
        <v>-0.379</v>
      </c>
      <c r="Z67">
        <v>0.12</v>
      </c>
      <c r="AA67">
        <v>-0.28000000000000003</v>
      </c>
      <c r="AB67">
        <v>-9.6000000000000002E-2</v>
      </c>
      <c r="AC67">
        <v>-0.01</v>
      </c>
      <c r="AD67">
        <v>-0.379</v>
      </c>
      <c r="AE67">
        <v>-0.22700000000000001</v>
      </c>
      <c r="AF67">
        <v>0.12</v>
      </c>
      <c r="AG67">
        <v>2.3E-2</v>
      </c>
      <c r="AH67">
        <v>-8.2000000000000003E-2</v>
      </c>
      <c r="AI67">
        <v>-0.28000000000000003</v>
      </c>
    </row>
    <row r="68" spans="1:35" x14ac:dyDescent="0.25">
      <c r="A68" t="s">
        <v>1761</v>
      </c>
      <c r="B68" t="s">
        <v>31</v>
      </c>
      <c r="C68" s="25">
        <v>43704.345833333333</v>
      </c>
      <c r="D68" s="741" t="s">
        <v>969</v>
      </c>
      <c r="E68" s="741">
        <f t="array" ref="E68">SUMPRODUCT(IF(AMP7_6[[#This Row],[Dim 1_1]:[T 8]]-$F$4:$AI$4&lt;0,1,0)+IF($F$5:$AI$5-AMP7_6[[#This Row],[Dim 1_1]:[T 8]]&lt;0,1,0),IF(ISNUMBER(AMP7_6[[#This Row],[Dim 1_1]:[T 8]])=TRUE,1,0))</f>
        <v>0</v>
      </c>
      <c r="H68">
        <v>155.965</v>
      </c>
      <c r="I68">
        <v>156.05500000000001</v>
      </c>
      <c r="J68">
        <v>168.41900000000001</v>
      </c>
      <c r="K68">
        <v>168.54400000000001</v>
      </c>
      <c r="L68">
        <v>156.04599999999999</v>
      </c>
      <c r="M68">
        <v>155.87</v>
      </c>
      <c r="N68">
        <v>27.221</v>
      </c>
      <c r="O68">
        <v>27.541</v>
      </c>
      <c r="R68">
        <v>17.219000000000001</v>
      </c>
      <c r="S68">
        <v>17.25</v>
      </c>
      <c r="T68">
        <v>37.795999999999999</v>
      </c>
      <c r="U68">
        <v>37.997999999999998</v>
      </c>
      <c r="W68">
        <v>-6.8000000000000005E-2</v>
      </c>
      <c r="X68">
        <v>-0.29699999999999999</v>
      </c>
      <c r="Z68">
        <v>7.2999999999999995E-2</v>
      </c>
      <c r="AA68">
        <v>-0.104</v>
      </c>
      <c r="AB68">
        <v>-0.14000000000000001</v>
      </c>
      <c r="AC68">
        <v>-6.8000000000000005E-2</v>
      </c>
      <c r="AD68">
        <v>-0.29699999999999999</v>
      </c>
      <c r="AE68">
        <v>-0.16800000000000001</v>
      </c>
      <c r="AF68">
        <v>7.2999999999999995E-2</v>
      </c>
      <c r="AG68">
        <v>-3.1E-2</v>
      </c>
      <c r="AH68">
        <v>6.8000000000000005E-2</v>
      </c>
      <c r="AI68">
        <v>-0.104</v>
      </c>
    </row>
    <row r="69" spans="1:35" x14ac:dyDescent="0.25">
      <c r="A69" t="s">
        <v>1762</v>
      </c>
      <c r="B69" t="s">
        <v>32</v>
      </c>
      <c r="C69" s="25">
        <v>43704.415046296293</v>
      </c>
      <c r="D69" s="741" t="s">
        <v>969</v>
      </c>
      <c r="E69" s="741">
        <f t="array" ref="E69">SUMPRODUCT(IF(AMP7_6[[#This Row],[Dim 1_1]:[T 8]]-$F$4:$AI$4&lt;0,1,0)+IF($F$5:$AI$5-AMP7_6[[#This Row],[Dim 1_1]:[T 8]]&lt;0,1,0),IF(ISNUMBER(AMP7_6[[#This Row],[Dim 1_1]:[T 8]])=TRUE,1,0))</f>
        <v>0</v>
      </c>
      <c r="F69">
        <v>41.180999999999997</v>
      </c>
      <c r="G69">
        <v>41.406999999999996</v>
      </c>
      <c r="H69">
        <v>156.00899999999999</v>
      </c>
      <c r="I69">
        <v>156.14400000000001</v>
      </c>
      <c r="L69">
        <v>155.91999999999999</v>
      </c>
      <c r="M69">
        <v>155.821</v>
      </c>
      <c r="N69">
        <v>27.280999999999999</v>
      </c>
      <c r="O69">
        <v>27.422000000000001</v>
      </c>
      <c r="R69">
        <v>17.353999999999999</v>
      </c>
      <c r="S69">
        <v>17.355</v>
      </c>
      <c r="T69">
        <v>33.582999999999998</v>
      </c>
      <c r="U69">
        <v>34.753999999999998</v>
      </c>
      <c r="W69">
        <v>-0.16600000000000001</v>
      </c>
      <c r="X69">
        <v>-0.38800000000000001</v>
      </c>
      <c r="Z69">
        <v>0.03</v>
      </c>
      <c r="AA69">
        <v>-0.24399999999999999</v>
      </c>
      <c r="AB69">
        <v>-0.216</v>
      </c>
      <c r="AC69">
        <v>-0.16600000000000001</v>
      </c>
      <c r="AD69">
        <v>-0.38800000000000001</v>
      </c>
      <c r="AE69">
        <v>-0.25900000000000001</v>
      </c>
      <c r="AF69">
        <v>0.03</v>
      </c>
      <c r="AG69">
        <v>-5.7000000000000002E-2</v>
      </c>
      <c r="AH69">
        <v>-4.5999999999999999E-2</v>
      </c>
      <c r="AI69">
        <v>-0.24399999999999999</v>
      </c>
    </row>
    <row r="70" spans="1:35" x14ac:dyDescent="0.25">
      <c r="A70" t="s">
        <v>1763</v>
      </c>
      <c r="B70" t="s">
        <v>31</v>
      </c>
      <c r="C70" s="25">
        <v>43704.417094907411</v>
      </c>
      <c r="D70" s="741" t="s">
        <v>969</v>
      </c>
      <c r="E70" s="741">
        <f t="array" ref="E70">SUMPRODUCT(IF(AMP7_6[[#This Row],[Dim 1_1]:[T 8]]-$F$4:$AI$4&lt;0,1,0)+IF($F$5:$AI$5-AMP7_6[[#This Row],[Dim 1_1]:[T 8]]&lt;0,1,0),IF(ISNUMBER(AMP7_6[[#This Row],[Dim 1_1]:[T 8]])=TRUE,1,0))</f>
        <v>0</v>
      </c>
      <c r="H70">
        <v>156.02099999999999</v>
      </c>
      <c r="I70">
        <v>156.09399999999999</v>
      </c>
      <c r="J70">
        <v>168.75200000000001</v>
      </c>
      <c r="K70">
        <v>168.87100000000001</v>
      </c>
      <c r="L70">
        <v>156.102</v>
      </c>
      <c r="M70">
        <v>155.90700000000001</v>
      </c>
      <c r="N70">
        <v>27.175000000000001</v>
      </c>
      <c r="O70">
        <v>27.518000000000001</v>
      </c>
      <c r="R70">
        <v>17.239000000000001</v>
      </c>
      <c r="S70">
        <v>17.302</v>
      </c>
      <c r="T70">
        <v>37.701999999999998</v>
      </c>
      <c r="U70">
        <v>39.094000000000001</v>
      </c>
      <c r="W70">
        <v>-0.16700000000000001</v>
      </c>
      <c r="X70">
        <v>-0.34200000000000003</v>
      </c>
      <c r="Z70">
        <v>-2.1999999999999999E-2</v>
      </c>
      <c r="AA70">
        <v>-0.19900000000000001</v>
      </c>
      <c r="AB70">
        <v>-0.24299999999999999</v>
      </c>
      <c r="AC70">
        <v>-0.16700000000000001</v>
      </c>
      <c r="AD70">
        <v>-0.34200000000000003</v>
      </c>
      <c r="AE70">
        <v>-0.188</v>
      </c>
      <c r="AF70">
        <v>-8.4000000000000005E-2</v>
      </c>
      <c r="AG70">
        <v>-0.17399999999999999</v>
      </c>
      <c r="AH70">
        <v>-2.1999999999999999E-2</v>
      </c>
      <c r="AI70">
        <v>-0.19900000000000001</v>
      </c>
    </row>
    <row r="71" spans="1:35" x14ac:dyDescent="0.25">
      <c r="A71" t="s">
        <v>1764</v>
      </c>
      <c r="B71" t="s">
        <v>32</v>
      </c>
      <c r="C71" s="25">
        <v>43704.518969907411</v>
      </c>
      <c r="D71" s="741" t="s">
        <v>969</v>
      </c>
      <c r="E71" s="741">
        <f t="array" ref="E71">SUMPRODUCT(IF(AMP7_6[[#This Row],[Dim 1_1]:[T 8]]-$F$4:$AI$4&lt;0,1,0)+IF($F$5:$AI$5-AMP7_6[[#This Row],[Dim 1_1]:[T 8]]&lt;0,1,0),IF(ISNUMBER(AMP7_6[[#This Row],[Dim 1_1]:[T 8]])=TRUE,1,0))</f>
        <v>0</v>
      </c>
      <c r="F71">
        <v>41.154000000000003</v>
      </c>
      <c r="G71">
        <v>41.137</v>
      </c>
      <c r="H71">
        <v>155.96700000000001</v>
      </c>
      <c r="I71">
        <v>156.12799999999999</v>
      </c>
      <c r="L71">
        <v>155.88800000000001</v>
      </c>
      <c r="M71">
        <v>155.77799999999999</v>
      </c>
      <c r="N71">
        <v>27.323</v>
      </c>
      <c r="O71">
        <v>27.477</v>
      </c>
      <c r="R71">
        <v>17.350999999999999</v>
      </c>
      <c r="S71">
        <v>17.344000000000001</v>
      </c>
      <c r="T71">
        <v>33.515999999999998</v>
      </c>
      <c r="U71">
        <v>34.712000000000003</v>
      </c>
      <c r="W71">
        <v>-0.114</v>
      </c>
      <c r="X71">
        <v>-0.4</v>
      </c>
      <c r="Z71">
        <v>2.8000000000000001E-2</v>
      </c>
      <c r="AA71">
        <v>-0.245</v>
      </c>
      <c r="AB71">
        <v>-0.21199999999999999</v>
      </c>
      <c r="AC71">
        <v>-0.114</v>
      </c>
      <c r="AD71">
        <v>-0.4</v>
      </c>
      <c r="AE71">
        <v>-0.311</v>
      </c>
      <c r="AF71">
        <v>2.8000000000000001E-2</v>
      </c>
      <c r="AG71">
        <v>-5.2999999999999999E-2</v>
      </c>
      <c r="AH71">
        <v>-0.106</v>
      </c>
      <c r="AI71">
        <v>-0.245</v>
      </c>
    </row>
    <row r="72" spans="1:35" x14ac:dyDescent="0.25">
      <c r="A72" t="s">
        <v>1765</v>
      </c>
      <c r="B72" t="s">
        <v>31</v>
      </c>
      <c r="C72" s="25">
        <v>43704.521134259259</v>
      </c>
      <c r="D72" s="741" t="s">
        <v>969</v>
      </c>
      <c r="E72" s="741">
        <f t="array" ref="E72">SUMPRODUCT(IF(AMP7_6[[#This Row],[Dim 1_1]:[T 8]]-$F$4:$AI$4&lt;0,1,0)+IF($F$5:$AI$5-AMP7_6[[#This Row],[Dim 1_1]:[T 8]]&lt;0,1,0),IF(ISNUMBER(AMP7_6[[#This Row],[Dim 1_1]:[T 8]])=TRUE,1,0))</f>
        <v>0</v>
      </c>
      <c r="H72">
        <v>155.99199999999999</v>
      </c>
      <c r="I72">
        <v>156.084</v>
      </c>
      <c r="J72">
        <v>168.72200000000001</v>
      </c>
      <c r="K72">
        <v>168.84700000000001</v>
      </c>
      <c r="L72">
        <v>156.083</v>
      </c>
      <c r="M72">
        <v>155.90899999999999</v>
      </c>
      <c r="N72">
        <v>27.181000000000001</v>
      </c>
      <c r="O72">
        <v>27.492000000000001</v>
      </c>
      <c r="R72">
        <v>17.198</v>
      </c>
      <c r="S72">
        <v>17.292999999999999</v>
      </c>
      <c r="T72">
        <v>36.475999999999999</v>
      </c>
      <c r="U72">
        <v>37.634</v>
      </c>
      <c r="W72">
        <v>-0.108</v>
      </c>
      <c r="X72">
        <v>-0.44800000000000001</v>
      </c>
      <c r="Z72">
        <v>1.4E-2</v>
      </c>
      <c r="AA72">
        <v>-0.248</v>
      </c>
      <c r="AB72">
        <v>-0.19700000000000001</v>
      </c>
      <c r="AC72">
        <v>-0.108</v>
      </c>
      <c r="AD72">
        <v>-0.44800000000000001</v>
      </c>
      <c r="AE72">
        <v>-0.34200000000000003</v>
      </c>
      <c r="AF72">
        <v>1.4E-2</v>
      </c>
      <c r="AG72">
        <v>-7.4999999999999997E-2</v>
      </c>
      <c r="AH72">
        <v>-1.9E-2</v>
      </c>
      <c r="AI72">
        <v>-0.248</v>
      </c>
    </row>
    <row r="73" spans="1:35" x14ac:dyDescent="0.25">
      <c r="A73" t="s">
        <v>1766</v>
      </c>
      <c r="B73" t="s">
        <v>32</v>
      </c>
      <c r="C73" s="25">
        <v>43704.611747685187</v>
      </c>
      <c r="D73" s="741" t="s">
        <v>969</v>
      </c>
      <c r="E73" s="741">
        <f t="array" ref="E73">SUMPRODUCT(IF(AMP7_6[[#This Row],[Dim 1_1]:[T 8]]-$F$4:$AI$4&lt;0,1,0)+IF($F$5:$AI$5-AMP7_6[[#This Row],[Dim 1_1]:[T 8]]&lt;0,1,0),IF(ISNUMBER(AMP7_6[[#This Row],[Dim 1_1]:[T 8]])=TRUE,1,0))</f>
        <v>0</v>
      </c>
      <c r="F73">
        <v>41.292000000000002</v>
      </c>
      <c r="G73">
        <v>41.503</v>
      </c>
      <c r="H73">
        <v>155.923</v>
      </c>
      <c r="I73">
        <v>156.08699999999999</v>
      </c>
      <c r="L73">
        <v>155.85900000000001</v>
      </c>
      <c r="M73">
        <v>155.74</v>
      </c>
      <c r="N73">
        <v>27.373999999999999</v>
      </c>
      <c r="O73">
        <v>27.51</v>
      </c>
      <c r="R73">
        <v>17.303999999999998</v>
      </c>
      <c r="S73">
        <v>17.332999999999998</v>
      </c>
      <c r="T73">
        <v>33.706000000000003</v>
      </c>
      <c r="U73">
        <v>34.49</v>
      </c>
      <c r="W73">
        <v>-9.0999999999999998E-2</v>
      </c>
      <c r="X73">
        <v>-0.41799999999999998</v>
      </c>
      <c r="Z73">
        <v>8.5999999999999993E-2</v>
      </c>
      <c r="AA73">
        <v>-0.22500000000000001</v>
      </c>
      <c r="AB73">
        <v>-0.17699999999999999</v>
      </c>
      <c r="AC73">
        <v>-9.0999999999999998E-2</v>
      </c>
      <c r="AD73">
        <v>-0.41799999999999998</v>
      </c>
      <c r="AE73">
        <v>-0.32300000000000001</v>
      </c>
      <c r="AF73">
        <v>8.5999999999999993E-2</v>
      </c>
      <c r="AG73">
        <v>-1.2999999999999999E-2</v>
      </c>
      <c r="AH73">
        <v>-0.111</v>
      </c>
      <c r="AI73">
        <v>-0.22500000000000001</v>
      </c>
    </row>
    <row r="74" spans="1:35" x14ac:dyDescent="0.25">
      <c r="A74" t="s">
        <v>1767</v>
      </c>
      <c r="B74" t="s">
        <v>31</v>
      </c>
      <c r="C74" s="25">
        <v>43704.613935185182</v>
      </c>
      <c r="D74" s="741" t="s">
        <v>969</v>
      </c>
      <c r="E74" s="741">
        <f t="array" ref="E74">SUMPRODUCT(IF(AMP7_6[[#This Row],[Dim 1_1]:[T 8]]-$F$4:$AI$4&lt;0,1,0)+IF($F$5:$AI$5-AMP7_6[[#This Row],[Dim 1_1]:[T 8]]&lt;0,1,0),IF(ISNUMBER(AMP7_6[[#This Row],[Dim 1_1]:[T 8]])=TRUE,1,0))</f>
        <v>0</v>
      </c>
      <c r="H74">
        <v>155.94399999999999</v>
      </c>
      <c r="I74">
        <v>156.07400000000001</v>
      </c>
      <c r="J74">
        <v>168.833</v>
      </c>
      <c r="K74">
        <v>169.00200000000001</v>
      </c>
      <c r="L74">
        <v>156.04</v>
      </c>
      <c r="M74">
        <v>155.893</v>
      </c>
      <c r="N74">
        <v>27.206</v>
      </c>
      <c r="O74">
        <v>27.501999999999999</v>
      </c>
      <c r="R74">
        <v>17.219000000000001</v>
      </c>
      <c r="S74">
        <v>17.253</v>
      </c>
      <c r="T74">
        <v>41.066000000000003</v>
      </c>
      <c r="U74">
        <v>40.462000000000003</v>
      </c>
      <c r="W74">
        <v>-7.9000000000000001E-2</v>
      </c>
      <c r="X74">
        <v>-0.45800000000000002</v>
      </c>
      <c r="Z74">
        <v>2.9000000000000001E-2</v>
      </c>
      <c r="AA74">
        <v>-0.255</v>
      </c>
      <c r="AB74">
        <v>-0.16800000000000001</v>
      </c>
      <c r="AC74">
        <v>-7.9000000000000001E-2</v>
      </c>
      <c r="AD74">
        <v>-0.45800000000000002</v>
      </c>
      <c r="AE74">
        <v>-0.313</v>
      </c>
      <c r="AF74">
        <v>2.9000000000000001E-2</v>
      </c>
      <c r="AG74">
        <v>-5.7000000000000002E-2</v>
      </c>
      <c r="AH74">
        <v>-3.7999999999999999E-2</v>
      </c>
      <c r="AI74">
        <v>-0.255</v>
      </c>
    </row>
    <row r="75" spans="1:35" x14ac:dyDescent="0.25">
      <c r="A75" t="s">
        <v>1768</v>
      </c>
      <c r="B75" t="s">
        <v>32</v>
      </c>
      <c r="C75" s="25">
        <v>43704.701724537037</v>
      </c>
      <c r="D75" s="741" t="s">
        <v>969</v>
      </c>
      <c r="E75" s="741">
        <f t="array" ref="E75">SUMPRODUCT(IF(AMP7_6[[#This Row],[Dim 1_1]:[T 8]]-$F$4:$AI$4&lt;0,1,0)+IF($F$5:$AI$5-AMP7_6[[#This Row],[Dim 1_1]:[T 8]]&lt;0,1,0),IF(ISNUMBER(AMP7_6[[#This Row],[Dim 1_1]:[T 8]])=TRUE,1,0))</f>
        <v>0</v>
      </c>
      <c r="F75">
        <v>41.274000000000001</v>
      </c>
      <c r="G75">
        <v>41.448999999999998</v>
      </c>
      <c r="H75">
        <v>155.91900000000001</v>
      </c>
      <c r="I75">
        <v>156.06200000000001</v>
      </c>
      <c r="L75">
        <v>155.857</v>
      </c>
      <c r="M75">
        <v>155.69300000000001</v>
      </c>
      <c r="N75">
        <v>27.341000000000001</v>
      </c>
      <c r="O75">
        <v>27.504000000000001</v>
      </c>
      <c r="R75">
        <v>17.331</v>
      </c>
      <c r="S75">
        <v>17.312000000000001</v>
      </c>
      <c r="T75">
        <v>33.552999999999997</v>
      </c>
      <c r="U75">
        <v>34.706000000000003</v>
      </c>
      <c r="W75">
        <v>-2.5999999999999999E-2</v>
      </c>
      <c r="X75">
        <v>-0.35799999999999998</v>
      </c>
      <c r="Z75">
        <v>0.108</v>
      </c>
      <c r="AA75">
        <v>-0.20799999999999999</v>
      </c>
      <c r="AB75">
        <v>-0.122</v>
      </c>
      <c r="AC75">
        <v>-2.5999999999999999E-2</v>
      </c>
      <c r="AD75">
        <v>-0.35799999999999998</v>
      </c>
      <c r="AE75">
        <v>-0.24099999999999999</v>
      </c>
      <c r="AF75">
        <v>0.108</v>
      </c>
      <c r="AG75">
        <v>2.5000000000000001E-2</v>
      </c>
      <c r="AH75">
        <v>-6.8000000000000005E-2</v>
      </c>
      <c r="AI75">
        <v>-0.20799999999999999</v>
      </c>
    </row>
    <row r="76" spans="1:35" x14ac:dyDescent="0.25">
      <c r="A76" t="s">
        <v>1769</v>
      </c>
      <c r="B76" t="s">
        <v>31</v>
      </c>
      <c r="C76" s="25">
        <v>43704.703553240739</v>
      </c>
      <c r="D76" s="741" t="s">
        <v>969</v>
      </c>
      <c r="E76" s="741">
        <f t="array" ref="E76">SUMPRODUCT(IF(AMP7_6[[#This Row],[Dim 1_1]:[T 8]]-$F$4:$AI$4&lt;0,1,0)+IF($F$5:$AI$5-AMP7_6[[#This Row],[Dim 1_1]:[T 8]]&lt;0,1,0),IF(ISNUMBER(AMP7_6[[#This Row],[Dim 1_1]:[T 8]])=TRUE,1,0))</f>
        <v>0</v>
      </c>
      <c r="H76">
        <v>155.965</v>
      </c>
      <c r="I76">
        <v>156.053</v>
      </c>
      <c r="J76">
        <v>168.767</v>
      </c>
      <c r="K76">
        <v>168.90799999999999</v>
      </c>
      <c r="L76">
        <v>156.03399999999999</v>
      </c>
      <c r="M76">
        <v>155.85</v>
      </c>
      <c r="N76">
        <v>27.207000000000001</v>
      </c>
      <c r="O76">
        <v>27.515000000000001</v>
      </c>
      <c r="R76">
        <v>17.22</v>
      </c>
      <c r="S76">
        <v>17.358000000000001</v>
      </c>
      <c r="T76">
        <v>37.941000000000003</v>
      </c>
      <c r="U76">
        <v>36.902999999999999</v>
      </c>
      <c r="W76">
        <v>-7.9000000000000001E-2</v>
      </c>
      <c r="X76">
        <v>-0.51100000000000001</v>
      </c>
      <c r="Z76">
        <v>2E-3</v>
      </c>
      <c r="AA76">
        <v>-0.35199999999999998</v>
      </c>
      <c r="AB76">
        <v>-0.17100000000000001</v>
      </c>
      <c r="AC76">
        <v>-7.9000000000000001E-2</v>
      </c>
      <c r="AD76">
        <v>-0.51100000000000001</v>
      </c>
      <c r="AE76">
        <v>-0.39200000000000002</v>
      </c>
      <c r="AF76">
        <v>2E-3</v>
      </c>
      <c r="AG76">
        <v>-8.5000000000000006E-2</v>
      </c>
      <c r="AH76">
        <v>-9.0999999999999998E-2</v>
      </c>
      <c r="AI76">
        <v>-0.35199999999999998</v>
      </c>
    </row>
    <row r="77" spans="1:35" x14ac:dyDescent="0.25">
      <c r="A77" t="s">
        <v>1770</v>
      </c>
      <c r="B77" t="s">
        <v>32</v>
      </c>
      <c r="C77" s="25">
        <v>43704.788518518515</v>
      </c>
      <c r="D77" s="741" t="s">
        <v>969</v>
      </c>
      <c r="E77" s="741">
        <f t="array" ref="E77">SUMPRODUCT(IF(AMP7_6[[#This Row],[Dim 1_1]:[T 8]]-$F$4:$AI$4&lt;0,1,0)+IF($F$5:$AI$5-AMP7_6[[#This Row],[Dim 1_1]:[T 8]]&lt;0,1,0),IF(ISNUMBER(AMP7_6[[#This Row],[Dim 1_1]:[T 8]])=TRUE,1,0))</f>
        <v>0</v>
      </c>
      <c r="F77">
        <v>41.231000000000002</v>
      </c>
      <c r="G77">
        <v>41.472999999999999</v>
      </c>
      <c r="H77">
        <v>155.94999999999999</v>
      </c>
      <c r="I77">
        <v>156.15199999999999</v>
      </c>
      <c r="L77">
        <v>155.87899999999999</v>
      </c>
      <c r="M77">
        <v>155.78899999999999</v>
      </c>
      <c r="N77">
        <v>27.329000000000001</v>
      </c>
      <c r="O77">
        <v>27.43</v>
      </c>
      <c r="R77">
        <v>17.350999999999999</v>
      </c>
      <c r="S77">
        <v>17.167999999999999</v>
      </c>
      <c r="T77">
        <v>33.200000000000003</v>
      </c>
      <c r="U77">
        <v>35.168999999999997</v>
      </c>
      <c r="W77">
        <v>-7.0999999999999994E-2</v>
      </c>
      <c r="X77">
        <v>-0.23400000000000001</v>
      </c>
      <c r="Z77">
        <v>6.8000000000000005E-2</v>
      </c>
      <c r="AA77">
        <v>-6.0999999999999999E-2</v>
      </c>
      <c r="AB77">
        <v>-0.14899999999999999</v>
      </c>
      <c r="AC77">
        <v>-7.0999999999999994E-2</v>
      </c>
      <c r="AD77">
        <v>-0.23400000000000001</v>
      </c>
      <c r="AE77">
        <v>-0.104</v>
      </c>
      <c r="AF77">
        <v>6.3E-2</v>
      </c>
      <c r="AG77">
        <v>-1.4E-2</v>
      </c>
      <c r="AH77">
        <v>6.8000000000000005E-2</v>
      </c>
      <c r="AI77">
        <v>-6.0999999999999999E-2</v>
      </c>
    </row>
    <row r="78" spans="1:35" x14ac:dyDescent="0.25">
      <c r="A78" t="s">
        <v>1771</v>
      </c>
      <c r="B78" t="s">
        <v>31</v>
      </c>
      <c r="C78" s="25">
        <v>43704.790277777778</v>
      </c>
      <c r="D78" s="741" t="s">
        <v>969</v>
      </c>
      <c r="E78" s="741">
        <f t="array" ref="E78">SUMPRODUCT(IF(AMP7_6[[#This Row],[Dim 1_1]:[T 8]]-$F$4:$AI$4&lt;0,1,0)+IF($F$5:$AI$5-AMP7_6[[#This Row],[Dim 1_1]:[T 8]]&lt;0,1,0),IF(ISNUMBER(AMP7_6[[#This Row],[Dim 1_1]:[T 8]])=TRUE,1,0))</f>
        <v>0</v>
      </c>
      <c r="H78">
        <v>155.99600000000001</v>
      </c>
      <c r="I78">
        <v>156.08000000000001</v>
      </c>
      <c r="J78">
        <v>168.76400000000001</v>
      </c>
      <c r="K78">
        <v>168.99299999999999</v>
      </c>
      <c r="L78">
        <v>156.07</v>
      </c>
      <c r="M78">
        <v>155.899</v>
      </c>
      <c r="N78">
        <v>27.145</v>
      </c>
      <c r="O78">
        <v>27.475000000000001</v>
      </c>
      <c r="R78">
        <v>17.23</v>
      </c>
      <c r="S78">
        <v>17.196000000000002</v>
      </c>
      <c r="T78">
        <v>37.936</v>
      </c>
      <c r="U78">
        <v>37.009</v>
      </c>
      <c r="W78">
        <v>-0.17199999999999999</v>
      </c>
      <c r="X78">
        <v>-0.44400000000000001</v>
      </c>
      <c r="Z78">
        <v>-8.0000000000000002E-3</v>
      </c>
      <c r="AA78">
        <v>-0.25</v>
      </c>
      <c r="AB78">
        <v>-0.26900000000000002</v>
      </c>
      <c r="AC78">
        <v>-0.17199999999999999</v>
      </c>
      <c r="AD78">
        <v>-0.44400000000000001</v>
      </c>
      <c r="AE78">
        <v>-0.29599999999999999</v>
      </c>
      <c r="AF78">
        <v>-7.0000000000000007E-2</v>
      </c>
      <c r="AG78">
        <v>-0.156</v>
      </c>
      <c r="AH78">
        <v>-8.0000000000000002E-3</v>
      </c>
      <c r="AI78">
        <v>-0.25</v>
      </c>
    </row>
    <row r="79" spans="1:35" x14ac:dyDescent="0.25">
      <c r="A79" t="s">
        <v>1772</v>
      </c>
      <c r="B79" t="s">
        <v>32</v>
      </c>
      <c r="C79" s="25">
        <v>43704.858032407406</v>
      </c>
      <c r="D79" s="741" t="s">
        <v>969</v>
      </c>
      <c r="E79" s="741">
        <f t="array" ref="E79">SUMPRODUCT(IF(AMP7_6[[#This Row],[Dim 1_1]:[T 8]]-$F$4:$AI$4&lt;0,1,0)+IF($F$5:$AI$5-AMP7_6[[#This Row],[Dim 1_1]:[T 8]]&lt;0,1,0),IF(ISNUMBER(AMP7_6[[#This Row],[Dim 1_1]:[T 8]])=TRUE,1,0))</f>
        <v>0</v>
      </c>
      <c r="F79">
        <v>41.54</v>
      </c>
      <c r="G79">
        <v>41.701000000000001</v>
      </c>
      <c r="H79">
        <v>156.03800000000001</v>
      </c>
      <c r="I79">
        <v>156.34100000000001</v>
      </c>
      <c r="L79">
        <v>155.858</v>
      </c>
      <c r="M79">
        <v>155.828</v>
      </c>
      <c r="N79">
        <v>27.359000000000002</v>
      </c>
      <c r="O79">
        <v>27.437000000000001</v>
      </c>
      <c r="R79">
        <v>17.306000000000001</v>
      </c>
      <c r="S79">
        <v>17.417999999999999</v>
      </c>
      <c r="T79">
        <v>33.683</v>
      </c>
      <c r="U79">
        <v>34.732999999999997</v>
      </c>
      <c r="W79">
        <v>-8.5999999999999993E-2</v>
      </c>
      <c r="X79">
        <v>-0.439</v>
      </c>
      <c r="Z79">
        <v>7.4999999999999997E-2</v>
      </c>
      <c r="AA79">
        <v>-0.36499999999999999</v>
      </c>
      <c r="AB79">
        <v>-0.15</v>
      </c>
      <c r="AC79">
        <v>-8.5999999999999993E-2</v>
      </c>
      <c r="AD79">
        <v>-0.439</v>
      </c>
      <c r="AE79">
        <v>-0.35</v>
      </c>
      <c r="AF79">
        <v>7.4999999999999997E-2</v>
      </c>
      <c r="AG79">
        <v>-1.4E-2</v>
      </c>
      <c r="AH79">
        <v>-0.13200000000000001</v>
      </c>
      <c r="AI79">
        <v>-0.36499999999999999</v>
      </c>
    </row>
    <row r="80" spans="1:35" x14ac:dyDescent="0.25">
      <c r="A80" t="s">
        <v>1773</v>
      </c>
      <c r="B80" t="s">
        <v>31</v>
      </c>
      <c r="C80" s="25">
        <v>43704.859571759262</v>
      </c>
      <c r="D80" s="741" t="s">
        <v>969</v>
      </c>
      <c r="E80" s="741">
        <f t="array" ref="E80">SUMPRODUCT(IF(AMP7_6[[#This Row],[Dim 1_1]:[T 8]]-$F$4:$AI$4&lt;0,1,0)+IF($F$5:$AI$5-AMP7_6[[#This Row],[Dim 1_1]:[T 8]]&lt;0,1,0),IF(ISNUMBER(AMP7_6[[#This Row],[Dim 1_1]:[T 8]])=TRUE,1,0))</f>
        <v>0</v>
      </c>
      <c r="H80">
        <v>156.05099999999999</v>
      </c>
      <c r="I80">
        <v>156.131</v>
      </c>
      <c r="J80">
        <v>169.029</v>
      </c>
      <c r="K80">
        <v>169.26499999999999</v>
      </c>
      <c r="L80">
        <v>156.04400000000001</v>
      </c>
      <c r="M80">
        <v>155.88900000000001</v>
      </c>
      <c r="N80">
        <v>27.189</v>
      </c>
      <c r="O80">
        <v>27.568000000000001</v>
      </c>
      <c r="R80">
        <v>17.277999999999999</v>
      </c>
      <c r="S80">
        <v>17.286999999999999</v>
      </c>
      <c r="T80">
        <v>37.176000000000002</v>
      </c>
      <c r="U80">
        <v>37.479999999999997</v>
      </c>
      <c r="W80">
        <v>-0.05</v>
      </c>
      <c r="X80">
        <v>-0.154</v>
      </c>
      <c r="Z80">
        <v>0.01</v>
      </c>
      <c r="AA80">
        <v>-0.14399999999999999</v>
      </c>
      <c r="AB80">
        <v>-0.11700000000000001</v>
      </c>
      <c r="AC80">
        <v>-0.05</v>
      </c>
      <c r="AD80">
        <v>-0.154</v>
      </c>
      <c r="AE80">
        <v>-9.1999999999999998E-2</v>
      </c>
      <c r="AF80">
        <v>-0.03</v>
      </c>
      <c r="AG80">
        <v>-0.14399999999999999</v>
      </c>
      <c r="AH80">
        <v>0.01</v>
      </c>
      <c r="AI80">
        <v>-0.11600000000000001</v>
      </c>
    </row>
    <row r="81" spans="1:35" x14ac:dyDescent="0.25">
      <c r="A81" t="s">
        <v>1774</v>
      </c>
      <c r="B81" t="s">
        <v>32</v>
      </c>
      <c r="C81" s="25">
        <v>43704.931956018518</v>
      </c>
      <c r="D81" s="741" t="s">
        <v>969</v>
      </c>
      <c r="E81" s="741">
        <f t="array" ref="E81">SUMPRODUCT(IF(AMP7_6[[#This Row],[Dim 1_1]:[T 8]]-$F$4:$AI$4&lt;0,1,0)+IF($F$5:$AI$5-AMP7_6[[#This Row],[Dim 1_1]:[T 8]]&lt;0,1,0),IF(ISNUMBER(AMP7_6[[#This Row],[Dim 1_1]:[T 8]])=TRUE,1,0))</f>
        <v>0</v>
      </c>
      <c r="F81">
        <v>41.273000000000003</v>
      </c>
      <c r="G81">
        <v>41.226999999999997</v>
      </c>
      <c r="H81">
        <v>156.01900000000001</v>
      </c>
      <c r="I81">
        <v>156.28299999999999</v>
      </c>
      <c r="L81">
        <v>155.84</v>
      </c>
      <c r="M81">
        <v>155.75700000000001</v>
      </c>
      <c r="N81">
        <v>27.366</v>
      </c>
      <c r="O81">
        <v>27.462</v>
      </c>
      <c r="R81">
        <v>17.279</v>
      </c>
      <c r="S81">
        <v>17.428999999999998</v>
      </c>
      <c r="T81">
        <v>33.746000000000002</v>
      </c>
      <c r="U81">
        <v>34.732999999999997</v>
      </c>
      <c r="W81">
        <v>-6.3E-2</v>
      </c>
      <c r="X81">
        <v>-0.48</v>
      </c>
      <c r="Z81">
        <v>0.123</v>
      </c>
      <c r="AA81">
        <v>-0.376</v>
      </c>
      <c r="AB81">
        <v>-0.11799999999999999</v>
      </c>
      <c r="AC81">
        <v>-6.3E-2</v>
      </c>
      <c r="AD81">
        <v>-0.48</v>
      </c>
      <c r="AE81">
        <v>-0.36699999999999999</v>
      </c>
      <c r="AF81">
        <v>0.123</v>
      </c>
      <c r="AG81">
        <v>3.2000000000000001E-2</v>
      </c>
      <c r="AH81">
        <v>-0.17</v>
      </c>
      <c r="AI81">
        <v>-0.376</v>
      </c>
    </row>
    <row r="82" spans="1:35" x14ac:dyDescent="0.25">
      <c r="A82" t="s">
        <v>1775</v>
      </c>
      <c r="B82" t="s">
        <v>31</v>
      </c>
      <c r="C82" s="25">
        <v>43704.933449074073</v>
      </c>
      <c r="D82" s="741" t="s">
        <v>969</v>
      </c>
      <c r="E82" s="741">
        <f t="array" ref="E82">SUMPRODUCT(IF(AMP7_6[[#This Row],[Dim 1_1]:[T 8]]-$F$4:$AI$4&lt;0,1,0)+IF($F$5:$AI$5-AMP7_6[[#This Row],[Dim 1_1]:[T 8]]&lt;0,1,0),IF(ISNUMBER(AMP7_6[[#This Row],[Dim 1_1]:[T 8]])=TRUE,1,0))</f>
        <v>0</v>
      </c>
      <c r="H82">
        <v>156.029</v>
      </c>
      <c r="I82">
        <v>156.15600000000001</v>
      </c>
      <c r="J82">
        <v>168.79499999999999</v>
      </c>
      <c r="K82">
        <v>168.768</v>
      </c>
      <c r="L82">
        <v>156.017</v>
      </c>
      <c r="M82">
        <v>155.90299999999999</v>
      </c>
      <c r="N82">
        <v>27.218</v>
      </c>
      <c r="O82">
        <v>27.533000000000001</v>
      </c>
      <c r="R82">
        <v>17.321999999999999</v>
      </c>
      <c r="S82">
        <v>17.353999999999999</v>
      </c>
      <c r="T82">
        <v>39.454999999999998</v>
      </c>
      <c r="U82">
        <v>39.539000000000001</v>
      </c>
      <c r="W82">
        <v>-3.0000000000000001E-3</v>
      </c>
      <c r="X82">
        <v>-0.161</v>
      </c>
      <c r="Z82">
        <v>3.3000000000000002E-2</v>
      </c>
      <c r="AA82">
        <v>-7.0999999999999994E-2</v>
      </c>
      <c r="AB82">
        <v>-8.6999999999999994E-2</v>
      </c>
      <c r="AC82">
        <v>-1.6E-2</v>
      </c>
      <c r="AD82">
        <v>-0.161</v>
      </c>
      <c r="AE82">
        <v>-3.0000000000000001E-3</v>
      </c>
      <c r="AF82">
        <v>2.1999999999999999E-2</v>
      </c>
      <c r="AG82">
        <v>-7.0999999999999994E-2</v>
      </c>
      <c r="AH82">
        <v>3.3000000000000002E-2</v>
      </c>
      <c r="AI82">
        <v>-5.8000000000000003E-2</v>
      </c>
    </row>
    <row r="83" spans="1:35" x14ac:dyDescent="0.25">
      <c r="A83" t="s">
        <v>1776</v>
      </c>
      <c r="B83" t="s">
        <v>32</v>
      </c>
      <c r="C83" s="25">
        <v>43705.031331018516</v>
      </c>
      <c r="D83" s="741" t="s">
        <v>969</v>
      </c>
      <c r="E83" s="741">
        <f t="array" ref="E83">SUMPRODUCT(IF(AMP7_6[[#This Row],[Dim 1_1]:[T 8]]-$F$4:$AI$4&lt;0,1,0)+IF($F$5:$AI$5-AMP7_6[[#This Row],[Dim 1_1]:[T 8]]&lt;0,1,0),IF(ISNUMBER(AMP7_6[[#This Row],[Dim 1_1]:[T 8]])=TRUE,1,0))</f>
        <v>0</v>
      </c>
      <c r="F83">
        <v>41.207000000000001</v>
      </c>
      <c r="G83">
        <v>41.237000000000002</v>
      </c>
      <c r="H83">
        <v>156.10300000000001</v>
      </c>
      <c r="I83">
        <v>156.34800000000001</v>
      </c>
      <c r="L83">
        <v>155.904</v>
      </c>
      <c r="M83">
        <v>155.797</v>
      </c>
      <c r="N83">
        <v>27.315999999999999</v>
      </c>
      <c r="O83">
        <v>27.437999999999999</v>
      </c>
      <c r="R83">
        <v>17.309000000000001</v>
      </c>
      <c r="S83">
        <v>17.440999999999999</v>
      </c>
      <c r="T83">
        <v>33.561999999999998</v>
      </c>
      <c r="U83">
        <v>34.466999999999999</v>
      </c>
      <c r="W83">
        <v>-0.112</v>
      </c>
      <c r="X83">
        <v>-0.48799999999999999</v>
      </c>
      <c r="Z83">
        <v>-0.01</v>
      </c>
      <c r="AA83">
        <v>-0.45100000000000001</v>
      </c>
      <c r="AB83">
        <v>-0.184</v>
      </c>
      <c r="AC83">
        <v>-0.112</v>
      </c>
      <c r="AD83">
        <v>-0.48799999999999999</v>
      </c>
      <c r="AE83">
        <v>-0.375</v>
      </c>
      <c r="AF83">
        <v>-0.01</v>
      </c>
      <c r="AG83">
        <v>-9.5000000000000001E-2</v>
      </c>
      <c r="AH83">
        <v>-0.188</v>
      </c>
      <c r="AI83">
        <v>-0.45100000000000001</v>
      </c>
    </row>
    <row r="84" spans="1:35" x14ac:dyDescent="0.25">
      <c r="A84" t="s">
        <v>1777</v>
      </c>
      <c r="B84" t="s">
        <v>31</v>
      </c>
      <c r="C84" s="25">
        <v>43705.032824074071</v>
      </c>
      <c r="D84" s="741" t="s">
        <v>969</v>
      </c>
      <c r="E84" s="741">
        <f t="array" ref="E84">SUMPRODUCT(IF(AMP7_6[[#This Row],[Dim 1_1]:[T 8]]-$F$4:$AI$4&lt;0,1,0)+IF($F$5:$AI$5-AMP7_6[[#This Row],[Dim 1_1]:[T 8]]&lt;0,1,0),IF(ISNUMBER(AMP7_6[[#This Row],[Dim 1_1]:[T 8]])=TRUE,1,0))</f>
        <v>0</v>
      </c>
      <c r="H84">
        <v>156.102</v>
      </c>
      <c r="I84">
        <v>156.24</v>
      </c>
      <c r="J84">
        <v>168.822</v>
      </c>
      <c r="K84">
        <v>168.779</v>
      </c>
      <c r="L84">
        <v>156.11099999999999</v>
      </c>
      <c r="M84">
        <v>156.00299999999999</v>
      </c>
      <c r="N84">
        <v>27.126000000000001</v>
      </c>
      <c r="O84">
        <v>27.443999999999999</v>
      </c>
      <c r="R84">
        <v>17.291</v>
      </c>
      <c r="S84">
        <v>17.244</v>
      </c>
      <c r="T84">
        <v>38.859000000000002</v>
      </c>
      <c r="U84">
        <v>38.74</v>
      </c>
      <c r="W84">
        <v>-1.6E-2</v>
      </c>
      <c r="X84">
        <v>-0.214</v>
      </c>
      <c r="Z84">
        <v>3.2000000000000001E-2</v>
      </c>
      <c r="AA84">
        <v>-0.152</v>
      </c>
      <c r="AB84">
        <v>-0.20499999999999999</v>
      </c>
      <c r="AC84">
        <v>-0.13700000000000001</v>
      </c>
      <c r="AD84">
        <v>-0.214</v>
      </c>
      <c r="AE84">
        <v>-1.6E-2</v>
      </c>
      <c r="AF84">
        <v>-5.0999999999999997E-2</v>
      </c>
      <c r="AG84">
        <v>-0.152</v>
      </c>
      <c r="AH84">
        <v>3.2000000000000001E-2</v>
      </c>
      <c r="AI84">
        <v>-9.9000000000000005E-2</v>
      </c>
    </row>
    <row r="85" spans="1:35" x14ac:dyDescent="0.25">
      <c r="A85" t="s">
        <v>1778</v>
      </c>
      <c r="B85" t="s">
        <v>32</v>
      </c>
      <c r="C85" s="25">
        <v>43705.061932870369</v>
      </c>
      <c r="D85" s="741" t="s">
        <v>969</v>
      </c>
      <c r="E85" s="741">
        <f t="array" ref="E85">SUMPRODUCT(IF(AMP7_6[[#This Row],[Dim 1_1]:[T 8]]-$F$4:$AI$4&lt;0,1,0)+IF($F$5:$AI$5-AMP7_6[[#This Row],[Dim 1_1]:[T 8]]&lt;0,1,0),IF(ISNUMBER(AMP7_6[[#This Row],[Dim 1_1]:[T 8]])=TRUE,1,0))</f>
        <v>0</v>
      </c>
      <c r="F85">
        <v>41.198999999999998</v>
      </c>
      <c r="G85">
        <v>41.21</v>
      </c>
      <c r="H85">
        <v>156.06399999999999</v>
      </c>
      <c r="I85">
        <v>156.31800000000001</v>
      </c>
      <c r="L85">
        <v>155.88300000000001</v>
      </c>
      <c r="M85">
        <v>155.76599999999999</v>
      </c>
      <c r="N85">
        <v>27.323</v>
      </c>
      <c r="O85">
        <v>27.463000000000001</v>
      </c>
      <c r="R85">
        <v>17.309999999999999</v>
      </c>
      <c r="S85">
        <v>17.385999999999999</v>
      </c>
      <c r="T85">
        <v>33.764000000000003</v>
      </c>
      <c r="U85">
        <v>34.689</v>
      </c>
      <c r="W85">
        <v>-0.08</v>
      </c>
      <c r="X85">
        <v>-0.42399999999999999</v>
      </c>
      <c r="Z85">
        <v>7.6999999999999999E-2</v>
      </c>
      <c r="AA85">
        <v>-0.34200000000000003</v>
      </c>
      <c r="AB85">
        <v>-0.16800000000000001</v>
      </c>
      <c r="AC85">
        <v>-0.08</v>
      </c>
      <c r="AD85">
        <v>-0.42399999999999999</v>
      </c>
      <c r="AE85">
        <v>-0.308</v>
      </c>
      <c r="AF85">
        <v>7.6999999999999999E-2</v>
      </c>
      <c r="AG85">
        <v>-1.7000000000000001E-2</v>
      </c>
      <c r="AH85">
        <v>-9.1999999999999998E-2</v>
      </c>
      <c r="AI85">
        <v>-0.34200000000000003</v>
      </c>
    </row>
    <row r="86" spans="1:35" x14ac:dyDescent="0.25">
      <c r="A86" t="s">
        <v>1779</v>
      </c>
      <c r="B86" t="s">
        <v>31</v>
      </c>
      <c r="C86" s="25">
        <v>43705.063425925924</v>
      </c>
      <c r="D86" s="741" t="s">
        <v>969</v>
      </c>
      <c r="E86" s="741">
        <f t="array" ref="E86">SUMPRODUCT(IF(AMP7_6[[#This Row],[Dim 1_1]:[T 8]]-$F$4:$AI$4&lt;0,1,0)+IF($F$5:$AI$5-AMP7_6[[#This Row],[Dim 1_1]:[T 8]]&lt;0,1,0),IF(ISNUMBER(AMP7_6[[#This Row],[Dim 1_1]:[T 8]])=TRUE,1,0))</f>
        <v>0</v>
      </c>
      <c r="H86">
        <v>156.09399999999999</v>
      </c>
      <c r="I86">
        <v>156.29</v>
      </c>
      <c r="J86">
        <v>168.72900000000001</v>
      </c>
      <c r="K86">
        <v>168.71700000000001</v>
      </c>
      <c r="L86">
        <v>156.07</v>
      </c>
      <c r="M86">
        <v>156.05799999999999</v>
      </c>
      <c r="N86">
        <v>27.17</v>
      </c>
      <c r="O86">
        <v>27.407</v>
      </c>
      <c r="R86">
        <v>17.323</v>
      </c>
      <c r="S86">
        <v>17.303999999999998</v>
      </c>
      <c r="T86">
        <v>40.725999999999999</v>
      </c>
      <c r="U86">
        <v>40.156999999999996</v>
      </c>
      <c r="W86">
        <v>-1.0999999999999999E-2</v>
      </c>
      <c r="X86">
        <v>-0.215</v>
      </c>
      <c r="Z86">
        <v>7.9000000000000001E-2</v>
      </c>
      <c r="AA86">
        <v>-0.19900000000000001</v>
      </c>
      <c r="AB86">
        <v>-0.215</v>
      </c>
      <c r="AC86">
        <v>-0.152</v>
      </c>
      <c r="AD86">
        <v>-0.20799999999999999</v>
      </c>
      <c r="AE86">
        <v>-1.0999999999999999E-2</v>
      </c>
      <c r="AF86">
        <v>-0.1</v>
      </c>
      <c r="AG86">
        <v>-0.19900000000000001</v>
      </c>
      <c r="AH86">
        <v>7.9000000000000001E-2</v>
      </c>
      <c r="AI86">
        <v>-0.104</v>
      </c>
    </row>
    <row r="87" spans="1:35" x14ac:dyDescent="0.25">
      <c r="A87" t="s">
        <v>1780</v>
      </c>
      <c r="B87" t="s">
        <v>32</v>
      </c>
      <c r="C87" s="25">
        <v>43705.348449074074</v>
      </c>
      <c r="D87" s="741" t="s">
        <v>969</v>
      </c>
      <c r="E87" s="741">
        <f t="array" ref="E87">SUMPRODUCT(IF(AMP7_6[[#This Row],[Dim 1_1]:[T 8]]-$F$4:$AI$4&lt;0,1,0)+IF($F$5:$AI$5-AMP7_6[[#This Row],[Dim 1_1]:[T 8]]&lt;0,1,0),IF(ISNUMBER(AMP7_6[[#This Row],[Dim 1_1]:[T 8]])=TRUE,1,0))</f>
        <v>0</v>
      </c>
      <c r="F87">
        <v>41.179000000000002</v>
      </c>
      <c r="G87">
        <v>41.151000000000003</v>
      </c>
      <c r="H87">
        <v>156.11199999999999</v>
      </c>
      <c r="I87">
        <v>156.36699999999999</v>
      </c>
      <c r="L87">
        <v>155.88900000000001</v>
      </c>
      <c r="M87">
        <v>155.779</v>
      </c>
      <c r="N87">
        <v>27.321999999999999</v>
      </c>
      <c r="O87">
        <v>27.46</v>
      </c>
      <c r="R87">
        <v>17.34</v>
      </c>
      <c r="S87">
        <v>17.416</v>
      </c>
      <c r="T87">
        <v>33.671999999999997</v>
      </c>
      <c r="U87">
        <v>34.844999999999999</v>
      </c>
      <c r="W87">
        <v>-5.8000000000000003E-2</v>
      </c>
      <c r="X87">
        <v>-0.38300000000000001</v>
      </c>
      <c r="Z87">
        <v>0.113</v>
      </c>
      <c r="AA87">
        <v>-0.314</v>
      </c>
      <c r="AB87">
        <v>-0.11600000000000001</v>
      </c>
      <c r="AC87">
        <v>-5.8000000000000003E-2</v>
      </c>
      <c r="AD87">
        <v>-0.38300000000000001</v>
      </c>
      <c r="AE87">
        <v>-0.27400000000000002</v>
      </c>
      <c r="AF87">
        <v>0.113</v>
      </c>
      <c r="AG87">
        <v>8.0000000000000002E-3</v>
      </c>
      <c r="AH87">
        <v>-2.4E-2</v>
      </c>
      <c r="AI87">
        <v>-0.314</v>
      </c>
    </row>
    <row r="88" spans="1:35" x14ac:dyDescent="0.25">
      <c r="A88" t="s">
        <v>1781</v>
      </c>
      <c r="B88" t="s">
        <v>31</v>
      </c>
      <c r="C88" s="25">
        <v>43705.350497685184</v>
      </c>
      <c r="D88" s="741" t="s">
        <v>969</v>
      </c>
      <c r="E88" s="741">
        <f t="array" ref="E88">SUMPRODUCT(IF(AMP7_6[[#This Row],[Dim 1_1]:[T 8]]-$F$4:$AI$4&lt;0,1,0)+IF($F$5:$AI$5-AMP7_6[[#This Row],[Dim 1_1]:[T 8]]&lt;0,1,0),IF(ISNUMBER(AMP7_6[[#This Row],[Dim 1_1]:[T 8]])=TRUE,1,0))</f>
        <v>0</v>
      </c>
      <c r="H88">
        <v>156.13200000000001</v>
      </c>
      <c r="I88">
        <v>156.227</v>
      </c>
      <c r="J88">
        <v>168.73400000000001</v>
      </c>
      <c r="K88">
        <v>168.20500000000001</v>
      </c>
      <c r="L88">
        <v>156.11099999999999</v>
      </c>
      <c r="M88">
        <v>155.983</v>
      </c>
      <c r="N88">
        <v>27.152000000000001</v>
      </c>
      <c r="O88">
        <v>27.495000000000001</v>
      </c>
      <c r="R88">
        <v>17.323</v>
      </c>
      <c r="S88">
        <v>17.291</v>
      </c>
      <c r="T88">
        <v>38.185000000000002</v>
      </c>
      <c r="U88">
        <v>40.08</v>
      </c>
      <c r="W88">
        <v>1.7999999999999999E-2</v>
      </c>
      <c r="X88">
        <v>-0.16900000000000001</v>
      </c>
      <c r="Z88">
        <v>0.109</v>
      </c>
      <c r="AA88">
        <v>-7.8E-2</v>
      </c>
      <c r="AB88">
        <v>-0.106</v>
      </c>
      <c r="AC88">
        <v>-3.2000000000000001E-2</v>
      </c>
      <c r="AD88">
        <v>-0.16900000000000001</v>
      </c>
      <c r="AE88">
        <v>1.7999999999999999E-2</v>
      </c>
      <c r="AF88">
        <v>3.1E-2</v>
      </c>
      <c r="AG88">
        <v>-7.8E-2</v>
      </c>
      <c r="AH88">
        <v>0.109</v>
      </c>
      <c r="AI88">
        <v>-3.1E-2</v>
      </c>
    </row>
    <row r="89" spans="1:35" x14ac:dyDescent="0.25">
      <c r="A89" t="s">
        <v>1782</v>
      </c>
      <c r="B89" t="s">
        <v>32</v>
      </c>
      <c r="C89" s="25">
        <v>43705.431562500002</v>
      </c>
      <c r="D89" s="741" t="s">
        <v>969</v>
      </c>
      <c r="E89" s="741">
        <f t="array" ref="E89">SUMPRODUCT(IF(AMP7_6[[#This Row],[Dim 1_1]:[T 8]]-$F$4:$AI$4&lt;0,1,0)+IF($F$5:$AI$5-AMP7_6[[#This Row],[Dim 1_1]:[T 8]]&lt;0,1,0),IF(ISNUMBER(AMP7_6[[#This Row],[Dim 1_1]:[T 8]])=TRUE,1,0))</f>
        <v>0</v>
      </c>
      <c r="F89">
        <v>41.149000000000001</v>
      </c>
      <c r="G89">
        <v>41.137</v>
      </c>
      <c r="H89">
        <v>156.107</v>
      </c>
      <c r="I89">
        <v>156.351</v>
      </c>
      <c r="L89">
        <v>155.886</v>
      </c>
      <c r="M89">
        <v>155.79400000000001</v>
      </c>
      <c r="N89">
        <v>27.314</v>
      </c>
      <c r="O89">
        <v>27.428999999999998</v>
      </c>
      <c r="R89">
        <v>17.329999999999998</v>
      </c>
      <c r="S89">
        <v>17.408999999999999</v>
      </c>
      <c r="T89">
        <v>33.734000000000002</v>
      </c>
      <c r="U89">
        <v>34.835999999999999</v>
      </c>
      <c r="W89">
        <v>-0.11899999999999999</v>
      </c>
      <c r="X89">
        <v>-0.441</v>
      </c>
      <c r="Z89">
        <v>1.7999999999999999E-2</v>
      </c>
      <c r="AA89">
        <v>-0.40899999999999997</v>
      </c>
      <c r="AB89">
        <v>-0.16500000000000001</v>
      </c>
      <c r="AC89">
        <v>-0.11899999999999999</v>
      </c>
      <c r="AD89">
        <v>-0.441</v>
      </c>
      <c r="AE89">
        <v>-0.33200000000000002</v>
      </c>
      <c r="AF89">
        <v>1.7999999999999999E-2</v>
      </c>
      <c r="AG89">
        <v>-7.2999999999999995E-2</v>
      </c>
      <c r="AH89">
        <v>-0.16800000000000001</v>
      </c>
      <c r="AI89">
        <v>-0.40899999999999997</v>
      </c>
    </row>
    <row r="90" spans="1:35" x14ac:dyDescent="0.25">
      <c r="A90" t="s">
        <v>1783</v>
      </c>
      <c r="B90" t="s">
        <v>31</v>
      </c>
      <c r="C90" s="25">
        <v>43705.433622685188</v>
      </c>
      <c r="D90" s="741" t="s">
        <v>969</v>
      </c>
      <c r="E90" s="741">
        <f t="array" ref="E90">SUMPRODUCT(IF(AMP7_6[[#This Row],[Dim 1_1]:[T 8]]-$F$4:$AI$4&lt;0,1,0)+IF($F$5:$AI$5-AMP7_6[[#This Row],[Dim 1_1]:[T 8]]&lt;0,1,0),IF(ISNUMBER(AMP7_6[[#This Row],[Dim 1_1]:[T 8]])=TRUE,1,0))</f>
        <v>0</v>
      </c>
      <c r="H90">
        <v>156.11099999999999</v>
      </c>
      <c r="I90">
        <v>156.22399999999999</v>
      </c>
      <c r="J90">
        <v>168.72800000000001</v>
      </c>
      <c r="K90">
        <v>168.751</v>
      </c>
      <c r="L90">
        <v>156.1</v>
      </c>
      <c r="M90">
        <v>155.983</v>
      </c>
      <c r="N90">
        <v>27.16</v>
      </c>
      <c r="O90">
        <v>27.484999999999999</v>
      </c>
      <c r="R90">
        <v>17.321999999999999</v>
      </c>
      <c r="S90">
        <v>17.349</v>
      </c>
      <c r="T90">
        <v>36.725999999999999</v>
      </c>
      <c r="U90">
        <v>36.777999999999999</v>
      </c>
      <c r="W90">
        <v>-3.2000000000000001E-2</v>
      </c>
      <c r="X90">
        <v>-0.20300000000000001</v>
      </c>
      <c r="Z90">
        <v>5.6000000000000001E-2</v>
      </c>
      <c r="AA90">
        <v>-0.14299999999999999</v>
      </c>
      <c r="AB90">
        <v>-0.161</v>
      </c>
      <c r="AC90">
        <v>-8.8999999999999996E-2</v>
      </c>
      <c r="AD90">
        <v>-0.20300000000000001</v>
      </c>
      <c r="AE90">
        <v>-3.2000000000000001E-2</v>
      </c>
      <c r="AF90">
        <v>-4.2999999999999997E-2</v>
      </c>
      <c r="AG90">
        <v>-0.14299999999999999</v>
      </c>
      <c r="AH90">
        <v>5.6000000000000001E-2</v>
      </c>
      <c r="AI90">
        <v>-9.6000000000000002E-2</v>
      </c>
    </row>
    <row r="91" spans="1:35" x14ac:dyDescent="0.25">
      <c r="A91" t="s">
        <v>1975</v>
      </c>
      <c r="B91" t="s">
        <v>32</v>
      </c>
      <c r="C91" s="25">
        <v>43705.471631944441</v>
      </c>
      <c r="D91" s="741" t="s">
        <v>969</v>
      </c>
      <c r="E91" s="741">
        <f t="array" ref="E91">SUMPRODUCT(IF(AMP7_6[[#This Row],[Dim 1_1]:[T 8]]-$F$4:$AI$4&lt;0,1,0)+IF($F$5:$AI$5-AMP7_6[[#This Row],[Dim 1_1]:[T 8]]&lt;0,1,0),IF(ISNUMBER(AMP7_6[[#This Row],[Dim 1_1]:[T 8]])=TRUE,1,0))</f>
        <v>0</v>
      </c>
      <c r="F91">
        <v>41.176000000000002</v>
      </c>
      <c r="G91">
        <v>41.094000000000001</v>
      </c>
      <c r="H91">
        <v>156.09899999999999</v>
      </c>
      <c r="I91">
        <v>156.33699999999999</v>
      </c>
      <c r="L91">
        <v>155.886</v>
      </c>
      <c r="M91">
        <v>155.76300000000001</v>
      </c>
      <c r="N91">
        <v>27.327000000000002</v>
      </c>
      <c r="O91">
        <v>27.46</v>
      </c>
      <c r="R91">
        <v>17.318000000000001</v>
      </c>
      <c r="S91">
        <v>17.329999999999998</v>
      </c>
      <c r="T91">
        <v>33.761000000000003</v>
      </c>
      <c r="U91">
        <v>34.893000000000001</v>
      </c>
      <c r="W91">
        <v>-0.124</v>
      </c>
      <c r="X91">
        <v>-0.38</v>
      </c>
      <c r="Z91">
        <v>2.5000000000000001E-2</v>
      </c>
      <c r="AA91">
        <v>-0.33500000000000002</v>
      </c>
      <c r="AB91">
        <v>-0.18</v>
      </c>
      <c r="AC91">
        <v>-0.124</v>
      </c>
      <c r="AD91">
        <v>-0.38</v>
      </c>
      <c r="AE91">
        <v>-0.23200000000000001</v>
      </c>
      <c r="AF91">
        <v>2.5000000000000001E-2</v>
      </c>
      <c r="AG91">
        <v>-8.1000000000000003E-2</v>
      </c>
      <c r="AH91">
        <v>-0.129</v>
      </c>
      <c r="AI91">
        <v>-0.33500000000000002</v>
      </c>
    </row>
    <row r="92" spans="1:35" x14ac:dyDescent="0.25">
      <c r="A92" t="s">
        <v>1976</v>
      </c>
      <c r="B92" t="s">
        <v>31</v>
      </c>
      <c r="C92" s="25">
        <v>43705.473692129628</v>
      </c>
      <c r="D92" s="741" t="s">
        <v>969</v>
      </c>
      <c r="E92" s="741">
        <f t="array" ref="E92">SUMPRODUCT(IF(AMP7_6[[#This Row],[Dim 1_1]:[T 8]]-$F$4:$AI$4&lt;0,1,0)+IF($F$5:$AI$5-AMP7_6[[#This Row],[Dim 1_1]:[T 8]]&lt;0,1,0),IF(ISNUMBER(AMP7_6[[#This Row],[Dim 1_1]:[T 8]])=TRUE,1,0))</f>
        <v>0</v>
      </c>
      <c r="H92">
        <v>156.09299999999999</v>
      </c>
      <c r="I92">
        <v>156.22499999999999</v>
      </c>
      <c r="J92">
        <v>168.738</v>
      </c>
      <c r="K92">
        <v>168.833</v>
      </c>
      <c r="L92">
        <v>156.08600000000001</v>
      </c>
      <c r="M92">
        <v>155.99299999999999</v>
      </c>
      <c r="N92">
        <v>27.157</v>
      </c>
      <c r="O92">
        <v>27.478999999999999</v>
      </c>
      <c r="R92">
        <v>17.300999999999998</v>
      </c>
      <c r="S92">
        <v>17.38</v>
      </c>
      <c r="T92">
        <v>37.145000000000003</v>
      </c>
      <c r="U92">
        <v>38.023000000000003</v>
      </c>
      <c r="W92">
        <v>-4.3999999999999997E-2</v>
      </c>
      <c r="X92">
        <v>-0.26900000000000002</v>
      </c>
      <c r="Z92">
        <v>3.2000000000000001E-2</v>
      </c>
      <c r="AA92">
        <v>-0.13400000000000001</v>
      </c>
      <c r="AB92">
        <v>-0.152</v>
      </c>
      <c r="AC92">
        <v>-8.1000000000000003E-2</v>
      </c>
      <c r="AD92">
        <v>-0.26900000000000002</v>
      </c>
      <c r="AE92">
        <v>-4.3999999999999997E-2</v>
      </c>
      <c r="AF92">
        <v>-7.0000000000000001E-3</v>
      </c>
      <c r="AG92">
        <v>-0.104</v>
      </c>
      <c r="AH92">
        <v>3.2000000000000001E-2</v>
      </c>
      <c r="AI92">
        <v>-0.13400000000000001</v>
      </c>
    </row>
    <row r="93" spans="1:35" x14ac:dyDescent="0.25">
      <c r="A93" t="s">
        <v>1977</v>
      </c>
      <c r="B93" t="s">
        <v>32</v>
      </c>
      <c r="C93" s="25">
        <v>43705.74795138889</v>
      </c>
      <c r="D93" s="741" t="s">
        <v>969</v>
      </c>
      <c r="E93" s="741">
        <f t="array" ref="E93">SUMPRODUCT(IF(AMP7_6[[#This Row],[Dim 1_1]:[T 8]]-$F$4:$AI$4&lt;0,1,0)+IF($F$5:$AI$5-AMP7_6[[#This Row],[Dim 1_1]:[T 8]]&lt;0,1,0),IF(ISNUMBER(AMP7_6[[#This Row],[Dim 1_1]:[T 8]])=TRUE,1,0))</f>
        <v>2</v>
      </c>
      <c r="F93">
        <v>40.767000000000003</v>
      </c>
      <c r="G93">
        <v>40.706000000000003</v>
      </c>
      <c r="H93">
        <v>156.035</v>
      </c>
      <c r="I93">
        <v>156.14699999999999</v>
      </c>
      <c r="L93">
        <v>155.96700000000001</v>
      </c>
      <c r="M93">
        <v>155.791</v>
      </c>
      <c r="N93">
        <v>27.181000000000001</v>
      </c>
      <c r="O93">
        <v>27.405999999999999</v>
      </c>
      <c r="R93">
        <v>17.329000000000001</v>
      </c>
      <c r="S93">
        <v>17.286999999999999</v>
      </c>
      <c r="T93">
        <v>32.890999999999998</v>
      </c>
      <c r="U93">
        <v>35.113</v>
      </c>
      <c r="W93">
        <v>-0.108</v>
      </c>
      <c r="X93">
        <v>-0.38900000000000001</v>
      </c>
      <c r="Z93">
        <v>0.09</v>
      </c>
      <c r="AA93">
        <v>-0.222</v>
      </c>
      <c r="AB93">
        <v>-0.21</v>
      </c>
      <c r="AC93">
        <v>-0.108</v>
      </c>
      <c r="AD93">
        <v>-0.38900000000000001</v>
      </c>
      <c r="AE93">
        <v>-0.26</v>
      </c>
      <c r="AF93">
        <v>0.09</v>
      </c>
      <c r="AG93">
        <v>-0.02</v>
      </c>
      <c r="AH93">
        <v>-8.7999999999999995E-2</v>
      </c>
      <c r="AI93">
        <v>-0.222</v>
      </c>
    </row>
    <row r="94" spans="1:35" x14ac:dyDescent="0.25">
      <c r="A94" t="s">
        <v>1978</v>
      </c>
      <c r="B94" t="s">
        <v>31</v>
      </c>
      <c r="C94" s="25">
        <v>43705.749780092592</v>
      </c>
      <c r="D94" s="741" t="s">
        <v>969</v>
      </c>
      <c r="E94" s="741">
        <f t="array" ref="E94">SUMPRODUCT(IF(AMP7_6[[#This Row],[Dim 1_1]:[T 8]]-$F$4:$AI$4&lt;0,1,0)+IF($F$5:$AI$5-AMP7_6[[#This Row],[Dim 1_1]:[T 8]]&lt;0,1,0),IF(ISNUMBER(AMP7_6[[#This Row],[Dim 1_1]:[T 8]])=TRUE,1,0))</f>
        <v>0</v>
      </c>
      <c r="H94">
        <v>156.108</v>
      </c>
      <c r="I94">
        <v>156.203</v>
      </c>
      <c r="J94">
        <v>168.5</v>
      </c>
      <c r="K94">
        <v>168.511</v>
      </c>
      <c r="L94">
        <v>156.197</v>
      </c>
      <c r="M94">
        <v>156.03100000000001</v>
      </c>
      <c r="N94">
        <v>27.103999999999999</v>
      </c>
      <c r="O94">
        <v>27.396999999999998</v>
      </c>
      <c r="R94">
        <v>17.222000000000001</v>
      </c>
      <c r="S94">
        <v>17.337</v>
      </c>
      <c r="T94">
        <v>37.536000000000001</v>
      </c>
      <c r="U94">
        <v>37.101999999999997</v>
      </c>
      <c r="W94">
        <v>-0.115</v>
      </c>
      <c r="X94">
        <v>-0.45100000000000001</v>
      </c>
      <c r="Z94">
        <v>-1.4999999999999999E-2</v>
      </c>
      <c r="AA94">
        <v>-0.30199999999999999</v>
      </c>
      <c r="AB94">
        <v>-0.21199999999999999</v>
      </c>
      <c r="AC94">
        <v>-0.115</v>
      </c>
      <c r="AD94">
        <v>-0.45100000000000001</v>
      </c>
      <c r="AE94">
        <v>-0.28599999999999998</v>
      </c>
      <c r="AF94">
        <v>-2.3E-2</v>
      </c>
      <c r="AG94">
        <v>-0.14299999999999999</v>
      </c>
      <c r="AH94">
        <v>-1.4999999999999999E-2</v>
      </c>
      <c r="AI94">
        <v>-0.30199999999999999</v>
      </c>
    </row>
    <row r="95" spans="1:35" x14ac:dyDescent="0.25">
      <c r="A95" t="s">
        <v>1979</v>
      </c>
      <c r="B95" t="s">
        <v>32</v>
      </c>
      <c r="C95" s="25">
        <v>43705.817164351851</v>
      </c>
      <c r="D95" s="741" t="s">
        <v>969</v>
      </c>
      <c r="E95" s="741">
        <f t="array" ref="E95">SUMPRODUCT(IF(AMP7_6[[#This Row],[Dim 1_1]:[T 8]]-$F$4:$AI$4&lt;0,1,0)+IF($F$5:$AI$5-AMP7_6[[#This Row],[Dim 1_1]:[T 8]]&lt;0,1,0),IF(ISNUMBER(AMP7_6[[#This Row],[Dim 1_1]:[T 8]])=TRUE,1,0))</f>
        <v>0</v>
      </c>
      <c r="F95">
        <v>41.188000000000002</v>
      </c>
      <c r="G95">
        <v>41.334000000000003</v>
      </c>
      <c r="H95">
        <v>156.048</v>
      </c>
      <c r="I95">
        <v>156.21700000000001</v>
      </c>
      <c r="L95">
        <v>155.99100000000001</v>
      </c>
      <c r="M95">
        <v>155.84700000000001</v>
      </c>
      <c r="N95">
        <v>27.210999999999999</v>
      </c>
      <c r="O95">
        <v>27.355</v>
      </c>
      <c r="R95">
        <v>17.306000000000001</v>
      </c>
      <c r="S95">
        <v>17.202000000000002</v>
      </c>
      <c r="T95">
        <v>33.433999999999997</v>
      </c>
      <c r="U95">
        <v>34.680999999999997</v>
      </c>
      <c r="W95">
        <v>-0.114</v>
      </c>
      <c r="X95">
        <v>-0.34499999999999997</v>
      </c>
      <c r="Z95">
        <v>0.02</v>
      </c>
      <c r="AA95">
        <v>-0.22800000000000001</v>
      </c>
      <c r="AB95">
        <v>-0.219</v>
      </c>
      <c r="AC95">
        <v>-0.114</v>
      </c>
      <c r="AD95">
        <v>-0.34499999999999997</v>
      </c>
      <c r="AE95">
        <v>-0.23400000000000001</v>
      </c>
      <c r="AF95">
        <v>0.02</v>
      </c>
      <c r="AG95">
        <v>-9.2999999999999999E-2</v>
      </c>
      <c r="AH95">
        <v>-8.3000000000000004E-2</v>
      </c>
      <c r="AI95">
        <v>-0.22800000000000001</v>
      </c>
    </row>
    <row r="96" spans="1:35" x14ac:dyDescent="0.25">
      <c r="A96" t="s">
        <v>1980</v>
      </c>
      <c r="B96" t="s">
        <v>31</v>
      </c>
      <c r="C96" s="25">
        <v>43705.818645833337</v>
      </c>
      <c r="D96" s="741" t="s">
        <v>969</v>
      </c>
      <c r="E96" s="741">
        <f t="array" ref="E96">SUMPRODUCT(IF(AMP7_6[[#This Row],[Dim 1_1]:[T 8]]-$F$4:$AI$4&lt;0,1,0)+IF($F$5:$AI$5-AMP7_6[[#This Row],[Dim 1_1]:[T 8]]&lt;0,1,0),IF(ISNUMBER(AMP7_6[[#This Row],[Dim 1_1]:[T 8]])=TRUE,1,0))</f>
        <v>0</v>
      </c>
      <c r="H96">
        <v>156.1</v>
      </c>
      <c r="I96">
        <v>156.18799999999999</v>
      </c>
      <c r="J96">
        <v>168.87299999999999</v>
      </c>
      <c r="K96">
        <v>169.03200000000001</v>
      </c>
      <c r="L96">
        <v>156.18100000000001</v>
      </c>
      <c r="M96">
        <v>156.03700000000001</v>
      </c>
      <c r="N96">
        <v>27.071999999999999</v>
      </c>
      <c r="O96">
        <v>27.376999999999999</v>
      </c>
      <c r="R96">
        <v>17.254000000000001</v>
      </c>
      <c r="S96">
        <v>17.28</v>
      </c>
      <c r="T96">
        <v>38.351999999999997</v>
      </c>
      <c r="U96">
        <v>38.417000000000002</v>
      </c>
      <c r="W96">
        <v>-0.21</v>
      </c>
      <c r="X96">
        <v>-0.47899999999999998</v>
      </c>
      <c r="Z96">
        <v>-0.108</v>
      </c>
      <c r="AA96">
        <v>-0.38100000000000001</v>
      </c>
      <c r="AB96">
        <v>-0.317</v>
      </c>
      <c r="AC96">
        <v>-0.21</v>
      </c>
      <c r="AD96">
        <v>-0.47899999999999998</v>
      </c>
      <c r="AE96">
        <v>-0.33</v>
      </c>
      <c r="AF96">
        <v>-0.183</v>
      </c>
      <c r="AG96">
        <v>-0.29599999999999999</v>
      </c>
      <c r="AH96">
        <v>-0.108</v>
      </c>
      <c r="AI96">
        <v>-0.38100000000000001</v>
      </c>
    </row>
    <row r="97" spans="1:35" x14ac:dyDescent="0.25">
      <c r="A97" t="s">
        <v>1981</v>
      </c>
      <c r="B97" t="s">
        <v>32</v>
      </c>
      <c r="C97" s="25">
        <v>43705.944525462961</v>
      </c>
      <c r="D97" s="741" t="s">
        <v>969</v>
      </c>
      <c r="E97" s="741">
        <f t="array" ref="E97">SUMPRODUCT(IF(AMP7_6[[#This Row],[Dim 1_1]:[T 8]]-$F$4:$AI$4&lt;0,1,0)+IF($F$5:$AI$5-AMP7_6[[#This Row],[Dim 1_1]:[T 8]]&lt;0,1,0),IF(ISNUMBER(AMP7_6[[#This Row],[Dim 1_1]:[T 8]])=TRUE,1,0))</f>
        <v>0</v>
      </c>
      <c r="F97">
        <v>40.981999999999999</v>
      </c>
      <c r="G97">
        <v>40.97</v>
      </c>
      <c r="H97">
        <v>156.16900000000001</v>
      </c>
      <c r="I97">
        <v>156.31899999999999</v>
      </c>
      <c r="L97">
        <v>156.11000000000001</v>
      </c>
      <c r="M97">
        <v>155.95500000000001</v>
      </c>
      <c r="N97">
        <v>27.088000000000001</v>
      </c>
      <c r="O97">
        <v>27.24</v>
      </c>
      <c r="R97">
        <v>17.32</v>
      </c>
      <c r="S97">
        <v>17.206</v>
      </c>
      <c r="T97">
        <v>33.348999999999997</v>
      </c>
      <c r="U97">
        <v>34.677</v>
      </c>
      <c r="W97">
        <v>-0.22500000000000001</v>
      </c>
      <c r="X97">
        <v>-0.41399999999999998</v>
      </c>
      <c r="Z97">
        <v>-9.4E-2</v>
      </c>
      <c r="AA97">
        <v>-0.313</v>
      </c>
      <c r="AB97">
        <v>-0.34</v>
      </c>
      <c r="AC97">
        <v>-0.22500000000000001</v>
      </c>
      <c r="AD97">
        <v>-0.41399999999999998</v>
      </c>
      <c r="AE97">
        <v>-0.28599999999999998</v>
      </c>
      <c r="AF97">
        <v>-9.4E-2</v>
      </c>
      <c r="AG97">
        <v>-0.19500000000000001</v>
      </c>
      <c r="AH97">
        <v>-0.13600000000000001</v>
      </c>
      <c r="AI97">
        <v>-0.313</v>
      </c>
    </row>
    <row r="98" spans="1:35" x14ac:dyDescent="0.25">
      <c r="A98" t="s">
        <v>1982</v>
      </c>
      <c r="B98" t="s">
        <v>31</v>
      </c>
      <c r="C98" s="25">
        <v>43705.946469907409</v>
      </c>
      <c r="D98" s="741" t="s">
        <v>969</v>
      </c>
      <c r="E98" s="741">
        <f t="array" ref="E98">SUMPRODUCT(IF(AMP7_6[[#This Row],[Dim 1_1]:[T 8]]-$F$4:$AI$4&lt;0,1,0)+IF($F$5:$AI$5-AMP7_6[[#This Row],[Dim 1_1]:[T 8]]&lt;0,1,0),IF(ISNUMBER(AMP7_6[[#This Row],[Dim 1_1]:[T 8]])=TRUE,1,0))</f>
        <v>0</v>
      </c>
      <c r="H98">
        <v>156.18600000000001</v>
      </c>
      <c r="I98">
        <v>156.255</v>
      </c>
      <c r="J98">
        <v>168.83600000000001</v>
      </c>
      <c r="K98">
        <v>169.03200000000001</v>
      </c>
      <c r="L98">
        <v>156.28100000000001</v>
      </c>
      <c r="M98">
        <v>156.13200000000001</v>
      </c>
      <c r="N98">
        <v>26.972000000000001</v>
      </c>
      <c r="O98">
        <v>27.295999999999999</v>
      </c>
      <c r="R98">
        <v>17.242999999999999</v>
      </c>
      <c r="S98">
        <v>17.225000000000001</v>
      </c>
      <c r="T98">
        <v>36.896999999999998</v>
      </c>
      <c r="U98">
        <v>35.898000000000003</v>
      </c>
      <c r="W98">
        <v>-0.28599999999999998</v>
      </c>
      <c r="X98">
        <v>-0.49399999999999999</v>
      </c>
      <c r="Z98">
        <v>-4.4999999999999998E-2</v>
      </c>
      <c r="AA98">
        <v>-0.34</v>
      </c>
      <c r="AB98">
        <v>-0.40100000000000002</v>
      </c>
      <c r="AC98">
        <v>-0.28599999999999998</v>
      </c>
      <c r="AD98">
        <v>-0.49399999999999999</v>
      </c>
      <c r="AE98">
        <v>-0.32200000000000001</v>
      </c>
      <c r="AF98">
        <v>-0.2</v>
      </c>
      <c r="AG98">
        <v>-0.30599999999999999</v>
      </c>
      <c r="AH98">
        <v>-4.4999999999999998E-2</v>
      </c>
      <c r="AI98">
        <v>-0.34</v>
      </c>
    </row>
    <row r="99" spans="1:35" x14ac:dyDescent="0.25">
      <c r="A99" t="s">
        <v>1983</v>
      </c>
      <c r="B99" t="s">
        <v>32</v>
      </c>
      <c r="C99" s="25">
        <v>43706.00582175926</v>
      </c>
      <c r="D99" s="741" t="s">
        <v>969</v>
      </c>
      <c r="E99" s="741">
        <f t="array" ref="E99">SUMPRODUCT(IF(AMP7_6[[#This Row],[Dim 1_1]:[T 8]]-$F$4:$AI$4&lt;0,1,0)+IF($F$5:$AI$5-AMP7_6[[#This Row],[Dim 1_1]:[T 8]]&lt;0,1,0),IF(ISNUMBER(AMP7_6[[#This Row],[Dim 1_1]:[T 8]])=TRUE,1,0))</f>
        <v>0</v>
      </c>
      <c r="F99">
        <v>41.097000000000001</v>
      </c>
      <c r="G99">
        <v>41.225999999999999</v>
      </c>
      <c r="H99">
        <v>156.166</v>
      </c>
      <c r="I99">
        <v>156.29400000000001</v>
      </c>
      <c r="L99">
        <v>156.108</v>
      </c>
      <c r="M99">
        <v>155.93700000000001</v>
      </c>
      <c r="N99">
        <v>27.067</v>
      </c>
      <c r="O99">
        <v>27.227</v>
      </c>
      <c r="R99">
        <v>17.318999999999999</v>
      </c>
      <c r="S99">
        <v>17.13</v>
      </c>
      <c r="T99">
        <v>33.409999999999997</v>
      </c>
      <c r="U99">
        <v>34.832999999999998</v>
      </c>
      <c r="W99">
        <v>-0.20599999999999999</v>
      </c>
      <c r="X99">
        <v>-0.34</v>
      </c>
      <c r="Z99">
        <v>-3.5000000000000003E-2</v>
      </c>
      <c r="AA99">
        <v>-0.2</v>
      </c>
      <c r="AB99">
        <v>-0.32</v>
      </c>
      <c r="AC99">
        <v>-0.20599999999999999</v>
      </c>
      <c r="AD99">
        <v>-0.34</v>
      </c>
      <c r="AE99">
        <v>-0.27400000000000002</v>
      </c>
      <c r="AF99">
        <v>-3.5000000000000003E-2</v>
      </c>
      <c r="AG99">
        <v>-0.14799999999999999</v>
      </c>
      <c r="AH99">
        <v>-4.7E-2</v>
      </c>
      <c r="AI99">
        <v>-0.2</v>
      </c>
    </row>
    <row r="100" spans="1:35" x14ac:dyDescent="0.25">
      <c r="A100" t="s">
        <v>1984</v>
      </c>
      <c r="B100" t="s">
        <v>31</v>
      </c>
      <c r="C100" s="25">
        <v>43706.007314814815</v>
      </c>
      <c r="D100" s="741" t="s">
        <v>969</v>
      </c>
      <c r="E100" s="741">
        <f t="array" ref="E100">SUMPRODUCT(IF(AMP7_6[[#This Row],[Dim 1_1]:[T 8]]-$F$4:$AI$4&lt;0,1,0)+IF($F$5:$AI$5-AMP7_6[[#This Row],[Dim 1_1]:[T 8]]&lt;0,1,0),IF(ISNUMBER(AMP7_6[[#This Row],[Dim 1_1]:[T 8]])=TRUE,1,0))</f>
        <v>0</v>
      </c>
      <c r="H100">
        <v>156.15700000000001</v>
      </c>
      <c r="I100">
        <v>156.23599999999999</v>
      </c>
      <c r="J100">
        <v>168.85499999999999</v>
      </c>
      <c r="K100">
        <v>169.089</v>
      </c>
      <c r="L100">
        <v>156.226</v>
      </c>
      <c r="M100">
        <v>156.096</v>
      </c>
      <c r="N100">
        <v>27.02</v>
      </c>
      <c r="O100">
        <v>27.332999999999998</v>
      </c>
      <c r="R100">
        <v>17.277000000000001</v>
      </c>
      <c r="S100">
        <v>17.202000000000002</v>
      </c>
      <c r="T100">
        <v>36.107999999999997</v>
      </c>
      <c r="U100">
        <v>37.731000000000002</v>
      </c>
      <c r="W100">
        <v>-0.23799999999999999</v>
      </c>
      <c r="X100">
        <v>-0.46700000000000003</v>
      </c>
      <c r="Z100">
        <v>-4.2999999999999997E-2</v>
      </c>
      <c r="AA100">
        <v>-0.32600000000000001</v>
      </c>
      <c r="AB100">
        <v>-0.34200000000000003</v>
      </c>
      <c r="AC100">
        <v>-0.23799999999999999</v>
      </c>
      <c r="AD100">
        <v>-0.46700000000000003</v>
      </c>
      <c r="AE100">
        <v>-0.32100000000000001</v>
      </c>
      <c r="AF100">
        <v>-0.185</v>
      </c>
      <c r="AG100">
        <v>-0.29199999999999998</v>
      </c>
      <c r="AH100">
        <v>-4.2999999999999997E-2</v>
      </c>
      <c r="AI100">
        <v>-0.32600000000000001</v>
      </c>
    </row>
    <row r="101" spans="1:35" x14ac:dyDescent="0.25">
      <c r="A101" t="s">
        <v>1985</v>
      </c>
      <c r="B101" t="s">
        <v>32</v>
      </c>
      <c r="C101" s="25">
        <v>43706.05027777778</v>
      </c>
      <c r="D101" s="741" t="s">
        <v>969</v>
      </c>
      <c r="E101" s="741">
        <f t="array" ref="E101">SUMPRODUCT(IF(AMP7_6[[#This Row],[Dim 1_1]:[T 8]]-$F$4:$AI$4&lt;0,1,0)+IF($F$5:$AI$5-AMP7_6[[#This Row],[Dim 1_1]:[T 8]]&lt;0,1,0),IF(ISNUMBER(AMP7_6[[#This Row],[Dim 1_1]:[T 8]])=TRUE,1,0))</f>
        <v>0</v>
      </c>
      <c r="F101">
        <v>40.996000000000002</v>
      </c>
      <c r="G101">
        <v>41.26</v>
      </c>
      <c r="H101">
        <v>156.19200000000001</v>
      </c>
      <c r="I101">
        <v>156.30600000000001</v>
      </c>
      <c r="L101">
        <v>156.12100000000001</v>
      </c>
      <c r="M101">
        <v>155.911</v>
      </c>
      <c r="N101">
        <v>27.145</v>
      </c>
      <c r="O101">
        <v>27.335999999999999</v>
      </c>
      <c r="R101">
        <v>17.335000000000001</v>
      </c>
      <c r="S101">
        <v>17.172999999999998</v>
      </c>
      <c r="T101">
        <v>33.432000000000002</v>
      </c>
      <c r="U101">
        <v>34.692</v>
      </c>
      <c r="W101">
        <v>-0.13300000000000001</v>
      </c>
      <c r="X101">
        <v>-0.27400000000000002</v>
      </c>
      <c r="Z101">
        <v>-0.13900000000000001</v>
      </c>
      <c r="AA101">
        <v>-0.311</v>
      </c>
      <c r="AB101">
        <v>-0.23499999999999999</v>
      </c>
      <c r="AC101">
        <v>-0.13300000000000001</v>
      </c>
      <c r="AD101">
        <v>-0.27400000000000002</v>
      </c>
      <c r="AE101">
        <v>-0.161</v>
      </c>
      <c r="AF101">
        <v>-0.17499999999999999</v>
      </c>
      <c r="AG101">
        <v>-0.30599999999999999</v>
      </c>
      <c r="AH101">
        <v>-0.13900000000000001</v>
      </c>
      <c r="AI101">
        <v>-0.311</v>
      </c>
    </row>
    <row r="102" spans="1:35" x14ac:dyDescent="0.25">
      <c r="A102" t="s">
        <v>1986</v>
      </c>
      <c r="B102" t="s">
        <v>31</v>
      </c>
      <c r="C102" s="25">
        <v>43706.051793981482</v>
      </c>
      <c r="D102" s="741" t="s">
        <v>969</v>
      </c>
      <c r="E102" s="741">
        <f t="array" ref="E102">SUMPRODUCT(IF(AMP7_6[[#This Row],[Dim 1_1]:[T 8]]-$F$4:$AI$4&lt;0,1,0)+IF($F$5:$AI$5-AMP7_6[[#This Row],[Dim 1_1]:[T 8]]&lt;0,1,0),IF(ISNUMBER(AMP7_6[[#This Row],[Dim 1_1]:[T 8]])=TRUE,1,0))</f>
        <v>0</v>
      </c>
      <c r="H102">
        <v>156.28899999999999</v>
      </c>
      <c r="I102">
        <v>156.37200000000001</v>
      </c>
      <c r="J102">
        <v>168.80099999999999</v>
      </c>
      <c r="K102">
        <v>169.023</v>
      </c>
      <c r="L102">
        <v>156.37100000000001</v>
      </c>
      <c r="M102">
        <v>156.227</v>
      </c>
      <c r="N102">
        <v>26.841999999999999</v>
      </c>
      <c r="O102">
        <v>27.190999999999999</v>
      </c>
      <c r="R102">
        <v>17.234999999999999</v>
      </c>
      <c r="S102">
        <v>17.109000000000002</v>
      </c>
      <c r="T102">
        <v>36.475999999999999</v>
      </c>
      <c r="U102">
        <v>37.829000000000001</v>
      </c>
      <c r="W102">
        <v>-0.311</v>
      </c>
      <c r="X102">
        <v>-0.57499999999999996</v>
      </c>
      <c r="Z102">
        <v>3.6999999999999998E-2</v>
      </c>
      <c r="AA102">
        <v>-0.36899999999999999</v>
      </c>
      <c r="AB102">
        <v>-0.57499999999999996</v>
      </c>
      <c r="AC102">
        <v>-0.44900000000000001</v>
      </c>
      <c r="AD102">
        <v>-0.53700000000000003</v>
      </c>
      <c r="AE102">
        <v>-0.311</v>
      </c>
      <c r="AF102">
        <v>-0.26500000000000001</v>
      </c>
      <c r="AG102">
        <v>-0.36899999999999999</v>
      </c>
      <c r="AH102">
        <v>3.6999999999999998E-2</v>
      </c>
      <c r="AI102">
        <v>-0.26</v>
      </c>
    </row>
    <row r="103" spans="1:35" x14ac:dyDescent="0.25">
      <c r="A103" t="s">
        <v>2408</v>
      </c>
      <c r="B103" t="s">
        <v>32</v>
      </c>
      <c r="C103" s="25">
        <v>43706.732615740744</v>
      </c>
      <c r="D103" s="741" t="s">
        <v>2238</v>
      </c>
      <c r="E103" s="741">
        <f t="array" ref="E103">SUMPRODUCT(IF(AMP7_6[[#This Row],[Dim 1_1]:[T 8]]-$F$4:$AI$4&lt;0,1,0)+IF($F$5:$AI$5-AMP7_6[[#This Row],[Dim 1_1]:[T 8]]&lt;0,1,0),IF(ISNUMBER(AMP7_6[[#This Row],[Dim 1_1]:[T 8]])=TRUE,1,0))</f>
        <v>0</v>
      </c>
      <c r="F103">
        <v>40.890999999999998</v>
      </c>
      <c r="G103">
        <v>41.091999999999999</v>
      </c>
      <c r="H103">
        <v>156.20599999999999</v>
      </c>
      <c r="I103">
        <v>156.334</v>
      </c>
      <c r="L103">
        <v>156.15799999999999</v>
      </c>
      <c r="M103">
        <v>155.994</v>
      </c>
      <c r="N103">
        <v>27.056999999999999</v>
      </c>
      <c r="O103">
        <v>27.254999999999999</v>
      </c>
      <c r="R103">
        <v>17.308</v>
      </c>
      <c r="S103">
        <v>17.151</v>
      </c>
      <c r="T103">
        <v>33.619999999999997</v>
      </c>
      <c r="U103">
        <v>34.850999999999999</v>
      </c>
      <c r="W103">
        <v>-0.34200000000000003</v>
      </c>
      <c r="X103">
        <v>-0.46500000000000002</v>
      </c>
      <c r="Z103">
        <v>-5.5E-2</v>
      </c>
      <c r="AA103">
        <v>-0.21</v>
      </c>
      <c r="AB103">
        <v>-0.46200000000000002</v>
      </c>
      <c r="AC103">
        <v>-0.34200000000000003</v>
      </c>
      <c r="AD103">
        <v>-0.46500000000000002</v>
      </c>
      <c r="AE103">
        <v>-0.35399999999999998</v>
      </c>
      <c r="AF103">
        <v>-5.5E-2</v>
      </c>
      <c r="AG103">
        <v>-0.151</v>
      </c>
      <c r="AH103">
        <v>-5.8999999999999997E-2</v>
      </c>
      <c r="AI103">
        <v>-0.21</v>
      </c>
    </row>
    <row r="104" spans="1:35" x14ac:dyDescent="0.25">
      <c r="A104" t="s">
        <v>2409</v>
      </c>
      <c r="B104" t="s">
        <v>31</v>
      </c>
      <c r="C104" s="25">
        <v>43706.734699074077</v>
      </c>
      <c r="D104" s="741" t="s">
        <v>2238</v>
      </c>
      <c r="E104" s="741">
        <f t="array" ref="E104">SUMPRODUCT(IF(AMP7_6[[#This Row],[Dim 1_1]:[T 8]]-$F$4:$AI$4&lt;0,1,0)+IF($F$5:$AI$5-AMP7_6[[#This Row],[Dim 1_1]:[T 8]]&lt;0,1,0),IF(ISNUMBER(AMP7_6[[#This Row],[Dim 1_1]:[T 8]])=TRUE,1,0))</f>
        <v>0</v>
      </c>
      <c r="H104">
        <v>156.251</v>
      </c>
      <c r="I104">
        <v>156.31399999999999</v>
      </c>
      <c r="J104">
        <v>168.74799999999999</v>
      </c>
      <c r="K104">
        <v>168.92400000000001</v>
      </c>
      <c r="L104">
        <v>156.36099999999999</v>
      </c>
      <c r="M104">
        <v>156.18</v>
      </c>
      <c r="N104">
        <v>26.919</v>
      </c>
      <c r="O104">
        <v>27.28</v>
      </c>
      <c r="R104">
        <v>17.268000000000001</v>
      </c>
      <c r="S104">
        <v>17.257000000000001</v>
      </c>
      <c r="T104">
        <v>36.627000000000002</v>
      </c>
      <c r="U104">
        <v>37.881</v>
      </c>
      <c r="W104">
        <v>-0.19</v>
      </c>
      <c r="X104">
        <v>-0.38200000000000001</v>
      </c>
      <c r="Z104">
        <v>0.16200000000000001</v>
      </c>
      <c r="AA104">
        <v>-0.13700000000000001</v>
      </c>
      <c r="AB104">
        <v>-0.29799999999999999</v>
      </c>
      <c r="AC104">
        <v>-0.19</v>
      </c>
      <c r="AD104">
        <v>-0.38200000000000001</v>
      </c>
      <c r="AE104">
        <v>-0.218</v>
      </c>
      <c r="AF104">
        <v>-3.5999999999999997E-2</v>
      </c>
      <c r="AG104">
        <v>-0.125</v>
      </c>
      <c r="AH104">
        <v>0.16200000000000001</v>
      </c>
      <c r="AI104">
        <v>-0.13700000000000001</v>
      </c>
    </row>
    <row r="105" spans="1:35" x14ac:dyDescent="0.25">
      <c r="A105" t="s">
        <v>2410</v>
      </c>
      <c r="B105" t="s">
        <v>32</v>
      </c>
      <c r="C105" s="25">
        <v>43706.814930555556</v>
      </c>
      <c r="D105" s="741" t="s">
        <v>2238</v>
      </c>
      <c r="E105" s="741">
        <f t="array" ref="E105">SUMPRODUCT(IF(AMP7_6[[#This Row],[Dim 1_1]:[T 8]]-$F$4:$AI$4&lt;0,1,0)+IF($F$5:$AI$5-AMP7_6[[#This Row],[Dim 1_1]:[T 8]]&lt;0,1,0),IF(ISNUMBER(AMP7_6[[#This Row],[Dim 1_1]:[T 8]])=TRUE,1,0))</f>
        <v>0</v>
      </c>
      <c r="F105">
        <v>40.874000000000002</v>
      </c>
      <c r="G105">
        <v>41.033000000000001</v>
      </c>
      <c r="H105">
        <v>156.25399999999999</v>
      </c>
      <c r="I105">
        <v>156.41300000000001</v>
      </c>
      <c r="L105">
        <v>156.178</v>
      </c>
      <c r="M105">
        <v>156.018</v>
      </c>
      <c r="N105">
        <v>27.003</v>
      </c>
      <c r="O105">
        <v>27.152999999999999</v>
      </c>
      <c r="R105">
        <v>17.312000000000001</v>
      </c>
      <c r="S105">
        <v>17.274999999999999</v>
      </c>
      <c r="T105">
        <v>33.478999999999999</v>
      </c>
      <c r="U105">
        <v>34.738</v>
      </c>
      <c r="W105">
        <v>-0.27600000000000002</v>
      </c>
      <c r="X105">
        <v>-0.54400000000000004</v>
      </c>
      <c r="Z105">
        <v>-8.8999999999999996E-2</v>
      </c>
      <c r="AA105">
        <v>-0.39600000000000002</v>
      </c>
      <c r="AB105">
        <v>-0.36599999999999999</v>
      </c>
      <c r="AC105">
        <v>-0.27600000000000002</v>
      </c>
      <c r="AD105">
        <v>-0.54400000000000004</v>
      </c>
      <c r="AE105">
        <v>-0.42699999999999999</v>
      </c>
      <c r="AF105">
        <v>-8.8999999999999996E-2</v>
      </c>
      <c r="AG105">
        <v>-0.192</v>
      </c>
      <c r="AH105">
        <v>-0.25</v>
      </c>
      <c r="AI105">
        <v>-0.39600000000000002</v>
      </c>
    </row>
    <row r="106" spans="1:35" x14ac:dyDescent="0.25">
      <c r="A106" t="s">
        <v>2411</v>
      </c>
      <c r="B106" t="s">
        <v>31</v>
      </c>
      <c r="C106" s="25">
        <v>43706.816990740743</v>
      </c>
      <c r="D106" s="741" t="s">
        <v>2238</v>
      </c>
      <c r="E106" s="741">
        <f t="array" ref="E106">SUMPRODUCT(IF(AMP7_6[[#This Row],[Dim 1_1]:[T 8]]-$F$4:$AI$4&lt;0,1,0)+IF($F$5:$AI$5-AMP7_6[[#This Row],[Dim 1_1]:[T 8]]&lt;0,1,0),IF(ISNUMBER(AMP7_6[[#This Row],[Dim 1_1]:[T 8]])=TRUE,1,0))</f>
        <v>0</v>
      </c>
      <c r="H106">
        <v>156.38200000000001</v>
      </c>
      <c r="I106">
        <v>156.44499999999999</v>
      </c>
      <c r="J106">
        <v>168.84100000000001</v>
      </c>
      <c r="K106">
        <v>169.09399999999999</v>
      </c>
      <c r="L106">
        <v>156.44</v>
      </c>
      <c r="M106">
        <v>156.245</v>
      </c>
      <c r="N106">
        <v>26.861999999999998</v>
      </c>
      <c r="O106">
        <v>27.227</v>
      </c>
      <c r="R106">
        <v>17.190000000000001</v>
      </c>
      <c r="S106">
        <v>17.11</v>
      </c>
      <c r="T106">
        <v>39.241</v>
      </c>
      <c r="U106">
        <v>39.819000000000003</v>
      </c>
      <c r="W106">
        <v>-0.17199999999999999</v>
      </c>
      <c r="X106">
        <v>-0.46200000000000002</v>
      </c>
      <c r="Z106">
        <v>-2.4E-2</v>
      </c>
      <c r="AA106">
        <v>-0.438</v>
      </c>
      <c r="AB106">
        <v>-0.46200000000000002</v>
      </c>
      <c r="AC106">
        <v>-0.34699999999999998</v>
      </c>
      <c r="AD106">
        <v>-0.39900000000000002</v>
      </c>
      <c r="AE106">
        <v>-0.17199999999999999</v>
      </c>
      <c r="AF106">
        <v>-0.34200000000000003</v>
      </c>
      <c r="AG106">
        <v>-0.438</v>
      </c>
      <c r="AH106">
        <v>-2.4E-2</v>
      </c>
      <c r="AI106">
        <v>-0.32500000000000001</v>
      </c>
    </row>
    <row r="107" spans="1:35" x14ac:dyDescent="0.25">
      <c r="A107" t="s">
        <v>2412</v>
      </c>
      <c r="B107" t="s">
        <v>32</v>
      </c>
      <c r="C107" s="25">
        <v>43706.962939814817</v>
      </c>
      <c r="D107" s="741" t="s">
        <v>2238</v>
      </c>
      <c r="E107" s="741">
        <f t="array" ref="E107">SUMPRODUCT(IF(AMP7_6[[#This Row],[Dim 1_1]:[T 8]]-$F$4:$AI$4&lt;0,1,0)+IF($F$5:$AI$5-AMP7_6[[#This Row],[Dim 1_1]:[T 8]]&lt;0,1,0),IF(ISNUMBER(AMP7_6[[#This Row],[Dim 1_1]:[T 8]])=TRUE,1,0))</f>
        <v>0</v>
      </c>
      <c r="F107">
        <v>41.451000000000001</v>
      </c>
      <c r="G107">
        <v>41.536000000000001</v>
      </c>
      <c r="H107">
        <v>155.94200000000001</v>
      </c>
      <c r="I107">
        <v>156.18600000000001</v>
      </c>
      <c r="L107">
        <v>155.827</v>
      </c>
      <c r="M107">
        <v>155.858</v>
      </c>
      <c r="N107">
        <v>27.417000000000002</v>
      </c>
      <c r="O107">
        <v>27.393000000000001</v>
      </c>
      <c r="R107">
        <v>17.335999999999999</v>
      </c>
      <c r="S107">
        <v>17.391999999999999</v>
      </c>
      <c r="T107">
        <v>33.79</v>
      </c>
      <c r="U107">
        <v>34.61</v>
      </c>
      <c r="W107">
        <v>-5.8000000000000003E-2</v>
      </c>
      <c r="X107">
        <v>-0.36699999999999999</v>
      </c>
      <c r="Z107">
        <v>8.8999999999999996E-2</v>
      </c>
      <c r="AA107">
        <v>-0.251</v>
      </c>
      <c r="AB107">
        <v>-0.13200000000000001</v>
      </c>
      <c r="AC107">
        <v>-5.8000000000000003E-2</v>
      </c>
      <c r="AD107">
        <v>-0.36699999999999999</v>
      </c>
      <c r="AE107">
        <v>-0.26500000000000001</v>
      </c>
      <c r="AF107">
        <v>8.8999999999999996E-2</v>
      </c>
      <c r="AG107">
        <v>-8.0000000000000002E-3</v>
      </c>
      <c r="AH107">
        <v>-6.6000000000000003E-2</v>
      </c>
      <c r="AI107">
        <v>-0.251</v>
      </c>
    </row>
    <row r="108" spans="1:35" x14ac:dyDescent="0.25">
      <c r="A108" t="s">
        <v>2413</v>
      </c>
      <c r="B108" t="s">
        <v>31</v>
      </c>
      <c r="C108" s="25">
        <v>43706.965567129628</v>
      </c>
      <c r="D108" s="741" t="s">
        <v>2238</v>
      </c>
      <c r="E108" s="741">
        <f t="array" ref="E108">SUMPRODUCT(IF(AMP7_6[[#This Row],[Dim 1_1]:[T 8]]-$F$4:$AI$4&lt;0,1,0)+IF($F$5:$AI$5-AMP7_6[[#This Row],[Dim 1_1]:[T 8]]&lt;0,1,0),IF(ISNUMBER(AMP7_6[[#This Row],[Dim 1_1]:[T 8]])=TRUE,1,0))</f>
        <v>0</v>
      </c>
      <c r="H108">
        <v>155.97200000000001</v>
      </c>
      <c r="I108">
        <v>155.983</v>
      </c>
      <c r="J108">
        <v>168.90600000000001</v>
      </c>
      <c r="K108">
        <v>169.143</v>
      </c>
      <c r="L108">
        <v>156.03</v>
      </c>
      <c r="M108">
        <v>155.755</v>
      </c>
      <c r="N108">
        <v>27.201000000000001</v>
      </c>
      <c r="O108">
        <v>27.638999999999999</v>
      </c>
      <c r="R108">
        <v>17.306000000000001</v>
      </c>
      <c r="S108">
        <v>17.266999999999999</v>
      </c>
      <c r="T108">
        <v>35.667000000000002</v>
      </c>
      <c r="U108">
        <v>36.871000000000002</v>
      </c>
      <c r="W108">
        <v>0.04</v>
      </c>
      <c r="X108">
        <v>-0.14199999999999999</v>
      </c>
      <c r="Z108">
        <v>5.0999999999999997E-2</v>
      </c>
      <c r="AA108">
        <v>-0.15</v>
      </c>
      <c r="AB108">
        <v>-4.7E-2</v>
      </c>
      <c r="AC108">
        <v>0.04</v>
      </c>
      <c r="AD108">
        <v>-0.14199999999999999</v>
      </c>
      <c r="AE108">
        <v>7.0000000000000001E-3</v>
      </c>
      <c r="AF108">
        <v>-1.7999999999999999E-2</v>
      </c>
      <c r="AG108">
        <v>-0.104</v>
      </c>
      <c r="AH108">
        <v>5.0999999999999997E-2</v>
      </c>
      <c r="AI108">
        <v>-0.15</v>
      </c>
    </row>
    <row r="109" spans="1:35" x14ac:dyDescent="0.25">
      <c r="A109" t="s">
        <v>2414</v>
      </c>
      <c r="B109" t="s">
        <v>32</v>
      </c>
      <c r="C109" s="25">
        <v>43707.016967592594</v>
      </c>
      <c r="D109" s="741" t="s">
        <v>2238</v>
      </c>
      <c r="E109" s="741">
        <f t="array" ref="E109">SUMPRODUCT(IF(AMP7_6[[#This Row],[Dim 1_1]:[T 8]]-$F$4:$AI$4&lt;0,1,0)+IF($F$5:$AI$5-AMP7_6[[#This Row],[Dim 1_1]:[T 8]]&lt;0,1,0),IF(ISNUMBER(AMP7_6[[#This Row],[Dim 1_1]:[T 8]])=TRUE,1,0))</f>
        <v>0</v>
      </c>
      <c r="F109">
        <v>41.359000000000002</v>
      </c>
      <c r="G109">
        <v>41.301000000000002</v>
      </c>
      <c r="H109">
        <v>155.88999999999999</v>
      </c>
      <c r="I109">
        <v>156.13300000000001</v>
      </c>
      <c r="L109">
        <v>155.839</v>
      </c>
      <c r="M109">
        <v>155.80600000000001</v>
      </c>
      <c r="N109">
        <v>27.396000000000001</v>
      </c>
      <c r="O109">
        <v>27.428999999999998</v>
      </c>
      <c r="R109">
        <v>17.298999999999999</v>
      </c>
      <c r="S109">
        <v>17.434000000000001</v>
      </c>
      <c r="T109">
        <v>33.758000000000003</v>
      </c>
      <c r="U109">
        <v>34.813000000000002</v>
      </c>
      <c r="W109">
        <v>1.0999999999999999E-2</v>
      </c>
      <c r="X109">
        <v>-0.42499999999999999</v>
      </c>
      <c r="Z109">
        <v>0.19400000000000001</v>
      </c>
      <c r="AA109">
        <v>-0.245</v>
      </c>
      <c r="AB109">
        <v>-7.4999999999999997E-2</v>
      </c>
      <c r="AC109">
        <v>1.0999999999999999E-2</v>
      </c>
      <c r="AD109">
        <v>-0.42499999999999999</v>
      </c>
      <c r="AE109">
        <v>-0.30599999999999999</v>
      </c>
      <c r="AF109">
        <v>0.19400000000000001</v>
      </c>
      <c r="AG109">
        <v>8.5999999999999993E-2</v>
      </c>
      <c r="AH109">
        <v>-7.8E-2</v>
      </c>
      <c r="AI109">
        <v>-0.245</v>
      </c>
    </row>
    <row r="110" spans="1:35" x14ac:dyDescent="0.25">
      <c r="A110" t="s">
        <v>2415</v>
      </c>
      <c r="B110" t="s">
        <v>31</v>
      </c>
      <c r="C110" s="25">
        <v>43707.01898148148</v>
      </c>
      <c r="D110" s="741" t="s">
        <v>2238</v>
      </c>
      <c r="E110" s="741">
        <f t="array" ref="E110">SUMPRODUCT(IF(AMP7_6[[#This Row],[Dim 1_1]:[T 8]]-$F$4:$AI$4&lt;0,1,0)+IF($F$5:$AI$5-AMP7_6[[#This Row],[Dim 1_1]:[T 8]]&lt;0,1,0),IF(ISNUMBER(AMP7_6[[#This Row],[Dim 1_1]:[T 8]])=TRUE,1,0))</f>
        <v>0</v>
      </c>
      <c r="H110">
        <v>155.96700000000001</v>
      </c>
      <c r="I110">
        <v>155.982</v>
      </c>
      <c r="J110">
        <v>168.82300000000001</v>
      </c>
      <c r="K110">
        <v>168.81299999999999</v>
      </c>
      <c r="L110">
        <v>156.023</v>
      </c>
      <c r="M110">
        <v>155.738</v>
      </c>
      <c r="N110">
        <v>27.231000000000002</v>
      </c>
      <c r="O110">
        <v>27.672999999999998</v>
      </c>
      <c r="R110">
        <v>17.315999999999999</v>
      </c>
      <c r="S110">
        <v>17.32</v>
      </c>
      <c r="T110">
        <v>36.595999999999997</v>
      </c>
      <c r="U110">
        <v>37.505000000000003</v>
      </c>
      <c r="W110">
        <v>0.19400000000000001</v>
      </c>
      <c r="X110">
        <v>-4.8000000000000001E-2</v>
      </c>
      <c r="Z110">
        <v>0.16900000000000001</v>
      </c>
      <c r="AA110">
        <v>-0.02</v>
      </c>
      <c r="AB110">
        <v>9.2999999999999999E-2</v>
      </c>
      <c r="AC110">
        <v>0.19400000000000001</v>
      </c>
      <c r="AD110">
        <v>-4.8000000000000001E-2</v>
      </c>
      <c r="AE110">
        <v>8.4000000000000005E-2</v>
      </c>
      <c r="AF110">
        <v>0.16900000000000001</v>
      </c>
      <c r="AG110">
        <v>7.9000000000000001E-2</v>
      </c>
      <c r="AH110">
        <v>0.16600000000000001</v>
      </c>
      <c r="AI110">
        <v>-0.02</v>
      </c>
    </row>
    <row r="111" spans="1:35" x14ac:dyDescent="0.25">
      <c r="A111" t="s">
        <v>2416</v>
      </c>
      <c r="B111" t="s">
        <v>32</v>
      </c>
      <c r="C111" s="25">
        <v>43707.327256944445</v>
      </c>
      <c r="D111" s="741" t="s">
        <v>2238</v>
      </c>
      <c r="E111" s="741">
        <f t="array" ref="E111">SUMPRODUCT(IF(AMP7_6[[#This Row],[Dim 1_1]:[T 8]]-$F$4:$AI$4&lt;0,1,0)+IF($F$5:$AI$5-AMP7_6[[#This Row],[Dim 1_1]:[T 8]]&lt;0,1,0),IF(ISNUMBER(AMP7_6[[#This Row],[Dim 1_1]:[T 8]])=TRUE,1,0))</f>
        <v>0</v>
      </c>
      <c r="F111">
        <v>41.210999999999999</v>
      </c>
      <c r="G111">
        <v>41.195</v>
      </c>
      <c r="H111">
        <v>156.048</v>
      </c>
      <c r="I111">
        <v>156.22200000000001</v>
      </c>
      <c r="L111">
        <v>155.95099999999999</v>
      </c>
      <c r="M111">
        <v>155.88</v>
      </c>
      <c r="N111">
        <v>27.274000000000001</v>
      </c>
      <c r="O111">
        <v>27.381</v>
      </c>
      <c r="R111">
        <v>17.327000000000002</v>
      </c>
      <c r="S111">
        <v>17.251000000000001</v>
      </c>
      <c r="T111">
        <v>34.203000000000003</v>
      </c>
      <c r="U111">
        <v>34.338999999999999</v>
      </c>
      <c r="W111">
        <v>-0.16300000000000001</v>
      </c>
      <c r="X111">
        <v>-0.28199999999999997</v>
      </c>
      <c r="Z111">
        <v>5.6000000000000001E-2</v>
      </c>
      <c r="AA111">
        <v>-0.13900000000000001</v>
      </c>
      <c r="AB111">
        <v>-0.27200000000000002</v>
      </c>
      <c r="AC111">
        <v>-0.192</v>
      </c>
      <c r="AD111">
        <v>-0.28199999999999997</v>
      </c>
      <c r="AE111">
        <v>-0.16300000000000001</v>
      </c>
      <c r="AF111">
        <v>-2.9000000000000001E-2</v>
      </c>
      <c r="AG111">
        <v>-0.13100000000000001</v>
      </c>
      <c r="AH111">
        <v>5.6000000000000001E-2</v>
      </c>
      <c r="AI111">
        <v>-0.13900000000000001</v>
      </c>
    </row>
    <row r="112" spans="1:35" x14ac:dyDescent="0.25">
      <c r="A112" t="s">
        <v>2417</v>
      </c>
      <c r="B112" t="s">
        <v>31</v>
      </c>
      <c r="C112" s="25">
        <v>43707.329641203702</v>
      </c>
      <c r="D112" s="741" t="s">
        <v>2238</v>
      </c>
      <c r="E112" s="741">
        <f t="array" ref="E112">SUMPRODUCT(IF(AMP7_6[[#This Row],[Dim 1_1]:[T 8]]-$F$4:$AI$4&lt;0,1,0)+IF($F$5:$AI$5-AMP7_6[[#This Row],[Dim 1_1]:[T 8]]&lt;0,1,0),IF(ISNUMBER(AMP7_6[[#This Row],[Dim 1_1]:[T 8]])=TRUE,1,0))</f>
        <v>0</v>
      </c>
      <c r="H112">
        <v>156.08600000000001</v>
      </c>
      <c r="I112">
        <v>156.14400000000001</v>
      </c>
      <c r="J112">
        <v>168.828</v>
      </c>
      <c r="K112">
        <v>168.84299999999999</v>
      </c>
      <c r="L112">
        <v>156.142</v>
      </c>
      <c r="M112">
        <v>155.94800000000001</v>
      </c>
      <c r="N112">
        <v>27.09</v>
      </c>
      <c r="O112">
        <v>27.475000000000001</v>
      </c>
      <c r="R112">
        <v>17.266999999999999</v>
      </c>
      <c r="S112">
        <v>17.274999999999999</v>
      </c>
      <c r="T112">
        <v>35.640999999999998</v>
      </c>
      <c r="U112">
        <v>35.987000000000002</v>
      </c>
      <c r="W112">
        <v>1.7999999999999999E-2</v>
      </c>
      <c r="X112">
        <v>-0.192</v>
      </c>
      <c r="Z112">
        <v>0.13600000000000001</v>
      </c>
      <c r="AA112">
        <v>-0.08</v>
      </c>
      <c r="AB112">
        <v>-7.0999999999999994E-2</v>
      </c>
      <c r="AC112">
        <v>5.0000000000000001E-3</v>
      </c>
      <c r="AD112">
        <v>-0.192</v>
      </c>
      <c r="AE112">
        <v>1.7999999999999999E-2</v>
      </c>
      <c r="AF112">
        <v>0.08</v>
      </c>
      <c r="AG112">
        <v>0</v>
      </c>
      <c r="AH112">
        <v>0.13600000000000001</v>
      </c>
      <c r="AI112">
        <v>-0.08</v>
      </c>
    </row>
    <row r="113" spans="1:35" x14ac:dyDescent="0.25">
      <c r="A113" t="s">
        <v>2418</v>
      </c>
      <c r="B113" t="s">
        <v>32</v>
      </c>
      <c r="C113" s="25">
        <v>43707.410624999997</v>
      </c>
      <c r="D113" s="741" t="s">
        <v>2238</v>
      </c>
      <c r="E113" s="741">
        <f t="array" ref="E113">SUMPRODUCT(IF(AMP7_6[[#This Row],[Dim 1_1]:[T 8]]-$F$4:$AI$4&lt;0,1,0)+IF($F$5:$AI$5-AMP7_6[[#This Row],[Dim 1_1]:[T 8]]&lt;0,1,0),IF(ISNUMBER(AMP7_6[[#This Row],[Dim 1_1]:[T 8]])=TRUE,1,0))</f>
        <v>0</v>
      </c>
      <c r="F113">
        <v>41.192999999999998</v>
      </c>
      <c r="G113">
        <v>41.176000000000002</v>
      </c>
      <c r="H113">
        <v>155.96799999999999</v>
      </c>
      <c r="I113">
        <v>156.16999999999999</v>
      </c>
      <c r="L113">
        <v>155.892</v>
      </c>
      <c r="M113">
        <v>155.846</v>
      </c>
      <c r="N113">
        <v>27.305</v>
      </c>
      <c r="O113">
        <v>27.401</v>
      </c>
      <c r="R113">
        <v>17.331</v>
      </c>
      <c r="S113">
        <v>17.347999999999999</v>
      </c>
      <c r="T113">
        <v>33.710999999999999</v>
      </c>
      <c r="U113">
        <v>35.012999999999998</v>
      </c>
      <c r="W113">
        <v>-5.5E-2</v>
      </c>
      <c r="X113">
        <v>-0.34</v>
      </c>
      <c r="Z113">
        <v>0.153</v>
      </c>
      <c r="AA113">
        <v>-0.161</v>
      </c>
      <c r="AB113">
        <v>-0.14899999999999999</v>
      </c>
      <c r="AC113">
        <v>-5.5E-2</v>
      </c>
      <c r="AD113">
        <v>-0.34</v>
      </c>
      <c r="AE113">
        <v>-0.224</v>
      </c>
      <c r="AF113">
        <v>0.153</v>
      </c>
      <c r="AG113">
        <v>0.05</v>
      </c>
      <c r="AH113">
        <v>4.0000000000000001E-3</v>
      </c>
      <c r="AI113">
        <v>-0.161</v>
      </c>
    </row>
    <row r="114" spans="1:35" x14ac:dyDescent="0.25">
      <c r="A114" t="s">
        <v>2419</v>
      </c>
      <c r="B114" t="s">
        <v>31</v>
      </c>
      <c r="C114" s="25">
        <v>43707.412812499999</v>
      </c>
      <c r="D114" s="741" t="s">
        <v>2238</v>
      </c>
      <c r="E114" s="741">
        <f t="array" ref="E114">SUMPRODUCT(IF(AMP7_6[[#This Row],[Dim 1_1]:[T 8]]-$F$4:$AI$4&lt;0,1,0)+IF($F$5:$AI$5-AMP7_6[[#This Row],[Dim 1_1]:[T 8]]&lt;0,1,0),IF(ISNUMBER(AMP7_6[[#This Row],[Dim 1_1]:[T 8]])=TRUE,1,0))</f>
        <v>0</v>
      </c>
      <c r="H114">
        <v>156.03700000000001</v>
      </c>
      <c r="I114">
        <v>156.083</v>
      </c>
      <c r="J114">
        <v>168.77500000000001</v>
      </c>
      <c r="K114">
        <v>168.76499999999999</v>
      </c>
      <c r="L114">
        <v>156.113</v>
      </c>
      <c r="M114">
        <v>155.86099999999999</v>
      </c>
      <c r="N114">
        <v>27.193000000000001</v>
      </c>
      <c r="O114">
        <v>27.594000000000001</v>
      </c>
      <c r="R114">
        <v>17.292999999999999</v>
      </c>
      <c r="S114">
        <v>17.300999999999998</v>
      </c>
      <c r="T114">
        <v>37.232999999999997</v>
      </c>
      <c r="U114">
        <v>36.976999999999997</v>
      </c>
      <c r="W114">
        <v>0.122</v>
      </c>
      <c r="X114">
        <v>-0.13400000000000001</v>
      </c>
      <c r="Z114">
        <v>0.13500000000000001</v>
      </c>
      <c r="AA114">
        <v>-0.10100000000000001</v>
      </c>
      <c r="AB114">
        <v>0.03</v>
      </c>
      <c r="AC114">
        <v>0.122</v>
      </c>
      <c r="AD114">
        <v>-0.13400000000000001</v>
      </c>
      <c r="AE114">
        <v>3.3000000000000002E-2</v>
      </c>
      <c r="AF114">
        <v>9.5000000000000001E-2</v>
      </c>
      <c r="AG114">
        <v>1.7000000000000001E-2</v>
      </c>
      <c r="AH114">
        <v>0.13500000000000001</v>
      </c>
      <c r="AI114">
        <v>-0.10100000000000001</v>
      </c>
    </row>
    <row r="115" spans="1:35" x14ac:dyDescent="0.25">
      <c r="A115" t="s">
        <v>2560</v>
      </c>
      <c r="B115" t="s">
        <v>32</v>
      </c>
      <c r="C115" s="25">
        <v>43707.496087962965</v>
      </c>
      <c r="D115" s="741" t="s">
        <v>2238</v>
      </c>
      <c r="E115" s="741">
        <f t="array" ref="E115">SUMPRODUCT(IF(AMP7_6[[#This Row],[Dim 1_1]:[T 8]]-$F$4:$AI$4&lt;0,1,0)+IF($F$5:$AI$5-AMP7_6[[#This Row],[Dim 1_1]:[T 8]]&lt;0,1,0),IF(ISNUMBER(AMP7_6[[#This Row],[Dim 1_1]:[T 8]])=TRUE,1,0))</f>
        <v>0</v>
      </c>
      <c r="F115">
        <v>41.253999999999998</v>
      </c>
      <c r="G115">
        <v>41.113</v>
      </c>
      <c r="H115">
        <v>155.94</v>
      </c>
      <c r="I115">
        <v>156.22399999999999</v>
      </c>
      <c r="L115">
        <v>155.85499999999999</v>
      </c>
      <c r="M115">
        <v>155.86699999999999</v>
      </c>
      <c r="N115">
        <v>27.382000000000001</v>
      </c>
      <c r="O115">
        <v>27.370999999999999</v>
      </c>
      <c r="R115">
        <v>17.315999999999999</v>
      </c>
      <c r="S115">
        <v>17.308</v>
      </c>
      <c r="T115">
        <v>33.957000000000001</v>
      </c>
      <c r="U115">
        <v>34.579000000000001</v>
      </c>
      <c r="W115">
        <v>1.0999999999999999E-2</v>
      </c>
      <c r="X115">
        <v>-0.30299999999999999</v>
      </c>
      <c r="Z115">
        <v>0.17799999999999999</v>
      </c>
      <c r="AA115">
        <v>-0.121</v>
      </c>
      <c r="AB115">
        <v>-7.0999999999999994E-2</v>
      </c>
      <c r="AC115">
        <v>1.0999999999999999E-2</v>
      </c>
      <c r="AD115">
        <v>-0.30299999999999999</v>
      </c>
      <c r="AE115">
        <v>-0.16</v>
      </c>
      <c r="AF115">
        <v>0.17799999999999999</v>
      </c>
      <c r="AG115">
        <v>6.9000000000000006E-2</v>
      </c>
      <c r="AH115">
        <v>5.8000000000000003E-2</v>
      </c>
      <c r="AI115">
        <v>-0.121</v>
      </c>
    </row>
    <row r="116" spans="1:35" x14ac:dyDescent="0.25">
      <c r="A116" t="s">
        <v>2561</v>
      </c>
      <c r="B116" t="s">
        <v>31</v>
      </c>
      <c r="C116" s="25">
        <v>43707.498263888891</v>
      </c>
      <c r="D116" s="741" t="s">
        <v>2238</v>
      </c>
      <c r="E116" s="741">
        <f t="array" ref="E116">SUMPRODUCT(IF(AMP7_6[[#This Row],[Dim 1_1]:[T 8]]-$F$4:$AI$4&lt;0,1,0)+IF($F$5:$AI$5-AMP7_6[[#This Row],[Dim 1_1]:[T 8]]&lt;0,1,0),IF(ISNUMBER(AMP7_6[[#This Row],[Dim 1_1]:[T 8]])=TRUE,1,0))</f>
        <v>0</v>
      </c>
      <c r="H116">
        <v>156.01</v>
      </c>
      <c r="I116">
        <v>156.059</v>
      </c>
      <c r="J116">
        <v>168.803</v>
      </c>
      <c r="K116">
        <v>168.76400000000001</v>
      </c>
      <c r="L116">
        <v>156.08099999999999</v>
      </c>
      <c r="M116">
        <v>155.81899999999999</v>
      </c>
      <c r="N116">
        <v>27.173999999999999</v>
      </c>
      <c r="O116">
        <v>27.587</v>
      </c>
      <c r="R116">
        <v>17.306000000000001</v>
      </c>
      <c r="S116">
        <v>17.329999999999998</v>
      </c>
      <c r="T116">
        <v>37.418999999999997</v>
      </c>
      <c r="U116">
        <v>36.685000000000002</v>
      </c>
      <c r="W116">
        <v>0.124</v>
      </c>
      <c r="X116">
        <v>-0.184</v>
      </c>
      <c r="Z116">
        <v>0.13200000000000001</v>
      </c>
      <c r="AA116">
        <v>-0.129</v>
      </c>
      <c r="AB116">
        <v>1.6E-2</v>
      </c>
      <c r="AC116">
        <v>0.124</v>
      </c>
      <c r="AD116">
        <v>-0.184</v>
      </c>
      <c r="AE116">
        <v>5.0000000000000001E-3</v>
      </c>
      <c r="AF116">
        <v>0.13200000000000001</v>
      </c>
      <c r="AG116">
        <v>0.03</v>
      </c>
      <c r="AH116">
        <v>0.126</v>
      </c>
      <c r="AI116">
        <v>-0.129</v>
      </c>
    </row>
    <row r="117" spans="1:35" x14ac:dyDescent="0.25">
      <c r="A117" t="s">
        <v>2562</v>
      </c>
      <c r="B117" t="s">
        <v>32</v>
      </c>
      <c r="C117" s="25">
        <v>43707.58357638889</v>
      </c>
      <c r="D117" s="741" t="s">
        <v>2238</v>
      </c>
      <c r="E117" s="741">
        <f t="array" ref="E117">SUMPRODUCT(IF(AMP7_6[[#This Row],[Dim 1_1]:[T 8]]-$F$4:$AI$4&lt;0,1,0)+IF($F$5:$AI$5-AMP7_6[[#This Row],[Dim 1_1]:[T 8]]&lt;0,1,0),IF(ISNUMBER(AMP7_6[[#This Row],[Dim 1_1]:[T 8]])=TRUE,1,0))</f>
        <v>0</v>
      </c>
      <c r="F117">
        <v>41.183999999999997</v>
      </c>
      <c r="G117">
        <v>41.161999999999999</v>
      </c>
      <c r="H117">
        <v>156.01400000000001</v>
      </c>
      <c r="I117">
        <v>156.22900000000001</v>
      </c>
      <c r="L117">
        <v>155.946</v>
      </c>
      <c r="M117">
        <v>155.89599999999999</v>
      </c>
      <c r="N117">
        <v>27.251000000000001</v>
      </c>
      <c r="O117">
        <v>27.356000000000002</v>
      </c>
      <c r="R117">
        <v>17.326000000000001</v>
      </c>
      <c r="S117">
        <v>17.254999999999999</v>
      </c>
      <c r="T117">
        <v>33.665999999999997</v>
      </c>
      <c r="U117">
        <v>34.837000000000003</v>
      </c>
      <c r="W117">
        <v>-0.152</v>
      </c>
      <c r="X117">
        <v>-0.33600000000000002</v>
      </c>
      <c r="Z117">
        <v>3.3000000000000002E-2</v>
      </c>
      <c r="AA117">
        <v>-0.17899999999999999</v>
      </c>
      <c r="AB117">
        <v>-0.23799999999999999</v>
      </c>
      <c r="AC117">
        <v>-0.152</v>
      </c>
      <c r="AD117">
        <v>-0.33600000000000002</v>
      </c>
      <c r="AE117">
        <v>-0.23699999999999999</v>
      </c>
      <c r="AF117">
        <v>3.3000000000000002E-2</v>
      </c>
      <c r="AG117">
        <v>-6.9000000000000006E-2</v>
      </c>
      <c r="AH117">
        <v>1.4E-2</v>
      </c>
      <c r="AI117">
        <v>-0.17899999999999999</v>
      </c>
    </row>
    <row r="118" spans="1:35" x14ac:dyDescent="0.25">
      <c r="A118" t="s">
        <v>2563</v>
      </c>
      <c r="B118" t="s">
        <v>31</v>
      </c>
      <c r="C118" s="25">
        <v>43707.586215277777</v>
      </c>
      <c r="D118" s="741" t="s">
        <v>2238</v>
      </c>
      <c r="E118" s="741">
        <f t="array" ref="E118">SUMPRODUCT(IF(AMP7_6[[#This Row],[Dim 1_1]:[T 8]]-$F$4:$AI$4&lt;0,1,0)+IF($F$5:$AI$5-AMP7_6[[#This Row],[Dim 1_1]:[T 8]]&lt;0,1,0),IF(ISNUMBER(AMP7_6[[#This Row],[Dim 1_1]:[T 8]])=TRUE,1,0))</f>
        <v>0</v>
      </c>
      <c r="H118">
        <v>156.06899999999999</v>
      </c>
      <c r="I118">
        <v>156.143</v>
      </c>
      <c r="J118">
        <v>168.785</v>
      </c>
      <c r="K118">
        <v>168.88200000000001</v>
      </c>
      <c r="L118">
        <v>156.15299999999999</v>
      </c>
      <c r="M118">
        <v>155.95699999999999</v>
      </c>
      <c r="N118">
        <v>27.138000000000002</v>
      </c>
      <c r="O118">
        <v>27.498000000000001</v>
      </c>
      <c r="R118">
        <v>17.271999999999998</v>
      </c>
      <c r="S118">
        <v>17.355</v>
      </c>
      <c r="T118">
        <v>37.847000000000001</v>
      </c>
      <c r="U118">
        <v>38.634999999999998</v>
      </c>
      <c r="W118">
        <v>-0.02</v>
      </c>
      <c r="X118">
        <v>-0.255</v>
      </c>
      <c r="Z118">
        <v>7.4999999999999997E-2</v>
      </c>
      <c r="AA118">
        <v>-0.20499999999999999</v>
      </c>
      <c r="AB118">
        <v>-0.114</v>
      </c>
      <c r="AC118">
        <v>-0.02</v>
      </c>
      <c r="AD118">
        <v>-0.255</v>
      </c>
      <c r="AE118">
        <v>-9.8000000000000004E-2</v>
      </c>
      <c r="AF118">
        <v>-0.02</v>
      </c>
      <c r="AG118">
        <v>-0.115</v>
      </c>
      <c r="AH118">
        <v>7.4999999999999997E-2</v>
      </c>
      <c r="AI118">
        <v>-0.20499999999999999</v>
      </c>
    </row>
    <row r="119" spans="1:35" x14ac:dyDescent="0.25">
      <c r="A119" t="s">
        <v>2632</v>
      </c>
      <c r="B119" t="s">
        <v>32</v>
      </c>
      <c r="C119" s="25">
        <v>43711.379270833335</v>
      </c>
      <c r="D119" s="741" t="s">
        <v>2238</v>
      </c>
      <c r="E119" s="741">
        <f t="array" ref="E119">SUMPRODUCT(IF(AMP7_6[[#This Row],[Dim 1_1]:[T 8]]-$F$4:$AI$4&lt;0,1,0)+IF($F$5:$AI$5-AMP7_6[[#This Row],[Dim 1_1]:[T 8]]&lt;0,1,0),IF(ISNUMBER(AMP7_6[[#This Row],[Dim 1_1]:[T 8]])=TRUE,1,0))</f>
        <v>0</v>
      </c>
      <c r="F119">
        <v>41.109000000000002</v>
      </c>
      <c r="G119">
        <v>41.081000000000003</v>
      </c>
      <c r="H119">
        <v>156.03700000000001</v>
      </c>
      <c r="I119">
        <v>156.31200000000001</v>
      </c>
      <c r="L119">
        <v>155.959</v>
      </c>
      <c r="M119">
        <v>155.96700000000001</v>
      </c>
      <c r="N119">
        <v>27.196000000000002</v>
      </c>
      <c r="O119">
        <v>27.234999999999999</v>
      </c>
      <c r="R119">
        <v>17.329999999999998</v>
      </c>
      <c r="S119">
        <v>17.204000000000001</v>
      </c>
      <c r="T119">
        <v>33.777999999999999</v>
      </c>
      <c r="U119">
        <v>35.066000000000003</v>
      </c>
      <c r="W119">
        <v>-0.17499999999999999</v>
      </c>
      <c r="X119">
        <v>-0.28000000000000003</v>
      </c>
      <c r="Z119">
        <v>0.115</v>
      </c>
      <c r="AA119">
        <v>-2.7E-2</v>
      </c>
      <c r="AB119">
        <v>-0.25900000000000001</v>
      </c>
      <c r="AC119">
        <v>-0.17499999999999999</v>
      </c>
      <c r="AD119">
        <v>-0.28000000000000003</v>
      </c>
      <c r="AE119">
        <v>-0.20100000000000001</v>
      </c>
      <c r="AF119">
        <v>0.115</v>
      </c>
      <c r="AG119">
        <v>1.7000000000000001E-2</v>
      </c>
      <c r="AH119">
        <v>0.107</v>
      </c>
      <c r="AI119">
        <v>-2.7E-2</v>
      </c>
    </row>
    <row r="120" spans="1:35" x14ac:dyDescent="0.25">
      <c r="A120" t="s">
        <v>2633</v>
      </c>
      <c r="B120" t="s">
        <v>31</v>
      </c>
      <c r="C120" s="25">
        <v>43711.381620370368</v>
      </c>
      <c r="D120" s="741" t="s">
        <v>2238</v>
      </c>
      <c r="E120" s="741">
        <f t="array" ref="E120">SUMPRODUCT(IF(AMP7_6[[#This Row],[Dim 1_1]:[T 8]]-$F$4:$AI$4&lt;0,1,0)+IF($F$5:$AI$5-AMP7_6[[#This Row],[Dim 1_1]:[T 8]]&lt;0,1,0),IF(ISNUMBER(AMP7_6[[#This Row],[Dim 1_1]:[T 8]])=TRUE,1,0))</f>
        <v>0</v>
      </c>
      <c r="H120">
        <v>156.11600000000001</v>
      </c>
      <c r="I120">
        <v>156.10900000000001</v>
      </c>
      <c r="J120">
        <v>168.827</v>
      </c>
      <c r="K120">
        <v>168.86199999999999</v>
      </c>
      <c r="L120">
        <v>156.209</v>
      </c>
      <c r="M120">
        <v>155.88800000000001</v>
      </c>
      <c r="N120">
        <v>27.09</v>
      </c>
      <c r="O120">
        <v>27.577999999999999</v>
      </c>
      <c r="R120">
        <v>17.305</v>
      </c>
      <c r="S120">
        <v>17.34</v>
      </c>
      <c r="T120">
        <v>38.710999999999999</v>
      </c>
      <c r="U120">
        <v>39.341999999999999</v>
      </c>
      <c r="W120">
        <v>8.2000000000000003E-2</v>
      </c>
      <c r="X120">
        <v>-8.8999999999999996E-2</v>
      </c>
      <c r="Z120">
        <v>0.109</v>
      </c>
      <c r="AA120">
        <v>-0.19</v>
      </c>
      <c r="AB120">
        <v>-4.1000000000000002E-2</v>
      </c>
      <c r="AC120">
        <v>3.1E-2</v>
      </c>
      <c r="AD120">
        <v>-8.8999999999999996E-2</v>
      </c>
      <c r="AE120">
        <v>8.2000000000000003E-2</v>
      </c>
      <c r="AF120">
        <v>-7.1999999999999995E-2</v>
      </c>
      <c r="AG120">
        <v>-0.19</v>
      </c>
      <c r="AH120">
        <v>0.109</v>
      </c>
      <c r="AI120">
        <v>-0.19</v>
      </c>
    </row>
    <row r="121" spans="1:35" x14ac:dyDescent="0.25">
      <c r="A121" t="s">
        <v>2634</v>
      </c>
      <c r="B121" t="s">
        <v>32</v>
      </c>
      <c r="C121" s="25">
        <v>43711.466226851851</v>
      </c>
      <c r="D121" s="741" t="s">
        <v>2238</v>
      </c>
      <c r="E121" s="741">
        <f t="array" ref="E121">SUMPRODUCT(IF(AMP7_6[[#This Row],[Dim 1_1]:[T 8]]-$F$4:$AI$4&lt;0,1,0)+IF($F$5:$AI$5-AMP7_6[[#This Row],[Dim 1_1]:[T 8]]&lt;0,1,0),IF(ISNUMBER(AMP7_6[[#This Row],[Dim 1_1]:[T 8]])=TRUE,1,0))</f>
        <v>0</v>
      </c>
      <c r="F121">
        <v>41.21</v>
      </c>
      <c r="G121">
        <v>41.207000000000001</v>
      </c>
      <c r="H121">
        <v>155.97300000000001</v>
      </c>
      <c r="I121">
        <v>156.21600000000001</v>
      </c>
      <c r="L121">
        <v>155.91800000000001</v>
      </c>
      <c r="M121">
        <v>155.85900000000001</v>
      </c>
      <c r="N121">
        <v>27.305</v>
      </c>
      <c r="O121">
        <v>27.364999999999998</v>
      </c>
      <c r="R121">
        <v>17.323</v>
      </c>
      <c r="S121">
        <v>17.331</v>
      </c>
      <c r="T121">
        <v>33.573999999999998</v>
      </c>
      <c r="U121">
        <v>35.064</v>
      </c>
      <c r="W121">
        <v>-5.7000000000000002E-2</v>
      </c>
      <c r="X121">
        <v>-0.33600000000000002</v>
      </c>
      <c r="Z121">
        <v>0.127</v>
      </c>
      <c r="AA121">
        <v>-0.182</v>
      </c>
      <c r="AB121">
        <v>-0.13300000000000001</v>
      </c>
      <c r="AC121">
        <v>-5.7000000000000002E-2</v>
      </c>
      <c r="AD121">
        <v>-0.33600000000000002</v>
      </c>
      <c r="AE121">
        <v>-0.22500000000000001</v>
      </c>
      <c r="AF121">
        <v>0.127</v>
      </c>
      <c r="AG121">
        <v>1.0999999999999999E-2</v>
      </c>
      <c r="AH121">
        <v>-5.8000000000000003E-2</v>
      </c>
      <c r="AI121">
        <v>-0.182</v>
      </c>
    </row>
    <row r="122" spans="1:35" x14ac:dyDescent="0.25">
      <c r="A122" t="s">
        <v>2635</v>
      </c>
      <c r="B122" t="s">
        <v>31</v>
      </c>
      <c r="C122" s="25">
        <v>43711.468298611115</v>
      </c>
      <c r="D122" s="741" t="s">
        <v>2238</v>
      </c>
      <c r="E122" s="741">
        <f t="array" ref="E122">SUMPRODUCT(IF(AMP7_6[[#This Row],[Dim 1_1]:[T 8]]-$F$4:$AI$4&lt;0,1,0)+IF($F$5:$AI$5-AMP7_6[[#This Row],[Dim 1_1]:[T 8]]&lt;0,1,0),IF(ISNUMBER(AMP7_6[[#This Row],[Dim 1_1]:[T 8]])=TRUE,1,0))</f>
        <v>0</v>
      </c>
      <c r="H122">
        <v>156.06899999999999</v>
      </c>
      <c r="I122">
        <v>156.077</v>
      </c>
      <c r="J122">
        <v>168.80600000000001</v>
      </c>
      <c r="K122">
        <v>168.84399999999999</v>
      </c>
      <c r="L122">
        <v>156.10599999999999</v>
      </c>
      <c r="M122">
        <v>155.828</v>
      </c>
      <c r="N122">
        <v>27.137</v>
      </c>
      <c r="O122">
        <v>27.585000000000001</v>
      </c>
      <c r="R122">
        <v>17.297000000000001</v>
      </c>
      <c r="S122">
        <v>17.338999999999999</v>
      </c>
      <c r="T122">
        <v>36.179000000000002</v>
      </c>
      <c r="U122">
        <v>35.527000000000001</v>
      </c>
      <c r="W122">
        <v>0.09</v>
      </c>
      <c r="X122">
        <v>-0.21</v>
      </c>
      <c r="Z122">
        <v>8.1000000000000003E-2</v>
      </c>
      <c r="AA122">
        <v>-0.20200000000000001</v>
      </c>
      <c r="AB122">
        <v>-5.0000000000000001E-3</v>
      </c>
      <c r="AC122">
        <v>0.09</v>
      </c>
      <c r="AD122">
        <v>-0.21</v>
      </c>
      <c r="AE122">
        <v>-3.4000000000000002E-2</v>
      </c>
      <c r="AF122">
        <v>7.0000000000000007E-2</v>
      </c>
      <c r="AG122">
        <v>-4.5999999999999999E-2</v>
      </c>
      <c r="AH122">
        <v>8.1000000000000003E-2</v>
      </c>
      <c r="AI122">
        <v>-0.20200000000000001</v>
      </c>
    </row>
    <row r="123" spans="1:35" x14ac:dyDescent="0.25">
      <c r="A123" t="s">
        <v>2780</v>
      </c>
      <c r="B123" t="s">
        <v>32</v>
      </c>
      <c r="C123" s="25">
        <v>43711.556226851855</v>
      </c>
      <c r="D123" s="741" t="s">
        <v>2238</v>
      </c>
      <c r="E123" s="741">
        <f t="array" ref="E123">SUMPRODUCT(IF(AMP7_6[[#This Row],[Dim 1_1]:[T 8]]-$F$4:$AI$4&lt;0,1,0)+IF($F$5:$AI$5-AMP7_6[[#This Row],[Dim 1_1]:[T 8]]&lt;0,1,0),IF(ISNUMBER(AMP7_6[[#This Row],[Dim 1_1]:[T 8]])=TRUE,1,0))</f>
        <v>0</v>
      </c>
      <c r="F123">
        <v>41.045999999999999</v>
      </c>
      <c r="G123">
        <v>41.125</v>
      </c>
      <c r="H123">
        <v>156.05000000000001</v>
      </c>
      <c r="I123">
        <v>156.292</v>
      </c>
      <c r="L123">
        <v>155.96899999999999</v>
      </c>
      <c r="M123">
        <v>155.97200000000001</v>
      </c>
      <c r="N123">
        <v>27.238</v>
      </c>
      <c r="O123">
        <v>27.285</v>
      </c>
      <c r="R123">
        <v>17.332999999999998</v>
      </c>
      <c r="S123">
        <v>17.206</v>
      </c>
      <c r="T123">
        <v>33.814</v>
      </c>
      <c r="U123">
        <v>34.968000000000004</v>
      </c>
      <c r="W123">
        <v>-0.154</v>
      </c>
      <c r="X123">
        <v>-0.28299999999999997</v>
      </c>
      <c r="Z123">
        <v>5.6000000000000001E-2</v>
      </c>
      <c r="AA123">
        <v>-0.12</v>
      </c>
      <c r="AB123">
        <v>-0.23899999999999999</v>
      </c>
      <c r="AC123">
        <v>-0.154</v>
      </c>
      <c r="AD123">
        <v>-0.28299999999999997</v>
      </c>
      <c r="AE123">
        <v>-0.158</v>
      </c>
      <c r="AF123">
        <v>3.4000000000000002E-2</v>
      </c>
      <c r="AG123">
        <v>-7.2999999999999995E-2</v>
      </c>
      <c r="AH123">
        <v>5.6000000000000001E-2</v>
      </c>
      <c r="AI123">
        <v>-0.12</v>
      </c>
    </row>
    <row r="124" spans="1:35" x14ac:dyDescent="0.25">
      <c r="A124" t="s">
        <v>2781</v>
      </c>
      <c r="B124" t="s">
        <v>31</v>
      </c>
      <c r="C124" s="25">
        <v>43711.558356481481</v>
      </c>
      <c r="D124" s="741" t="s">
        <v>2238</v>
      </c>
      <c r="E124" s="741">
        <f t="array" ref="E124">SUMPRODUCT(IF(AMP7_6[[#This Row],[Dim 1_1]:[T 8]]-$F$4:$AI$4&lt;0,1,0)+IF($F$5:$AI$5-AMP7_6[[#This Row],[Dim 1_1]:[T 8]]&lt;0,1,0),IF(ISNUMBER(AMP7_6[[#This Row],[Dim 1_1]:[T 8]])=TRUE,1,0))</f>
        <v>0</v>
      </c>
      <c r="H124">
        <v>156.136</v>
      </c>
      <c r="I124">
        <v>156.15</v>
      </c>
      <c r="J124">
        <v>168.75299999999999</v>
      </c>
      <c r="K124">
        <v>168.84100000000001</v>
      </c>
      <c r="L124">
        <v>156.16900000000001</v>
      </c>
      <c r="M124">
        <v>155.916</v>
      </c>
      <c r="N124">
        <v>27.116</v>
      </c>
      <c r="O124">
        <v>27.532</v>
      </c>
      <c r="R124">
        <v>17.292000000000002</v>
      </c>
      <c r="S124">
        <v>17.353999999999999</v>
      </c>
      <c r="T124">
        <v>35.143000000000001</v>
      </c>
      <c r="U124">
        <v>37.308</v>
      </c>
      <c r="W124">
        <v>1E-3</v>
      </c>
      <c r="X124">
        <v>-0.223</v>
      </c>
      <c r="Z124">
        <v>5.3999999999999999E-2</v>
      </c>
      <c r="AA124">
        <v>-0.26100000000000001</v>
      </c>
      <c r="AB124">
        <v>-0.10199999999999999</v>
      </c>
      <c r="AC124">
        <v>1E-3</v>
      </c>
      <c r="AD124">
        <v>-0.223</v>
      </c>
      <c r="AE124">
        <v>-1.4999999999999999E-2</v>
      </c>
      <c r="AF124">
        <v>-8.8999999999999996E-2</v>
      </c>
      <c r="AG124">
        <v>-0.191</v>
      </c>
      <c r="AH124">
        <v>5.3999999999999999E-2</v>
      </c>
      <c r="AI124">
        <v>-0.26100000000000001</v>
      </c>
    </row>
    <row r="125" spans="1:35" ht="14.45" customHeight="1" x14ac:dyDescent="0.25">
      <c r="A125" t="s">
        <v>2782</v>
      </c>
      <c r="B125" t="s">
        <v>32</v>
      </c>
      <c r="C125" s="25">
        <v>43711.662268518521</v>
      </c>
      <c r="D125" s="741" t="s">
        <v>2238</v>
      </c>
      <c r="E125" s="741">
        <f t="array" ref="E125">SUMPRODUCT(IF(AMP7_6[[#This Row],[Dim 1_1]:[T 8]]-$F$4:$AI$4&lt;0,1,0)+IF($F$5:$AI$5-AMP7_6[[#This Row],[Dim 1_1]:[T 8]]&lt;0,1,0),IF(ISNUMBER(AMP7_6[[#This Row],[Dim 1_1]:[T 8]])=TRUE,1,0))</f>
        <v>0</v>
      </c>
      <c r="F125">
        <v>41.262999999999998</v>
      </c>
      <c r="G125">
        <v>41.204999999999998</v>
      </c>
      <c r="H125">
        <v>156.01400000000001</v>
      </c>
      <c r="I125">
        <v>156.19499999999999</v>
      </c>
      <c r="L125">
        <v>155.905</v>
      </c>
      <c r="M125">
        <v>155.80600000000001</v>
      </c>
      <c r="N125">
        <v>27.288</v>
      </c>
      <c r="O125">
        <v>27.416</v>
      </c>
      <c r="R125">
        <v>17.341999999999999</v>
      </c>
      <c r="S125">
        <v>17.202999999999999</v>
      </c>
      <c r="T125">
        <v>33.671999999999997</v>
      </c>
      <c r="U125">
        <v>34.859000000000002</v>
      </c>
      <c r="W125">
        <v>5.0000000000000001E-3</v>
      </c>
      <c r="X125">
        <v>-0.17100000000000001</v>
      </c>
      <c r="Z125">
        <v>0.13100000000000001</v>
      </c>
      <c r="AA125">
        <v>-5.7000000000000002E-2</v>
      </c>
      <c r="AB125">
        <v>-0.13100000000000001</v>
      </c>
      <c r="AC125">
        <v>-4.3999999999999997E-2</v>
      </c>
      <c r="AD125">
        <v>-0.17100000000000001</v>
      </c>
      <c r="AE125">
        <v>5.0000000000000001E-3</v>
      </c>
      <c r="AF125">
        <v>6.9000000000000006E-2</v>
      </c>
      <c r="AG125">
        <v>-3.1E-2</v>
      </c>
      <c r="AH125">
        <v>0.13100000000000001</v>
      </c>
      <c r="AI125">
        <v>-5.7000000000000002E-2</v>
      </c>
    </row>
    <row r="126" spans="1:35" x14ac:dyDescent="0.25">
      <c r="A126" t="s">
        <v>2783</v>
      </c>
      <c r="B126" t="s">
        <v>31</v>
      </c>
      <c r="C126" s="25">
        <v>43711.665844907409</v>
      </c>
      <c r="D126" s="741" t="s">
        <v>2238</v>
      </c>
      <c r="E126" s="741">
        <f t="array" ref="E126">SUMPRODUCT(IF(AMP7_6[[#This Row],[Dim 1_1]:[T 8]]-$F$4:$AI$4&lt;0,1,0)+IF($F$5:$AI$5-AMP7_6[[#This Row],[Dim 1_1]:[T 8]]&lt;0,1,0),IF(ISNUMBER(AMP7_6[[#This Row],[Dim 1_1]:[T 8]])=TRUE,1,0))</f>
        <v>0</v>
      </c>
      <c r="H126">
        <v>156.13800000000001</v>
      </c>
      <c r="I126">
        <v>156.178</v>
      </c>
      <c r="J126">
        <v>168.86199999999999</v>
      </c>
      <c r="K126">
        <v>168.83799999999999</v>
      </c>
      <c r="L126">
        <v>156.16900000000001</v>
      </c>
      <c r="M126">
        <v>155.982</v>
      </c>
      <c r="N126">
        <v>27.093</v>
      </c>
      <c r="O126">
        <v>27.445</v>
      </c>
      <c r="R126">
        <v>17.297000000000001</v>
      </c>
      <c r="S126">
        <v>17.311</v>
      </c>
      <c r="T126">
        <v>37.898000000000003</v>
      </c>
      <c r="U126">
        <v>38.070999999999998</v>
      </c>
      <c r="W126">
        <v>6.6000000000000003E-2</v>
      </c>
      <c r="X126">
        <v>-0.23699999999999999</v>
      </c>
      <c r="Z126">
        <v>0.112</v>
      </c>
      <c r="AA126">
        <v>-0.17699999999999999</v>
      </c>
      <c r="AB126">
        <v>-6.8000000000000005E-2</v>
      </c>
      <c r="AC126">
        <v>4.2000000000000003E-2</v>
      </c>
      <c r="AD126">
        <v>-0.23699999999999999</v>
      </c>
      <c r="AE126">
        <v>6.6000000000000003E-2</v>
      </c>
      <c r="AF126">
        <v>5.8999999999999997E-2</v>
      </c>
      <c r="AG126">
        <v>-6.7000000000000004E-2</v>
      </c>
      <c r="AH126">
        <v>0.112</v>
      </c>
      <c r="AI126">
        <v>-0.17699999999999999</v>
      </c>
    </row>
    <row r="127" spans="1:35" x14ac:dyDescent="0.25">
      <c r="A127" t="s">
        <v>2784</v>
      </c>
      <c r="B127" t="s">
        <v>32</v>
      </c>
      <c r="C127" s="25">
        <v>43711.747037037036</v>
      </c>
      <c r="D127" s="741" t="s">
        <v>2238</v>
      </c>
      <c r="E127" s="741">
        <f t="array" ref="E127">SUMPRODUCT(IF(AMP7_6[[#This Row],[Dim 1_1]:[T 8]]-$F$4:$AI$4&lt;0,1,0)+IF($F$5:$AI$5-AMP7_6[[#This Row],[Dim 1_1]:[T 8]]&lt;0,1,0),IF(ISNUMBER(AMP7_6[[#This Row],[Dim 1_1]:[T 8]])=TRUE,1,0))</f>
        <v>0</v>
      </c>
      <c r="F127">
        <v>41.152999999999999</v>
      </c>
      <c r="G127">
        <v>41.08</v>
      </c>
      <c r="H127">
        <v>156.07</v>
      </c>
      <c r="I127">
        <v>156.28399999999999</v>
      </c>
      <c r="L127">
        <v>156.00700000000001</v>
      </c>
      <c r="M127">
        <v>155.95400000000001</v>
      </c>
      <c r="N127">
        <v>27.233000000000001</v>
      </c>
      <c r="O127">
        <v>27.297999999999998</v>
      </c>
      <c r="R127">
        <v>17.303000000000001</v>
      </c>
      <c r="S127">
        <v>17.251000000000001</v>
      </c>
      <c r="T127">
        <v>33.673999999999999</v>
      </c>
      <c r="U127">
        <v>34.753999999999998</v>
      </c>
      <c r="W127">
        <v>-0.192</v>
      </c>
      <c r="X127">
        <v>-0.35499999999999998</v>
      </c>
      <c r="Z127">
        <v>2.1999999999999999E-2</v>
      </c>
      <c r="AA127">
        <v>-0.17299999999999999</v>
      </c>
      <c r="AB127">
        <v>-0.27800000000000002</v>
      </c>
      <c r="AC127">
        <v>-0.192</v>
      </c>
      <c r="AD127">
        <v>-0.35499999999999998</v>
      </c>
      <c r="AE127">
        <v>-0.26600000000000001</v>
      </c>
      <c r="AF127">
        <v>-1.4E-2</v>
      </c>
      <c r="AG127">
        <v>-0.115</v>
      </c>
      <c r="AH127">
        <v>2.1999999999999999E-2</v>
      </c>
      <c r="AI127">
        <v>-0.17299999999999999</v>
      </c>
    </row>
    <row r="128" spans="1:35" x14ac:dyDescent="0.25">
      <c r="A128" t="s">
        <v>2785</v>
      </c>
      <c r="B128" t="s">
        <v>31</v>
      </c>
      <c r="C128" s="25">
        <v>43711.749097222222</v>
      </c>
      <c r="D128" s="741" t="s">
        <v>2238</v>
      </c>
      <c r="E128" s="741">
        <f t="array" ref="E128">SUMPRODUCT(IF(AMP7_6[[#This Row],[Dim 1_1]:[T 8]]-$F$4:$AI$4&lt;0,1,0)+IF($F$5:$AI$5-AMP7_6[[#This Row],[Dim 1_1]:[T 8]]&lt;0,1,0),IF(ISNUMBER(AMP7_6[[#This Row],[Dim 1_1]:[T 8]])=TRUE,1,0))</f>
        <v>0</v>
      </c>
      <c r="H128">
        <v>156.16</v>
      </c>
      <c r="I128">
        <v>156.19999999999999</v>
      </c>
      <c r="J128">
        <v>168.78</v>
      </c>
      <c r="K128">
        <v>168.851</v>
      </c>
      <c r="L128">
        <v>156.215</v>
      </c>
      <c r="M128">
        <v>155.99</v>
      </c>
      <c r="N128">
        <v>27.029</v>
      </c>
      <c r="O128">
        <v>27.443999999999999</v>
      </c>
      <c r="R128">
        <v>17.273</v>
      </c>
      <c r="S128">
        <v>17.32</v>
      </c>
      <c r="T128">
        <v>37.323</v>
      </c>
      <c r="U128">
        <v>38.090000000000003</v>
      </c>
      <c r="W128">
        <v>-5.2999999999999999E-2</v>
      </c>
      <c r="X128">
        <v>-0.308</v>
      </c>
      <c r="Z128">
        <v>9.2999999999999999E-2</v>
      </c>
      <c r="AA128">
        <v>-0.2</v>
      </c>
      <c r="AB128">
        <v>-0.16</v>
      </c>
      <c r="AC128">
        <v>-5.2999999999999999E-2</v>
      </c>
      <c r="AD128">
        <v>-0.308</v>
      </c>
      <c r="AE128">
        <v>-0.113</v>
      </c>
      <c r="AF128">
        <v>7.0000000000000001E-3</v>
      </c>
      <c r="AG128">
        <v>-9.5000000000000001E-2</v>
      </c>
      <c r="AH128">
        <v>9.2999999999999999E-2</v>
      </c>
      <c r="AI128">
        <v>-0.2</v>
      </c>
    </row>
    <row r="129" spans="1:35" x14ac:dyDescent="0.25">
      <c r="A129" t="s">
        <v>2786</v>
      </c>
      <c r="B129" t="s">
        <v>32</v>
      </c>
      <c r="C129" s="25">
        <v>43711.797881944447</v>
      </c>
      <c r="D129" s="741" t="s">
        <v>2238</v>
      </c>
      <c r="E129" s="741">
        <f t="array" ref="E129">SUMPRODUCT(IF(AMP7_6[[#This Row],[Dim 1_1]:[T 8]]-$F$4:$AI$4&lt;0,1,0)+IF($F$5:$AI$5-AMP7_6[[#This Row],[Dim 1_1]:[T 8]]&lt;0,1,0),IF(ISNUMBER(AMP7_6[[#This Row],[Dim 1_1]:[T 8]])=TRUE,1,0))</f>
        <v>0</v>
      </c>
      <c r="F129">
        <v>41.076000000000001</v>
      </c>
      <c r="G129">
        <v>41.13</v>
      </c>
      <c r="H129">
        <v>156.077</v>
      </c>
      <c r="I129">
        <v>156.29599999999999</v>
      </c>
      <c r="L129">
        <v>156.053</v>
      </c>
      <c r="M129">
        <v>155.946</v>
      </c>
      <c r="N129">
        <v>27.152000000000001</v>
      </c>
      <c r="O129">
        <v>27.257000000000001</v>
      </c>
      <c r="R129">
        <v>17.288</v>
      </c>
      <c r="S129">
        <v>17.167999999999999</v>
      </c>
      <c r="T129">
        <v>33.549999999999997</v>
      </c>
      <c r="U129">
        <v>34.831000000000003</v>
      </c>
      <c r="W129">
        <v>-0.159</v>
      </c>
      <c r="X129">
        <v>-0.30299999999999999</v>
      </c>
      <c r="Z129">
        <v>4.8000000000000001E-2</v>
      </c>
      <c r="AA129">
        <v>-0.13200000000000001</v>
      </c>
      <c r="AB129">
        <v>-0.26900000000000002</v>
      </c>
      <c r="AC129">
        <v>-0.17</v>
      </c>
      <c r="AD129">
        <v>-0.30299999999999999</v>
      </c>
      <c r="AE129">
        <v>-0.159</v>
      </c>
      <c r="AF129">
        <v>3.3000000000000002E-2</v>
      </c>
      <c r="AG129">
        <v>-7.8E-2</v>
      </c>
      <c r="AH129">
        <v>4.8000000000000001E-2</v>
      </c>
      <c r="AI129">
        <v>-0.13200000000000001</v>
      </c>
    </row>
    <row r="130" spans="1:35" x14ac:dyDescent="0.25">
      <c r="A130" t="s">
        <v>2787</v>
      </c>
      <c r="B130" t="s">
        <v>31</v>
      </c>
      <c r="C130" s="25">
        <v>43711.800509259258</v>
      </c>
      <c r="D130" s="741" t="s">
        <v>2238</v>
      </c>
      <c r="E130" s="741">
        <f t="array" ref="E130">SUMPRODUCT(IF(AMP7_6[[#This Row],[Dim 1_1]:[T 8]]-$F$4:$AI$4&lt;0,1,0)+IF($F$5:$AI$5-AMP7_6[[#This Row],[Dim 1_1]:[T 8]]&lt;0,1,0),IF(ISNUMBER(AMP7_6[[#This Row],[Dim 1_1]:[T 8]])=TRUE,1,0))</f>
        <v>0</v>
      </c>
      <c r="H130">
        <v>156.17699999999999</v>
      </c>
      <c r="I130">
        <v>156.202</v>
      </c>
      <c r="J130">
        <v>168.80199999999999</v>
      </c>
      <c r="K130">
        <v>168.80199999999999</v>
      </c>
      <c r="L130">
        <v>156.221</v>
      </c>
      <c r="M130">
        <v>155.98400000000001</v>
      </c>
      <c r="N130">
        <v>27.042999999999999</v>
      </c>
      <c r="O130">
        <v>27.456</v>
      </c>
      <c r="R130">
        <v>17.286999999999999</v>
      </c>
      <c r="S130">
        <v>17.375</v>
      </c>
      <c r="T130">
        <v>36.308</v>
      </c>
      <c r="U130">
        <v>37.722000000000001</v>
      </c>
      <c r="W130">
        <v>-0.04</v>
      </c>
      <c r="X130">
        <v>-0.28199999999999997</v>
      </c>
      <c r="Z130">
        <v>2.8000000000000001E-2</v>
      </c>
      <c r="AA130">
        <v>-0.30199999999999999</v>
      </c>
      <c r="AB130">
        <v>-0.14499999999999999</v>
      </c>
      <c r="AC130">
        <v>-0.04</v>
      </c>
      <c r="AD130">
        <v>-0.28199999999999997</v>
      </c>
      <c r="AE130">
        <v>-8.5999999999999993E-2</v>
      </c>
      <c r="AF130">
        <v>-7.5999999999999998E-2</v>
      </c>
      <c r="AG130">
        <v>-0.20699999999999999</v>
      </c>
      <c r="AH130">
        <v>2.8000000000000001E-2</v>
      </c>
      <c r="AI130">
        <v>-0.30199999999999999</v>
      </c>
    </row>
    <row r="131" spans="1:35" x14ac:dyDescent="0.25">
      <c r="A131" t="s">
        <v>2788</v>
      </c>
      <c r="B131" t="s">
        <v>32</v>
      </c>
      <c r="C131" s="25">
        <v>43711.881874999999</v>
      </c>
      <c r="D131" s="741" t="s">
        <v>2238</v>
      </c>
      <c r="E131" s="741">
        <f t="array" ref="E131">SUMPRODUCT(IF(AMP7_6[[#This Row],[Dim 1_1]:[T 8]]-$F$4:$AI$4&lt;0,1,0)+IF($F$5:$AI$5-AMP7_6[[#This Row],[Dim 1_1]:[T 8]]&lt;0,1,0),IF(ISNUMBER(AMP7_6[[#This Row],[Dim 1_1]:[T 8]])=TRUE,1,0))</f>
        <v>0</v>
      </c>
      <c r="F131">
        <v>41.067999999999998</v>
      </c>
      <c r="G131">
        <v>41.039000000000001</v>
      </c>
      <c r="H131">
        <v>156.12899999999999</v>
      </c>
      <c r="I131">
        <v>156.33500000000001</v>
      </c>
      <c r="L131">
        <v>156.05600000000001</v>
      </c>
      <c r="M131">
        <v>155.97800000000001</v>
      </c>
      <c r="N131">
        <v>27.158000000000001</v>
      </c>
      <c r="O131">
        <v>27.265999999999998</v>
      </c>
      <c r="R131">
        <v>17.318999999999999</v>
      </c>
      <c r="S131">
        <v>17.175000000000001</v>
      </c>
      <c r="T131">
        <v>33.622</v>
      </c>
      <c r="U131">
        <v>34.923999999999999</v>
      </c>
      <c r="W131">
        <v>-0.14799999999999999</v>
      </c>
      <c r="X131">
        <v>-0.252</v>
      </c>
      <c r="Z131">
        <v>0.109</v>
      </c>
      <c r="AA131">
        <v>-0.113</v>
      </c>
      <c r="AB131">
        <v>-0.24399999999999999</v>
      </c>
      <c r="AC131">
        <v>-0.17</v>
      </c>
      <c r="AD131">
        <v>-0.252</v>
      </c>
      <c r="AE131">
        <v>-0.14799999999999999</v>
      </c>
      <c r="AF131">
        <v>8.9999999999999993E-3</v>
      </c>
      <c r="AG131">
        <v>-8.6999999999999994E-2</v>
      </c>
      <c r="AH131">
        <v>0.109</v>
      </c>
      <c r="AI131">
        <v>-0.113</v>
      </c>
    </row>
    <row r="132" spans="1:35" x14ac:dyDescent="0.25">
      <c r="A132" t="s">
        <v>2789</v>
      </c>
      <c r="B132" t="s">
        <v>31</v>
      </c>
      <c r="C132" s="25">
        <v>43711.884085648147</v>
      </c>
      <c r="D132" s="741" t="s">
        <v>2238</v>
      </c>
      <c r="E132" s="741">
        <f t="array" ref="E132">SUMPRODUCT(IF(AMP7_6[[#This Row],[Dim 1_1]:[T 8]]-$F$4:$AI$4&lt;0,1,0)+IF($F$5:$AI$5-AMP7_6[[#This Row],[Dim 1_1]:[T 8]]&lt;0,1,0),IF(ISNUMBER(AMP7_6[[#This Row],[Dim 1_1]:[T 8]])=TRUE,1,0))</f>
        <v>0</v>
      </c>
      <c r="H132">
        <v>156.196</v>
      </c>
      <c r="I132">
        <v>156.22800000000001</v>
      </c>
      <c r="J132">
        <v>168.75899999999999</v>
      </c>
      <c r="K132">
        <v>168.792</v>
      </c>
      <c r="L132">
        <v>156.24299999999999</v>
      </c>
      <c r="M132">
        <v>156.005</v>
      </c>
      <c r="N132">
        <v>27.024999999999999</v>
      </c>
      <c r="O132">
        <v>27.434000000000001</v>
      </c>
      <c r="R132">
        <v>17.286999999999999</v>
      </c>
      <c r="S132">
        <v>17.332000000000001</v>
      </c>
      <c r="T132">
        <v>38.402999999999999</v>
      </c>
      <c r="U132">
        <v>39.084000000000003</v>
      </c>
      <c r="W132">
        <v>-7.0999999999999994E-2</v>
      </c>
      <c r="X132">
        <v>-0.26600000000000001</v>
      </c>
      <c r="Z132">
        <v>9.0999999999999998E-2</v>
      </c>
      <c r="AA132">
        <v>-0.255</v>
      </c>
      <c r="AB132">
        <v>-0.16500000000000001</v>
      </c>
      <c r="AC132">
        <v>-7.0999999999999994E-2</v>
      </c>
      <c r="AD132">
        <v>-0.26600000000000001</v>
      </c>
      <c r="AE132">
        <v>-9.1999999999999998E-2</v>
      </c>
      <c r="AF132">
        <v>-0.113</v>
      </c>
      <c r="AG132">
        <v>-0.20200000000000001</v>
      </c>
      <c r="AH132">
        <v>9.0999999999999998E-2</v>
      </c>
      <c r="AI132">
        <v>-0.255</v>
      </c>
    </row>
    <row r="133" spans="1:35" x14ac:dyDescent="0.25">
      <c r="A133" t="s">
        <v>2790</v>
      </c>
      <c r="B133" t="s">
        <v>32</v>
      </c>
      <c r="C133" s="25">
        <v>43711.976145833331</v>
      </c>
      <c r="D133" s="741" t="s">
        <v>2238</v>
      </c>
      <c r="E133" s="741">
        <f t="array" ref="E133">SUMPRODUCT(IF(AMP7_6[[#This Row],[Dim 1_1]:[T 8]]-$F$4:$AI$4&lt;0,1,0)+IF($F$5:$AI$5-AMP7_6[[#This Row],[Dim 1_1]:[T 8]]&lt;0,1,0),IF(ISNUMBER(AMP7_6[[#This Row],[Dim 1_1]:[T 8]])=TRUE,1,0))</f>
        <v>0</v>
      </c>
      <c r="F133">
        <v>41.048999999999999</v>
      </c>
      <c r="G133">
        <v>41.082000000000001</v>
      </c>
      <c r="H133">
        <v>156.084</v>
      </c>
      <c r="I133">
        <v>156.28200000000001</v>
      </c>
      <c r="L133">
        <v>156.011</v>
      </c>
      <c r="M133">
        <v>155.923</v>
      </c>
      <c r="N133">
        <v>27.184000000000001</v>
      </c>
      <c r="O133">
        <v>27.294</v>
      </c>
      <c r="R133">
        <v>17.309000000000001</v>
      </c>
      <c r="S133">
        <v>17.294</v>
      </c>
      <c r="T133">
        <v>33.692999999999998</v>
      </c>
      <c r="U133">
        <v>34.758000000000003</v>
      </c>
      <c r="W133">
        <v>-0.125</v>
      </c>
      <c r="X133">
        <v>-0.371</v>
      </c>
      <c r="Z133">
        <v>8.0000000000000002E-3</v>
      </c>
      <c r="AA133">
        <v>-0.27</v>
      </c>
      <c r="AB133">
        <v>-0.21</v>
      </c>
      <c r="AC133">
        <v>-0.125</v>
      </c>
      <c r="AD133">
        <v>-0.371</v>
      </c>
      <c r="AE133">
        <v>-0.23699999999999999</v>
      </c>
      <c r="AF133">
        <v>8.0000000000000002E-3</v>
      </c>
      <c r="AG133">
        <v>-9.1999999999999998E-2</v>
      </c>
      <c r="AH133">
        <v>-0.09</v>
      </c>
      <c r="AI133">
        <v>-0.27</v>
      </c>
    </row>
    <row r="134" spans="1:35" x14ac:dyDescent="0.25">
      <c r="A134" t="s">
        <v>2791</v>
      </c>
      <c r="B134" t="s">
        <v>31</v>
      </c>
      <c r="C134" s="25">
        <v>43711.978182870371</v>
      </c>
      <c r="D134" s="741" t="s">
        <v>2238</v>
      </c>
      <c r="E134" s="741">
        <f t="array" ref="E134">SUMPRODUCT(IF(AMP7_6[[#This Row],[Dim 1_1]:[T 8]]-$F$4:$AI$4&lt;0,1,0)+IF($F$5:$AI$5-AMP7_6[[#This Row],[Dim 1_1]:[T 8]]&lt;0,1,0),IF(ISNUMBER(AMP7_6[[#This Row],[Dim 1_1]:[T 8]])=TRUE,1,0))</f>
        <v>0</v>
      </c>
      <c r="H134">
        <v>156.19999999999999</v>
      </c>
      <c r="I134">
        <v>156.238</v>
      </c>
      <c r="J134">
        <v>168.749</v>
      </c>
      <c r="K134">
        <v>168.85499999999999</v>
      </c>
      <c r="L134">
        <v>156.25899999999999</v>
      </c>
      <c r="M134">
        <v>156.04300000000001</v>
      </c>
      <c r="N134">
        <v>26.981000000000002</v>
      </c>
      <c r="O134">
        <v>27.373999999999999</v>
      </c>
      <c r="R134">
        <v>17.271999999999998</v>
      </c>
      <c r="S134">
        <v>17.297000000000001</v>
      </c>
      <c r="T134">
        <v>37.606999999999999</v>
      </c>
      <c r="U134">
        <v>38.619999999999997</v>
      </c>
      <c r="W134">
        <v>-4.5999999999999999E-2</v>
      </c>
      <c r="X134">
        <v>-0.28499999999999998</v>
      </c>
      <c r="Z134">
        <v>5.1999999999999998E-2</v>
      </c>
      <c r="AA134">
        <v>-0.22700000000000001</v>
      </c>
      <c r="AB134">
        <v>-0.17399999999999999</v>
      </c>
      <c r="AC134">
        <v>-4.5999999999999999E-2</v>
      </c>
      <c r="AD134">
        <v>-0.28499999999999998</v>
      </c>
      <c r="AE134">
        <v>-0.09</v>
      </c>
      <c r="AF134">
        <v>-0.06</v>
      </c>
      <c r="AG134">
        <v>-0.153</v>
      </c>
      <c r="AH134">
        <v>5.1999999999999998E-2</v>
      </c>
      <c r="AI134">
        <v>-0.22700000000000001</v>
      </c>
    </row>
    <row r="135" spans="1:35" x14ac:dyDescent="0.25">
      <c r="A135" t="s">
        <v>2792</v>
      </c>
      <c r="B135" t="s">
        <v>32</v>
      </c>
      <c r="C135" s="25">
        <v>43712.042164351849</v>
      </c>
      <c r="D135" s="741" t="s">
        <v>2238</v>
      </c>
      <c r="E135" s="741">
        <f t="array" ref="E135">SUMPRODUCT(IF(AMP7_6[[#This Row],[Dim 1_1]:[T 8]]-$F$4:$AI$4&lt;0,1,0)+IF($F$5:$AI$5-AMP7_6[[#This Row],[Dim 1_1]:[T 8]]&lt;0,1,0),IF(ISNUMBER(AMP7_6[[#This Row],[Dim 1_1]:[T 8]])=TRUE,1,0))</f>
        <v>0</v>
      </c>
      <c r="F135">
        <v>41.018999999999998</v>
      </c>
      <c r="G135">
        <v>41.003</v>
      </c>
      <c r="H135">
        <v>156.25399999999999</v>
      </c>
      <c r="I135">
        <v>156.399</v>
      </c>
      <c r="L135">
        <v>156.17099999999999</v>
      </c>
      <c r="M135">
        <v>156.03</v>
      </c>
      <c r="N135">
        <v>27.029</v>
      </c>
      <c r="O135">
        <v>27.201000000000001</v>
      </c>
      <c r="R135">
        <v>17.297999999999998</v>
      </c>
      <c r="S135">
        <v>17.148</v>
      </c>
      <c r="T135">
        <v>34.228999999999999</v>
      </c>
      <c r="U135">
        <v>34.734000000000002</v>
      </c>
      <c r="W135">
        <v>-0.13900000000000001</v>
      </c>
      <c r="X135">
        <v>-0.29199999999999998</v>
      </c>
      <c r="Z135">
        <v>4.5999999999999999E-2</v>
      </c>
      <c r="AA135">
        <v>-0.19</v>
      </c>
      <c r="AB135">
        <v>-0.29199999999999998</v>
      </c>
      <c r="AC135">
        <v>-0.20899999999999999</v>
      </c>
      <c r="AD135">
        <v>-0.28699999999999998</v>
      </c>
      <c r="AE135">
        <v>-0.13900000000000001</v>
      </c>
      <c r="AF135">
        <v>-0.06</v>
      </c>
      <c r="AG135">
        <v>-0.17699999999999999</v>
      </c>
      <c r="AH135">
        <v>4.5999999999999999E-2</v>
      </c>
      <c r="AI135">
        <v>-0.19</v>
      </c>
    </row>
    <row r="136" spans="1:35" x14ac:dyDescent="0.25">
      <c r="A136" t="s">
        <v>2793</v>
      </c>
      <c r="B136" t="s">
        <v>31</v>
      </c>
      <c r="C136" s="25">
        <v>43712.044247685182</v>
      </c>
      <c r="D136" s="741" t="s">
        <v>2238</v>
      </c>
      <c r="E136" s="741">
        <f t="array" ref="E136">SUMPRODUCT(IF(AMP7_6[[#This Row],[Dim 1_1]:[T 8]]-$F$4:$AI$4&lt;0,1,0)+IF($F$5:$AI$5-AMP7_6[[#This Row],[Dim 1_1]:[T 8]]&lt;0,1,0),IF(ISNUMBER(AMP7_6[[#This Row],[Dim 1_1]:[T 8]])=TRUE,1,0))</f>
        <v>0</v>
      </c>
      <c r="H136">
        <v>156.24799999999999</v>
      </c>
      <c r="I136">
        <v>156.352</v>
      </c>
      <c r="J136">
        <v>168.82</v>
      </c>
      <c r="K136">
        <v>168.97300000000001</v>
      </c>
      <c r="L136">
        <v>156.29</v>
      </c>
      <c r="M136">
        <v>156.15700000000001</v>
      </c>
      <c r="N136">
        <v>26.966000000000001</v>
      </c>
      <c r="O136">
        <v>27.279</v>
      </c>
      <c r="R136">
        <v>17.256</v>
      </c>
      <c r="S136">
        <v>17.338999999999999</v>
      </c>
      <c r="T136">
        <v>35.880000000000003</v>
      </c>
      <c r="U136">
        <v>37.018999999999998</v>
      </c>
      <c r="W136">
        <v>-0.22</v>
      </c>
      <c r="X136">
        <v>-0.44700000000000001</v>
      </c>
      <c r="Z136">
        <v>-0.113</v>
      </c>
      <c r="AA136">
        <v>-0.43099999999999999</v>
      </c>
      <c r="AB136">
        <v>-0.317</v>
      </c>
      <c r="AC136">
        <v>-0.22</v>
      </c>
      <c r="AD136">
        <v>-0.44700000000000001</v>
      </c>
      <c r="AE136">
        <v>-0.26900000000000002</v>
      </c>
      <c r="AF136">
        <v>-0.25900000000000001</v>
      </c>
      <c r="AG136">
        <v>-0.36099999999999999</v>
      </c>
      <c r="AH136">
        <v>-0.113</v>
      </c>
      <c r="AI136">
        <v>-0.43099999999999999</v>
      </c>
    </row>
    <row r="137" spans="1:35" x14ac:dyDescent="0.25">
      <c r="A137" t="s">
        <v>2794</v>
      </c>
      <c r="B137" t="s">
        <v>32</v>
      </c>
      <c r="C137" s="25">
        <v>43712.305219907408</v>
      </c>
      <c r="D137" s="741" t="s">
        <v>2238</v>
      </c>
      <c r="E137" s="741">
        <f t="array" ref="E137">SUMPRODUCT(IF(AMP7_6[[#This Row],[Dim 1_1]:[T 8]]-$F$4:$AI$4&lt;0,1,0)+IF($F$5:$AI$5-AMP7_6[[#This Row],[Dim 1_1]:[T 8]]&lt;0,1,0),IF(ISNUMBER(AMP7_6[[#This Row],[Dim 1_1]:[T 8]])=TRUE,1,0))</f>
        <v>0</v>
      </c>
      <c r="F137">
        <v>41.124000000000002</v>
      </c>
      <c r="G137">
        <v>41.127000000000002</v>
      </c>
      <c r="H137">
        <v>156.16499999999999</v>
      </c>
      <c r="I137">
        <v>156.309</v>
      </c>
      <c r="L137">
        <v>156.09200000000001</v>
      </c>
      <c r="M137">
        <v>155.93</v>
      </c>
      <c r="N137">
        <v>27.126999999999999</v>
      </c>
      <c r="O137">
        <v>27.298999999999999</v>
      </c>
      <c r="R137">
        <v>17.309000000000001</v>
      </c>
      <c r="S137">
        <v>17.195</v>
      </c>
      <c r="T137">
        <v>33.738</v>
      </c>
      <c r="U137">
        <v>34.962000000000003</v>
      </c>
      <c r="W137">
        <v>-0.115</v>
      </c>
      <c r="X137">
        <v>-0.26200000000000001</v>
      </c>
      <c r="Z137">
        <v>0.14099999999999999</v>
      </c>
      <c r="AA137">
        <v>-6.8000000000000005E-2</v>
      </c>
      <c r="AB137">
        <v>-0.26200000000000001</v>
      </c>
      <c r="AC137">
        <v>-0.16900000000000001</v>
      </c>
      <c r="AD137">
        <v>-0.255</v>
      </c>
      <c r="AE137">
        <v>-0.115</v>
      </c>
      <c r="AF137">
        <v>4.8000000000000001E-2</v>
      </c>
      <c r="AG137">
        <v>-6.8000000000000005E-2</v>
      </c>
      <c r="AH137">
        <v>0.14099999999999999</v>
      </c>
      <c r="AI137">
        <v>-6.8000000000000005E-2</v>
      </c>
    </row>
    <row r="138" spans="1:35" x14ac:dyDescent="0.25">
      <c r="A138" t="s">
        <v>2795</v>
      </c>
      <c r="B138" t="s">
        <v>31</v>
      </c>
      <c r="C138" s="25">
        <v>43712.30736111111</v>
      </c>
      <c r="D138" s="741" t="s">
        <v>2238</v>
      </c>
      <c r="E138" s="741">
        <f t="array" ref="E138">SUMPRODUCT(IF(AMP7_6[[#This Row],[Dim 1_1]:[T 8]]-$F$4:$AI$4&lt;0,1,0)+IF($F$5:$AI$5-AMP7_6[[#This Row],[Dim 1_1]:[T 8]]&lt;0,1,0),IF(ISNUMBER(AMP7_6[[#This Row],[Dim 1_1]:[T 8]])=TRUE,1,0))</f>
        <v>0</v>
      </c>
      <c r="H138">
        <v>156.26499999999999</v>
      </c>
      <c r="I138">
        <v>156.28100000000001</v>
      </c>
      <c r="J138">
        <v>168.82599999999999</v>
      </c>
      <c r="K138">
        <v>168.881</v>
      </c>
      <c r="L138">
        <v>156.28399999999999</v>
      </c>
      <c r="M138">
        <v>156.05699999999999</v>
      </c>
      <c r="N138">
        <v>26.975000000000001</v>
      </c>
      <c r="O138">
        <v>27.367999999999999</v>
      </c>
      <c r="R138">
        <v>17.276</v>
      </c>
      <c r="S138">
        <v>17.352</v>
      </c>
      <c r="T138">
        <v>36.262</v>
      </c>
      <c r="U138">
        <v>35.899000000000001</v>
      </c>
      <c r="W138">
        <v>-8.0000000000000002E-3</v>
      </c>
      <c r="X138">
        <v>-0.30499999999999999</v>
      </c>
      <c r="Z138">
        <v>0.13300000000000001</v>
      </c>
      <c r="AA138">
        <v>-0.20300000000000001</v>
      </c>
      <c r="AB138">
        <v>-0.113</v>
      </c>
      <c r="AC138">
        <v>-8.0000000000000002E-3</v>
      </c>
      <c r="AD138">
        <v>-0.30499999999999999</v>
      </c>
      <c r="AE138">
        <v>-0.128</v>
      </c>
      <c r="AF138">
        <v>5.7000000000000002E-2</v>
      </c>
      <c r="AG138">
        <v>-7.3999999999999996E-2</v>
      </c>
      <c r="AH138">
        <v>0.13300000000000001</v>
      </c>
      <c r="AI138">
        <v>-0.20300000000000001</v>
      </c>
    </row>
    <row r="139" spans="1:35" x14ac:dyDescent="0.25">
      <c r="D139" s="736"/>
      <c r="E139" s="736"/>
    </row>
  </sheetData>
  <mergeCells count="1">
    <mergeCell ref="E1:E2"/>
  </mergeCells>
  <conditionalFormatting sqref="AJ8:XFD8 B10:D15 B17:D138">
    <cfRule type="notContainsBlanks" priority="11" stopIfTrue="1">
      <formula>LEN(TRIM(B8))&gt;0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E1 E3:E1048576">
    <cfRule type="cellIs" dxfId="14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13" priority="10"/>
  </conditionalFormatting>
  <conditionalFormatting sqref="F6:S7 V6:AI7">
    <cfRule type="cellIs" dxfId="12" priority="5" stopIfTrue="1" operator="notBetween">
      <formula>0.35</formula>
      <formula>-0.35</formula>
    </cfRule>
    <cfRule type="cellIs" dxfId="11" priority="6" operator="notBetween">
      <formula>0.2</formula>
      <formula>-0.2</formula>
    </cfRule>
  </conditionalFormatting>
  <conditionalFormatting sqref="T6:U7">
    <cfRule type="cellIs" dxfId="10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9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">
    <tabColor rgb="FF00B050"/>
  </sheetPr>
  <dimension ref="A1:AI137"/>
  <sheetViews>
    <sheetView workbookViewId="0">
      <pane xSplit="2" ySplit="8" topLeftCell="C234" activePane="bottomRight" state="frozenSplit"/>
      <selection pane="topRight" activeCell="C103" sqref="C103"/>
      <selection pane="bottomLeft" activeCell="A236" sqref="A236"/>
      <selection pane="bottomRight"/>
    </sheetView>
  </sheetViews>
  <sheetFormatPr defaultRowHeight="15" x14ac:dyDescent="0.25"/>
  <cols>
    <col min="1" max="1" width="22.140625" bestFit="1" customWidth="1"/>
    <col min="2" max="2" width="20.85546875" bestFit="1" customWidth="1"/>
    <col min="3" max="3" width="15.140625" style="25" customWidth="1"/>
    <col min="4" max="4" width="6.7109375" style="13" customWidth="1"/>
    <col min="5" max="5" width="15.140625" style="13" customWidth="1"/>
    <col min="6" max="15" width="10.7109375" bestFit="1" customWidth="1"/>
    <col min="16" max="17" width="8.5703125" bestFit="1" customWidth="1"/>
    <col min="18" max="19" width="10.7109375" bestFit="1" customWidth="1"/>
    <col min="20" max="21" width="11.7109375" bestFit="1" customWidth="1"/>
    <col min="22" max="22" width="9.7109375" bestFit="1" customWidth="1"/>
    <col min="23" max="23" width="14" bestFit="1" customWidth="1"/>
    <col min="24" max="24" width="13.7109375" bestFit="1" customWidth="1"/>
    <col min="25" max="25" width="9.7109375" bestFit="1" customWidth="1"/>
    <col min="26" max="26" width="14" bestFit="1" customWidth="1"/>
    <col min="27" max="27" width="13.7109375" bestFit="1" customWidth="1"/>
    <col min="28" max="35" width="6.7109375" customWidth="1"/>
  </cols>
  <sheetData>
    <row r="1" spans="1:35" x14ac:dyDescent="0.25">
      <c r="A1" s="1">
        <f>'Offset Solver'!E30</f>
        <v>0</v>
      </c>
      <c r="B1" s="12" t="s">
        <v>32</v>
      </c>
      <c r="C1" s="25">
        <f>MIN(AMP7_8[Date])</f>
        <v>43698.857430555552</v>
      </c>
      <c r="D1" s="310"/>
      <c r="E1" s="794" t="s">
        <v>40</v>
      </c>
      <c r="F1" s="2">
        <f>IFERROR(AVERAGEIFS(AMP7_8[[#All],[Dim 1_1]],AMP7_8[[#All],[Blade Part Number]],$B1,AMP7_8[[#All],[Date]],"&gt;"&amp;$A$1,AMP7_8[[#All],[Date]],"&lt;"&amp;$A$2),"")</f>
        <v>41.090562499999997</v>
      </c>
      <c r="G1" s="2">
        <f>IFERROR(AVERAGEIFS(AMP7_8[[#All],[Dim 1_2]],AMP7_8[[#All],[Blade Part Number]],$B1,AMP7_8[[#All],[Date]],"&gt;"&amp;$A$1,AMP7_8[[#All],[Date]],"&lt;"&amp;$A$2),"")</f>
        <v>41.299078125000008</v>
      </c>
      <c r="H1" s="2">
        <f>IFERROR(AVERAGEIFS(AMP7_8[[#All],[Dim 2_1]],AMP7_8[[#All],[Blade Part Number]],$B1,AMP7_8[[#All],[Date]],"&gt;"&amp;$A$1,AMP7_8[[#All],[Date]],"&lt;"&amp;$A$2),"")</f>
        <v>155.92479687500003</v>
      </c>
      <c r="I1" s="2">
        <f>IFERROR(AVERAGEIFS(AMP7_8[[#All],[Dim 2_2]],AMP7_8[[#All],[Blade Part Number]],$B1,AMP7_8[[#All],[Date]],"&gt;"&amp;$A$1,AMP7_8[[#All],[Date]],"&lt;"&amp;$A$2),"")</f>
        <v>156.18184374999998</v>
      </c>
      <c r="J1" s="2" t="str">
        <f>IFERROR(AVERAGEIFS(AMP7_8[[#All],[Dim 3_1]],AMP7_8[[#All],[Blade Part Number]],$B1,AMP7_8[[#All],[Date]],"&gt;"&amp;$A$1,AMP7_8[[#All],[Date]],"&lt;"&amp;$A$2),"")</f>
        <v/>
      </c>
      <c r="K1" s="2" t="str">
        <f>IFERROR(AVERAGEIFS(AMP7_8[[#All],[Dim 3_2]],AMP7_8[[#All],[Blade Part Number]],$B1,AMP7_8[[#All],[Date]],"&gt;"&amp;$A$1,AMP7_8[[#All],[Date]],"&lt;"&amp;$A$2),"")</f>
        <v/>
      </c>
      <c r="L1" s="2">
        <f>IFERROR(AVERAGEIFS(AMP7_8[[#All],[Dim 4_1]],AMP7_8[[#All],[Blade Part Number]],$B1,AMP7_8[[#All],[Date]],"&gt;"&amp;$A$1,AMP7_8[[#All],[Date]],"&lt;"&amp;$A$2),"")</f>
        <v>155.99410937500002</v>
      </c>
      <c r="M1" s="2">
        <f>IFERROR(AVERAGEIFS(AMP7_8[[#All],[Dim 4_2]],AMP7_8[[#All],[Blade Part Number]],$B1,AMP7_8[[#All],[Date]],"&gt;"&amp;$A$1,AMP7_8[[#All],[Date]],"&lt;"&amp;$A$2),"")</f>
        <v>155.84446874999995</v>
      </c>
      <c r="N1" s="2">
        <f>IFERROR(AVERAGEIFS(AMP7_8[[#All],[Dim 5_1]],AMP7_8[[#All],[Blade Part Number]],$B1,AMP7_8[[#All],[Date]],"&gt;"&amp;$A$1,AMP7_8[[#All],[Date]],"&lt;"&amp;$A$2),"")</f>
        <v>27.200187499999991</v>
      </c>
      <c r="O1" s="2">
        <f>IFERROR(AVERAGEIFS(AMP7_8[[#All],[Dim 5_2]],AMP7_8[[#All],[Blade Part Number]],$B1,AMP7_8[[#All],[Date]],"&gt;"&amp;$A$1,AMP7_8[[#All],[Date]],"&lt;"&amp;$A$2),"")</f>
        <v>27.226187499999995</v>
      </c>
      <c r="P1" s="2" t="str">
        <f>IFERROR(AVERAGEIFS(AMP7_8[[#All],[Dim 6]],AMP7_8[[#All],[Blade Part Number]],$B1,AMP7_8[[#All],[Date]],"&gt;"&amp;$A$1,AMP7_8[[#All],[Date]],"&lt;"&amp;$A$2),"")</f>
        <v/>
      </c>
      <c r="Q1" s="2" t="str">
        <f>IFERROR(AVERAGEIFS(AMP7_8[[#All],[Dim 7]],AMP7_8[[#All],[Blade Part Number]],$B1,AMP7_8[[#All],[Date]],"&gt;"&amp;$A$1,AMP7_8[[#All],[Date]],"&lt;"&amp;$A$2),"")</f>
        <v/>
      </c>
      <c r="R1" s="2">
        <f>IFERROR(AVERAGEIFS(AMP7_8[[#All],[Dim 9_1]],AMP7_8[[#All],[Blade Part Number]],$B1,AMP7_8[[#All],[Date]],"&gt;"&amp;$A$1,AMP7_8[[#All],[Date]],"&lt;"&amp;$A$2),"")</f>
        <v>17.248250000000002</v>
      </c>
      <c r="S1" s="2">
        <f>IFERROR(AVERAGEIFS(AMP7_8[[#All],[Dim 9_2]],AMP7_8[[#All],[Blade Part Number]],$B1,AMP7_8[[#All],[Date]],"&gt;"&amp;$A$1,AMP7_8[[#All],[Date]],"&lt;"&amp;$A$2),"")</f>
        <v>17.246937499999994</v>
      </c>
      <c r="T1" s="2">
        <f>IFERROR(AVERAGEIFS(AMP7_8[[#All],[Dim 10_1]],AMP7_8[[#All],[Blade Part Number]],$B1,AMP7_8[[#All],[Date]],"&gt;"&amp;$A$1,AMP7_8[[#All],[Date]],"&lt;"&amp;$A$2),"")</f>
        <v>32.865937500000001</v>
      </c>
      <c r="U1" s="2">
        <f>IFERROR(AVERAGEIFS(AMP7_8[[#All],[Dim 10_2]],AMP7_8[[#All],[Blade Part Number]],$B1,AMP7_8[[#All],[Date]],"&gt;"&amp;$A$1,AMP7_8[[#All],[Date]],"&lt;"&amp;$A$2),"")</f>
        <v>33.855906250000011</v>
      </c>
      <c r="V1" s="2" t="str">
        <f>IFERROR(AVERAGEIFS(AMP7_8[[#All],[Dim 11]],AMP7_8[[#All],[Blade Part Number]],$B1,AMP7_8[[#All],[Date]],"&gt;"&amp;$A$1,AMP7_8[[#All],[Date]],"&lt;"&amp;$A$2),"")</f>
        <v/>
      </c>
      <c r="W1" s="2">
        <f>IFERROR(AVERAGEIFS(AMP7_8[[#All],[Dim 11 Max]],AMP7_8[[#All],[Blade Part Number]],$B1,AMP7_8[[#All],[Date]],"&gt;"&amp;$A$1,AMP7_8[[#All],[Date]],"&lt;"&amp;$A$2),"")</f>
        <v>0.12135937499999999</v>
      </c>
      <c r="X1" s="2">
        <f>IFERROR(AVERAGEIFS(AMP7_8[[#All],[Dim 11 Min]],AMP7_8[[#All],[Blade Part Number]],$B1,AMP7_8[[#All],[Date]],"&gt;"&amp;$A$1,AMP7_8[[#All],[Date]],"&lt;"&amp;$A$2),"")</f>
        <v>-0.22753125000000007</v>
      </c>
      <c r="Y1" s="2" t="str">
        <f>IFERROR(AVERAGEIFS(AMP7_8[[#All],[Dim 12]],AMP7_8[[#All],[Blade Part Number]],$B1,AMP7_8[[#All],[Date]],"&gt;"&amp;$A$1,AMP7_8[[#All],[Date]],"&lt;"&amp;$A$2),"")</f>
        <v/>
      </c>
      <c r="Z1" s="2">
        <f>IFERROR(AVERAGEIFS(AMP7_8[[#All],[Dim 12 Max]],AMP7_8[[#All],[Blade Part Number]],$B1,AMP7_8[[#All],[Date]],"&gt;"&amp;$A$1,AMP7_8[[#All],[Date]],"&lt;"&amp;$A$2),"")</f>
        <v>-3.1249999999984415E-5</v>
      </c>
      <c r="AA1" s="2">
        <f>IFERROR(AVERAGEIFS(AMP7_8[[#All],[Dim 12 Min]],AMP7_8[[#All],[Blade Part Number]],$B1,AMP7_8[[#All],[Date]],"&gt;"&amp;$A$1,AMP7_8[[#All],[Date]],"&lt;"&amp;$A$2),"")</f>
        <v>-0.26070312500000004</v>
      </c>
      <c r="AB1" s="2">
        <f>IFERROR(AVERAGEIFS(AMP7_8[[#All],[T 1]],AMP7_8[[#All],[Blade Part Number]],$B1,AMP7_8[[#All],[Date]],"&gt;"&amp;$A$1,AMP7_8[[#All],[Date]],"&lt;"&amp;$A$2),"")</f>
        <v>-0.15364062500000009</v>
      </c>
      <c r="AC1" s="2">
        <f>IFERROR(AVERAGEIFS(AMP7_8[[#All],[T 2]],AMP7_8[[#All],[Blade Part Number]],$B1,AMP7_8[[#All],[Date]],"&gt;"&amp;$A$1,AMP7_8[[#All],[Date]],"&lt;"&amp;$A$2),"")</f>
        <v>-8.042187499999999E-2</v>
      </c>
      <c r="AD1" s="2">
        <f>IFERROR(AVERAGEIFS(AMP7_8[[#All],[T 3]],AMP7_8[[#All],[Blade Part Number]],$B1,AMP7_8[[#All],[Date]],"&gt;"&amp;$A$1,AMP7_8[[#All],[Date]],"&lt;"&amp;$A$2),"")</f>
        <v>-0.20164062500000002</v>
      </c>
      <c r="AE1" s="2">
        <f>IFERROR(AVERAGEIFS(AMP7_8[[#All],[T 4]],AMP7_8[[#All],[Blade Part Number]],$B1,AMP7_8[[#All],[Date]],"&gt;"&amp;$A$1,AMP7_8[[#All],[Date]],"&lt;"&amp;$A$2),"")</f>
        <v>0.12135937499999999</v>
      </c>
      <c r="AF1" s="2">
        <f>IFERROR(AVERAGEIFS(AMP7_8[[#All],[T 5]],AMP7_8[[#All],[Blade Part Number]],$B1,AMP7_8[[#All],[Date]],"&gt;"&amp;$A$1,AMP7_8[[#All],[Date]],"&lt;"&amp;$A$2),"")</f>
        <v>-3.5671874999999992E-2</v>
      </c>
      <c r="AG1" s="2">
        <f>IFERROR(AVERAGEIFS(AMP7_8[[#All],[T 6]],AMP7_8[[#All],[Blade Part Number]],$B1,AMP7_8[[#All],[Date]],"&gt;"&amp;$A$1,AMP7_8[[#All],[Date]],"&lt;"&amp;$A$2),"")</f>
        <v>-0.13460937499999998</v>
      </c>
      <c r="AH1" s="2">
        <f>IFERROR(AVERAGEIFS(AMP7_8[[#All],[T 7]],AMP7_8[[#All],[Blade Part Number]],$B1,AMP7_8[[#All],[Date]],"&gt;"&amp;$A$1,AMP7_8[[#All],[Date]],"&lt;"&amp;$A$2),"")</f>
        <v>-7.1015624999999957E-2</v>
      </c>
      <c r="AI1" s="2">
        <f>IFERROR(AVERAGEIFS(AMP7_8[[#All],[T 8]],AMP7_8[[#All],[Blade Part Number]],$B1,AMP7_8[[#All],[Date]],"&gt;"&amp;$A$1,AMP7_8[[#All],[Date]],"&lt;"&amp;$A$2),"")</f>
        <v>-0.24807812500000001</v>
      </c>
    </row>
    <row r="2" spans="1:35" x14ac:dyDescent="0.25">
      <c r="A2" s="1">
        <f>'Offset Solver'!E31</f>
        <v>73050</v>
      </c>
      <c r="B2" s="12" t="s">
        <v>31</v>
      </c>
      <c r="C2" s="25">
        <f>MAX(AMP7_8[Date])</f>
        <v>43712.311585648145</v>
      </c>
      <c r="D2" s="310"/>
      <c r="E2" s="794"/>
      <c r="F2" s="2" t="str">
        <f>IFERROR(AVERAGEIFS(AMP7_8[[#All],[Dim 1_1]],AMP7_8[[#All],[Blade Part Number]],$B2,AMP7_8[[#All],[Date]],"&gt;"&amp;$A$1,AMP7_8[[#All],[Date]],"&lt;"&amp;$A$2),"")</f>
        <v/>
      </c>
      <c r="G2" s="2" t="str">
        <f>IFERROR(AVERAGEIFS(AMP7_8[[#All],[Dim 1_2]],AMP7_8[[#All],[Blade Part Number]],$B2,AMP7_8[[#All],[Date]],"&gt;"&amp;$A$1,AMP7_8[[#All],[Date]],"&lt;"&amp;$A$2),"")</f>
        <v/>
      </c>
      <c r="H2" s="2">
        <f>IFERROR(AVERAGEIFS(AMP7_8[[#All],[Dim 2_1]],AMP7_8[[#All],[Blade Part Number]],$B2,AMP7_8[[#All],[Date]],"&gt;"&amp;$A$1,AMP7_8[[#All],[Date]],"&lt;"&amp;$A$2),"")</f>
        <v>155.88556250000005</v>
      </c>
      <c r="I2" s="2">
        <f>IFERROR(AVERAGEIFS(AMP7_8[[#All],[Dim 2_2]],AMP7_8[[#All],[Blade Part Number]],$B2,AMP7_8[[#All],[Date]],"&gt;"&amp;$A$1,AMP7_8[[#All],[Date]],"&lt;"&amp;$A$2),"")</f>
        <v>155.92326562500003</v>
      </c>
      <c r="J2" s="2">
        <f>IFERROR(AVERAGEIFS(AMP7_8[[#All],[Dim 3_1]],AMP7_8[[#All],[Blade Part Number]],$B2,AMP7_8[[#All],[Date]],"&gt;"&amp;$A$1,AMP7_8[[#All],[Date]],"&lt;"&amp;$A$2),"")</f>
        <v>168.82953125000006</v>
      </c>
      <c r="K2" s="2">
        <f>IFERROR(AVERAGEIFS(AMP7_8[[#All],[Dim 3_2]],AMP7_8[[#All],[Blade Part Number]],$B2,AMP7_8[[#All],[Date]],"&gt;"&amp;$A$1,AMP7_8[[#All],[Date]],"&lt;"&amp;$A$2),"")</f>
        <v>169.07067187500004</v>
      </c>
      <c r="L2" s="2">
        <f>IFERROR(AVERAGEIFS(AMP7_8[[#All],[Dim 4_1]],AMP7_8[[#All],[Blade Part Number]],$B2,AMP7_8[[#All],[Date]],"&gt;"&amp;$A$1,AMP7_8[[#All],[Date]],"&lt;"&amp;$A$2),"")</f>
        <v>155.95768749999999</v>
      </c>
      <c r="M2" s="2">
        <f>IFERROR(AVERAGEIFS(AMP7_8[[#All],[Dim 4_2]],AMP7_8[[#All],[Blade Part Number]],$B2,AMP7_8[[#All],[Date]],"&gt;"&amp;$A$1,AMP7_8[[#All],[Date]],"&lt;"&amp;$A$2),"")</f>
        <v>155.68248437499997</v>
      </c>
      <c r="N2" s="2">
        <f>IFERROR(AVERAGEIFS(AMP7_8[[#All],[Dim 5_1]],AMP7_8[[#All],[Blade Part Number]],$B2,AMP7_8[[#All],[Date]],"&gt;"&amp;$A$1,AMP7_8[[#All],[Date]],"&lt;"&amp;$A$2),"")</f>
        <v>27.261953125000009</v>
      </c>
      <c r="O2" s="2">
        <f>IFERROR(AVERAGEIFS(AMP7_8[[#All],[Dim 5_2]],AMP7_8[[#All],[Blade Part Number]],$B2,AMP7_8[[#All],[Date]],"&gt;"&amp;$A$1,AMP7_8[[#All],[Date]],"&lt;"&amp;$A$2),"")</f>
        <v>27.569265625</v>
      </c>
      <c r="P2" s="2" t="str">
        <f>IFERROR(AVERAGEIFS(AMP7_8[[#All],[Dim 6]],AMP7_8[[#All],[Blade Part Number]],$B2,AMP7_8[[#All],[Date]],"&gt;"&amp;$A$1,AMP7_8[[#All],[Date]],"&lt;"&amp;$A$2),"")</f>
        <v/>
      </c>
      <c r="Q2" s="2" t="str">
        <f>IFERROR(AVERAGEIFS(AMP7_8[[#All],[Dim 7]],AMP7_8[[#All],[Blade Part Number]],$B2,AMP7_8[[#All],[Date]],"&gt;"&amp;$A$1,AMP7_8[[#All],[Date]],"&lt;"&amp;$A$2),"")</f>
        <v/>
      </c>
      <c r="R2" s="2">
        <f>IFERROR(AVERAGEIFS(AMP7_8[[#All],[Dim 9_1]],AMP7_8[[#All],[Blade Part Number]],$B2,AMP7_8[[#All],[Date]],"&gt;"&amp;$A$1,AMP7_8[[#All],[Date]],"&lt;"&amp;$A$2),"")</f>
        <v>17.252312499999999</v>
      </c>
      <c r="S2" s="2">
        <f>IFERROR(AVERAGEIFS(AMP7_8[[#All],[Dim 9_2]],AMP7_8[[#All],[Blade Part Number]],$B2,AMP7_8[[#All],[Date]],"&gt;"&amp;$A$1,AMP7_8[[#All],[Date]],"&lt;"&amp;$A$2),"")</f>
        <v>17.285312499999996</v>
      </c>
      <c r="T2" s="2">
        <f>IFERROR(AVERAGEIFS(AMP7_8[[#All],[Dim 10_1]],AMP7_8[[#All],[Blade Part Number]],$B2,AMP7_8[[#All],[Date]],"&gt;"&amp;$A$1,AMP7_8[[#All],[Date]],"&lt;"&amp;$A$2),"")</f>
        <v>38.012874999999994</v>
      </c>
      <c r="U2" s="2">
        <f>IFERROR(AVERAGEIFS(AMP7_8[[#All],[Dim 10_2]],AMP7_8[[#All],[Blade Part Number]],$B2,AMP7_8[[#All],[Date]],"&gt;"&amp;$A$1,AMP7_8[[#All],[Date]],"&lt;"&amp;$A$2),"")</f>
        <v>38.506906250000007</v>
      </c>
      <c r="V2" s="2" t="str">
        <f>IFERROR(AVERAGEIFS(AMP7_8[[#All],[Dim 11]],AMP7_8[[#All],[Blade Part Number]],$B2,AMP7_8[[#All],[Date]],"&gt;"&amp;$A$1,AMP7_8[[#All],[Date]],"&lt;"&amp;$A$2),"")</f>
        <v/>
      </c>
      <c r="W2" s="2">
        <f>IFERROR(AVERAGEIFS(AMP7_8[[#All],[Dim 11 Max]],AMP7_8[[#All],[Blade Part Number]],$B2,AMP7_8[[#All],[Date]],"&gt;"&amp;$A$1,AMP7_8[[#All],[Date]],"&lt;"&amp;$A$2),"")</f>
        <v>0.27048437499999994</v>
      </c>
      <c r="X2" s="2">
        <f>IFERROR(AVERAGEIFS(AMP7_8[[#All],[Dim 11 Min]],AMP7_8[[#All],[Blade Part Number]],$B2,AMP7_8[[#All],[Date]],"&gt;"&amp;$A$1,AMP7_8[[#All],[Date]],"&lt;"&amp;$A$2),"")</f>
        <v>-0.17675000000000002</v>
      </c>
      <c r="Y2" s="2" t="str">
        <f>IFERROR(AVERAGEIFS(AMP7_8[[#All],[Dim 12]],AMP7_8[[#All],[Blade Part Number]],$B2,AMP7_8[[#All],[Date]],"&gt;"&amp;$A$1,AMP7_8[[#All],[Date]],"&lt;"&amp;$A$2),"")</f>
        <v/>
      </c>
      <c r="Z2" s="2">
        <f>IFERROR(AVERAGEIFS(AMP7_8[[#All],[Dim 12 Max]],AMP7_8[[#All],[Blade Part Number]],$B2,AMP7_8[[#All],[Date]],"&gt;"&amp;$A$1,AMP7_8[[#All],[Date]],"&lt;"&amp;$A$2),"")</f>
        <v>5.9625000000000011E-2</v>
      </c>
      <c r="AA2" s="2">
        <f>IFERROR(AVERAGEIFS(AMP7_8[[#All],[Dim 12 Min]],AMP7_8[[#All],[Blade Part Number]],$B2,AMP7_8[[#All],[Date]],"&gt;"&amp;$A$1,AMP7_8[[#All],[Date]],"&lt;"&amp;$A$2),"")</f>
        <v>-0.27829687500000005</v>
      </c>
      <c r="AB2" s="2">
        <f>IFERROR(AVERAGEIFS(AMP7_8[[#All],[T 1]],AMP7_8[[#All],[Blade Part Number]],$B2,AMP7_8[[#All],[Date]],"&gt;"&amp;$A$1,AMP7_8[[#All],[Date]],"&lt;"&amp;$A$2),"")</f>
        <v>-5.8312500000000017E-2</v>
      </c>
      <c r="AC2" s="2">
        <f>IFERROR(AVERAGEIFS(AMP7_8[[#All],[T 2]],AMP7_8[[#All],[Blade Part Number]],$B2,AMP7_8[[#All],[Date]],"&gt;"&amp;$A$1,AMP7_8[[#All],[Date]],"&lt;"&amp;$A$2),"")</f>
        <v>3.3906249999999992E-2</v>
      </c>
      <c r="AD2" s="2">
        <f>IFERROR(AVERAGEIFS(AMP7_8[[#All],[T 3]],AMP7_8[[#All],[Blade Part Number]],$B2,AMP7_8[[#All],[Date]],"&gt;"&amp;$A$1,AMP7_8[[#All],[Date]],"&lt;"&amp;$A$2),"")</f>
        <v>-0.17507812500000006</v>
      </c>
      <c r="AE2" s="2">
        <f>IFERROR(AVERAGEIFS(AMP7_8[[#All],[T 4]],AMP7_8[[#All],[Blade Part Number]],$B2,AMP7_8[[#All],[Date]],"&gt;"&amp;$A$1,AMP7_8[[#All],[Date]],"&lt;"&amp;$A$2),"")</f>
        <v>0.27048437499999994</v>
      </c>
      <c r="AF2" s="2">
        <f>IFERROR(AVERAGEIFS(AMP7_8[[#All],[T 5]],AMP7_8[[#All],[Blade Part Number]],$B2,AMP7_8[[#All],[Date]],"&gt;"&amp;$A$1,AMP7_8[[#All],[Date]],"&lt;"&amp;$A$2),"")</f>
        <v>-6.2218750000000024E-2</v>
      </c>
      <c r="AG2" s="2">
        <f>IFERROR(AVERAGEIFS(AMP7_8[[#All],[T 6]],AMP7_8[[#All],[Blade Part Number]],$B2,AMP7_8[[#All],[Date]],"&gt;"&amp;$A$1,AMP7_8[[#All],[Date]],"&lt;"&amp;$A$2),"")</f>
        <v>-0.18709374999999998</v>
      </c>
      <c r="AH2" s="2">
        <f>IFERROR(AVERAGEIFS(AMP7_8[[#All],[T 7]],AMP7_8[[#All],[Blade Part Number]],$B2,AMP7_8[[#All],[Date]],"&gt;"&amp;$A$1,AMP7_8[[#All],[Date]],"&lt;"&amp;$A$2),"")</f>
        <v>5.7281250000000006E-2</v>
      </c>
      <c r="AI2" s="2">
        <f>IFERROR(AVERAGEIFS(AMP7_8[[#All],[T 8]],AMP7_8[[#All],[Blade Part Number]],$B2,AMP7_8[[#All],[Date]],"&gt;"&amp;$A$1,AMP7_8[[#All],[Date]],"&lt;"&amp;$A$2),"")</f>
        <v>-0.27309375000000002</v>
      </c>
    </row>
    <row r="3" spans="1:35" x14ac:dyDescent="0.25">
      <c r="E3" s="217" t="s">
        <v>37</v>
      </c>
      <c r="F3">
        <f>Tolerances!B2</f>
        <v>41.3</v>
      </c>
      <c r="G3">
        <f>Tolerances!C2</f>
        <v>41.3</v>
      </c>
      <c r="H3">
        <f>Tolerances!D2</f>
        <v>155.80000000000001</v>
      </c>
      <c r="I3">
        <f>Tolerances!E2</f>
        <v>155.80000000000001</v>
      </c>
      <c r="J3">
        <f>Tolerances!F2</f>
        <v>168.7</v>
      </c>
      <c r="K3">
        <f>Tolerances!G2</f>
        <v>168.7</v>
      </c>
      <c r="L3">
        <f>Tolerances!H2</f>
        <v>155.80000000000001</v>
      </c>
      <c r="M3">
        <f>Tolerances!I2</f>
        <v>155.80000000000001</v>
      </c>
      <c r="N3">
        <f>Tolerances!J2</f>
        <v>27.4</v>
      </c>
      <c r="O3">
        <f>Tolerances!K2</f>
        <v>27.4</v>
      </c>
      <c r="P3">
        <f>Tolerances!L2</f>
        <v>0</v>
      </c>
      <c r="Q3">
        <f>Tolerances!M2</f>
        <v>0</v>
      </c>
      <c r="R3">
        <f>Tolerances!N2</f>
        <v>17.25</v>
      </c>
      <c r="S3">
        <f>Tolerances!O2</f>
        <v>17.25</v>
      </c>
      <c r="T3">
        <f>Tolerances!P2</f>
        <v>32</v>
      </c>
      <c r="U3">
        <f>Tolerances!Q2</f>
        <v>32</v>
      </c>
      <c r="V3">
        <f>Tolerances!R2</f>
        <v>0</v>
      </c>
      <c r="W3">
        <f>Tolerances!S2</f>
        <v>0</v>
      </c>
      <c r="X3">
        <f>Tolerances!T2</f>
        <v>0</v>
      </c>
      <c r="Y3">
        <f>Tolerances!U2</f>
        <v>0</v>
      </c>
      <c r="Z3">
        <f>Tolerances!V2</f>
        <v>0</v>
      </c>
      <c r="AA3">
        <f>Tolerances!W2</f>
        <v>0</v>
      </c>
      <c r="AB3">
        <f>Tolerances!X2</f>
        <v>0</v>
      </c>
      <c r="AC3">
        <f>Tolerances!Y2</f>
        <v>0</v>
      </c>
      <c r="AD3">
        <f>Tolerances!Z2</f>
        <v>0</v>
      </c>
      <c r="AE3">
        <f>Tolerances!AA2</f>
        <v>0</v>
      </c>
      <c r="AF3">
        <f>Tolerances!AB2</f>
        <v>0</v>
      </c>
      <c r="AG3">
        <f>Tolerances!AC2</f>
        <v>0</v>
      </c>
      <c r="AH3">
        <f>Tolerances!AD2</f>
        <v>0</v>
      </c>
      <c r="AI3">
        <f>Tolerances!AE2</f>
        <v>0</v>
      </c>
    </row>
    <row r="4" spans="1:35" x14ac:dyDescent="0.25">
      <c r="E4" s="217" t="s">
        <v>41</v>
      </c>
      <c r="F4">
        <f>Tolerances!B3</f>
        <v>40.795000000000002</v>
      </c>
      <c r="G4">
        <f>Tolerances!C3</f>
        <v>40.795000000000002</v>
      </c>
      <c r="H4">
        <f>Tolerances!D3</f>
        <v>155.1</v>
      </c>
      <c r="I4">
        <f>Tolerances!E3</f>
        <v>155.1</v>
      </c>
      <c r="J4">
        <f>Tolerances!F3</f>
        <v>168</v>
      </c>
      <c r="K4">
        <f>Tolerances!G3</f>
        <v>168</v>
      </c>
      <c r="L4">
        <f>Tolerances!H3</f>
        <v>155.1</v>
      </c>
      <c r="M4">
        <f>Tolerances!I3</f>
        <v>155.1</v>
      </c>
      <c r="N4">
        <f>Tolerances!J3</f>
        <v>26.7</v>
      </c>
      <c r="O4">
        <f>Tolerances!K3</f>
        <v>26.7</v>
      </c>
      <c r="P4">
        <f>Tolerances!L3</f>
        <v>-0.505</v>
      </c>
      <c r="Q4">
        <f>Tolerances!M3</f>
        <v>-0.505</v>
      </c>
      <c r="R4">
        <f>Tolerances!N3</f>
        <v>16.55</v>
      </c>
      <c r="S4">
        <f>Tolerances!O3</f>
        <v>16.55</v>
      </c>
      <c r="T4">
        <f>Tolerances!P3</f>
        <v>32</v>
      </c>
      <c r="U4">
        <f>Tolerances!Q3</f>
        <v>32</v>
      </c>
      <c r="V4">
        <f>Tolerances!R3</f>
        <v>-0.505</v>
      </c>
      <c r="W4">
        <f>Tolerances!S3</f>
        <v>-0.7</v>
      </c>
      <c r="X4">
        <f>Tolerances!T3</f>
        <v>-0.7</v>
      </c>
      <c r="Y4">
        <f>Tolerances!U3</f>
        <v>-0.505</v>
      </c>
      <c r="Z4">
        <f>Tolerances!V3</f>
        <v>-0.7</v>
      </c>
      <c r="AA4">
        <f>Tolerances!W3</f>
        <v>-0.7</v>
      </c>
      <c r="AB4">
        <f>Tolerances!X3</f>
        <v>-0.7</v>
      </c>
      <c r="AC4">
        <f>Tolerances!Y3</f>
        <v>-0.7</v>
      </c>
      <c r="AD4">
        <f>Tolerances!Z3</f>
        <v>-0.7</v>
      </c>
      <c r="AE4">
        <f>Tolerances!AA3</f>
        <v>-0.7</v>
      </c>
      <c r="AF4">
        <f>Tolerances!AB3</f>
        <v>-0.7</v>
      </c>
      <c r="AG4">
        <f>Tolerances!AC3</f>
        <v>-0.7</v>
      </c>
      <c r="AH4">
        <f>Tolerances!AD3</f>
        <v>-0.7</v>
      </c>
      <c r="AI4">
        <f>Tolerances!AE3</f>
        <v>-0.7</v>
      </c>
    </row>
    <row r="5" spans="1:35" x14ac:dyDescent="0.25">
      <c r="E5" s="217" t="s">
        <v>42</v>
      </c>
      <c r="F5">
        <f>Tolerances!B4</f>
        <v>41.805</v>
      </c>
      <c r="G5">
        <f>Tolerances!C4</f>
        <v>41.805</v>
      </c>
      <c r="H5">
        <f>Tolerances!D4</f>
        <v>156.5</v>
      </c>
      <c r="I5">
        <f>Tolerances!E4</f>
        <v>156.5</v>
      </c>
      <c r="J5">
        <f>Tolerances!F4</f>
        <v>169.4</v>
      </c>
      <c r="K5">
        <f>Tolerances!G4</f>
        <v>169.4</v>
      </c>
      <c r="L5">
        <f>Tolerances!H4</f>
        <v>156.5</v>
      </c>
      <c r="M5">
        <f>Tolerances!I4</f>
        <v>156.5</v>
      </c>
      <c r="N5">
        <f>Tolerances!J4</f>
        <v>28.1</v>
      </c>
      <c r="O5">
        <f>Tolerances!K4</f>
        <v>28.1</v>
      </c>
      <c r="P5">
        <f>Tolerances!L4</f>
        <v>0.505</v>
      </c>
      <c r="Q5">
        <f>Tolerances!M4</f>
        <v>0.505</v>
      </c>
      <c r="R5">
        <f>Tolerances!N4</f>
        <v>17.95</v>
      </c>
      <c r="S5">
        <f>Tolerances!O4</f>
        <v>17.95</v>
      </c>
      <c r="T5">
        <f>Tolerances!P4</f>
        <v>52</v>
      </c>
      <c r="U5">
        <f>Tolerances!Q4</f>
        <v>52</v>
      </c>
      <c r="V5">
        <f>Tolerances!R4</f>
        <v>0.505</v>
      </c>
      <c r="W5">
        <f>Tolerances!S4</f>
        <v>0.7</v>
      </c>
      <c r="X5">
        <f>Tolerances!T4</f>
        <v>0.7</v>
      </c>
      <c r="Y5">
        <f>Tolerances!U4</f>
        <v>0.505</v>
      </c>
      <c r="Z5">
        <f>Tolerances!V4</f>
        <v>0.7</v>
      </c>
      <c r="AA5">
        <f>Tolerances!W4</f>
        <v>0.7</v>
      </c>
      <c r="AB5">
        <f>Tolerances!X4</f>
        <v>0.7</v>
      </c>
      <c r="AC5">
        <f>Tolerances!Y4</f>
        <v>0.7</v>
      </c>
      <c r="AD5">
        <f>Tolerances!Z4</f>
        <v>0.7</v>
      </c>
      <c r="AE5">
        <f>Tolerances!AA4</f>
        <v>0.7</v>
      </c>
      <c r="AF5">
        <f>Tolerances!AB4</f>
        <v>0.7</v>
      </c>
      <c r="AG5">
        <f>Tolerances!AC4</f>
        <v>0.7</v>
      </c>
      <c r="AH5">
        <f>Tolerances!AD4</f>
        <v>0.7</v>
      </c>
      <c r="AI5">
        <f>Tolerances!AE4</f>
        <v>0.7</v>
      </c>
    </row>
    <row r="6" spans="1:35" x14ac:dyDescent="0.25">
      <c r="C6" s="26"/>
      <c r="D6" s="311"/>
      <c r="E6" s="12" t="s">
        <v>32</v>
      </c>
      <c r="F6" s="11">
        <f t="shared" ref="F6:AI6" si="0">IFERROR(F1-F3,"")</f>
        <v>-0.20943749999999994</v>
      </c>
      <c r="G6" s="11">
        <f t="shared" si="0"/>
        <v>-9.2187499998885869E-4</v>
      </c>
      <c r="H6" s="11">
        <f t="shared" si="0"/>
        <v>0.12479687500001546</v>
      </c>
      <c r="I6" s="11">
        <f t="shared" si="0"/>
        <v>0.38184374999997317</v>
      </c>
      <c r="J6" s="11" t="str">
        <f t="shared" si="0"/>
        <v/>
      </c>
      <c r="K6" s="11" t="str">
        <f t="shared" si="0"/>
        <v/>
      </c>
      <c r="L6" s="11">
        <f t="shared" si="0"/>
        <v>0.19410937500001069</v>
      </c>
      <c r="M6" s="11">
        <f t="shared" si="0"/>
        <v>4.4468749999936108E-2</v>
      </c>
      <c r="N6" s="11">
        <f t="shared" si="0"/>
        <v>-0.19981250000000728</v>
      </c>
      <c r="O6" s="11">
        <f t="shared" si="0"/>
        <v>-0.17381250000000392</v>
      </c>
      <c r="P6" s="11" t="str">
        <f t="shared" si="0"/>
        <v/>
      </c>
      <c r="Q6" s="11" t="str">
        <f t="shared" si="0"/>
        <v/>
      </c>
      <c r="R6" s="11">
        <f t="shared" si="0"/>
        <v>-1.7499999999976978E-3</v>
      </c>
      <c r="S6" s="11">
        <f t="shared" si="0"/>
        <v>-3.0625000000057412E-3</v>
      </c>
      <c r="T6" s="11">
        <f t="shared" si="0"/>
        <v>0.86593750000000114</v>
      </c>
      <c r="U6" s="11">
        <f t="shared" si="0"/>
        <v>1.855906250000011</v>
      </c>
      <c r="V6" s="11" t="str">
        <f t="shared" si="0"/>
        <v/>
      </c>
      <c r="W6" s="11">
        <f t="shared" si="0"/>
        <v>0.12135937499999999</v>
      </c>
      <c r="X6" s="11">
        <f t="shared" si="0"/>
        <v>-0.22753125000000007</v>
      </c>
      <c r="Y6" s="11" t="str">
        <f t="shared" si="0"/>
        <v/>
      </c>
      <c r="Z6" s="11">
        <f t="shared" si="0"/>
        <v>-3.1249999999984415E-5</v>
      </c>
      <c r="AA6" s="11">
        <f t="shared" si="0"/>
        <v>-0.26070312500000004</v>
      </c>
      <c r="AB6" s="11">
        <f t="shared" si="0"/>
        <v>-0.15364062500000009</v>
      </c>
      <c r="AC6" s="11">
        <f t="shared" si="0"/>
        <v>-8.042187499999999E-2</v>
      </c>
      <c r="AD6" s="11">
        <f t="shared" si="0"/>
        <v>-0.20164062500000002</v>
      </c>
      <c r="AE6" s="11">
        <f t="shared" si="0"/>
        <v>0.12135937499999999</v>
      </c>
      <c r="AF6" s="11">
        <f t="shared" si="0"/>
        <v>-3.5671874999999992E-2</v>
      </c>
      <c r="AG6" s="11">
        <f t="shared" si="0"/>
        <v>-0.13460937499999998</v>
      </c>
      <c r="AH6" s="11">
        <f t="shared" si="0"/>
        <v>-7.1015624999999957E-2</v>
      </c>
      <c r="AI6" s="11">
        <f t="shared" si="0"/>
        <v>-0.24807812500000001</v>
      </c>
    </row>
    <row r="7" spans="1:35" x14ac:dyDescent="0.25">
      <c r="C7" s="27"/>
      <c r="D7" s="311"/>
      <c r="E7" s="12" t="s">
        <v>31</v>
      </c>
      <c r="F7" s="11" t="str">
        <f t="shared" ref="F7:AI7" si="1">IFERROR(F2-F3,"")</f>
        <v/>
      </c>
      <c r="G7" s="11" t="str">
        <f t="shared" si="1"/>
        <v/>
      </c>
      <c r="H7" s="11">
        <f t="shared" si="1"/>
        <v>8.5562500000037289E-2</v>
      </c>
      <c r="I7" s="11">
        <f t="shared" si="1"/>
        <v>0.12326562500001614</v>
      </c>
      <c r="J7" s="11">
        <f t="shared" si="1"/>
        <v>0.12953125000007049</v>
      </c>
      <c r="K7" s="11">
        <f t="shared" si="1"/>
        <v>0.37067187500005616</v>
      </c>
      <c r="L7" s="11">
        <f t="shared" si="1"/>
        <v>0.15768749999998022</v>
      </c>
      <c r="M7" s="11">
        <f t="shared" si="1"/>
        <v>-0.11751562500003843</v>
      </c>
      <c r="N7" s="11">
        <f t="shared" si="1"/>
        <v>-0.13804687499998991</v>
      </c>
      <c r="O7" s="11">
        <f t="shared" si="1"/>
        <v>0.16926562500000131</v>
      </c>
      <c r="P7" s="11" t="str">
        <f t="shared" si="1"/>
        <v/>
      </c>
      <c r="Q7" s="11" t="str">
        <f t="shared" si="1"/>
        <v/>
      </c>
      <c r="R7" s="11">
        <f t="shared" si="1"/>
        <v>2.3124999999986073E-3</v>
      </c>
      <c r="S7" s="11">
        <f t="shared" si="1"/>
        <v>3.5312499999996305E-2</v>
      </c>
      <c r="T7" s="11">
        <f t="shared" si="1"/>
        <v>6.012874999999994</v>
      </c>
      <c r="U7" s="11">
        <f t="shared" si="1"/>
        <v>6.5069062500000072</v>
      </c>
      <c r="V7" s="11" t="str">
        <f t="shared" si="1"/>
        <v/>
      </c>
      <c r="W7" s="11">
        <f t="shared" si="1"/>
        <v>0.27048437499999994</v>
      </c>
      <c r="X7" s="11">
        <f t="shared" si="1"/>
        <v>-0.17675000000000002</v>
      </c>
      <c r="Y7" s="11" t="str">
        <f t="shared" si="1"/>
        <v/>
      </c>
      <c r="Z7" s="11">
        <f t="shared" si="1"/>
        <v>5.9625000000000011E-2</v>
      </c>
      <c r="AA7" s="11">
        <f t="shared" si="1"/>
        <v>-0.27829687500000005</v>
      </c>
      <c r="AB7" s="11">
        <f t="shared" si="1"/>
        <v>-5.8312500000000017E-2</v>
      </c>
      <c r="AC7" s="11">
        <f t="shared" si="1"/>
        <v>3.3906249999999992E-2</v>
      </c>
      <c r="AD7" s="11">
        <f t="shared" si="1"/>
        <v>-0.17507812500000006</v>
      </c>
      <c r="AE7" s="11">
        <f t="shared" si="1"/>
        <v>0.27048437499999994</v>
      </c>
      <c r="AF7" s="11">
        <f t="shared" si="1"/>
        <v>-6.2218750000000024E-2</v>
      </c>
      <c r="AG7" s="11">
        <f t="shared" si="1"/>
        <v>-0.18709374999999998</v>
      </c>
      <c r="AH7" s="11">
        <f t="shared" si="1"/>
        <v>5.7281250000000006E-2</v>
      </c>
      <c r="AI7" s="11">
        <f t="shared" si="1"/>
        <v>-0.27309375000000002</v>
      </c>
    </row>
    <row r="8" spans="1:35" x14ac:dyDescent="0.25">
      <c r="A8" t="s">
        <v>33</v>
      </c>
      <c r="B8" t="s">
        <v>60</v>
      </c>
      <c r="C8" s="25" t="s">
        <v>0</v>
      </c>
      <c r="D8" s="741" t="s">
        <v>150</v>
      </c>
      <c r="E8" s="741" t="s">
        <v>43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  <c r="L8" t="s">
        <v>7</v>
      </c>
      <c r="M8" t="s">
        <v>8</v>
      </c>
      <c r="N8" t="s">
        <v>9</v>
      </c>
      <c r="O8" t="s">
        <v>10</v>
      </c>
      <c r="P8" t="s">
        <v>11</v>
      </c>
      <c r="Q8" t="s">
        <v>12</v>
      </c>
      <c r="R8" t="s">
        <v>13</v>
      </c>
      <c r="S8" t="s">
        <v>14</v>
      </c>
      <c r="T8" t="s">
        <v>15</v>
      </c>
      <c r="U8" t="s">
        <v>16</v>
      </c>
      <c r="V8" t="s">
        <v>17</v>
      </c>
      <c r="W8" t="s">
        <v>18</v>
      </c>
      <c r="X8" t="s">
        <v>19</v>
      </c>
      <c r="Y8" t="s">
        <v>20</v>
      </c>
      <c r="Z8" t="s">
        <v>21</v>
      </c>
      <c r="AA8" t="s">
        <v>22</v>
      </c>
      <c r="AB8" t="s">
        <v>23</v>
      </c>
      <c r="AC8" t="s">
        <v>24</v>
      </c>
      <c r="AD8" t="s">
        <v>25</v>
      </c>
      <c r="AE8" t="s">
        <v>26</v>
      </c>
      <c r="AF8" t="s">
        <v>27</v>
      </c>
      <c r="AG8" t="s">
        <v>28</v>
      </c>
      <c r="AH8" t="s">
        <v>29</v>
      </c>
      <c r="AI8" t="s">
        <v>30</v>
      </c>
    </row>
    <row r="9" spans="1:35" x14ac:dyDescent="0.25">
      <c r="A9" t="s">
        <v>1136</v>
      </c>
      <c r="B9" t="s">
        <v>32</v>
      </c>
      <c r="C9" s="25">
        <v>43698.857430555552</v>
      </c>
      <c r="D9" s="741" t="s">
        <v>969</v>
      </c>
      <c r="E9" s="741">
        <f t="array" ref="E9">SUMPRODUCT(IF(AMP7_8[[#This Row],[Dim 1_1]:[T 8]]-$F$4:$AI$4&lt;0,1,0)+IF($F$5:$AI$5-AMP7_8[[#This Row],[Dim 1_1]:[T 8]]&lt;0,1,0),IF(ISNUMBER(AMP7_8[[#This Row],[Dim 1_1]:[T 8]])=TRUE,1,0))</f>
        <v>0</v>
      </c>
      <c r="F9">
        <v>41.206000000000003</v>
      </c>
      <c r="G9">
        <v>41.460999999999999</v>
      </c>
      <c r="H9">
        <v>155.93199999999999</v>
      </c>
      <c r="I9">
        <v>156.245</v>
      </c>
      <c r="L9">
        <v>155.98699999999999</v>
      </c>
      <c r="M9">
        <v>155.91999999999999</v>
      </c>
      <c r="N9">
        <v>27.202000000000002</v>
      </c>
      <c r="O9">
        <v>27.123000000000001</v>
      </c>
      <c r="R9">
        <v>17.298999999999999</v>
      </c>
      <c r="S9">
        <v>17.236000000000001</v>
      </c>
      <c r="T9">
        <v>32.899000000000001</v>
      </c>
      <c r="U9">
        <v>33.865000000000002</v>
      </c>
      <c r="W9">
        <v>0.126</v>
      </c>
      <c r="X9">
        <v>-0.223</v>
      </c>
      <c r="Z9">
        <v>-9.5000000000000001E-2</v>
      </c>
      <c r="AA9">
        <v>-0.28999999999999998</v>
      </c>
      <c r="AB9">
        <v>-0.223</v>
      </c>
      <c r="AC9">
        <v>-0.14399999999999999</v>
      </c>
      <c r="AD9">
        <v>-0.21199999999999999</v>
      </c>
      <c r="AE9">
        <v>0.126</v>
      </c>
      <c r="AF9">
        <v>-0.11</v>
      </c>
      <c r="AG9">
        <v>-0.20799999999999999</v>
      </c>
      <c r="AH9">
        <v>-9.5000000000000001E-2</v>
      </c>
      <c r="AI9">
        <v>-0.28999999999999998</v>
      </c>
    </row>
    <row r="10" spans="1:35" x14ac:dyDescent="0.25">
      <c r="A10" t="s">
        <v>1137</v>
      </c>
      <c r="B10" t="s">
        <v>31</v>
      </c>
      <c r="C10" s="25">
        <v>43698.859525462962</v>
      </c>
      <c r="D10" s="741" t="s">
        <v>969</v>
      </c>
      <c r="E10" s="741">
        <f t="array" ref="E10">SUMPRODUCT(IF(AMP7_8[[#This Row],[Dim 1_1]:[T 8]]-$F$4:$AI$4&lt;0,1,0)+IF($F$5:$AI$5-AMP7_8[[#This Row],[Dim 1_1]:[T 8]]&lt;0,1,0),IF(ISNUMBER(AMP7_8[[#This Row],[Dim 1_1]:[T 8]])=TRUE,1,0))</f>
        <v>0</v>
      </c>
      <c r="H10">
        <v>155.93100000000001</v>
      </c>
      <c r="I10">
        <v>155.96799999999999</v>
      </c>
      <c r="J10">
        <v>169.09800000000001</v>
      </c>
      <c r="K10">
        <v>169.36199999999999</v>
      </c>
      <c r="L10">
        <v>156.06399999999999</v>
      </c>
      <c r="M10">
        <v>155.73400000000001</v>
      </c>
      <c r="N10">
        <v>27.157</v>
      </c>
      <c r="O10">
        <v>27.524999999999999</v>
      </c>
      <c r="R10">
        <v>17.280999999999999</v>
      </c>
      <c r="S10">
        <v>17.292000000000002</v>
      </c>
      <c r="T10">
        <v>38.601999999999997</v>
      </c>
      <c r="U10">
        <v>40.183999999999997</v>
      </c>
      <c r="W10">
        <v>0.35799999999999998</v>
      </c>
      <c r="X10">
        <v>-6.3E-2</v>
      </c>
      <c r="Z10">
        <v>0.14199999999999999</v>
      </c>
      <c r="AA10">
        <v>-0.20799999999999999</v>
      </c>
      <c r="AB10">
        <v>-1.6E-2</v>
      </c>
      <c r="AC10">
        <v>7.1999999999999995E-2</v>
      </c>
      <c r="AD10">
        <v>-6.3E-2</v>
      </c>
      <c r="AE10">
        <v>0.35799999999999998</v>
      </c>
      <c r="AF10">
        <v>-5.2999999999999999E-2</v>
      </c>
      <c r="AG10">
        <v>-0.161</v>
      </c>
      <c r="AH10">
        <v>0.14199999999999999</v>
      </c>
      <c r="AI10">
        <v>-0.20799999999999999</v>
      </c>
    </row>
    <row r="11" spans="1:35" x14ac:dyDescent="0.25">
      <c r="A11" t="s">
        <v>1138</v>
      </c>
      <c r="B11" t="s">
        <v>32</v>
      </c>
      <c r="C11" s="25">
        <v>43699.342187499999</v>
      </c>
      <c r="D11" s="741" t="s">
        <v>969</v>
      </c>
      <c r="E11" s="741">
        <f t="array" ref="E11">SUMPRODUCT(IF(AMP7_8[[#This Row],[Dim 1_1]:[T 8]]-$F$4:$AI$4&lt;0,1,0)+IF($F$5:$AI$5-AMP7_8[[#This Row],[Dim 1_1]:[T 8]]&lt;0,1,0),IF(ISNUMBER(AMP7_8[[#This Row],[Dim 1_1]:[T 8]])=TRUE,1,0))</f>
        <v>0</v>
      </c>
      <c r="F11">
        <v>40.853999999999999</v>
      </c>
      <c r="G11">
        <v>41.194000000000003</v>
      </c>
      <c r="H11">
        <v>155.97399999999999</v>
      </c>
      <c r="I11">
        <v>156.256</v>
      </c>
      <c r="L11">
        <v>156.06800000000001</v>
      </c>
      <c r="M11">
        <v>155.95099999999999</v>
      </c>
      <c r="N11">
        <v>27.096</v>
      </c>
      <c r="O11">
        <v>27.1</v>
      </c>
      <c r="R11">
        <v>17.247</v>
      </c>
      <c r="S11">
        <v>17.23</v>
      </c>
      <c r="T11">
        <v>33.335000000000001</v>
      </c>
      <c r="U11">
        <v>33.466999999999999</v>
      </c>
      <c r="W11">
        <v>7.1999999999999995E-2</v>
      </c>
      <c r="X11">
        <v>-0.26400000000000001</v>
      </c>
      <c r="Z11">
        <v>-7.0000000000000001E-3</v>
      </c>
      <c r="AA11">
        <v>-0.23</v>
      </c>
      <c r="AB11">
        <v>-0.26400000000000001</v>
      </c>
      <c r="AC11">
        <v>-0.17899999999999999</v>
      </c>
      <c r="AD11">
        <v>-0.26400000000000001</v>
      </c>
      <c r="AE11">
        <v>7.1999999999999995E-2</v>
      </c>
      <c r="AF11">
        <v>-7.0000000000000001E-3</v>
      </c>
      <c r="AG11">
        <v>-9.9000000000000005E-2</v>
      </c>
      <c r="AH11">
        <v>-2.5999999999999999E-2</v>
      </c>
      <c r="AI11">
        <v>-0.23</v>
      </c>
    </row>
    <row r="12" spans="1:35" x14ac:dyDescent="0.25">
      <c r="A12" t="s">
        <v>1139</v>
      </c>
      <c r="B12" t="s">
        <v>31</v>
      </c>
      <c r="C12" s="25">
        <v>43699.344583333332</v>
      </c>
      <c r="D12" s="741" t="s">
        <v>969</v>
      </c>
      <c r="E12" s="741">
        <f t="array" ref="E12">SUMPRODUCT(IF(AMP7_8[[#This Row],[Dim 1_1]:[T 8]]-$F$4:$AI$4&lt;0,1,0)+IF($F$5:$AI$5-AMP7_8[[#This Row],[Dim 1_1]:[T 8]]&lt;0,1,0),IF(ISNUMBER(AMP7_8[[#This Row],[Dim 1_1]:[T 8]])=TRUE,1,0))</f>
        <v>0</v>
      </c>
      <c r="H12">
        <v>155.99100000000001</v>
      </c>
      <c r="I12">
        <v>156</v>
      </c>
      <c r="J12">
        <v>168.821</v>
      </c>
      <c r="K12">
        <v>169.148</v>
      </c>
      <c r="L12">
        <v>156.08500000000001</v>
      </c>
      <c r="M12">
        <v>155.75899999999999</v>
      </c>
      <c r="N12">
        <v>27.167999999999999</v>
      </c>
      <c r="O12">
        <v>27.52</v>
      </c>
      <c r="R12">
        <v>17.292000000000002</v>
      </c>
      <c r="S12">
        <v>17.260000000000002</v>
      </c>
      <c r="T12">
        <v>35.945</v>
      </c>
      <c r="U12">
        <v>36.924999999999997</v>
      </c>
      <c r="W12">
        <v>0.42899999999999999</v>
      </c>
      <c r="X12">
        <v>2.1000000000000001E-2</v>
      </c>
      <c r="Z12">
        <v>0.19600000000000001</v>
      </c>
      <c r="AA12">
        <v>-0.161</v>
      </c>
      <c r="AB12">
        <v>2.1000000000000001E-2</v>
      </c>
      <c r="AC12">
        <v>0.115</v>
      </c>
      <c r="AD12">
        <v>2.4E-2</v>
      </c>
      <c r="AE12">
        <v>0.42899999999999999</v>
      </c>
      <c r="AF12">
        <v>-1.6E-2</v>
      </c>
      <c r="AG12">
        <v>-0.16</v>
      </c>
      <c r="AH12">
        <v>0.19600000000000001</v>
      </c>
      <c r="AI12">
        <v>-0.161</v>
      </c>
    </row>
    <row r="13" spans="1:35" x14ac:dyDescent="0.25">
      <c r="A13" t="s">
        <v>1140</v>
      </c>
      <c r="B13" t="s">
        <v>32</v>
      </c>
      <c r="C13" s="25">
        <v>43699.428217592591</v>
      </c>
      <c r="D13" s="741" t="s">
        <v>969</v>
      </c>
      <c r="E13" s="741">
        <f t="array" ref="E13">SUMPRODUCT(IF(AMP7_8[[#This Row],[Dim 1_1]:[T 8]]-$F$4:$AI$4&lt;0,1,0)+IF($F$5:$AI$5-AMP7_8[[#This Row],[Dim 1_1]:[T 8]]&lt;0,1,0),IF(ISNUMBER(AMP7_8[[#This Row],[Dim 1_1]:[T 8]])=TRUE,1,0))</f>
        <v>0</v>
      </c>
      <c r="F13">
        <v>41.021999999999998</v>
      </c>
      <c r="G13">
        <v>41.335000000000001</v>
      </c>
      <c r="H13">
        <v>155.976</v>
      </c>
      <c r="I13">
        <v>156.227</v>
      </c>
      <c r="L13">
        <v>156.05600000000001</v>
      </c>
      <c r="M13">
        <v>155.934</v>
      </c>
      <c r="N13">
        <v>27.138999999999999</v>
      </c>
      <c r="O13">
        <v>27.146999999999998</v>
      </c>
      <c r="R13">
        <v>17.253</v>
      </c>
      <c r="S13">
        <v>17.279</v>
      </c>
      <c r="T13">
        <v>32.805999999999997</v>
      </c>
      <c r="U13">
        <v>33.875</v>
      </c>
      <c r="W13">
        <v>0.13700000000000001</v>
      </c>
      <c r="X13">
        <v>-0.307</v>
      </c>
      <c r="Z13">
        <v>-0.11899999999999999</v>
      </c>
      <c r="AA13">
        <v>-0.34100000000000003</v>
      </c>
      <c r="AB13">
        <v>-0.26800000000000002</v>
      </c>
      <c r="AC13">
        <v>-0.20899999999999999</v>
      </c>
      <c r="AD13">
        <v>-0.307</v>
      </c>
      <c r="AE13">
        <v>0.13700000000000001</v>
      </c>
      <c r="AF13">
        <v>-0.11899999999999999</v>
      </c>
      <c r="AG13">
        <v>-0.22</v>
      </c>
      <c r="AH13">
        <v>-0.152</v>
      </c>
      <c r="AI13">
        <v>-0.34100000000000003</v>
      </c>
    </row>
    <row r="14" spans="1:35" x14ac:dyDescent="0.25">
      <c r="A14" t="s">
        <v>1141</v>
      </c>
      <c r="B14" t="s">
        <v>31</v>
      </c>
      <c r="C14" s="25">
        <v>43699.430231481485</v>
      </c>
      <c r="D14" s="741" t="s">
        <v>969</v>
      </c>
      <c r="E14" s="741">
        <f t="array" ref="E14">SUMPRODUCT(IF(AMP7_8[[#This Row],[Dim 1_1]:[T 8]]-$F$4:$AI$4&lt;0,1,0)+IF($F$5:$AI$5-AMP7_8[[#This Row],[Dim 1_1]:[T 8]]&lt;0,1,0),IF(ISNUMBER(AMP7_8[[#This Row],[Dim 1_1]:[T 8]])=TRUE,1,0))</f>
        <v>0</v>
      </c>
      <c r="H14">
        <v>155.923</v>
      </c>
      <c r="I14">
        <v>155.952</v>
      </c>
      <c r="J14">
        <v>168.89699999999999</v>
      </c>
      <c r="K14">
        <v>169.11600000000001</v>
      </c>
      <c r="L14">
        <v>156.01300000000001</v>
      </c>
      <c r="M14">
        <v>155.69499999999999</v>
      </c>
      <c r="N14">
        <v>27.202000000000002</v>
      </c>
      <c r="O14">
        <v>27.559000000000001</v>
      </c>
      <c r="R14">
        <v>17.254000000000001</v>
      </c>
      <c r="S14">
        <v>17.263999999999999</v>
      </c>
      <c r="T14">
        <v>38.012999999999998</v>
      </c>
      <c r="U14">
        <v>38.676000000000002</v>
      </c>
      <c r="W14">
        <v>0.27400000000000002</v>
      </c>
      <c r="X14">
        <v>-0.14199999999999999</v>
      </c>
      <c r="Z14">
        <v>0.16300000000000001</v>
      </c>
      <c r="AA14">
        <v>-0.20599999999999999</v>
      </c>
      <c r="AB14">
        <v>-8.9999999999999993E-3</v>
      </c>
      <c r="AC14">
        <v>9.0999999999999998E-2</v>
      </c>
      <c r="AD14">
        <v>-0.14199999999999999</v>
      </c>
      <c r="AE14">
        <v>0.27400000000000002</v>
      </c>
      <c r="AF14">
        <v>0.02</v>
      </c>
      <c r="AG14">
        <v>-0.10199999999999999</v>
      </c>
      <c r="AH14">
        <v>0.16300000000000001</v>
      </c>
      <c r="AI14">
        <v>-0.20599999999999999</v>
      </c>
    </row>
    <row r="15" spans="1:35" x14ac:dyDescent="0.25">
      <c r="A15" t="s">
        <v>1142</v>
      </c>
      <c r="B15" t="s">
        <v>32</v>
      </c>
      <c r="C15" s="25">
        <v>43699.486157407409</v>
      </c>
      <c r="D15" s="741" t="s">
        <v>969</v>
      </c>
      <c r="E15" s="741">
        <f t="array" ref="E15">SUMPRODUCT(IF(AMP7_8[[#This Row],[Dim 1_1]:[T 8]]-$F$4:$AI$4&lt;0,1,0)+IF($F$5:$AI$5-AMP7_8[[#This Row],[Dim 1_1]:[T 8]]&lt;0,1,0),IF(ISNUMBER(AMP7_8[[#This Row],[Dim 1_1]:[T 8]])=TRUE,1,0))</f>
        <v>0</v>
      </c>
      <c r="F15">
        <v>40.826000000000001</v>
      </c>
      <c r="G15">
        <v>41.091999999999999</v>
      </c>
      <c r="H15">
        <v>156.03100000000001</v>
      </c>
      <c r="I15">
        <v>156.33199999999999</v>
      </c>
      <c r="L15">
        <v>156.084</v>
      </c>
      <c r="M15">
        <v>155.97800000000001</v>
      </c>
      <c r="N15">
        <v>27.123000000000001</v>
      </c>
      <c r="O15">
        <v>27.065000000000001</v>
      </c>
      <c r="R15">
        <v>17.27</v>
      </c>
      <c r="S15">
        <v>17.175999999999998</v>
      </c>
      <c r="T15">
        <v>32.915999999999997</v>
      </c>
      <c r="U15">
        <v>33.712000000000003</v>
      </c>
      <c r="W15">
        <v>5.8000000000000003E-2</v>
      </c>
      <c r="X15">
        <v>-0.29099999999999998</v>
      </c>
      <c r="Z15">
        <v>-0.14099999999999999</v>
      </c>
      <c r="AA15">
        <v>-0.32800000000000001</v>
      </c>
      <c r="AB15">
        <v>-0.29099999999999998</v>
      </c>
      <c r="AC15">
        <v>-0.22500000000000001</v>
      </c>
      <c r="AD15">
        <v>-0.24199999999999999</v>
      </c>
      <c r="AE15">
        <v>5.8000000000000003E-2</v>
      </c>
      <c r="AF15">
        <v>-0.23100000000000001</v>
      </c>
      <c r="AG15">
        <v>-0.30099999999999999</v>
      </c>
      <c r="AH15">
        <v>-0.14099999999999999</v>
      </c>
      <c r="AI15">
        <v>-0.32800000000000001</v>
      </c>
    </row>
    <row r="16" spans="1:35" x14ac:dyDescent="0.25">
      <c r="A16" t="s">
        <v>1143</v>
      </c>
      <c r="B16" t="s">
        <v>31</v>
      </c>
      <c r="C16" s="25">
        <v>43699.488194444442</v>
      </c>
      <c r="D16" s="741" t="s">
        <v>969</v>
      </c>
      <c r="E16" s="741">
        <f t="array" ref="E16">SUMPRODUCT(IF(AMP7_8[[#This Row],[Dim 1_1]:[T 8]]-$F$4:$AI$4&lt;0,1,0)+IF($F$5:$AI$5-AMP7_8[[#This Row],[Dim 1_1]:[T 8]]&lt;0,1,0),IF(ISNUMBER(AMP7_8[[#This Row],[Dim 1_1]:[T 8]])=TRUE,1,0))</f>
        <v>0</v>
      </c>
      <c r="H16">
        <v>156</v>
      </c>
      <c r="I16">
        <v>156.018</v>
      </c>
      <c r="J16">
        <v>168.798</v>
      </c>
      <c r="K16">
        <v>169.08099999999999</v>
      </c>
      <c r="L16">
        <v>156.077</v>
      </c>
      <c r="M16">
        <v>155.761</v>
      </c>
      <c r="N16">
        <v>27.125</v>
      </c>
      <c r="O16">
        <v>27.484000000000002</v>
      </c>
      <c r="R16">
        <v>17.254000000000001</v>
      </c>
      <c r="S16">
        <v>17.236999999999998</v>
      </c>
      <c r="T16">
        <v>36.893000000000001</v>
      </c>
      <c r="U16">
        <v>39.307000000000002</v>
      </c>
      <c r="W16">
        <v>0.21199999999999999</v>
      </c>
      <c r="X16">
        <v>-0.20399999999999999</v>
      </c>
      <c r="Z16">
        <v>-6.0000000000000001E-3</v>
      </c>
      <c r="AA16">
        <v>-0.36599999999999999</v>
      </c>
      <c r="AB16">
        <v>-0.20399999999999999</v>
      </c>
      <c r="AC16">
        <v>-0.107</v>
      </c>
      <c r="AD16">
        <v>-0.17699999999999999</v>
      </c>
      <c r="AE16">
        <v>0.21199999999999999</v>
      </c>
      <c r="AF16">
        <v>-0.21299999999999999</v>
      </c>
      <c r="AG16">
        <v>-0.33200000000000002</v>
      </c>
      <c r="AH16">
        <v>-6.0000000000000001E-3</v>
      </c>
      <c r="AI16">
        <v>-0.36599999999999999</v>
      </c>
    </row>
    <row r="17" spans="1:35" x14ac:dyDescent="0.25">
      <c r="A17" t="s">
        <v>1144</v>
      </c>
      <c r="B17" t="s">
        <v>32</v>
      </c>
      <c r="C17" s="25">
        <v>43699.567488425928</v>
      </c>
      <c r="D17" s="741" t="s">
        <v>969</v>
      </c>
      <c r="E17" s="741">
        <f t="array" ref="E17">SUMPRODUCT(IF(AMP7_8[[#This Row],[Dim 1_1]:[T 8]]-$F$4:$AI$4&lt;0,1,0)+IF($F$5:$AI$5-AMP7_8[[#This Row],[Dim 1_1]:[T 8]]&lt;0,1,0),IF(ISNUMBER(AMP7_8[[#This Row],[Dim 1_1]:[T 8]])=TRUE,1,0))</f>
        <v>0</v>
      </c>
      <c r="F17">
        <v>41.148000000000003</v>
      </c>
      <c r="G17">
        <v>41.35</v>
      </c>
      <c r="H17">
        <v>155.96600000000001</v>
      </c>
      <c r="I17">
        <v>156.24299999999999</v>
      </c>
      <c r="L17">
        <v>156.08699999999999</v>
      </c>
      <c r="M17">
        <v>155.96</v>
      </c>
      <c r="N17">
        <v>27.132000000000001</v>
      </c>
      <c r="O17">
        <v>27.132999999999999</v>
      </c>
      <c r="R17">
        <v>17.219000000000001</v>
      </c>
      <c r="S17">
        <v>17.149000000000001</v>
      </c>
      <c r="T17">
        <v>32.999000000000002</v>
      </c>
      <c r="U17">
        <v>33.686999999999998</v>
      </c>
      <c r="W17">
        <v>0.189</v>
      </c>
      <c r="X17">
        <v>-0.22700000000000001</v>
      </c>
      <c r="Z17">
        <v>-7.5999999999999998E-2</v>
      </c>
      <c r="AA17">
        <v>-0.23799999999999999</v>
      </c>
      <c r="AB17">
        <v>-0.22700000000000001</v>
      </c>
      <c r="AC17">
        <v>-0.13600000000000001</v>
      </c>
      <c r="AD17">
        <v>-0.16700000000000001</v>
      </c>
      <c r="AE17">
        <v>0.189</v>
      </c>
      <c r="AF17">
        <v>-9.5000000000000001E-2</v>
      </c>
      <c r="AG17">
        <v>-0.20799999999999999</v>
      </c>
      <c r="AH17">
        <v>-7.5999999999999998E-2</v>
      </c>
      <c r="AI17">
        <v>-0.23799999999999999</v>
      </c>
    </row>
    <row r="18" spans="1:35" x14ac:dyDescent="0.25">
      <c r="A18" t="s">
        <v>1145</v>
      </c>
      <c r="B18" t="s">
        <v>31</v>
      </c>
      <c r="C18" s="25">
        <v>43699.569537037038</v>
      </c>
      <c r="D18" s="741" t="s">
        <v>969</v>
      </c>
      <c r="E18" s="741">
        <f t="array" ref="E18">SUMPRODUCT(IF(AMP7_8[[#This Row],[Dim 1_1]:[T 8]]-$F$4:$AI$4&lt;0,1,0)+IF($F$5:$AI$5-AMP7_8[[#This Row],[Dim 1_1]:[T 8]]&lt;0,1,0),IF(ISNUMBER(AMP7_8[[#This Row],[Dim 1_1]:[T 8]])=TRUE,1,0))</f>
        <v>0</v>
      </c>
      <c r="H18">
        <v>155.94800000000001</v>
      </c>
      <c r="I18">
        <v>156.00899999999999</v>
      </c>
      <c r="J18">
        <v>169.053</v>
      </c>
      <c r="K18">
        <v>169.35</v>
      </c>
      <c r="L18">
        <v>156.005</v>
      </c>
      <c r="M18">
        <v>155.75700000000001</v>
      </c>
      <c r="N18">
        <v>27.183</v>
      </c>
      <c r="O18">
        <v>27.5</v>
      </c>
      <c r="R18">
        <v>17.268000000000001</v>
      </c>
      <c r="S18">
        <v>17.263000000000002</v>
      </c>
      <c r="T18">
        <v>38.145000000000003</v>
      </c>
      <c r="U18">
        <v>38.921999999999997</v>
      </c>
      <c r="W18">
        <v>0.20599999999999999</v>
      </c>
      <c r="X18">
        <v>-0.20799999999999999</v>
      </c>
      <c r="Z18">
        <v>-3.7999999999999999E-2</v>
      </c>
      <c r="AA18">
        <v>-0.40300000000000002</v>
      </c>
      <c r="AB18">
        <v>-0.13700000000000001</v>
      </c>
      <c r="AC18">
        <v>-5.0999999999999997E-2</v>
      </c>
      <c r="AD18">
        <v>-0.20799999999999999</v>
      </c>
      <c r="AE18">
        <v>0.20599999999999999</v>
      </c>
      <c r="AF18">
        <v>-0.17100000000000001</v>
      </c>
      <c r="AG18">
        <v>-0.29899999999999999</v>
      </c>
      <c r="AH18">
        <v>-3.7999999999999999E-2</v>
      </c>
      <c r="AI18">
        <v>-0.40300000000000002</v>
      </c>
    </row>
    <row r="19" spans="1:35" x14ac:dyDescent="0.25">
      <c r="A19" t="s">
        <v>1249</v>
      </c>
      <c r="B19" t="s">
        <v>32</v>
      </c>
      <c r="C19" s="25">
        <v>43699.686365740738</v>
      </c>
      <c r="D19" s="741" t="s">
        <v>969</v>
      </c>
      <c r="E19" s="741">
        <f t="array" ref="E19">SUMPRODUCT(IF(AMP7_8[[#This Row],[Dim 1_1]:[T 8]]-$F$4:$AI$4&lt;0,1,0)+IF($F$5:$AI$5-AMP7_8[[#This Row],[Dim 1_1]:[T 8]]&lt;0,1,0),IF(ISNUMBER(AMP7_8[[#This Row],[Dim 1_1]:[T 8]])=TRUE,1,0))</f>
        <v>0</v>
      </c>
      <c r="F19">
        <v>41.003</v>
      </c>
      <c r="G19">
        <v>41.331000000000003</v>
      </c>
      <c r="H19">
        <v>156.02799999999999</v>
      </c>
      <c r="I19">
        <v>156.27099999999999</v>
      </c>
      <c r="L19">
        <v>156.101</v>
      </c>
      <c r="M19">
        <v>156.01499999999999</v>
      </c>
      <c r="N19">
        <v>27.111000000000001</v>
      </c>
      <c r="O19">
        <v>27.073</v>
      </c>
      <c r="R19">
        <v>17.254999999999999</v>
      </c>
      <c r="S19">
        <v>17.2</v>
      </c>
      <c r="T19">
        <v>32.832000000000001</v>
      </c>
      <c r="U19">
        <v>33.963000000000001</v>
      </c>
      <c r="W19">
        <v>2.1000000000000001E-2</v>
      </c>
      <c r="X19">
        <v>-0.312</v>
      </c>
      <c r="Z19">
        <v>-0.19900000000000001</v>
      </c>
      <c r="AA19">
        <v>-0.4</v>
      </c>
      <c r="AB19">
        <v>-0.312</v>
      </c>
      <c r="AC19">
        <v>-0.23499999999999999</v>
      </c>
      <c r="AD19">
        <v>-0.308</v>
      </c>
      <c r="AE19">
        <v>2.1000000000000001E-2</v>
      </c>
      <c r="AF19">
        <v>-0.19900000000000001</v>
      </c>
      <c r="AG19">
        <v>-0.32400000000000001</v>
      </c>
      <c r="AH19">
        <v>-0.24199999999999999</v>
      </c>
      <c r="AI19">
        <v>-0.4</v>
      </c>
    </row>
    <row r="20" spans="1:35" x14ac:dyDescent="0.25">
      <c r="A20" t="s">
        <v>1250</v>
      </c>
      <c r="B20" t="s">
        <v>31</v>
      </c>
      <c r="C20" s="25">
        <v>43699.688449074078</v>
      </c>
      <c r="D20" s="741" t="s">
        <v>969</v>
      </c>
      <c r="E20" s="741">
        <f t="array" ref="E20">SUMPRODUCT(IF(AMP7_8[[#This Row],[Dim 1_1]:[T 8]]-$F$4:$AI$4&lt;0,1,0)+IF($F$5:$AI$5-AMP7_8[[#This Row],[Dim 1_1]:[T 8]]&lt;0,1,0),IF(ISNUMBER(AMP7_8[[#This Row],[Dim 1_1]:[T 8]])=TRUE,1,0))</f>
        <v>0</v>
      </c>
      <c r="H20">
        <v>155.97399999999999</v>
      </c>
      <c r="I20">
        <v>156.001</v>
      </c>
      <c r="J20">
        <v>168.91900000000001</v>
      </c>
      <c r="K20">
        <v>169.261</v>
      </c>
      <c r="L20">
        <v>156.05600000000001</v>
      </c>
      <c r="M20">
        <v>155.745</v>
      </c>
      <c r="N20">
        <v>27.126999999999999</v>
      </c>
      <c r="O20">
        <v>27.494</v>
      </c>
      <c r="R20">
        <v>17.260000000000002</v>
      </c>
      <c r="S20">
        <v>17.277000000000001</v>
      </c>
      <c r="T20">
        <v>37.628</v>
      </c>
      <c r="U20">
        <v>37.68</v>
      </c>
      <c r="W20">
        <v>0.182</v>
      </c>
      <c r="X20">
        <v>-0.26900000000000002</v>
      </c>
      <c r="Z20">
        <v>-0.19900000000000001</v>
      </c>
      <c r="AA20">
        <v>-0.39100000000000001</v>
      </c>
      <c r="AB20">
        <v>-0.19700000000000001</v>
      </c>
      <c r="AC20">
        <v>-8.6999999999999994E-2</v>
      </c>
      <c r="AD20">
        <v>-0.26900000000000002</v>
      </c>
      <c r="AE20">
        <v>0.182</v>
      </c>
      <c r="AF20">
        <v>-0.24199999999999999</v>
      </c>
      <c r="AG20">
        <v>-0.28299999999999997</v>
      </c>
      <c r="AH20">
        <v>-0.19900000000000001</v>
      </c>
      <c r="AI20">
        <v>-0.39100000000000001</v>
      </c>
    </row>
    <row r="21" spans="1:35" x14ac:dyDescent="0.25">
      <c r="A21" t="s">
        <v>1251</v>
      </c>
      <c r="B21" t="s">
        <v>32</v>
      </c>
      <c r="C21" s="25">
        <v>43699.794583333336</v>
      </c>
      <c r="D21" s="741" t="s">
        <v>969</v>
      </c>
      <c r="E21" s="741">
        <f t="array" ref="E21">SUMPRODUCT(IF(AMP7_8[[#This Row],[Dim 1_1]:[T 8]]-$F$4:$AI$4&lt;0,1,0)+IF($F$5:$AI$5-AMP7_8[[#This Row],[Dim 1_1]:[T 8]]&lt;0,1,0),IF(ISNUMBER(AMP7_8[[#This Row],[Dim 1_1]:[T 8]])=TRUE,1,0))</f>
        <v>0</v>
      </c>
      <c r="F21">
        <v>40.962000000000003</v>
      </c>
      <c r="G21">
        <v>41.332000000000001</v>
      </c>
      <c r="H21">
        <v>156.03100000000001</v>
      </c>
      <c r="I21">
        <v>156.245</v>
      </c>
      <c r="L21">
        <v>156.089</v>
      </c>
      <c r="M21">
        <v>155.90100000000001</v>
      </c>
      <c r="N21">
        <v>27.117999999999999</v>
      </c>
      <c r="O21">
        <v>27.175999999999998</v>
      </c>
      <c r="R21">
        <v>17.248000000000001</v>
      </c>
      <c r="S21">
        <v>17.181999999999999</v>
      </c>
      <c r="T21">
        <v>32.603999999999999</v>
      </c>
      <c r="U21">
        <v>34.046999999999997</v>
      </c>
      <c r="W21">
        <v>0.13</v>
      </c>
      <c r="X21">
        <v>-0.22600000000000001</v>
      </c>
      <c r="Z21">
        <v>-0.154</v>
      </c>
      <c r="AA21">
        <v>-0.35899999999999999</v>
      </c>
      <c r="AB21">
        <v>-0.22600000000000001</v>
      </c>
      <c r="AC21">
        <v>-0.13400000000000001</v>
      </c>
      <c r="AD21">
        <v>-0.20399999999999999</v>
      </c>
      <c r="AE21">
        <v>0.13</v>
      </c>
      <c r="AF21">
        <v>-0.16800000000000001</v>
      </c>
      <c r="AG21">
        <v>-0.28000000000000003</v>
      </c>
      <c r="AH21">
        <v>-0.154</v>
      </c>
      <c r="AI21">
        <v>-0.35899999999999999</v>
      </c>
    </row>
    <row r="22" spans="1:35" x14ac:dyDescent="0.25">
      <c r="A22" t="s">
        <v>1252</v>
      </c>
      <c r="B22" t="s">
        <v>31</v>
      </c>
      <c r="C22" s="25">
        <v>43699.796770833331</v>
      </c>
      <c r="D22" s="741" t="s">
        <v>969</v>
      </c>
      <c r="E22" s="741">
        <f t="array" ref="E22">SUMPRODUCT(IF(AMP7_8[[#This Row],[Dim 1_1]:[T 8]]-$F$4:$AI$4&lt;0,1,0)+IF($F$5:$AI$5-AMP7_8[[#This Row],[Dim 1_1]:[T 8]]&lt;0,1,0),IF(ISNUMBER(AMP7_8[[#This Row],[Dim 1_1]:[T 8]])=TRUE,1,0))</f>
        <v>0</v>
      </c>
      <c r="H22">
        <v>155.976</v>
      </c>
      <c r="I22">
        <v>156.02000000000001</v>
      </c>
      <c r="J22">
        <v>168.929</v>
      </c>
      <c r="K22">
        <v>169.30500000000001</v>
      </c>
      <c r="L22">
        <v>156.07</v>
      </c>
      <c r="M22">
        <v>155.77000000000001</v>
      </c>
      <c r="N22">
        <v>27.135999999999999</v>
      </c>
      <c r="O22">
        <v>27.484000000000002</v>
      </c>
      <c r="R22">
        <v>17.253</v>
      </c>
      <c r="S22">
        <v>17.303999999999998</v>
      </c>
      <c r="T22">
        <v>39.116</v>
      </c>
      <c r="U22">
        <v>39.994999999999997</v>
      </c>
      <c r="W22">
        <v>0.30399999999999999</v>
      </c>
      <c r="X22">
        <v>-0.188</v>
      </c>
      <c r="Z22">
        <v>-1.7999999999999999E-2</v>
      </c>
      <c r="AA22">
        <v>-0.34699999999999998</v>
      </c>
      <c r="AB22">
        <v>-0.11700000000000001</v>
      </c>
      <c r="AC22">
        <v>-0.01</v>
      </c>
      <c r="AD22">
        <v>-0.188</v>
      </c>
      <c r="AE22">
        <v>0.30399999999999999</v>
      </c>
      <c r="AF22">
        <v>-0.10299999999999999</v>
      </c>
      <c r="AG22">
        <v>-0.246</v>
      </c>
      <c r="AH22">
        <v>-1.7999999999999999E-2</v>
      </c>
      <c r="AI22">
        <v>-0.34699999999999998</v>
      </c>
    </row>
    <row r="23" spans="1:35" x14ac:dyDescent="0.25">
      <c r="A23" t="s">
        <v>1253</v>
      </c>
      <c r="B23" t="s">
        <v>32</v>
      </c>
      <c r="C23" s="25">
        <v>43700.453252314815</v>
      </c>
      <c r="D23" s="741" t="s">
        <v>969</v>
      </c>
      <c r="E23" s="741">
        <f t="array" ref="E23">SUMPRODUCT(IF(AMP7_8[[#This Row],[Dim 1_1]:[T 8]]-$F$4:$AI$4&lt;0,1,0)+IF($F$5:$AI$5-AMP7_8[[#This Row],[Dim 1_1]:[T 8]]&lt;0,1,0),IF(ISNUMBER(AMP7_8[[#This Row],[Dim 1_1]:[T 8]])=TRUE,1,0))</f>
        <v>0</v>
      </c>
      <c r="F23">
        <v>41.015999999999998</v>
      </c>
      <c r="G23">
        <v>41.280999999999999</v>
      </c>
      <c r="H23">
        <v>156.024</v>
      </c>
      <c r="I23">
        <v>156.28</v>
      </c>
      <c r="L23">
        <v>156.02199999999999</v>
      </c>
      <c r="M23">
        <v>155.864</v>
      </c>
      <c r="N23">
        <v>27.177</v>
      </c>
      <c r="O23">
        <v>27.138999999999999</v>
      </c>
      <c r="R23">
        <v>17.312000000000001</v>
      </c>
      <c r="S23">
        <v>17.087</v>
      </c>
      <c r="T23">
        <v>32.630000000000003</v>
      </c>
      <c r="U23">
        <v>34.003999999999998</v>
      </c>
      <c r="W23">
        <v>0.56000000000000005</v>
      </c>
      <c r="X23">
        <v>0.10299999999999999</v>
      </c>
      <c r="Z23">
        <v>-1.2999999999999999E-2</v>
      </c>
      <c r="AA23">
        <v>-0.315</v>
      </c>
      <c r="AB23">
        <v>0.10299999999999999</v>
      </c>
      <c r="AC23">
        <v>0.16300000000000001</v>
      </c>
      <c r="AD23">
        <v>0.27400000000000002</v>
      </c>
      <c r="AE23">
        <v>0.56000000000000005</v>
      </c>
      <c r="AF23">
        <v>-0.185</v>
      </c>
      <c r="AG23">
        <v>-0.315</v>
      </c>
      <c r="AH23">
        <v>-1.2999999999999999E-2</v>
      </c>
      <c r="AI23">
        <v>-0.191</v>
      </c>
    </row>
    <row r="24" spans="1:35" x14ac:dyDescent="0.25">
      <c r="A24" t="s">
        <v>1254</v>
      </c>
      <c r="B24" t="s">
        <v>31</v>
      </c>
      <c r="C24" s="25">
        <v>43700.455520833333</v>
      </c>
      <c r="D24" s="741" t="s">
        <v>969</v>
      </c>
      <c r="E24" s="741">
        <f t="array" ref="E24">SUMPRODUCT(IF(AMP7_8[[#This Row],[Dim 1_1]:[T 8]]-$F$4:$AI$4&lt;0,1,0)+IF($F$5:$AI$5-AMP7_8[[#This Row],[Dim 1_1]:[T 8]]&lt;0,1,0),IF(ISNUMBER(AMP7_8[[#This Row],[Dim 1_1]:[T 8]])=TRUE,1,0))</f>
        <v>2</v>
      </c>
      <c r="H24">
        <v>156.04599999999999</v>
      </c>
      <c r="I24">
        <v>156.03299999999999</v>
      </c>
      <c r="J24">
        <v>168.95699999999999</v>
      </c>
      <c r="K24">
        <v>169.321</v>
      </c>
      <c r="L24">
        <v>155.846</v>
      </c>
      <c r="M24">
        <v>155.48099999999999</v>
      </c>
      <c r="N24">
        <v>27.114999999999998</v>
      </c>
      <c r="O24">
        <v>27.468</v>
      </c>
      <c r="R24">
        <v>17.254999999999999</v>
      </c>
      <c r="S24">
        <v>17.498999999999999</v>
      </c>
      <c r="T24">
        <v>36.567999999999998</v>
      </c>
      <c r="U24">
        <v>40.590000000000003</v>
      </c>
      <c r="W24">
        <v>6.6000000000000003E-2</v>
      </c>
      <c r="X24">
        <v>-0.38500000000000001</v>
      </c>
      <c r="Z24">
        <v>-0.372</v>
      </c>
      <c r="AA24">
        <v>-0.745</v>
      </c>
      <c r="AB24">
        <v>-0.188</v>
      </c>
      <c r="AC24">
        <v>-9.1999999999999998E-2</v>
      </c>
      <c r="AD24">
        <v>-0.38500000000000001</v>
      </c>
      <c r="AE24">
        <v>6.6000000000000003E-2</v>
      </c>
      <c r="AF24">
        <v>-0.372</v>
      </c>
      <c r="AG24">
        <v>-0.52100000000000002</v>
      </c>
      <c r="AH24">
        <v>-0.39900000000000002</v>
      </c>
      <c r="AI24">
        <v>-0.745</v>
      </c>
    </row>
    <row r="25" spans="1:35" x14ac:dyDescent="0.25">
      <c r="A25" t="s">
        <v>1427</v>
      </c>
      <c r="B25" t="s">
        <v>32</v>
      </c>
      <c r="C25" s="25">
        <v>43701.360682870371</v>
      </c>
      <c r="D25" s="741" t="s">
        <v>969</v>
      </c>
      <c r="E25" s="741">
        <f t="array" ref="E25">SUMPRODUCT(IF(AMP7_8[[#This Row],[Dim 1_1]:[T 8]]-$F$4:$AI$4&lt;0,1,0)+IF($F$5:$AI$5-AMP7_8[[#This Row],[Dim 1_1]:[T 8]]&lt;0,1,0),IF(ISNUMBER(AMP7_8[[#This Row],[Dim 1_1]:[T 8]])=TRUE,1,0))</f>
        <v>0</v>
      </c>
      <c r="F25">
        <v>40.988</v>
      </c>
      <c r="G25">
        <v>41.255000000000003</v>
      </c>
      <c r="H25">
        <v>155.71299999999999</v>
      </c>
      <c r="I25">
        <v>156.09200000000001</v>
      </c>
      <c r="L25">
        <v>155.904</v>
      </c>
      <c r="M25">
        <v>155.84800000000001</v>
      </c>
      <c r="N25">
        <v>27.265999999999998</v>
      </c>
      <c r="O25">
        <v>27.24</v>
      </c>
      <c r="R25">
        <v>17.248000000000001</v>
      </c>
      <c r="S25">
        <v>17.327999999999999</v>
      </c>
      <c r="T25">
        <v>33.122</v>
      </c>
      <c r="U25">
        <v>33.993000000000002</v>
      </c>
      <c r="W25">
        <v>0.183</v>
      </c>
      <c r="X25">
        <v>-0.214</v>
      </c>
      <c r="Z25">
        <v>0.14899999999999999</v>
      </c>
      <c r="AA25">
        <v>-0.16800000000000001</v>
      </c>
      <c r="AB25">
        <v>-0.09</v>
      </c>
      <c r="AC25">
        <v>5.0000000000000001E-3</v>
      </c>
      <c r="AD25">
        <v>-0.214</v>
      </c>
      <c r="AE25">
        <v>0.183</v>
      </c>
      <c r="AF25">
        <v>0.14899999999999999</v>
      </c>
      <c r="AG25">
        <v>4.4999999999999998E-2</v>
      </c>
      <c r="AH25">
        <v>1.0999999999999999E-2</v>
      </c>
      <c r="AI25">
        <v>-0.16800000000000001</v>
      </c>
    </row>
    <row r="26" spans="1:35" x14ac:dyDescent="0.25">
      <c r="A26" t="s">
        <v>1428</v>
      </c>
      <c r="B26" t="s">
        <v>31</v>
      </c>
      <c r="C26" s="25">
        <v>43701.362384259257</v>
      </c>
      <c r="D26" s="741" t="s">
        <v>969</v>
      </c>
      <c r="E26" s="741">
        <f t="array" ref="E26">SUMPRODUCT(IF(AMP7_8[[#This Row],[Dim 1_1]:[T 8]]-$F$4:$AI$4&lt;0,1,0)+IF($F$5:$AI$5-AMP7_8[[#This Row],[Dim 1_1]:[T 8]]&lt;0,1,0),IF(ISNUMBER(AMP7_8[[#This Row],[Dim 1_1]:[T 8]])=TRUE,1,0))</f>
        <v>0</v>
      </c>
      <c r="H26">
        <v>155.86199999999999</v>
      </c>
      <c r="I26">
        <v>155.833</v>
      </c>
      <c r="J26">
        <v>168.73699999999999</v>
      </c>
      <c r="K26">
        <v>169.06100000000001</v>
      </c>
      <c r="L26">
        <v>155.91300000000001</v>
      </c>
      <c r="M26">
        <v>155.55000000000001</v>
      </c>
      <c r="N26">
        <v>27.34</v>
      </c>
      <c r="O26">
        <v>27.702000000000002</v>
      </c>
      <c r="R26">
        <v>17.276</v>
      </c>
      <c r="S26">
        <v>17.36</v>
      </c>
      <c r="T26">
        <v>36.539000000000001</v>
      </c>
      <c r="U26">
        <v>37.030999999999999</v>
      </c>
      <c r="W26">
        <v>0.376</v>
      </c>
      <c r="X26">
        <v>3.1E-2</v>
      </c>
      <c r="Z26">
        <v>0.214</v>
      </c>
      <c r="AA26">
        <v>-0.11799999999999999</v>
      </c>
      <c r="AB26">
        <v>0.13700000000000001</v>
      </c>
      <c r="AC26">
        <v>0.215</v>
      </c>
      <c r="AD26">
        <v>3.1E-2</v>
      </c>
      <c r="AE26">
        <v>0.376</v>
      </c>
      <c r="AF26">
        <v>4.4999999999999998E-2</v>
      </c>
      <c r="AG26">
        <v>-7.4999999999999997E-2</v>
      </c>
      <c r="AH26">
        <v>0.214</v>
      </c>
      <c r="AI26">
        <v>-0.11799999999999999</v>
      </c>
    </row>
    <row r="27" spans="1:35" x14ac:dyDescent="0.25">
      <c r="A27" t="s">
        <v>1429</v>
      </c>
      <c r="B27" t="s">
        <v>32</v>
      </c>
      <c r="C27" s="25">
        <v>43701.42454861111</v>
      </c>
      <c r="D27" s="741" t="s">
        <v>969</v>
      </c>
      <c r="E27" s="741">
        <f t="array" ref="E27">SUMPRODUCT(IF(AMP7_8[[#This Row],[Dim 1_1]:[T 8]]-$F$4:$AI$4&lt;0,1,0)+IF($F$5:$AI$5-AMP7_8[[#This Row],[Dim 1_1]:[T 8]]&lt;0,1,0),IF(ISNUMBER(AMP7_8[[#This Row],[Dim 1_1]:[T 8]])=TRUE,1,0))</f>
        <v>0</v>
      </c>
      <c r="F27">
        <v>41.165999999999997</v>
      </c>
      <c r="G27">
        <v>41.322000000000003</v>
      </c>
      <c r="H27">
        <v>155.80199999999999</v>
      </c>
      <c r="I27">
        <v>156.11199999999999</v>
      </c>
      <c r="L27">
        <v>155.88900000000001</v>
      </c>
      <c r="M27">
        <v>155.827</v>
      </c>
      <c r="N27">
        <v>27.295999999999999</v>
      </c>
      <c r="O27">
        <v>27.244</v>
      </c>
      <c r="R27">
        <v>17.263000000000002</v>
      </c>
      <c r="S27">
        <v>17.385999999999999</v>
      </c>
      <c r="T27">
        <v>33.024999999999999</v>
      </c>
      <c r="U27">
        <v>33.887999999999998</v>
      </c>
      <c r="W27">
        <v>5.7000000000000002E-2</v>
      </c>
      <c r="X27">
        <v>-0.27200000000000002</v>
      </c>
      <c r="Z27">
        <v>0.10199999999999999</v>
      </c>
      <c r="AA27">
        <v>-0.28399999999999997</v>
      </c>
      <c r="AB27">
        <v>-7.9000000000000001E-2</v>
      </c>
      <c r="AC27">
        <v>-3.0000000000000001E-3</v>
      </c>
      <c r="AD27">
        <v>-0.27200000000000002</v>
      </c>
      <c r="AE27">
        <v>5.7000000000000002E-2</v>
      </c>
      <c r="AF27">
        <v>0.10199999999999999</v>
      </c>
      <c r="AG27">
        <v>1.0999999999999999E-2</v>
      </c>
      <c r="AH27">
        <v>-0.10299999999999999</v>
      </c>
      <c r="AI27">
        <v>-0.28399999999999997</v>
      </c>
    </row>
    <row r="28" spans="1:35" x14ac:dyDescent="0.25">
      <c r="A28" t="s">
        <v>1430</v>
      </c>
      <c r="B28" t="s">
        <v>31</v>
      </c>
      <c r="C28" s="25">
        <v>43701.426469907405</v>
      </c>
      <c r="D28" s="741" t="s">
        <v>969</v>
      </c>
      <c r="E28" s="741">
        <f t="array" ref="E28">SUMPRODUCT(IF(AMP7_8[[#This Row],[Dim 1_1]:[T 8]]-$F$4:$AI$4&lt;0,1,0)+IF($F$5:$AI$5-AMP7_8[[#This Row],[Dim 1_1]:[T 8]]&lt;0,1,0),IF(ISNUMBER(AMP7_8[[#This Row],[Dim 1_1]:[T 8]])=TRUE,1,0))</f>
        <v>0</v>
      </c>
      <c r="H28">
        <v>155.76400000000001</v>
      </c>
      <c r="I28">
        <v>155.80000000000001</v>
      </c>
      <c r="J28">
        <v>168.89</v>
      </c>
      <c r="K28">
        <v>169.059</v>
      </c>
      <c r="L28">
        <v>155.899</v>
      </c>
      <c r="M28">
        <v>155.56700000000001</v>
      </c>
      <c r="N28">
        <v>27.323</v>
      </c>
      <c r="O28">
        <v>27.693000000000001</v>
      </c>
      <c r="R28">
        <v>17.209</v>
      </c>
      <c r="S28">
        <v>17.238</v>
      </c>
      <c r="T28">
        <v>37.216000000000001</v>
      </c>
      <c r="U28">
        <v>36.892000000000003</v>
      </c>
      <c r="W28">
        <v>0.41099999999999998</v>
      </c>
      <c r="X28">
        <v>-6.0000000000000001E-3</v>
      </c>
      <c r="Z28">
        <v>0.27100000000000002</v>
      </c>
      <c r="AA28">
        <v>-3.9E-2</v>
      </c>
      <c r="AB28">
        <v>0.113</v>
      </c>
      <c r="AC28">
        <v>0.20899999999999999</v>
      </c>
      <c r="AD28">
        <v>-6.0000000000000001E-3</v>
      </c>
      <c r="AE28">
        <v>0.41099999999999998</v>
      </c>
      <c r="AF28">
        <v>0.16300000000000001</v>
      </c>
      <c r="AG28">
        <v>3.7999999999999999E-2</v>
      </c>
      <c r="AH28">
        <v>0.27100000000000002</v>
      </c>
      <c r="AI28">
        <v>-3.9E-2</v>
      </c>
    </row>
    <row r="29" spans="1:35" x14ac:dyDescent="0.25">
      <c r="A29" t="s">
        <v>1431</v>
      </c>
      <c r="B29" t="s">
        <v>32</v>
      </c>
      <c r="C29" s="25">
        <v>43701.506168981483</v>
      </c>
      <c r="D29" s="741" t="s">
        <v>969</v>
      </c>
      <c r="E29" s="741">
        <f t="array" ref="E29">SUMPRODUCT(IF(AMP7_8[[#This Row],[Dim 1_1]:[T 8]]-$F$4:$AI$4&lt;0,1,0)+IF($F$5:$AI$5-AMP7_8[[#This Row],[Dim 1_1]:[T 8]]&lt;0,1,0),IF(ISNUMBER(AMP7_8[[#This Row],[Dim 1_1]:[T 8]])=TRUE,1,0))</f>
        <v>0</v>
      </c>
      <c r="F29">
        <v>41.01</v>
      </c>
      <c r="G29">
        <v>41.243000000000002</v>
      </c>
      <c r="H29">
        <v>155.88900000000001</v>
      </c>
      <c r="I29">
        <v>156.209</v>
      </c>
      <c r="L29">
        <v>155.97200000000001</v>
      </c>
      <c r="M29">
        <v>155.916</v>
      </c>
      <c r="N29">
        <v>27.221</v>
      </c>
      <c r="O29">
        <v>27.181000000000001</v>
      </c>
      <c r="R29">
        <v>17.231000000000002</v>
      </c>
      <c r="S29">
        <v>17.29</v>
      </c>
      <c r="T29">
        <v>32.908999999999999</v>
      </c>
      <c r="U29">
        <v>33.927</v>
      </c>
      <c r="W29">
        <v>4.2999999999999997E-2</v>
      </c>
      <c r="X29">
        <v>-0.25800000000000001</v>
      </c>
      <c r="Z29">
        <v>0.03</v>
      </c>
      <c r="AA29">
        <v>-0.28399999999999997</v>
      </c>
      <c r="AB29">
        <v>-0.128</v>
      </c>
      <c r="AC29">
        <v>-5.6000000000000001E-2</v>
      </c>
      <c r="AD29">
        <v>-0.25800000000000001</v>
      </c>
      <c r="AE29">
        <v>4.2999999999999997E-2</v>
      </c>
      <c r="AF29">
        <v>0.03</v>
      </c>
      <c r="AG29">
        <v>-5.6000000000000001E-2</v>
      </c>
      <c r="AH29">
        <v>-0.14000000000000001</v>
      </c>
      <c r="AI29">
        <v>-0.28399999999999997</v>
      </c>
    </row>
    <row r="30" spans="1:35" x14ac:dyDescent="0.25">
      <c r="A30" t="s">
        <v>1432</v>
      </c>
      <c r="B30" t="s">
        <v>31</v>
      </c>
      <c r="C30" s="25">
        <v>43701.507824074077</v>
      </c>
      <c r="D30" s="741" t="s">
        <v>969</v>
      </c>
      <c r="E30" s="741">
        <f t="array" ref="E30">SUMPRODUCT(IF(AMP7_8[[#This Row],[Dim 1_1]:[T 8]]-$F$4:$AI$4&lt;0,1,0)+IF($F$5:$AI$5-AMP7_8[[#This Row],[Dim 1_1]:[T 8]]&lt;0,1,0),IF(ISNUMBER(AMP7_8[[#This Row],[Dim 1_1]:[T 8]])=TRUE,1,0))</f>
        <v>0</v>
      </c>
      <c r="H30">
        <v>155.86600000000001</v>
      </c>
      <c r="I30">
        <v>155.86099999999999</v>
      </c>
      <c r="J30">
        <v>168.78</v>
      </c>
      <c r="K30">
        <v>169.017</v>
      </c>
      <c r="L30">
        <v>155.90700000000001</v>
      </c>
      <c r="M30">
        <v>155.57900000000001</v>
      </c>
      <c r="N30">
        <v>27.324000000000002</v>
      </c>
      <c r="O30">
        <v>27.667999999999999</v>
      </c>
      <c r="R30">
        <v>17.285</v>
      </c>
      <c r="S30">
        <v>17.427</v>
      </c>
      <c r="T30">
        <v>38.515000000000001</v>
      </c>
      <c r="U30">
        <v>37.555</v>
      </c>
      <c r="W30">
        <v>0.249</v>
      </c>
      <c r="X30">
        <v>-0.13900000000000001</v>
      </c>
      <c r="Z30">
        <v>1.7999999999999999E-2</v>
      </c>
      <c r="AA30">
        <v>-0.29399999999999998</v>
      </c>
      <c r="AB30">
        <v>2.5000000000000001E-2</v>
      </c>
      <c r="AC30">
        <v>0.109</v>
      </c>
      <c r="AD30">
        <v>-0.13900000000000001</v>
      </c>
      <c r="AE30">
        <v>0.249</v>
      </c>
      <c r="AF30">
        <v>-5.3999999999999999E-2</v>
      </c>
      <c r="AG30">
        <v>-0.15</v>
      </c>
      <c r="AH30">
        <v>1.7999999999999999E-2</v>
      </c>
      <c r="AI30">
        <v>-0.29399999999999998</v>
      </c>
    </row>
    <row r="31" spans="1:35" x14ac:dyDescent="0.25">
      <c r="A31" t="s">
        <v>1433</v>
      </c>
      <c r="B31" t="s">
        <v>32</v>
      </c>
      <c r="C31" s="25">
        <v>43701.600555555553</v>
      </c>
      <c r="D31" s="741" t="s">
        <v>969</v>
      </c>
      <c r="E31" s="741">
        <f t="array" ref="E31">SUMPRODUCT(IF(AMP7_8[[#This Row],[Dim 1_1]:[T 8]]-$F$4:$AI$4&lt;0,1,0)+IF($F$5:$AI$5-AMP7_8[[#This Row],[Dim 1_1]:[T 8]]&lt;0,1,0),IF(ISNUMBER(AMP7_8[[#This Row],[Dim 1_1]:[T 8]])=TRUE,1,0))</f>
        <v>0</v>
      </c>
      <c r="F31">
        <v>40.996000000000002</v>
      </c>
      <c r="G31">
        <v>41.113999999999997</v>
      </c>
      <c r="H31">
        <v>155.90100000000001</v>
      </c>
      <c r="I31">
        <v>156.22499999999999</v>
      </c>
      <c r="L31">
        <v>156.00299999999999</v>
      </c>
      <c r="M31">
        <v>155.999</v>
      </c>
      <c r="N31">
        <v>27.207999999999998</v>
      </c>
      <c r="O31">
        <v>27.143000000000001</v>
      </c>
      <c r="R31">
        <v>17.251000000000001</v>
      </c>
      <c r="S31">
        <v>17.247</v>
      </c>
      <c r="T31">
        <v>32.835999999999999</v>
      </c>
      <c r="U31">
        <v>33.909999999999997</v>
      </c>
      <c r="W31">
        <v>9.9000000000000005E-2</v>
      </c>
      <c r="X31">
        <v>-0.19900000000000001</v>
      </c>
      <c r="Z31">
        <v>-3.4000000000000002E-2</v>
      </c>
      <c r="AA31">
        <v>-0.27200000000000002</v>
      </c>
      <c r="AB31">
        <v>-0.14799999999999999</v>
      </c>
      <c r="AC31">
        <v>-7.2999999999999995E-2</v>
      </c>
      <c r="AD31">
        <v>-0.19900000000000001</v>
      </c>
      <c r="AE31">
        <v>9.9000000000000005E-2</v>
      </c>
      <c r="AF31">
        <v>-3.4000000000000002E-2</v>
      </c>
      <c r="AG31">
        <v>-0.122</v>
      </c>
      <c r="AH31">
        <v>-6.7000000000000004E-2</v>
      </c>
      <c r="AI31">
        <v>-0.27200000000000002</v>
      </c>
    </row>
    <row r="32" spans="1:35" x14ac:dyDescent="0.25">
      <c r="A32" t="s">
        <v>1434</v>
      </c>
      <c r="B32" t="s">
        <v>31</v>
      </c>
      <c r="C32" s="25">
        <v>43701.602175925924</v>
      </c>
      <c r="D32" s="741" t="s">
        <v>969</v>
      </c>
      <c r="E32" s="741">
        <f t="array" ref="E32">SUMPRODUCT(IF(AMP7_8[[#This Row],[Dim 1_1]:[T 8]]-$F$4:$AI$4&lt;0,1,0)+IF($F$5:$AI$5-AMP7_8[[#This Row],[Dim 1_1]:[T 8]]&lt;0,1,0),IF(ISNUMBER(AMP7_8[[#This Row],[Dim 1_1]:[T 8]])=TRUE,1,0))</f>
        <v>1</v>
      </c>
      <c r="H32">
        <v>155.88200000000001</v>
      </c>
      <c r="I32">
        <v>155.881</v>
      </c>
      <c r="J32">
        <v>168.762</v>
      </c>
      <c r="K32">
        <v>169.45500000000001</v>
      </c>
      <c r="L32">
        <v>155.94</v>
      </c>
      <c r="M32">
        <v>155.6</v>
      </c>
      <c r="N32">
        <v>27.292000000000002</v>
      </c>
      <c r="O32">
        <v>27.585999999999999</v>
      </c>
      <c r="R32">
        <v>17.263999999999999</v>
      </c>
      <c r="S32">
        <v>17.318999999999999</v>
      </c>
      <c r="T32">
        <v>37.090000000000003</v>
      </c>
      <c r="U32">
        <v>35.607999999999997</v>
      </c>
      <c r="W32">
        <v>0.23400000000000001</v>
      </c>
      <c r="X32">
        <v>-0.20200000000000001</v>
      </c>
      <c r="Z32">
        <v>-3.1E-2</v>
      </c>
      <c r="AA32">
        <v>-0.33800000000000002</v>
      </c>
      <c r="AB32">
        <v>-2.9000000000000001E-2</v>
      </c>
      <c r="AC32">
        <v>4.9000000000000002E-2</v>
      </c>
      <c r="AD32">
        <v>-0.20200000000000001</v>
      </c>
      <c r="AE32">
        <v>0.23400000000000001</v>
      </c>
      <c r="AF32">
        <v>-9.1999999999999998E-2</v>
      </c>
      <c r="AG32">
        <v>-0.214</v>
      </c>
      <c r="AH32">
        <v>-3.1E-2</v>
      </c>
      <c r="AI32">
        <v>-0.33800000000000002</v>
      </c>
    </row>
    <row r="33" spans="1:35" x14ac:dyDescent="0.25">
      <c r="A33" t="s">
        <v>1435</v>
      </c>
      <c r="B33" t="s">
        <v>32</v>
      </c>
      <c r="C33" s="25">
        <v>43701.682187500002</v>
      </c>
      <c r="D33" s="741" t="s">
        <v>969</v>
      </c>
      <c r="E33" s="741">
        <f t="array" ref="E33">SUMPRODUCT(IF(AMP7_8[[#This Row],[Dim 1_1]:[T 8]]-$F$4:$AI$4&lt;0,1,0)+IF($F$5:$AI$5-AMP7_8[[#This Row],[Dim 1_1]:[T 8]]&lt;0,1,0),IF(ISNUMBER(AMP7_8[[#This Row],[Dim 1_1]:[T 8]])=TRUE,1,0))</f>
        <v>0</v>
      </c>
      <c r="F33">
        <v>41.084000000000003</v>
      </c>
      <c r="G33">
        <v>41.247999999999998</v>
      </c>
      <c r="H33">
        <v>155.91200000000001</v>
      </c>
      <c r="I33">
        <v>156.22999999999999</v>
      </c>
      <c r="L33">
        <v>155.99799999999999</v>
      </c>
      <c r="M33">
        <v>155.93299999999999</v>
      </c>
      <c r="N33">
        <v>27.195</v>
      </c>
      <c r="O33">
        <v>27.135000000000002</v>
      </c>
      <c r="R33">
        <v>17.251000000000001</v>
      </c>
      <c r="S33">
        <v>17.277999999999999</v>
      </c>
      <c r="T33">
        <v>32.768999999999998</v>
      </c>
      <c r="U33">
        <v>33.856000000000002</v>
      </c>
      <c r="W33">
        <v>-6.0000000000000001E-3</v>
      </c>
      <c r="X33">
        <v>-0.29399999999999998</v>
      </c>
      <c r="Z33">
        <v>-6.0999999999999999E-2</v>
      </c>
      <c r="AA33">
        <v>-0.34799999999999998</v>
      </c>
      <c r="AB33">
        <v>-0.17799999999999999</v>
      </c>
      <c r="AC33">
        <v>-0.105</v>
      </c>
      <c r="AD33">
        <v>-0.29399999999999998</v>
      </c>
      <c r="AE33">
        <v>-6.0000000000000001E-3</v>
      </c>
      <c r="AF33">
        <v>-6.0999999999999999E-2</v>
      </c>
      <c r="AG33">
        <v>-0.151</v>
      </c>
      <c r="AH33">
        <v>-0.17799999999999999</v>
      </c>
      <c r="AI33">
        <v>-0.34799999999999998</v>
      </c>
    </row>
    <row r="34" spans="1:35" x14ac:dyDescent="0.25">
      <c r="A34" t="s">
        <v>1436</v>
      </c>
      <c r="B34" t="s">
        <v>31</v>
      </c>
      <c r="C34" s="25">
        <v>43701.683796296296</v>
      </c>
      <c r="D34" s="741" t="s">
        <v>969</v>
      </c>
      <c r="E34" s="741">
        <f t="array" ref="E34">SUMPRODUCT(IF(AMP7_8[[#This Row],[Dim 1_1]:[T 8]]-$F$4:$AI$4&lt;0,1,0)+IF($F$5:$AI$5-AMP7_8[[#This Row],[Dim 1_1]:[T 8]]&lt;0,1,0),IF(ISNUMBER(AMP7_8[[#This Row],[Dim 1_1]:[T 8]])=TRUE,1,0))</f>
        <v>0</v>
      </c>
      <c r="H34">
        <v>155.91900000000001</v>
      </c>
      <c r="I34">
        <v>155.91</v>
      </c>
      <c r="J34">
        <v>168.92400000000001</v>
      </c>
      <c r="K34">
        <v>169.12799999999999</v>
      </c>
      <c r="L34">
        <v>155.98699999999999</v>
      </c>
      <c r="M34">
        <v>155.65899999999999</v>
      </c>
      <c r="N34">
        <v>27.25</v>
      </c>
      <c r="O34">
        <v>27.622</v>
      </c>
      <c r="R34">
        <v>17.251000000000001</v>
      </c>
      <c r="S34">
        <v>17.315000000000001</v>
      </c>
      <c r="T34">
        <v>40.003</v>
      </c>
      <c r="U34">
        <v>39.741999999999997</v>
      </c>
      <c r="W34">
        <v>0.26600000000000001</v>
      </c>
      <c r="X34">
        <v>-0.153</v>
      </c>
      <c r="Z34">
        <v>5.1999999999999998E-2</v>
      </c>
      <c r="AA34">
        <v>-0.26300000000000001</v>
      </c>
      <c r="AB34">
        <v>-3.3000000000000002E-2</v>
      </c>
      <c r="AC34">
        <v>6.0999999999999999E-2</v>
      </c>
      <c r="AD34">
        <v>-0.153</v>
      </c>
      <c r="AE34">
        <v>0.26600000000000001</v>
      </c>
      <c r="AF34">
        <v>-5.3999999999999999E-2</v>
      </c>
      <c r="AG34">
        <v>-0.18</v>
      </c>
      <c r="AH34">
        <v>5.1999999999999998E-2</v>
      </c>
      <c r="AI34">
        <v>-0.26300000000000001</v>
      </c>
    </row>
    <row r="35" spans="1:35" x14ac:dyDescent="0.25">
      <c r="A35" t="s">
        <v>1437</v>
      </c>
      <c r="B35" t="s">
        <v>32</v>
      </c>
      <c r="C35" s="25">
        <v>43702.339699074073</v>
      </c>
      <c r="D35" s="741" t="s">
        <v>969</v>
      </c>
      <c r="E35" s="741">
        <f t="array" ref="E35">SUMPRODUCT(IF(AMP7_8[[#This Row],[Dim 1_1]:[T 8]]-$F$4:$AI$4&lt;0,1,0)+IF($F$5:$AI$5-AMP7_8[[#This Row],[Dim 1_1]:[T 8]]&lt;0,1,0),IF(ISNUMBER(AMP7_8[[#This Row],[Dim 1_1]:[T 8]])=TRUE,1,0))</f>
        <v>0</v>
      </c>
      <c r="F35">
        <v>41.087000000000003</v>
      </c>
      <c r="G35">
        <v>41.295999999999999</v>
      </c>
      <c r="H35">
        <v>155.93100000000001</v>
      </c>
      <c r="I35">
        <v>156.245</v>
      </c>
      <c r="L35">
        <v>155.99199999999999</v>
      </c>
      <c r="M35">
        <v>155.93100000000001</v>
      </c>
      <c r="N35">
        <v>27.2</v>
      </c>
      <c r="O35">
        <v>27.152000000000001</v>
      </c>
      <c r="R35">
        <v>17.253</v>
      </c>
      <c r="S35">
        <v>17.344000000000001</v>
      </c>
      <c r="T35">
        <v>32.948</v>
      </c>
      <c r="U35">
        <v>33.945</v>
      </c>
      <c r="W35">
        <v>-2.9000000000000001E-2</v>
      </c>
      <c r="X35">
        <v>-0.23200000000000001</v>
      </c>
      <c r="Z35">
        <v>-4.0000000000000001E-3</v>
      </c>
      <c r="AA35">
        <v>-0.34899999999999998</v>
      </c>
      <c r="AB35">
        <v>-0.14899999999999999</v>
      </c>
      <c r="AC35">
        <v>-0.13500000000000001</v>
      </c>
      <c r="AD35">
        <v>-0.23200000000000001</v>
      </c>
      <c r="AE35">
        <v>-2.9000000000000001E-2</v>
      </c>
      <c r="AF35">
        <v>-4.0000000000000001E-3</v>
      </c>
      <c r="AG35">
        <v>-0.105</v>
      </c>
      <c r="AH35">
        <v>-0.15</v>
      </c>
      <c r="AI35">
        <v>-0.34899999999999998</v>
      </c>
    </row>
    <row r="36" spans="1:35" x14ac:dyDescent="0.25">
      <c r="A36" t="s">
        <v>1438</v>
      </c>
      <c r="B36" t="s">
        <v>31</v>
      </c>
      <c r="C36" s="25">
        <v>43702.341331018521</v>
      </c>
      <c r="D36" s="741" t="s">
        <v>969</v>
      </c>
      <c r="E36" s="741">
        <f t="array" ref="E36">SUMPRODUCT(IF(AMP7_8[[#This Row],[Dim 1_1]:[T 8]]-$F$4:$AI$4&lt;0,1,0)+IF($F$5:$AI$5-AMP7_8[[#This Row],[Dim 1_1]:[T 8]]&lt;0,1,0),IF(ISNUMBER(AMP7_8[[#This Row],[Dim 1_1]:[T 8]])=TRUE,1,0))</f>
        <v>0</v>
      </c>
      <c r="H36">
        <v>155.95500000000001</v>
      </c>
      <c r="I36">
        <v>155.96700000000001</v>
      </c>
      <c r="J36">
        <v>168.92599999999999</v>
      </c>
      <c r="K36">
        <v>169.131</v>
      </c>
      <c r="L36">
        <v>156.001</v>
      </c>
      <c r="M36">
        <v>155.672</v>
      </c>
      <c r="N36">
        <v>27.219000000000001</v>
      </c>
      <c r="O36">
        <v>27.584</v>
      </c>
      <c r="R36">
        <v>17.265999999999998</v>
      </c>
      <c r="S36">
        <v>17.321000000000002</v>
      </c>
      <c r="T36">
        <v>37.927999999999997</v>
      </c>
      <c r="U36">
        <v>36.953000000000003</v>
      </c>
      <c r="W36">
        <v>0.25800000000000001</v>
      </c>
      <c r="X36">
        <v>-0.17299999999999999</v>
      </c>
      <c r="Z36">
        <v>7.0999999999999994E-2</v>
      </c>
      <c r="AA36">
        <v>-0.26500000000000001</v>
      </c>
      <c r="AB36">
        <v>0.01</v>
      </c>
      <c r="AC36">
        <v>9.8000000000000004E-2</v>
      </c>
      <c r="AD36">
        <v>-0.17299999999999999</v>
      </c>
      <c r="AE36">
        <v>0.25800000000000001</v>
      </c>
      <c r="AF36">
        <v>1.9E-2</v>
      </c>
      <c r="AG36">
        <v>-0.106</v>
      </c>
      <c r="AH36">
        <v>7.0999999999999994E-2</v>
      </c>
      <c r="AI36">
        <v>-0.26500000000000001</v>
      </c>
    </row>
    <row r="37" spans="1:35" x14ac:dyDescent="0.25">
      <c r="A37" t="s">
        <v>1439</v>
      </c>
      <c r="B37" t="s">
        <v>32</v>
      </c>
      <c r="C37" s="25">
        <v>43702.413124999999</v>
      </c>
      <c r="D37" s="741" t="s">
        <v>969</v>
      </c>
      <c r="E37" s="741">
        <f t="array" ref="E37">SUMPRODUCT(IF(AMP7_8[[#This Row],[Dim 1_1]:[T 8]]-$F$4:$AI$4&lt;0,1,0)+IF($F$5:$AI$5-AMP7_8[[#This Row],[Dim 1_1]:[T 8]]&lt;0,1,0),IF(ISNUMBER(AMP7_8[[#This Row],[Dim 1_1]:[T 8]])=TRUE,1,0))</f>
        <v>0</v>
      </c>
      <c r="F37">
        <v>40.884</v>
      </c>
      <c r="G37">
        <v>41.081000000000003</v>
      </c>
      <c r="H37">
        <v>155.92500000000001</v>
      </c>
      <c r="I37">
        <v>156.26300000000001</v>
      </c>
      <c r="L37">
        <v>156.02000000000001</v>
      </c>
      <c r="M37">
        <v>155.97</v>
      </c>
      <c r="N37">
        <v>27.132000000000001</v>
      </c>
      <c r="O37">
        <v>27.087</v>
      </c>
      <c r="R37">
        <v>17.256</v>
      </c>
      <c r="S37">
        <v>17.233000000000001</v>
      </c>
      <c r="T37">
        <v>32.959000000000003</v>
      </c>
      <c r="U37">
        <v>34.026000000000003</v>
      </c>
      <c r="W37">
        <v>2.5999999999999999E-2</v>
      </c>
      <c r="X37">
        <v>-0.24299999999999999</v>
      </c>
      <c r="Z37">
        <v>-4.3999999999999997E-2</v>
      </c>
      <c r="AA37">
        <v>-0.30299999999999999</v>
      </c>
      <c r="AB37">
        <v>-0.23599999999999999</v>
      </c>
      <c r="AC37">
        <v>-0.157</v>
      </c>
      <c r="AD37">
        <v>-0.24299999999999999</v>
      </c>
      <c r="AE37">
        <v>2.5999999999999999E-2</v>
      </c>
      <c r="AF37">
        <v>-4.3999999999999997E-2</v>
      </c>
      <c r="AG37">
        <v>-0.13900000000000001</v>
      </c>
      <c r="AH37">
        <v>-0.128</v>
      </c>
      <c r="AI37">
        <v>-0.30299999999999999</v>
      </c>
    </row>
    <row r="38" spans="1:35" x14ac:dyDescent="0.25">
      <c r="A38" t="s">
        <v>1440</v>
      </c>
      <c r="B38" t="s">
        <v>31</v>
      </c>
      <c r="C38" s="25">
        <v>43702.415150462963</v>
      </c>
      <c r="D38" s="741" t="s">
        <v>969</v>
      </c>
      <c r="E38" s="741">
        <f t="array" ref="E38">SUMPRODUCT(IF(AMP7_8[[#This Row],[Dim 1_1]:[T 8]]-$F$4:$AI$4&lt;0,1,0)+IF($F$5:$AI$5-AMP7_8[[#This Row],[Dim 1_1]:[T 8]]&lt;0,1,0),IF(ISNUMBER(AMP7_8[[#This Row],[Dim 1_1]:[T 8]])=TRUE,1,0))</f>
        <v>0</v>
      </c>
      <c r="H38">
        <v>155.928</v>
      </c>
      <c r="I38">
        <v>155.935</v>
      </c>
      <c r="J38">
        <v>168.75700000000001</v>
      </c>
      <c r="K38">
        <v>168.971</v>
      </c>
      <c r="L38">
        <v>155.98699999999999</v>
      </c>
      <c r="M38">
        <v>155.661</v>
      </c>
      <c r="N38">
        <v>27.268000000000001</v>
      </c>
      <c r="O38">
        <v>27.626000000000001</v>
      </c>
      <c r="R38">
        <v>17.234000000000002</v>
      </c>
      <c r="S38">
        <v>17.263999999999999</v>
      </c>
      <c r="T38">
        <v>37.331000000000003</v>
      </c>
      <c r="U38">
        <v>38.229999999999997</v>
      </c>
      <c r="W38">
        <v>0.33</v>
      </c>
      <c r="X38">
        <v>-0.12</v>
      </c>
      <c r="Z38">
        <v>7.9000000000000001E-2</v>
      </c>
      <c r="AA38">
        <v>-0.30099999999999999</v>
      </c>
      <c r="AB38">
        <v>-2.5999999999999999E-2</v>
      </c>
      <c r="AC38">
        <v>6.6000000000000003E-2</v>
      </c>
      <c r="AD38">
        <v>-0.12</v>
      </c>
      <c r="AE38">
        <v>0.33</v>
      </c>
      <c r="AF38">
        <v>-9.7000000000000003E-2</v>
      </c>
      <c r="AG38">
        <v>-0.221</v>
      </c>
      <c r="AH38">
        <v>7.9000000000000001E-2</v>
      </c>
      <c r="AI38">
        <v>-0.30099999999999999</v>
      </c>
    </row>
    <row r="39" spans="1:35" x14ac:dyDescent="0.25">
      <c r="A39" t="s">
        <v>1441</v>
      </c>
      <c r="B39" t="s">
        <v>32</v>
      </c>
      <c r="C39" s="25">
        <v>43702.49391203704</v>
      </c>
      <c r="D39" s="741" t="s">
        <v>969</v>
      </c>
      <c r="E39" s="741">
        <f t="array" ref="E39">SUMPRODUCT(IF(AMP7_8[[#This Row],[Dim 1_1]:[T 8]]-$F$4:$AI$4&lt;0,1,0)+IF($F$5:$AI$5-AMP7_8[[#This Row],[Dim 1_1]:[T 8]]&lt;0,1,0),IF(ISNUMBER(AMP7_8[[#This Row],[Dim 1_1]:[T 8]])=TRUE,1,0))</f>
        <v>0</v>
      </c>
      <c r="F39">
        <v>40.966000000000001</v>
      </c>
      <c r="G39">
        <v>41.146000000000001</v>
      </c>
      <c r="H39">
        <v>155.91300000000001</v>
      </c>
      <c r="I39">
        <v>156.214</v>
      </c>
      <c r="L39">
        <v>155.99100000000001</v>
      </c>
      <c r="M39">
        <v>155.88900000000001</v>
      </c>
      <c r="N39">
        <v>27.187000000000001</v>
      </c>
      <c r="O39">
        <v>27.146000000000001</v>
      </c>
      <c r="R39">
        <v>17.219000000000001</v>
      </c>
      <c r="S39">
        <v>17.350000000000001</v>
      </c>
      <c r="T39">
        <v>32.984999999999999</v>
      </c>
      <c r="U39">
        <v>33.826999999999998</v>
      </c>
      <c r="W39">
        <v>2.1999999999999999E-2</v>
      </c>
      <c r="X39">
        <v>-0.34599999999999997</v>
      </c>
      <c r="Z39">
        <v>8.9999999999999993E-3</v>
      </c>
      <c r="AA39">
        <v>-0.41</v>
      </c>
      <c r="AB39">
        <v>-0.16600000000000001</v>
      </c>
      <c r="AC39">
        <v>-8.5999999999999993E-2</v>
      </c>
      <c r="AD39">
        <v>-0.34599999999999997</v>
      </c>
      <c r="AE39">
        <v>2.1999999999999999E-2</v>
      </c>
      <c r="AF39">
        <v>8.9999999999999993E-3</v>
      </c>
      <c r="AG39">
        <v>-8.5999999999999993E-2</v>
      </c>
      <c r="AH39">
        <v>-0.26700000000000002</v>
      </c>
      <c r="AI39">
        <v>-0.41</v>
      </c>
    </row>
    <row r="40" spans="1:35" x14ac:dyDescent="0.25">
      <c r="A40" t="s">
        <v>1442</v>
      </c>
      <c r="B40" t="s">
        <v>31</v>
      </c>
      <c r="C40" s="25">
        <v>43702.495648148149</v>
      </c>
      <c r="D40" s="741" t="s">
        <v>969</v>
      </c>
      <c r="E40" s="741">
        <f t="array" ref="E40">SUMPRODUCT(IF(AMP7_8[[#This Row],[Dim 1_1]:[T 8]]-$F$4:$AI$4&lt;0,1,0)+IF($F$5:$AI$5-AMP7_8[[#This Row],[Dim 1_1]:[T 8]]&lt;0,1,0),IF(ISNUMBER(AMP7_8[[#This Row],[Dim 1_1]:[T 8]])=TRUE,1,0))</f>
        <v>0</v>
      </c>
      <c r="H40">
        <v>155.887</v>
      </c>
      <c r="I40">
        <v>155.93100000000001</v>
      </c>
      <c r="J40">
        <v>168.804</v>
      </c>
      <c r="K40">
        <v>168.98500000000001</v>
      </c>
      <c r="L40">
        <v>155.959</v>
      </c>
      <c r="M40">
        <v>155.66</v>
      </c>
      <c r="N40">
        <v>27.283000000000001</v>
      </c>
      <c r="O40">
        <v>27.602</v>
      </c>
      <c r="R40">
        <v>17.257000000000001</v>
      </c>
      <c r="S40">
        <v>17.346</v>
      </c>
      <c r="T40">
        <v>38.228000000000002</v>
      </c>
      <c r="U40">
        <v>38.844000000000001</v>
      </c>
      <c r="W40">
        <v>0.23400000000000001</v>
      </c>
      <c r="X40">
        <v>-0.18099999999999999</v>
      </c>
      <c r="Z40">
        <v>-2.4E-2</v>
      </c>
      <c r="AA40">
        <v>-0.35599999999999998</v>
      </c>
      <c r="AB40">
        <v>-1.7000000000000001E-2</v>
      </c>
      <c r="AC40">
        <v>0.08</v>
      </c>
      <c r="AD40">
        <v>-0.18099999999999999</v>
      </c>
      <c r="AE40">
        <v>0.23400000000000001</v>
      </c>
      <c r="AF40">
        <v>-7.5999999999999998E-2</v>
      </c>
      <c r="AG40">
        <v>-0.19400000000000001</v>
      </c>
      <c r="AH40">
        <v>-2.4E-2</v>
      </c>
      <c r="AI40">
        <v>-0.35599999999999998</v>
      </c>
    </row>
    <row r="41" spans="1:35" x14ac:dyDescent="0.25">
      <c r="A41" t="s">
        <v>1443</v>
      </c>
      <c r="B41" t="s">
        <v>32</v>
      </c>
      <c r="C41" s="25">
        <v>43702.588553240741</v>
      </c>
      <c r="D41" s="741" t="s">
        <v>969</v>
      </c>
      <c r="E41" s="741">
        <f t="array" ref="E41">SUMPRODUCT(IF(AMP7_8[[#This Row],[Dim 1_1]:[T 8]]-$F$4:$AI$4&lt;0,1,0)+IF($F$5:$AI$5-AMP7_8[[#This Row],[Dim 1_1]:[T 8]]&lt;0,1,0),IF(ISNUMBER(AMP7_8[[#This Row],[Dim 1_1]:[T 8]])=TRUE,1,0))</f>
        <v>0</v>
      </c>
      <c r="F41">
        <v>41.058999999999997</v>
      </c>
      <c r="G41">
        <v>41.271999999999998</v>
      </c>
      <c r="H41">
        <v>155.90199999999999</v>
      </c>
      <c r="I41">
        <v>156.21700000000001</v>
      </c>
      <c r="L41">
        <v>156</v>
      </c>
      <c r="M41">
        <v>155.946</v>
      </c>
      <c r="N41">
        <v>27.207999999999998</v>
      </c>
      <c r="O41">
        <v>27.102</v>
      </c>
      <c r="R41">
        <v>17.22</v>
      </c>
      <c r="S41">
        <v>17.260000000000002</v>
      </c>
      <c r="T41">
        <v>32.889000000000003</v>
      </c>
      <c r="U41">
        <v>33.942999999999998</v>
      </c>
      <c r="W41">
        <v>-5.0999999999999997E-2</v>
      </c>
      <c r="X41">
        <v>-0.31900000000000001</v>
      </c>
      <c r="Z41">
        <v>-4.2000000000000003E-2</v>
      </c>
      <c r="AA41">
        <v>-0.34599999999999997</v>
      </c>
      <c r="AB41">
        <v>-0.192</v>
      </c>
      <c r="AC41">
        <v>-0.113</v>
      </c>
      <c r="AD41">
        <v>-0.31900000000000001</v>
      </c>
      <c r="AE41">
        <v>-5.0999999999999997E-2</v>
      </c>
      <c r="AF41">
        <v>-4.2000000000000003E-2</v>
      </c>
      <c r="AG41">
        <v>-0.13600000000000001</v>
      </c>
      <c r="AH41">
        <v>-0.16300000000000001</v>
      </c>
      <c r="AI41">
        <v>-0.34599999999999997</v>
      </c>
    </row>
    <row r="42" spans="1:35" x14ac:dyDescent="0.25">
      <c r="A42" t="s">
        <v>1444</v>
      </c>
      <c r="B42" t="s">
        <v>31</v>
      </c>
      <c r="C42" s="25">
        <v>43702.59039351852</v>
      </c>
      <c r="D42" s="741" t="s">
        <v>969</v>
      </c>
      <c r="E42" s="741">
        <f t="array" ref="E42">SUMPRODUCT(IF(AMP7_8[[#This Row],[Dim 1_1]:[T 8]]-$F$4:$AI$4&lt;0,1,0)+IF($F$5:$AI$5-AMP7_8[[#This Row],[Dim 1_1]:[T 8]]&lt;0,1,0),IF(ISNUMBER(AMP7_8[[#This Row],[Dim 1_1]:[T 8]])=TRUE,1,0))</f>
        <v>0</v>
      </c>
      <c r="H42">
        <v>155.86099999999999</v>
      </c>
      <c r="I42">
        <v>155.922</v>
      </c>
      <c r="J42">
        <v>168.87700000000001</v>
      </c>
      <c r="K42">
        <v>169.03700000000001</v>
      </c>
      <c r="L42">
        <v>155.947</v>
      </c>
      <c r="M42">
        <v>155.61600000000001</v>
      </c>
      <c r="N42">
        <v>27.274999999999999</v>
      </c>
      <c r="O42">
        <v>27.617999999999999</v>
      </c>
      <c r="R42">
        <v>17.262</v>
      </c>
      <c r="S42">
        <v>17.231000000000002</v>
      </c>
      <c r="T42">
        <v>37.942</v>
      </c>
      <c r="U42">
        <v>38.792999999999999</v>
      </c>
      <c r="W42">
        <v>0.224</v>
      </c>
      <c r="X42">
        <v>-0.16800000000000001</v>
      </c>
      <c r="Z42">
        <v>4.3999999999999997E-2</v>
      </c>
      <c r="AA42">
        <v>-0.27</v>
      </c>
      <c r="AB42">
        <v>-0.04</v>
      </c>
      <c r="AC42">
        <v>4.9000000000000002E-2</v>
      </c>
      <c r="AD42">
        <v>-0.16800000000000001</v>
      </c>
      <c r="AE42">
        <v>0.224</v>
      </c>
      <c r="AF42">
        <v>-1.7999999999999999E-2</v>
      </c>
      <c r="AG42">
        <v>-0.155</v>
      </c>
      <c r="AH42">
        <v>4.3999999999999997E-2</v>
      </c>
      <c r="AI42">
        <v>-0.27</v>
      </c>
    </row>
    <row r="43" spans="1:35" x14ac:dyDescent="0.25">
      <c r="A43" t="s">
        <v>1445</v>
      </c>
      <c r="B43" t="s">
        <v>32</v>
      </c>
      <c r="C43" s="25">
        <v>43702.679745370369</v>
      </c>
      <c r="D43" s="741" t="s">
        <v>969</v>
      </c>
      <c r="E43" s="741">
        <f t="array" ref="E43">SUMPRODUCT(IF(AMP7_8[[#This Row],[Dim 1_1]:[T 8]]-$F$4:$AI$4&lt;0,1,0)+IF($F$5:$AI$5-AMP7_8[[#This Row],[Dim 1_1]:[T 8]]&lt;0,1,0),IF(ISNUMBER(AMP7_8[[#This Row],[Dim 1_1]:[T 8]])=TRUE,1,0))</f>
        <v>0</v>
      </c>
      <c r="F43">
        <v>40.996000000000002</v>
      </c>
      <c r="G43">
        <v>41.220999999999997</v>
      </c>
      <c r="H43">
        <v>155.99700000000001</v>
      </c>
      <c r="I43">
        <v>156.298</v>
      </c>
      <c r="L43">
        <v>156.065</v>
      </c>
      <c r="M43">
        <v>155.98400000000001</v>
      </c>
      <c r="N43">
        <v>27.172000000000001</v>
      </c>
      <c r="O43">
        <v>27.119</v>
      </c>
      <c r="R43">
        <v>17.242000000000001</v>
      </c>
      <c r="S43">
        <v>17.265999999999998</v>
      </c>
      <c r="T43">
        <v>32.835999999999999</v>
      </c>
      <c r="U43">
        <v>33.814</v>
      </c>
      <c r="W43">
        <v>1.0999999999999999E-2</v>
      </c>
      <c r="X43">
        <v>-0.29699999999999999</v>
      </c>
      <c r="Z43">
        <v>-0.157</v>
      </c>
      <c r="AA43">
        <v>-0.40799999999999997</v>
      </c>
      <c r="AB43">
        <v>-0.187</v>
      </c>
      <c r="AC43">
        <v>-0.122</v>
      </c>
      <c r="AD43">
        <v>-0.29699999999999999</v>
      </c>
      <c r="AE43">
        <v>1.0999999999999999E-2</v>
      </c>
      <c r="AF43">
        <v>-0.157</v>
      </c>
      <c r="AG43">
        <v>-0.23799999999999999</v>
      </c>
      <c r="AH43">
        <v>-0.20799999999999999</v>
      </c>
      <c r="AI43">
        <v>-0.40799999999999997</v>
      </c>
    </row>
    <row r="44" spans="1:35" x14ac:dyDescent="0.25">
      <c r="A44" t="s">
        <v>1446</v>
      </c>
      <c r="B44" t="s">
        <v>31</v>
      </c>
      <c r="C44" s="25">
        <v>43702.681342592594</v>
      </c>
      <c r="D44" s="741" t="s">
        <v>969</v>
      </c>
      <c r="E44" s="741">
        <f t="array" ref="E44">SUMPRODUCT(IF(AMP7_8[[#This Row],[Dim 1_1]:[T 8]]-$F$4:$AI$4&lt;0,1,0)+IF($F$5:$AI$5-AMP7_8[[#This Row],[Dim 1_1]:[T 8]]&lt;0,1,0),IF(ISNUMBER(AMP7_8[[#This Row],[Dim 1_1]:[T 8]])=TRUE,1,0))</f>
        <v>0</v>
      </c>
      <c r="H44">
        <v>155.97999999999999</v>
      </c>
      <c r="I44">
        <v>155.983</v>
      </c>
      <c r="J44">
        <v>168.92699999999999</v>
      </c>
      <c r="K44">
        <v>169.17</v>
      </c>
      <c r="L44">
        <v>156.06100000000001</v>
      </c>
      <c r="M44">
        <v>155.73500000000001</v>
      </c>
      <c r="N44">
        <v>27.145</v>
      </c>
      <c r="O44">
        <v>27.515000000000001</v>
      </c>
      <c r="R44">
        <v>17.256</v>
      </c>
      <c r="S44">
        <v>17.207000000000001</v>
      </c>
      <c r="T44">
        <v>37.121000000000002</v>
      </c>
      <c r="U44">
        <v>36.834000000000003</v>
      </c>
      <c r="W44">
        <v>0.29899999999999999</v>
      </c>
      <c r="X44">
        <v>-0.14299999999999999</v>
      </c>
      <c r="Z44">
        <v>0.06</v>
      </c>
      <c r="AA44">
        <v>-0.25600000000000001</v>
      </c>
      <c r="AB44">
        <v>-0.115</v>
      </c>
      <c r="AC44">
        <v>-0.02</v>
      </c>
      <c r="AD44">
        <v>-0.14299999999999999</v>
      </c>
      <c r="AE44">
        <v>0.29899999999999999</v>
      </c>
      <c r="AF44">
        <v>-0.113</v>
      </c>
      <c r="AG44">
        <v>-0.251</v>
      </c>
      <c r="AH44">
        <v>0.06</v>
      </c>
      <c r="AI44">
        <v>-0.25600000000000001</v>
      </c>
    </row>
    <row r="45" spans="1:35" x14ac:dyDescent="0.25">
      <c r="A45" t="s">
        <v>1784</v>
      </c>
      <c r="B45" t="s">
        <v>32</v>
      </c>
      <c r="C45" s="25">
        <v>43703.320439814815</v>
      </c>
      <c r="D45" s="741" t="s">
        <v>969</v>
      </c>
      <c r="E45" s="741">
        <f t="array" ref="E45">SUMPRODUCT(IF(AMP7_8[[#This Row],[Dim 1_1]:[T 8]]-$F$4:$AI$4&lt;0,1,0)+IF($F$5:$AI$5-AMP7_8[[#This Row],[Dim 1_1]:[T 8]]&lt;0,1,0),IF(ISNUMBER(AMP7_8[[#This Row],[Dim 1_1]:[T 8]])=TRUE,1,0))</f>
        <v>0</v>
      </c>
      <c r="F45">
        <v>41.16</v>
      </c>
      <c r="G45">
        <v>41.293999999999997</v>
      </c>
      <c r="H45">
        <v>155.89400000000001</v>
      </c>
      <c r="I45">
        <v>156.21100000000001</v>
      </c>
      <c r="L45">
        <v>156.011</v>
      </c>
      <c r="M45">
        <v>155.93299999999999</v>
      </c>
      <c r="N45">
        <v>27.19</v>
      </c>
      <c r="O45">
        <v>27.146999999999998</v>
      </c>
      <c r="R45">
        <v>17.245000000000001</v>
      </c>
      <c r="S45">
        <v>17.238</v>
      </c>
      <c r="T45">
        <v>32.9</v>
      </c>
      <c r="U45">
        <v>34.048000000000002</v>
      </c>
      <c r="W45">
        <v>1.6E-2</v>
      </c>
      <c r="X45">
        <v>-0.28199999999999997</v>
      </c>
      <c r="Z45">
        <v>1.6E-2</v>
      </c>
      <c r="AA45">
        <v>-0.28100000000000003</v>
      </c>
      <c r="AB45">
        <v>-0.17199999999999999</v>
      </c>
      <c r="AC45">
        <v>-0.09</v>
      </c>
      <c r="AD45">
        <v>-0.28199999999999997</v>
      </c>
      <c r="AE45">
        <v>1.6E-2</v>
      </c>
      <c r="AF45">
        <v>1.6E-2</v>
      </c>
      <c r="AG45">
        <v>-0.107</v>
      </c>
      <c r="AH45">
        <v>-9.4E-2</v>
      </c>
      <c r="AI45">
        <v>-0.28100000000000003</v>
      </c>
    </row>
    <row r="46" spans="1:35" x14ac:dyDescent="0.25">
      <c r="A46" t="s">
        <v>1785</v>
      </c>
      <c r="B46" t="s">
        <v>31</v>
      </c>
      <c r="C46" s="25">
        <v>43703.322395833333</v>
      </c>
      <c r="D46" s="741" t="s">
        <v>969</v>
      </c>
      <c r="E46" s="741">
        <f t="array" ref="E46">SUMPRODUCT(IF(AMP7_8[[#This Row],[Dim 1_1]:[T 8]]-$F$4:$AI$4&lt;0,1,0)+IF($F$5:$AI$5-AMP7_8[[#This Row],[Dim 1_1]:[T 8]]&lt;0,1,0),IF(ISNUMBER(AMP7_8[[#This Row],[Dim 1_1]:[T 8]])=TRUE,1,0))</f>
        <v>0</v>
      </c>
      <c r="H46">
        <v>155.93899999999999</v>
      </c>
      <c r="I46">
        <v>155.982</v>
      </c>
      <c r="J46">
        <v>169.05099999999999</v>
      </c>
      <c r="K46">
        <v>169.233</v>
      </c>
      <c r="L46">
        <v>156.047</v>
      </c>
      <c r="M46">
        <v>155.727</v>
      </c>
      <c r="N46">
        <v>27.181000000000001</v>
      </c>
      <c r="O46">
        <v>27.547000000000001</v>
      </c>
      <c r="R46">
        <v>17.247</v>
      </c>
      <c r="S46">
        <v>17.209</v>
      </c>
      <c r="T46">
        <v>39.026000000000003</v>
      </c>
      <c r="U46">
        <v>38.686999999999998</v>
      </c>
      <c r="W46">
        <v>0.37</v>
      </c>
      <c r="X46">
        <v>-7.0000000000000007E-2</v>
      </c>
      <c r="Z46">
        <v>0.251</v>
      </c>
      <c r="AA46">
        <v>-8.3000000000000004E-2</v>
      </c>
      <c r="AB46">
        <v>1.2E-2</v>
      </c>
      <c r="AC46">
        <v>0.127</v>
      </c>
      <c r="AD46">
        <v>-7.0000000000000007E-2</v>
      </c>
      <c r="AE46">
        <v>0.37</v>
      </c>
      <c r="AF46">
        <v>0.126</v>
      </c>
      <c r="AG46">
        <v>-2E-3</v>
      </c>
      <c r="AH46">
        <v>0.251</v>
      </c>
      <c r="AI46">
        <v>-8.3000000000000004E-2</v>
      </c>
    </row>
    <row r="47" spans="1:35" x14ac:dyDescent="0.25">
      <c r="A47" t="s">
        <v>1786</v>
      </c>
      <c r="B47" t="s">
        <v>32</v>
      </c>
      <c r="C47" s="25">
        <v>43703.407372685186</v>
      </c>
      <c r="D47" s="741" t="s">
        <v>969</v>
      </c>
      <c r="E47" s="741">
        <f t="array" ref="E47">SUMPRODUCT(IF(AMP7_8[[#This Row],[Dim 1_1]:[T 8]]-$F$4:$AI$4&lt;0,1,0)+IF($F$5:$AI$5-AMP7_8[[#This Row],[Dim 1_1]:[T 8]]&lt;0,1,0),IF(ISNUMBER(AMP7_8[[#This Row],[Dim 1_1]:[T 8]])=TRUE,1,0))</f>
        <v>1</v>
      </c>
      <c r="F47">
        <v>40.776000000000003</v>
      </c>
      <c r="G47">
        <v>41.012</v>
      </c>
      <c r="H47">
        <v>156.05000000000001</v>
      </c>
      <c r="I47">
        <v>156.34100000000001</v>
      </c>
      <c r="L47">
        <v>156.10499999999999</v>
      </c>
      <c r="M47">
        <v>156.02600000000001</v>
      </c>
      <c r="N47">
        <v>27.088000000000001</v>
      </c>
      <c r="O47">
        <v>27.061</v>
      </c>
      <c r="R47">
        <v>17.262</v>
      </c>
      <c r="S47">
        <v>17.196000000000002</v>
      </c>
      <c r="T47">
        <v>32.826999999999998</v>
      </c>
      <c r="U47">
        <v>33.970999999999997</v>
      </c>
      <c r="W47">
        <v>6.0000000000000001E-3</v>
      </c>
      <c r="X47">
        <v>-0.29299999999999998</v>
      </c>
      <c r="Z47">
        <v>-0.13100000000000001</v>
      </c>
      <c r="AA47">
        <v>-0.35199999999999998</v>
      </c>
      <c r="AB47">
        <v>-0.27600000000000002</v>
      </c>
      <c r="AC47">
        <v>-0.19900000000000001</v>
      </c>
      <c r="AD47">
        <v>-0.29299999999999998</v>
      </c>
      <c r="AE47">
        <v>6.0000000000000001E-3</v>
      </c>
      <c r="AF47">
        <v>-0.156</v>
      </c>
      <c r="AG47">
        <v>-0.25600000000000001</v>
      </c>
      <c r="AH47">
        <v>-0.13100000000000001</v>
      </c>
      <c r="AI47">
        <v>-0.35199999999999998</v>
      </c>
    </row>
    <row r="48" spans="1:35" x14ac:dyDescent="0.25">
      <c r="A48" t="s">
        <v>1787</v>
      </c>
      <c r="B48" t="s">
        <v>31</v>
      </c>
      <c r="C48" s="25">
        <v>43703.409583333334</v>
      </c>
      <c r="D48" s="741" t="s">
        <v>969</v>
      </c>
      <c r="E48" s="741">
        <f t="array" ref="E48">SUMPRODUCT(IF(AMP7_8[[#This Row],[Dim 1_1]:[T 8]]-$F$4:$AI$4&lt;0,1,0)+IF($F$5:$AI$5-AMP7_8[[#This Row],[Dim 1_1]:[T 8]]&lt;0,1,0),IF(ISNUMBER(AMP7_8[[#This Row],[Dim 1_1]:[T 8]])=TRUE,1,0))</f>
        <v>0</v>
      </c>
      <c r="H48">
        <v>156.017</v>
      </c>
      <c r="I48">
        <v>156.023</v>
      </c>
      <c r="J48">
        <v>168.76</v>
      </c>
      <c r="K48">
        <v>168.96899999999999</v>
      </c>
      <c r="L48">
        <v>156.095</v>
      </c>
      <c r="M48">
        <v>155.77099999999999</v>
      </c>
      <c r="N48">
        <v>27.122</v>
      </c>
      <c r="O48">
        <v>27.486999999999998</v>
      </c>
      <c r="R48">
        <v>17.274000000000001</v>
      </c>
      <c r="S48">
        <v>17.241</v>
      </c>
      <c r="T48">
        <v>39.362000000000002</v>
      </c>
      <c r="U48">
        <v>39.817</v>
      </c>
      <c r="W48">
        <v>0.28399999999999997</v>
      </c>
      <c r="X48">
        <v>-0.14000000000000001</v>
      </c>
      <c r="Z48">
        <v>6.0999999999999999E-2</v>
      </c>
      <c r="AA48">
        <v>-0.29599999999999999</v>
      </c>
      <c r="AB48">
        <v>-0.11600000000000001</v>
      </c>
      <c r="AC48">
        <v>-1.6E-2</v>
      </c>
      <c r="AD48">
        <v>-0.14000000000000001</v>
      </c>
      <c r="AE48">
        <v>0.28399999999999997</v>
      </c>
      <c r="AF48">
        <v>-0.14000000000000001</v>
      </c>
      <c r="AG48">
        <v>-0.26400000000000001</v>
      </c>
      <c r="AH48">
        <v>6.0999999999999999E-2</v>
      </c>
      <c r="AI48">
        <v>-0.29599999999999999</v>
      </c>
    </row>
    <row r="49" spans="1:35" x14ac:dyDescent="0.25">
      <c r="A49" t="s">
        <v>1788</v>
      </c>
      <c r="B49" t="s">
        <v>32</v>
      </c>
      <c r="C49" s="25">
        <v>43703.487604166665</v>
      </c>
      <c r="D49" s="741" t="s">
        <v>969</v>
      </c>
      <c r="E49" s="741">
        <f t="array" ref="E49">SUMPRODUCT(IF(AMP7_8[[#This Row],[Dim 1_1]:[T 8]]-$F$4:$AI$4&lt;0,1,0)+IF($F$5:$AI$5-AMP7_8[[#This Row],[Dim 1_1]:[T 8]]&lt;0,1,0),IF(ISNUMBER(AMP7_8[[#This Row],[Dim 1_1]:[T 8]])=TRUE,1,0))</f>
        <v>0</v>
      </c>
      <c r="F49">
        <v>40.9</v>
      </c>
      <c r="G49">
        <v>41.209000000000003</v>
      </c>
      <c r="H49">
        <v>156.07300000000001</v>
      </c>
      <c r="I49">
        <v>156.37100000000001</v>
      </c>
      <c r="L49">
        <v>156.142</v>
      </c>
      <c r="M49">
        <v>156.04300000000001</v>
      </c>
      <c r="N49">
        <v>27.036999999999999</v>
      </c>
      <c r="O49">
        <v>27.01</v>
      </c>
      <c r="R49">
        <v>17.227</v>
      </c>
      <c r="S49">
        <v>17.242999999999999</v>
      </c>
      <c r="T49">
        <v>32.884</v>
      </c>
      <c r="U49">
        <v>33.875999999999998</v>
      </c>
      <c r="W49">
        <v>-5.0999999999999997E-2</v>
      </c>
      <c r="X49">
        <v>-0.30299999999999999</v>
      </c>
      <c r="Z49">
        <v>-0.14199999999999999</v>
      </c>
      <c r="AA49">
        <v>-0.36799999999999999</v>
      </c>
      <c r="AB49">
        <v>-0.29599999999999999</v>
      </c>
      <c r="AC49">
        <v>-0.223</v>
      </c>
      <c r="AD49">
        <v>-0.30299999999999999</v>
      </c>
      <c r="AE49">
        <v>-5.0999999999999997E-2</v>
      </c>
      <c r="AF49">
        <v>-0.14199999999999999</v>
      </c>
      <c r="AG49">
        <v>-0.23799999999999999</v>
      </c>
      <c r="AH49">
        <v>-0.187</v>
      </c>
      <c r="AI49">
        <v>-0.36799999999999999</v>
      </c>
    </row>
    <row r="50" spans="1:35" x14ac:dyDescent="0.25">
      <c r="A50" t="s">
        <v>1789</v>
      </c>
      <c r="B50" t="s">
        <v>31</v>
      </c>
      <c r="C50" s="25">
        <v>43703.489178240743</v>
      </c>
      <c r="D50" s="741" t="s">
        <v>969</v>
      </c>
      <c r="E50" s="741">
        <f t="array" ref="E50">SUMPRODUCT(IF(AMP7_8[[#This Row],[Dim 1_1]:[T 8]]-$F$4:$AI$4&lt;0,1,0)+IF($F$5:$AI$5-AMP7_8[[#This Row],[Dim 1_1]:[T 8]]&lt;0,1,0),IF(ISNUMBER(AMP7_8[[#This Row],[Dim 1_1]:[T 8]])=TRUE,1,0))</f>
        <v>0</v>
      </c>
      <c r="H50">
        <v>156.011</v>
      </c>
      <c r="I50">
        <v>156.03</v>
      </c>
      <c r="J50">
        <v>168.93299999999999</v>
      </c>
      <c r="K50">
        <v>169.137</v>
      </c>
      <c r="L50">
        <v>156.084</v>
      </c>
      <c r="M50">
        <v>155.768</v>
      </c>
      <c r="N50">
        <v>27.132999999999999</v>
      </c>
      <c r="O50">
        <v>27.488</v>
      </c>
      <c r="R50">
        <v>17.248999999999999</v>
      </c>
      <c r="S50">
        <v>17.286000000000001</v>
      </c>
      <c r="T50">
        <v>36.642000000000003</v>
      </c>
      <c r="U50">
        <v>37.353000000000002</v>
      </c>
      <c r="W50">
        <v>0.189</v>
      </c>
      <c r="X50">
        <v>-0.26500000000000001</v>
      </c>
      <c r="Z50">
        <v>-1.9E-2</v>
      </c>
      <c r="AA50">
        <v>-0.377</v>
      </c>
      <c r="AB50">
        <v>-7.6999999999999999E-2</v>
      </c>
      <c r="AC50">
        <v>2.3E-2</v>
      </c>
      <c r="AD50">
        <v>-0.26500000000000001</v>
      </c>
      <c r="AE50">
        <v>0.189</v>
      </c>
      <c r="AF50">
        <v>-8.6999999999999994E-2</v>
      </c>
      <c r="AG50">
        <v>-0.20100000000000001</v>
      </c>
      <c r="AH50">
        <v>-1.9E-2</v>
      </c>
      <c r="AI50">
        <v>-0.377</v>
      </c>
    </row>
    <row r="51" spans="1:35" x14ac:dyDescent="0.25">
      <c r="A51" t="s">
        <v>1790</v>
      </c>
      <c r="B51" t="s">
        <v>32</v>
      </c>
      <c r="C51" s="25">
        <v>43703.648981481485</v>
      </c>
      <c r="D51" s="741" t="s">
        <v>969</v>
      </c>
      <c r="E51" s="741">
        <f t="array" ref="E51">SUMPRODUCT(IF(AMP7_8[[#This Row],[Dim 1_1]:[T 8]]-$F$4:$AI$4&lt;0,1,0)+IF($F$5:$AI$5-AMP7_8[[#This Row],[Dim 1_1]:[T 8]]&lt;0,1,0),IF(ISNUMBER(AMP7_8[[#This Row],[Dim 1_1]:[T 8]])=TRUE,1,0))</f>
        <v>0</v>
      </c>
      <c r="F51">
        <v>40.987000000000002</v>
      </c>
      <c r="G51">
        <v>41.162999999999997</v>
      </c>
      <c r="H51">
        <v>156.01599999999999</v>
      </c>
      <c r="I51">
        <v>156.31200000000001</v>
      </c>
      <c r="L51">
        <v>156.119</v>
      </c>
      <c r="M51">
        <v>155.995</v>
      </c>
      <c r="N51">
        <v>27.096</v>
      </c>
      <c r="O51">
        <v>27.062000000000001</v>
      </c>
      <c r="R51">
        <v>17.239000000000001</v>
      </c>
      <c r="S51">
        <v>17.242999999999999</v>
      </c>
      <c r="T51">
        <v>32.799999999999997</v>
      </c>
      <c r="U51">
        <v>33.878999999999998</v>
      </c>
      <c r="W51">
        <v>-0.11700000000000001</v>
      </c>
      <c r="X51">
        <v>-0.38500000000000001</v>
      </c>
      <c r="Z51">
        <v>-0.17699999999999999</v>
      </c>
      <c r="AA51">
        <v>-0.42399999999999999</v>
      </c>
      <c r="AB51">
        <v>-0.29799999999999999</v>
      </c>
      <c r="AC51">
        <v>-0.217</v>
      </c>
      <c r="AD51">
        <v>-0.38500000000000001</v>
      </c>
      <c r="AE51">
        <v>-0.11700000000000001</v>
      </c>
      <c r="AF51">
        <v>-0.17699999999999999</v>
      </c>
      <c r="AG51">
        <v>-0.24399999999999999</v>
      </c>
      <c r="AH51">
        <v>-0.20399999999999999</v>
      </c>
      <c r="AI51">
        <v>-0.42399999999999999</v>
      </c>
    </row>
    <row r="52" spans="1:35" x14ac:dyDescent="0.25">
      <c r="A52" t="s">
        <v>1791</v>
      </c>
      <c r="B52" t="s">
        <v>31</v>
      </c>
      <c r="C52" s="25">
        <v>43703.650555555556</v>
      </c>
      <c r="D52" s="741" t="s">
        <v>969</v>
      </c>
      <c r="E52" s="741">
        <f t="array" ref="E52">SUMPRODUCT(IF(AMP7_8[[#This Row],[Dim 1_1]:[T 8]]-$F$4:$AI$4&lt;0,1,0)+IF($F$5:$AI$5-AMP7_8[[#This Row],[Dim 1_1]:[T 8]]&lt;0,1,0),IF(ISNUMBER(AMP7_8[[#This Row],[Dim 1_1]:[T 8]])=TRUE,1,0))</f>
        <v>0</v>
      </c>
      <c r="H52">
        <v>156.04</v>
      </c>
      <c r="I52">
        <v>155.98599999999999</v>
      </c>
      <c r="J52">
        <v>168.91200000000001</v>
      </c>
      <c r="K52">
        <v>169.14500000000001</v>
      </c>
      <c r="L52">
        <v>156.06100000000001</v>
      </c>
      <c r="M52">
        <v>155.76300000000001</v>
      </c>
      <c r="N52">
        <v>27.161999999999999</v>
      </c>
      <c r="O52">
        <v>27.510999999999999</v>
      </c>
      <c r="R52">
        <v>17.204000000000001</v>
      </c>
      <c r="S52">
        <v>17.062000000000001</v>
      </c>
      <c r="T52">
        <v>39.270000000000003</v>
      </c>
      <c r="U52">
        <v>39.505000000000003</v>
      </c>
      <c r="W52">
        <v>0.28000000000000003</v>
      </c>
      <c r="X52">
        <v>-0.16600000000000001</v>
      </c>
      <c r="Z52">
        <v>5.5E-2</v>
      </c>
      <c r="AA52">
        <v>-0.35199999999999998</v>
      </c>
      <c r="AB52">
        <v>-0.157</v>
      </c>
      <c r="AC52">
        <v>-4.1000000000000002E-2</v>
      </c>
      <c r="AD52">
        <v>-0.16600000000000001</v>
      </c>
      <c r="AE52">
        <v>0.28000000000000003</v>
      </c>
      <c r="AF52">
        <v>-0.10299999999999999</v>
      </c>
      <c r="AG52">
        <v>-0.30399999999999999</v>
      </c>
      <c r="AH52">
        <v>5.5E-2</v>
      </c>
      <c r="AI52">
        <v>-0.35199999999999998</v>
      </c>
    </row>
    <row r="53" spans="1:35" x14ac:dyDescent="0.25">
      <c r="A53" t="s">
        <v>1792</v>
      </c>
      <c r="B53" t="s">
        <v>32</v>
      </c>
      <c r="C53" s="25">
        <v>43703.707650462966</v>
      </c>
      <c r="D53" s="741" t="s">
        <v>969</v>
      </c>
      <c r="E53" s="741">
        <f t="array" ref="E53">SUMPRODUCT(IF(AMP7_8[[#This Row],[Dim 1_1]:[T 8]]-$F$4:$AI$4&lt;0,1,0)+IF($F$5:$AI$5-AMP7_8[[#This Row],[Dim 1_1]:[T 8]]&lt;0,1,0),IF(ISNUMBER(AMP7_8[[#This Row],[Dim 1_1]:[T 8]])=TRUE,1,0))</f>
        <v>0</v>
      </c>
      <c r="F53">
        <v>40.96</v>
      </c>
      <c r="G53">
        <v>41.204999999999998</v>
      </c>
      <c r="H53">
        <v>156.059</v>
      </c>
      <c r="I53">
        <v>156.363</v>
      </c>
      <c r="L53">
        <v>156.16499999999999</v>
      </c>
      <c r="M53">
        <v>156.059</v>
      </c>
      <c r="N53">
        <v>27.042999999999999</v>
      </c>
      <c r="O53">
        <v>27.024000000000001</v>
      </c>
      <c r="R53">
        <v>17.222999999999999</v>
      </c>
      <c r="S53">
        <v>17.117999999999999</v>
      </c>
      <c r="T53">
        <v>32.734999999999999</v>
      </c>
      <c r="U53">
        <v>33.874000000000002</v>
      </c>
      <c r="W53">
        <v>5.5E-2</v>
      </c>
      <c r="X53">
        <v>-0.30199999999999999</v>
      </c>
      <c r="Z53">
        <v>-0.10100000000000001</v>
      </c>
      <c r="AA53">
        <v>-0.29099999999999998</v>
      </c>
      <c r="AB53">
        <v>-0.30199999999999999</v>
      </c>
      <c r="AC53">
        <v>-0.21</v>
      </c>
      <c r="AD53">
        <v>-0.27700000000000002</v>
      </c>
      <c r="AE53">
        <v>5.5E-2</v>
      </c>
      <c r="AF53">
        <v>-0.127</v>
      </c>
      <c r="AG53">
        <v>-0.20799999999999999</v>
      </c>
      <c r="AH53">
        <v>-0.10100000000000001</v>
      </c>
      <c r="AI53">
        <v>-0.29099999999999998</v>
      </c>
    </row>
    <row r="54" spans="1:35" x14ac:dyDescent="0.25">
      <c r="A54" t="s">
        <v>1793</v>
      </c>
      <c r="B54" t="s">
        <v>31</v>
      </c>
      <c r="C54" s="25">
        <v>43703.70921296296</v>
      </c>
      <c r="D54" s="741" t="s">
        <v>969</v>
      </c>
      <c r="E54" s="741">
        <f t="array" ref="E54">SUMPRODUCT(IF(AMP7_8[[#This Row],[Dim 1_1]:[T 8]]-$F$4:$AI$4&lt;0,1,0)+IF($F$5:$AI$5-AMP7_8[[#This Row],[Dim 1_1]:[T 8]]&lt;0,1,0),IF(ISNUMBER(AMP7_8[[#This Row],[Dim 1_1]:[T 8]])=TRUE,1,0))</f>
        <v>0</v>
      </c>
      <c r="H54">
        <v>155.99</v>
      </c>
      <c r="I54">
        <v>156.00399999999999</v>
      </c>
      <c r="J54">
        <v>169.05699999999999</v>
      </c>
      <c r="K54">
        <v>169.36</v>
      </c>
      <c r="L54">
        <v>156.05000000000001</v>
      </c>
      <c r="M54">
        <v>155.738</v>
      </c>
      <c r="N54">
        <v>27.154</v>
      </c>
      <c r="O54">
        <v>27.5</v>
      </c>
      <c r="R54">
        <v>17.276</v>
      </c>
      <c r="S54">
        <v>17.274000000000001</v>
      </c>
      <c r="T54">
        <v>37.454999999999998</v>
      </c>
      <c r="U54">
        <v>36.360999999999997</v>
      </c>
      <c r="W54">
        <v>0.218</v>
      </c>
      <c r="X54">
        <v>-0.23200000000000001</v>
      </c>
      <c r="Z54">
        <v>-1.2E-2</v>
      </c>
      <c r="AA54">
        <v>-0.371</v>
      </c>
      <c r="AB54">
        <v>-0.09</v>
      </c>
      <c r="AC54">
        <v>0</v>
      </c>
      <c r="AD54">
        <v>-0.23200000000000001</v>
      </c>
      <c r="AE54">
        <v>0.218</v>
      </c>
      <c r="AF54">
        <v>-0.11</v>
      </c>
      <c r="AG54">
        <v>-0.246</v>
      </c>
      <c r="AH54">
        <v>-1.2E-2</v>
      </c>
      <c r="AI54">
        <v>-0.371</v>
      </c>
    </row>
    <row r="55" spans="1:35" x14ac:dyDescent="0.25">
      <c r="A55" t="s">
        <v>1794</v>
      </c>
      <c r="B55" t="s">
        <v>32</v>
      </c>
      <c r="C55" s="25">
        <v>43703.789733796293</v>
      </c>
      <c r="D55" s="741" t="s">
        <v>969</v>
      </c>
      <c r="E55" s="741">
        <f t="array" ref="E55">SUMPRODUCT(IF(AMP7_8[[#This Row],[Dim 1_1]:[T 8]]-$F$4:$AI$4&lt;0,1,0)+IF($F$5:$AI$5-AMP7_8[[#This Row],[Dim 1_1]:[T 8]]&lt;0,1,0),IF(ISNUMBER(AMP7_8[[#This Row],[Dim 1_1]:[T 8]])=TRUE,1,0))</f>
        <v>0</v>
      </c>
      <c r="F55">
        <v>40.911000000000001</v>
      </c>
      <c r="G55">
        <v>41.295999999999999</v>
      </c>
      <c r="H55">
        <v>156.08500000000001</v>
      </c>
      <c r="I55">
        <v>156.33699999999999</v>
      </c>
      <c r="L55">
        <v>156.143</v>
      </c>
      <c r="M55">
        <v>156.018</v>
      </c>
      <c r="N55">
        <v>27.036999999999999</v>
      </c>
      <c r="O55">
        <v>27.036999999999999</v>
      </c>
      <c r="R55">
        <v>17.236000000000001</v>
      </c>
      <c r="S55">
        <v>17.138999999999999</v>
      </c>
      <c r="T55">
        <v>32.817</v>
      </c>
      <c r="U55">
        <v>33.96</v>
      </c>
      <c r="W55">
        <v>4.3999999999999997E-2</v>
      </c>
      <c r="X55">
        <v>-0.36099999999999999</v>
      </c>
      <c r="Z55">
        <v>-0.10199999999999999</v>
      </c>
      <c r="AA55">
        <v>-0.30199999999999999</v>
      </c>
      <c r="AB55">
        <v>-0.36099999999999999</v>
      </c>
      <c r="AC55">
        <v>-0.27700000000000002</v>
      </c>
      <c r="AD55">
        <v>-0.23100000000000001</v>
      </c>
      <c r="AE55">
        <v>4.3999999999999997E-2</v>
      </c>
      <c r="AF55">
        <v>-0.19800000000000001</v>
      </c>
      <c r="AG55">
        <v>-0.30199999999999999</v>
      </c>
      <c r="AH55">
        <v>-0.10199999999999999</v>
      </c>
      <c r="AI55">
        <v>-0.28499999999999998</v>
      </c>
    </row>
    <row r="56" spans="1:35" x14ac:dyDescent="0.25">
      <c r="A56" t="s">
        <v>1795</v>
      </c>
      <c r="B56" t="s">
        <v>31</v>
      </c>
      <c r="C56" s="25">
        <v>43703.79278935185</v>
      </c>
      <c r="D56" s="741" t="s">
        <v>969</v>
      </c>
      <c r="E56" s="741">
        <f t="array" ref="E56">SUMPRODUCT(IF(AMP7_8[[#This Row],[Dim 1_1]:[T 8]]-$F$4:$AI$4&lt;0,1,0)+IF($F$5:$AI$5-AMP7_8[[#This Row],[Dim 1_1]:[T 8]]&lt;0,1,0),IF(ISNUMBER(AMP7_8[[#This Row],[Dim 1_1]:[T 8]])=TRUE,1,0))</f>
        <v>0</v>
      </c>
      <c r="H56">
        <v>156.01599999999999</v>
      </c>
      <c r="I56">
        <v>156.083</v>
      </c>
      <c r="J56">
        <v>168.905</v>
      </c>
      <c r="K56">
        <v>169.14400000000001</v>
      </c>
      <c r="L56">
        <v>156.11000000000001</v>
      </c>
      <c r="M56">
        <v>155.79</v>
      </c>
      <c r="N56">
        <v>27.116</v>
      </c>
      <c r="O56">
        <v>27.460999999999999</v>
      </c>
      <c r="R56">
        <v>17.228999999999999</v>
      </c>
      <c r="S56">
        <v>17.268999999999998</v>
      </c>
      <c r="T56">
        <v>37.94</v>
      </c>
      <c r="U56">
        <v>37.709000000000003</v>
      </c>
      <c r="W56">
        <v>0.19600000000000001</v>
      </c>
      <c r="X56">
        <v>-0.27800000000000002</v>
      </c>
      <c r="Z56">
        <v>-3.5999999999999997E-2</v>
      </c>
      <c r="AA56">
        <v>-0.434</v>
      </c>
      <c r="AB56">
        <v>-0.11799999999999999</v>
      </c>
      <c r="AC56">
        <v>-7.0000000000000001E-3</v>
      </c>
      <c r="AD56">
        <v>-0.27800000000000002</v>
      </c>
      <c r="AE56">
        <v>0.19600000000000001</v>
      </c>
      <c r="AF56">
        <v>-0.11799999999999999</v>
      </c>
      <c r="AG56">
        <v>-0.255</v>
      </c>
      <c r="AH56">
        <v>-3.5999999999999997E-2</v>
      </c>
      <c r="AI56">
        <v>-0.434</v>
      </c>
    </row>
    <row r="57" spans="1:35" x14ac:dyDescent="0.25">
      <c r="A57" t="s">
        <v>1796</v>
      </c>
      <c r="B57" t="s">
        <v>32</v>
      </c>
      <c r="C57" s="25">
        <v>43703.8828587963</v>
      </c>
      <c r="D57" s="741" t="s">
        <v>969</v>
      </c>
      <c r="E57" s="741">
        <f t="array" ref="E57">SUMPRODUCT(IF(AMP7_8[[#This Row],[Dim 1_1]:[T 8]]-$F$4:$AI$4&lt;0,1,0)+IF($F$5:$AI$5-AMP7_8[[#This Row],[Dim 1_1]:[T 8]]&lt;0,1,0),IF(ISNUMBER(AMP7_8[[#This Row],[Dim 1_1]:[T 8]])=TRUE,1,0))</f>
        <v>0</v>
      </c>
      <c r="F57">
        <v>41.070999999999998</v>
      </c>
      <c r="G57">
        <v>41.32</v>
      </c>
      <c r="H57">
        <v>156.054</v>
      </c>
      <c r="I57">
        <v>156.31100000000001</v>
      </c>
      <c r="L57">
        <v>156.14599999999999</v>
      </c>
      <c r="M57">
        <v>155.982</v>
      </c>
      <c r="N57">
        <v>27.05</v>
      </c>
      <c r="O57">
        <v>27.059000000000001</v>
      </c>
      <c r="R57">
        <v>17.225999999999999</v>
      </c>
      <c r="S57">
        <v>17.123000000000001</v>
      </c>
      <c r="T57">
        <v>32.487000000000002</v>
      </c>
      <c r="U57">
        <v>34.186999999999998</v>
      </c>
      <c r="W57">
        <v>6.9000000000000006E-2</v>
      </c>
      <c r="X57">
        <v>-0.214</v>
      </c>
      <c r="Z57">
        <v>-0.14599999999999999</v>
      </c>
      <c r="AA57">
        <v>-0.29699999999999999</v>
      </c>
      <c r="AB57">
        <v>-0.214</v>
      </c>
      <c r="AC57">
        <v>-0.15</v>
      </c>
      <c r="AD57">
        <v>-0.156</v>
      </c>
      <c r="AE57">
        <v>6.9000000000000006E-2</v>
      </c>
      <c r="AF57">
        <v>-0.14599999999999999</v>
      </c>
      <c r="AG57">
        <v>-0.26300000000000001</v>
      </c>
      <c r="AH57">
        <v>-0.16800000000000001</v>
      </c>
      <c r="AI57">
        <v>-0.29699999999999999</v>
      </c>
    </row>
    <row r="58" spans="1:35" x14ac:dyDescent="0.25">
      <c r="A58" t="s">
        <v>1797</v>
      </c>
      <c r="B58" t="s">
        <v>31</v>
      </c>
      <c r="C58" s="25">
        <v>43703.884351851855</v>
      </c>
      <c r="D58" s="741" t="s">
        <v>969</v>
      </c>
      <c r="E58" s="741">
        <f t="array" ref="E58">SUMPRODUCT(IF(AMP7_8[[#This Row],[Dim 1_1]:[T 8]]-$F$4:$AI$4&lt;0,1,0)+IF($F$5:$AI$5-AMP7_8[[#This Row],[Dim 1_1]:[T 8]]&lt;0,1,0),IF(ISNUMBER(AMP7_8[[#This Row],[Dim 1_1]:[T 8]])=TRUE,1,0))</f>
        <v>0</v>
      </c>
      <c r="H58">
        <v>156.06200000000001</v>
      </c>
      <c r="I58">
        <v>156.05199999999999</v>
      </c>
      <c r="J58">
        <v>169.00200000000001</v>
      </c>
      <c r="K58">
        <v>169.28200000000001</v>
      </c>
      <c r="L58">
        <v>156.078</v>
      </c>
      <c r="M58">
        <v>155.745</v>
      </c>
      <c r="N58">
        <v>27.140999999999998</v>
      </c>
      <c r="O58">
        <v>27.507000000000001</v>
      </c>
      <c r="R58">
        <v>17.266999999999999</v>
      </c>
      <c r="S58">
        <v>17.263999999999999</v>
      </c>
      <c r="T58">
        <v>38.482999999999997</v>
      </c>
      <c r="U58">
        <v>39.447000000000003</v>
      </c>
      <c r="W58">
        <v>0.28299999999999997</v>
      </c>
      <c r="X58">
        <v>-0.19900000000000001</v>
      </c>
      <c r="Z58">
        <v>-5.2999999999999999E-2</v>
      </c>
      <c r="AA58">
        <v>-0.48599999999999999</v>
      </c>
      <c r="AB58">
        <v>-0.17199999999999999</v>
      </c>
      <c r="AC58">
        <v>-4.8000000000000001E-2</v>
      </c>
      <c r="AD58">
        <v>-0.19900000000000001</v>
      </c>
      <c r="AE58">
        <v>0.28299999999999997</v>
      </c>
      <c r="AF58">
        <v>-0.26</v>
      </c>
      <c r="AG58">
        <v>-0.39200000000000002</v>
      </c>
      <c r="AH58">
        <v>-5.2999999999999999E-2</v>
      </c>
      <c r="AI58">
        <v>-0.48599999999999999</v>
      </c>
    </row>
    <row r="59" spans="1:35" x14ac:dyDescent="0.25">
      <c r="A59" t="s">
        <v>1798</v>
      </c>
      <c r="B59" t="s">
        <v>32</v>
      </c>
      <c r="C59" s="25">
        <v>43703.9840625</v>
      </c>
      <c r="D59" s="741" t="s">
        <v>969</v>
      </c>
      <c r="E59" s="741">
        <f t="array" ref="E59">SUMPRODUCT(IF(AMP7_8[[#This Row],[Dim 1_1]:[T 8]]-$F$4:$AI$4&lt;0,1,0)+IF($F$5:$AI$5-AMP7_8[[#This Row],[Dim 1_1]:[T 8]]&lt;0,1,0),IF(ISNUMBER(AMP7_8[[#This Row],[Dim 1_1]:[T 8]])=TRUE,1,0))</f>
        <v>0</v>
      </c>
      <c r="F59">
        <v>41.021999999999998</v>
      </c>
      <c r="G59">
        <v>41.207999999999998</v>
      </c>
      <c r="H59">
        <v>156.06</v>
      </c>
      <c r="I59">
        <v>156.309</v>
      </c>
      <c r="L59">
        <v>156.143</v>
      </c>
      <c r="M59">
        <v>156.00800000000001</v>
      </c>
      <c r="N59">
        <v>27.048999999999999</v>
      </c>
      <c r="O59">
        <v>27.024000000000001</v>
      </c>
      <c r="R59">
        <v>17.218</v>
      </c>
      <c r="S59">
        <v>17.062999999999999</v>
      </c>
      <c r="T59">
        <v>32.911000000000001</v>
      </c>
      <c r="U59">
        <v>33.850999999999999</v>
      </c>
      <c r="W59">
        <v>0.161</v>
      </c>
      <c r="X59">
        <v>-0.315</v>
      </c>
      <c r="Z59">
        <v>-0.125</v>
      </c>
      <c r="AA59">
        <v>-0.28599999999999998</v>
      </c>
      <c r="AB59">
        <v>-0.315</v>
      </c>
      <c r="AC59">
        <v>-0.24299999999999999</v>
      </c>
      <c r="AD59">
        <v>-0.20699999999999999</v>
      </c>
      <c r="AE59">
        <v>0.161</v>
      </c>
      <c r="AF59">
        <v>-0.17799999999999999</v>
      </c>
      <c r="AG59">
        <v>-0.28599999999999998</v>
      </c>
      <c r="AH59">
        <v>-0.125</v>
      </c>
      <c r="AI59">
        <v>-0.28199999999999997</v>
      </c>
    </row>
    <row r="60" spans="1:35" x14ac:dyDescent="0.25">
      <c r="A60" t="s">
        <v>1799</v>
      </c>
      <c r="B60" t="s">
        <v>31</v>
      </c>
      <c r="C60" s="25">
        <v>43703.985555555555</v>
      </c>
      <c r="D60" s="741" t="s">
        <v>969</v>
      </c>
      <c r="E60" s="741">
        <f t="array" ref="E60">SUMPRODUCT(IF(AMP7_8[[#This Row],[Dim 1_1]:[T 8]]-$F$4:$AI$4&lt;0,1,0)+IF($F$5:$AI$5-AMP7_8[[#This Row],[Dim 1_1]:[T 8]]&lt;0,1,0),IF(ISNUMBER(AMP7_8[[#This Row],[Dim 1_1]:[T 8]])=TRUE,1,0))</f>
        <v>0</v>
      </c>
      <c r="H60">
        <v>156.059</v>
      </c>
      <c r="I60">
        <v>156.084</v>
      </c>
      <c r="J60">
        <v>169.00800000000001</v>
      </c>
      <c r="K60">
        <v>169.322</v>
      </c>
      <c r="L60">
        <v>156.125</v>
      </c>
      <c r="M60">
        <v>155.82900000000001</v>
      </c>
      <c r="N60">
        <v>27.105</v>
      </c>
      <c r="O60">
        <v>27.402000000000001</v>
      </c>
      <c r="R60">
        <v>17.236999999999998</v>
      </c>
      <c r="S60">
        <v>17.266999999999999</v>
      </c>
      <c r="T60">
        <v>38.341999999999999</v>
      </c>
      <c r="U60">
        <v>39.091999999999999</v>
      </c>
      <c r="W60">
        <v>0.27600000000000002</v>
      </c>
      <c r="X60">
        <v>-0.25800000000000001</v>
      </c>
      <c r="Z60">
        <v>-6.0999999999999999E-2</v>
      </c>
      <c r="AA60">
        <v>-0.499</v>
      </c>
      <c r="AB60">
        <v>-0.20100000000000001</v>
      </c>
      <c r="AC60">
        <v>-9.1999999999999998E-2</v>
      </c>
      <c r="AD60">
        <v>-0.25800000000000001</v>
      </c>
      <c r="AE60">
        <v>0.27600000000000002</v>
      </c>
      <c r="AF60">
        <v>-0.255</v>
      </c>
      <c r="AG60">
        <v>-0.39200000000000002</v>
      </c>
      <c r="AH60">
        <v>-6.0999999999999999E-2</v>
      </c>
      <c r="AI60">
        <v>-0.499</v>
      </c>
    </row>
    <row r="61" spans="1:35" x14ac:dyDescent="0.25">
      <c r="A61" t="s">
        <v>1800</v>
      </c>
      <c r="B61" t="s">
        <v>32</v>
      </c>
      <c r="C61" s="25">
        <v>43704.038194444445</v>
      </c>
      <c r="D61" s="741" t="s">
        <v>969</v>
      </c>
      <c r="E61" s="741">
        <f t="array" ref="E61">SUMPRODUCT(IF(AMP7_8[[#This Row],[Dim 1_1]:[T 8]]-$F$4:$AI$4&lt;0,1,0)+IF($F$5:$AI$5-AMP7_8[[#This Row],[Dim 1_1]:[T 8]]&lt;0,1,0),IF(ISNUMBER(AMP7_8[[#This Row],[Dim 1_1]:[T 8]])=TRUE,1,0))</f>
        <v>0</v>
      </c>
      <c r="F61">
        <v>41.113</v>
      </c>
      <c r="G61">
        <v>41.345999999999997</v>
      </c>
      <c r="H61">
        <v>156.077</v>
      </c>
      <c r="I61">
        <v>156.24</v>
      </c>
      <c r="L61">
        <v>156.18100000000001</v>
      </c>
      <c r="M61">
        <v>155.91399999999999</v>
      </c>
      <c r="N61">
        <v>27.018999999999998</v>
      </c>
      <c r="O61">
        <v>27.16</v>
      </c>
      <c r="R61">
        <v>17.215</v>
      </c>
      <c r="S61">
        <v>17.029</v>
      </c>
      <c r="T61">
        <v>33.113</v>
      </c>
      <c r="U61">
        <v>33.804000000000002</v>
      </c>
      <c r="W61">
        <v>0.21099999999999999</v>
      </c>
      <c r="X61">
        <v>-0.249</v>
      </c>
      <c r="Z61">
        <v>-8.5000000000000006E-2</v>
      </c>
      <c r="AA61">
        <v>-0.307</v>
      </c>
      <c r="AB61">
        <v>-0.249</v>
      </c>
      <c r="AC61">
        <v>-0.17100000000000001</v>
      </c>
      <c r="AD61">
        <v>-9.6000000000000002E-2</v>
      </c>
      <c r="AE61">
        <v>0.21099999999999999</v>
      </c>
      <c r="AF61">
        <v>-0.189</v>
      </c>
      <c r="AG61">
        <v>-0.307</v>
      </c>
      <c r="AH61">
        <v>-8.5000000000000006E-2</v>
      </c>
      <c r="AI61">
        <v>-0.24299999999999999</v>
      </c>
    </row>
    <row r="62" spans="1:35" x14ac:dyDescent="0.25">
      <c r="A62" t="s">
        <v>1801</v>
      </c>
      <c r="B62" t="s">
        <v>31</v>
      </c>
      <c r="C62" s="25">
        <v>43704.041851851849</v>
      </c>
      <c r="D62" s="741" t="s">
        <v>969</v>
      </c>
      <c r="E62" s="741">
        <f t="array" ref="E62">SUMPRODUCT(IF(AMP7_8[[#This Row],[Dim 1_1]:[T 8]]-$F$4:$AI$4&lt;0,1,0)+IF($F$5:$AI$5-AMP7_8[[#This Row],[Dim 1_1]:[T 8]]&lt;0,1,0),IF(ISNUMBER(AMP7_8[[#This Row],[Dim 1_1]:[T 8]])=TRUE,1,0))</f>
        <v>1</v>
      </c>
      <c r="H62">
        <v>156.047</v>
      </c>
      <c r="I62">
        <v>156.14599999999999</v>
      </c>
      <c r="J62">
        <v>169.107</v>
      </c>
      <c r="K62">
        <v>169.41200000000001</v>
      </c>
      <c r="L62">
        <v>156.11099999999999</v>
      </c>
      <c r="M62">
        <v>155.892</v>
      </c>
      <c r="N62">
        <v>27.117000000000001</v>
      </c>
      <c r="O62">
        <v>27.375</v>
      </c>
      <c r="R62">
        <v>17.263000000000002</v>
      </c>
      <c r="S62">
        <v>17.256</v>
      </c>
      <c r="T62">
        <v>37.566000000000003</v>
      </c>
      <c r="U62">
        <v>37.69</v>
      </c>
      <c r="W62">
        <v>0.23300000000000001</v>
      </c>
      <c r="X62">
        <v>-0.26800000000000002</v>
      </c>
      <c r="Z62">
        <v>-9.7000000000000003E-2</v>
      </c>
      <c r="AA62">
        <v>-0.51200000000000001</v>
      </c>
      <c r="AB62">
        <v>-0.20300000000000001</v>
      </c>
      <c r="AC62">
        <v>-0.10299999999999999</v>
      </c>
      <c r="AD62">
        <v>-0.26800000000000002</v>
      </c>
      <c r="AE62">
        <v>0.23300000000000001</v>
      </c>
      <c r="AF62">
        <v>-0.247</v>
      </c>
      <c r="AG62">
        <v>-0.38</v>
      </c>
      <c r="AH62">
        <v>-9.7000000000000003E-2</v>
      </c>
      <c r="AI62">
        <v>-0.51200000000000001</v>
      </c>
    </row>
    <row r="63" spans="1:35" x14ac:dyDescent="0.25">
      <c r="A63" t="s">
        <v>1802</v>
      </c>
      <c r="B63" t="s">
        <v>32</v>
      </c>
      <c r="C63" s="25">
        <v>43704.348252314812</v>
      </c>
      <c r="D63" s="741" t="s">
        <v>969</v>
      </c>
      <c r="E63" s="741">
        <f t="array" ref="E63">SUMPRODUCT(IF(AMP7_8[[#This Row],[Dim 1_1]:[T 8]]-$F$4:$AI$4&lt;0,1,0)+IF($F$5:$AI$5-AMP7_8[[#This Row],[Dim 1_1]:[T 8]]&lt;0,1,0),IF(ISNUMBER(AMP7_8[[#This Row],[Dim 1_1]:[T 8]])=TRUE,1,0))</f>
        <v>0</v>
      </c>
      <c r="F63">
        <v>40.844999999999999</v>
      </c>
      <c r="G63">
        <v>41.216999999999999</v>
      </c>
      <c r="H63">
        <v>155.85300000000001</v>
      </c>
      <c r="I63">
        <v>156.10599999999999</v>
      </c>
      <c r="L63">
        <v>155.916</v>
      </c>
      <c r="M63">
        <v>155.81200000000001</v>
      </c>
      <c r="N63">
        <v>27.251999999999999</v>
      </c>
      <c r="O63">
        <v>27.27</v>
      </c>
      <c r="R63">
        <v>17.245000000000001</v>
      </c>
      <c r="S63">
        <v>17.390999999999998</v>
      </c>
      <c r="T63">
        <v>32.886000000000003</v>
      </c>
      <c r="U63">
        <v>33.902000000000001</v>
      </c>
      <c r="W63">
        <v>3.1E-2</v>
      </c>
      <c r="X63">
        <v>-0.29699999999999999</v>
      </c>
      <c r="Z63">
        <v>5.6000000000000001E-2</v>
      </c>
      <c r="AA63">
        <v>-0.309</v>
      </c>
      <c r="AB63">
        <v>-0.113</v>
      </c>
      <c r="AC63">
        <v>-7.4999999999999997E-2</v>
      </c>
      <c r="AD63">
        <v>-0.29699999999999999</v>
      </c>
      <c r="AE63">
        <v>3.1E-2</v>
      </c>
      <c r="AF63">
        <v>5.6000000000000001E-2</v>
      </c>
      <c r="AG63">
        <v>-3.3000000000000002E-2</v>
      </c>
      <c r="AH63">
        <v>-0.183</v>
      </c>
      <c r="AI63">
        <v>-0.309</v>
      </c>
    </row>
    <row r="64" spans="1:35" x14ac:dyDescent="0.25">
      <c r="A64" t="s">
        <v>1803</v>
      </c>
      <c r="B64" t="s">
        <v>31</v>
      </c>
      <c r="C64" s="25">
        <v>43704.350381944445</v>
      </c>
      <c r="D64" s="741" t="s">
        <v>969</v>
      </c>
      <c r="E64" s="741">
        <f t="array" ref="E64">SUMPRODUCT(IF(AMP7_8[[#This Row],[Dim 1_1]:[T 8]]-$F$4:$AI$4&lt;0,1,0)+IF($F$5:$AI$5-AMP7_8[[#This Row],[Dim 1_1]:[T 8]]&lt;0,1,0),IF(ISNUMBER(AMP7_8[[#This Row],[Dim 1_1]:[T 8]])=TRUE,1,0))</f>
        <v>0</v>
      </c>
      <c r="H64">
        <v>155.82</v>
      </c>
      <c r="I64">
        <v>155.85400000000001</v>
      </c>
      <c r="J64">
        <v>168.60599999999999</v>
      </c>
      <c r="K64">
        <v>169.07300000000001</v>
      </c>
      <c r="L64">
        <v>155.88900000000001</v>
      </c>
      <c r="M64">
        <v>155.584</v>
      </c>
      <c r="N64">
        <v>27.35</v>
      </c>
      <c r="O64">
        <v>27.648</v>
      </c>
      <c r="R64">
        <v>17.238</v>
      </c>
      <c r="S64">
        <v>17.282</v>
      </c>
      <c r="T64">
        <v>37.253</v>
      </c>
      <c r="U64">
        <v>37.462000000000003</v>
      </c>
      <c r="W64">
        <v>0.44400000000000001</v>
      </c>
      <c r="X64">
        <v>7.8E-2</v>
      </c>
      <c r="Z64">
        <v>7.4999999999999997E-2</v>
      </c>
      <c r="AA64">
        <v>-0.17799999999999999</v>
      </c>
      <c r="AB64">
        <v>0.155</v>
      </c>
      <c r="AC64">
        <v>0.218</v>
      </c>
      <c r="AD64">
        <v>7.8E-2</v>
      </c>
      <c r="AE64">
        <v>0.44400000000000001</v>
      </c>
      <c r="AF64">
        <v>-8.9999999999999993E-3</v>
      </c>
      <c r="AG64">
        <v>-0.13300000000000001</v>
      </c>
      <c r="AH64">
        <v>7.4999999999999997E-2</v>
      </c>
      <c r="AI64">
        <v>-0.17799999999999999</v>
      </c>
    </row>
    <row r="65" spans="1:35" x14ac:dyDescent="0.25">
      <c r="A65" t="s">
        <v>1804</v>
      </c>
      <c r="B65" t="s">
        <v>32</v>
      </c>
      <c r="C65" s="25">
        <v>43704.419224537036</v>
      </c>
      <c r="D65" s="741" t="s">
        <v>969</v>
      </c>
      <c r="E65" s="741">
        <f t="array" ref="E65">SUMPRODUCT(IF(AMP7_8[[#This Row],[Dim 1_1]:[T 8]]-$F$4:$AI$4&lt;0,1,0)+IF($F$5:$AI$5-AMP7_8[[#This Row],[Dim 1_1]:[T 8]]&lt;0,1,0),IF(ISNUMBER(AMP7_8[[#This Row],[Dim 1_1]:[T 8]])=TRUE,1,0))</f>
        <v>0</v>
      </c>
      <c r="F65">
        <v>41.103000000000002</v>
      </c>
      <c r="G65">
        <v>41.363999999999997</v>
      </c>
      <c r="H65">
        <v>155.845</v>
      </c>
      <c r="I65">
        <v>156.06800000000001</v>
      </c>
      <c r="L65">
        <v>155.91399999999999</v>
      </c>
      <c r="M65">
        <v>155.756</v>
      </c>
      <c r="N65">
        <v>27.276</v>
      </c>
      <c r="O65">
        <v>27.352</v>
      </c>
      <c r="R65">
        <v>17.271999999999998</v>
      </c>
      <c r="S65">
        <v>17.298999999999999</v>
      </c>
      <c r="T65">
        <v>32.927</v>
      </c>
      <c r="U65">
        <v>33.859000000000002</v>
      </c>
      <c r="W65">
        <v>0.161</v>
      </c>
      <c r="X65">
        <v>-0.156</v>
      </c>
      <c r="Z65">
        <v>2.5999999999999999E-2</v>
      </c>
      <c r="AA65">
        <v>-0.247</v>
      </c>
      <c r="AB65">
        <v>-8.2000000000000003E-2</v>
      </c>
      <c r="AC65">
        <v>-7.0000000000000001E-3</v>
      </c>
      <c r="AD65">
        <v>-0.156</v>
      </c>
      <c r="AE65">
        <v>0.161</v>
      </c>
      <c r="AF65">
        <v>2.5999999999999999E-2</v>
      </c>
      <c r="AG65">
        <v>-7.0999999999999994E-2</v>
      </c>
      <c r="AH65">
        <v>-8.5999999999999993E-2</v>
      </c>
      <c r="AI65">
        <v>-0.247</v>
      </c>
    </row>
    <row r="66" spans="1:35" x14ac:dyDescent="0.25">
      <c r="A66" t="s">
        <v>1805</v>
      </c>
      <c r="B66" t="s">
        <v>31</v>
      </c>
      <c r="C66" s="25">
        <v>43704.421342592592</v>
      </c>
      <c r="D66" s="741" t="s">
        <v>969</v>
      </c>
      <c r="E66" s="741">
        <f t="array" ref="E66">SUMPRODUCT(IF(AMP7_8[[#This Row],[Dim 1_1]:[T 8]]-$F$4:$AI$4&lt;0,1,0)+IF($F$5:$AI$5-AMP7_8[[#This Row],[Dim 1_1]:[T 8]]&lt;0,1,0),IF(ISNUMBER(AMP7_8[[#This Row],[Dim 1_1]:[T 8]])=TRUE,1,0))</f>
        <v>0</v>
      </c>
      <c r="H66">
        <v>155.79300000000001</v>
      </c>
      <c r="I66">
        <v>155.85499999999999</v>
      </c>
      <c r="J66">
        <v>168.86099999999999</v>
      </c>
      <c r="K66">
        <v>169.11600000000001</v>
      </c>
      <c r="L66">
        <v>155.881</v>
      </c>
      <c r="M66">
        <v>155.614</v>
      </c>
      <c r="N66">
        <v>27.344000000000001</v>
      </c>
      <c r="O66">
        <v>27.62</v>
      </c>
      <c r="R66">
        <v>17.213999999999999</v>
      </c>
      <c r="S66">
        <v>17.32</v>
      </c>
      <c r="T66">
        <v>37.829000000000001</v>
      </c>
      <c r="U66">
        <v>37.561999999999998</v>
      </c>
      <c r="W66">
        <v>0.316</v>
      </c>
      <c r="X66">
        <v>-7.6999999999999999E-2</v>
      </c>
      <c r="Z66">
        <v>2.1000000000000001E-2</v>
      </c>
      <c r="AA66">
        <v>-0.25</v>
      </c>
      <c r="AB66">
        <v>0.115</v>
      </c>
      <c r="AC66">
        <v>0.19700000000000001</v>
      </c>
      <c r="AD66">
        <v>-7.6999999999999999E-2</v>
      </c>
      <c r="AE66">
        <v>0.316</v>
      </c>
      <c r="AF66">
        <v>2.1000000000000001E-2</v>
      </c>
      <c r="AG66">
        <v>-9.5000000000000001E-2</v>
      </c>
      <c r="AH66">
        <v>7.0000000000000001E-3</v>
      </c>
      <c r="AI66">
        <v>-0.25</v>
      </c>
    </row>
    <row r="67" spans="1:35" x14ac:dyDescent="0.25">
      <c r="A67" t="s">
        <v>1806</v>
      </c>
      <c r="B67" t="s">
        <v>32</v>
      </c>
      <c r="C67" s="25">
        <v>43704.523287037038</v>
      </c>
      <c r="D67" s="741" t="s">
        <v>969</v>
      </c>
      <c r="E67" s="741">
        <f t="array" ref="E67">SUMPRODUCT(IF(AMP7_8[[#This Row],[Dim 1_1]:[T 8]]-$F$4:$AI$4&lt;0,1,0)+IF($F$5:$AI$5-AMP7_8[[#This Row],[Dim 1_1]:[T 8]]&lt;0,1,0),IF(ISNUMBER(AMP7_8[[#This Row],[Dim 1_1]:[T 8]])=TRUE,1,0))</f>
        <v>0</v>
      </c>
      <c r="F67">
        <v>41.191000000000003</v>
      </c>
      <c r="G67">
        <v>41.396999999999998</v>
      </c>
      <c r="H67">
        <v>155.82499999999999</v>
      </c>
      <c r="I67">
        <v>156.065</v>
      </c>
      <c r="L67">
        <v>155.899</v>
      </c>
      <c r="M67">
        <v>155.732</v>
      </c>
      <c r="N67">
        <v>27.295999999999999</v>
      </c>
      <c r="O67">
        <v>27.32</v>
      </c>
      <c r="R67">
        <v>17.274999999999999</v>
      </c>
      <c r="S67">
        <v>17.359000000000002</v>
      </c>
      <c r="T67">
        <v>32.970999999999997</v>
      </c>
      <c r="U67">
        <v>33.716999999999999</v>
      </c>
      <c r="W67">
        <v>0.03</v>
      </c>
      <c r="X67">
        <v>-0.63100000000000001</v>
      </c>
      <c r="Z67">
        <v>-6.0000000000000001E-3</v>
      </c>
      <c r="AA67">
        <v>-0.35699999999999998</v>
      </c>
      <c r="AB67">
        <v>-0.109</v>
      </c>
      <c r="AC67">
        <v>-0.02</v>
      </c>
      <c r="AD67">
        <v>-0.63100000000000001</v>
      </c>
      <c r="AE67">
        <v>0.03</v>
      </c>
      <c r="AF67">
        <v>-6.0000000000000001E-3</v>
      </c>
      <c r="AG67">
        <v>-9.0999999999999998E-2</v>
      </c>
      <c r="AH67">
        <v>-0.26200000000000001</v>
      </c>
      <c r="AI67">
        <v>-0.35699999999999998</v>
      </c>
    </row>
    <row r="68" spans="1:35" x14ac:dyDescent="0.25">
      <c r="A68" t="s">
        <v>1807</v>
      </c>
      <c r="B68" t="s">
        <v>31</v>
      </c>
      <c r="C68" s="25">
        <v>43704.52616898148</v>
      </c>
      <c r="D68" s="741" t="s">
        <v>969</v>
      </c>
      <c r="E68" s="741">
        <f t="array" ref="E68">SUMPRODUCT(IF(AMP7_8[[#This Row],[Dim 1_1]:[T 8]]-$F$4:$AI$4&lt;0,1,0)+IF($F$5:$AI$5-AMP7_8[[#This Row],[Dim 1_1]:[T 8]]&lt;0,1,0),IF(ISNUMBER(AMP7_8[[#This Row],[Dim 1_1]:[T 8]])=TRUE,1,0))</f>
        <v>0</v>
      </c>
      <c r="H68">
        <v>155.714</v>
      </c>
      <c r="I68">
        <v>155.91</v>
      </c>
      <c r="J68">
        <v>168.90700000000001</v>
      </c>
      <c r="K68">
        <v>169.19499999999999</v>
      </c>
      <c r="L68">
        <v>155.85900000000001</v>
      </c>
      <c r="M68">
        <v>155.61199999999999</v>
      </c>
      <c r="N68">
        <v>27.353999999999999</v>
      </c>
      <c r="O68">
        <v>27.61</v>
      </c>
      <c r="R68">
        <v>17.202000000000002</v>
      </c>
      <c r="S68">
        <v>17.259</v>
      </c>
      <c r="T68">
        <v>37.834000000000003</v>
      </c>
      <c r="U68">
        <v>36.948</v>
      </c>
      <c r="W68">
        <v>0.22800000000000001</v>
      </c>
      <c r="X68">
        <v>-0.16600000000000001</v>
      </c>
      <c r="Z68">
        <v>-6.6000000000000003E-2</v>
      </c>
      <c r="AA68">
        <v>-0.36499999999999999</v>
      </c>
      <c r="AB68">
        <v>3.5999999999999997E-2</v>
      </c>
      <c r="AC68">
        <v>0.11600000000000001</v>
      </c>
      <c r="AD68">
        <v>-0.16600000000000001</v>
      </c>
      <c r="AE68">
        <v>0.22800000000000001</v>
      </c>
      <c r="AF68">
        <v>-6.6000000000000003E-2</v>
      </c>
      <c r="AG68">
        <v>-0.191</v>
      </c>
      <c r="AH68">
        <v>-0.122</v>
      </c>
      <c r="AI68">
        <v>-0.36499999999999999</v>
      </c>
    </row>
    <row r="69" spans="1:35" x14ac:dyDescent="0.25">
      <c r="A69" t="s">
        <v>1808</v>
      </c>
      <c r="B69" t="s">
        <v>32</v>
      </c>
      <c r="C69" s="25">
        <v>43704.607546296298</v>
      </c>
      <c r="D69" s="741" t="s">
        <v>969</v>
      </c>
      <c r="E69" s="741">
        <f t="array" ref="E69">SUMPRODUCT(IF(AMP7_8[[#This Row],[Dim 1_1]:[T 8]]-$F$4:$AI$4&lt;0,1,0)+IF($F$5:$AI$5-AMP7_8[[#This Row],[Dim 1_1]:[T 8]]&lt;0,1,0),IF(ISNUMBER(AMP7_8[[#This Row],[Dim 1_1]:[T 8]])=TRUE,1,0))</f>
        <v>0</v>
      </c>
      <c r="F69">
        <v>41.164999999999999</v>
      </c>
      <c r="G69">
        <v>41.567</v>
      </c>
      <c r="H69">
        <v>155.89599999999999</v>
      </c>
      <c r="I69">
        <v>156.131</v>
      </c>
      <c r="L69">
        <v>155.971</v>
      </c>
      <c r="M69">
        <v>155.79400000000001</v>
      </c>
      <c r="N69">
        <v>27.251999999999999</v>
      </c>
      <c r="O69">
        <v>27.283000000000001</v>
      </c>
      <c r="R69">
        <v>17.253</v>
      </c>
      <c r="S69">
        <v>17.331</v>
      </c>
      <c r="T69">
        <v>32.753999999999998</v>
      </c>
      <c r="U69">
        <v>33.904000000000003</v>
      </c>
      <c r="W69">
        <v>-0.02</v>
      </c>
      <c r="X69">
        <v>-0.27100000000000002</v>
      </c>
      <c r="Z69">
        <v>-0.08</v>
      </c>
      <c r="AA69">
        <v>-0.374</v>
      </c>
      <c r="AB69">
        <v>-0.17199999999999999</v>
      </c>
      <c r="AC69">
        <v>-9.9000000000000005E-2</v>
      </c>
      <c r="AD69">
        <v>-0.27100000000000002</v>
      </c>
      <c r="AE69">
        <v>-0.02</v>
      </c>
      <c r="AF69">
        <v>-0.08</v>
      </c>
      <c r="AG69">
        <v>-0.16700000000000001</v>
      </c>
      <c r="AH69">
        <v>-0.23300000000000001</v>
      </c>
      <c r="AI69">
        <v>-0.374</v>
      </c>
    </row>
    <row r="70" spans="1:35" x14ac:dyDescent="0.25">
      <c r="A70" t="s">
        <v>1809</v>
      </c>
      <c r="B70" t="s">
        <v>31</v>
      </c>
      <c r="C70" s="25">
        <v>43704.6096412037</v>
      </c>
      <c r="D70" s="741" t="s">
        <v>969</v>
      </c>
      <c r="E70" s="741">
        <f t="array" ref="E70">SUMPRODUCT(IF(AMP7_8[[#This Row],[Dim 1_1]:[T 8]]-$F$4:$AI$4&lt;0,1,0)+IF($F$5:$AI$5-AMP7_8[[#This Row],[Dim 1_1]:[T 8]]&lt;0,1,0),IF(ISNUMBER(AMP7_8[[#This Row],[Dim 1_1]:[T 8]])=TRUE,1,0))</f>
        <v>0</v>
      </c>
      <c r="H70">
        <v>155.87700000000001</v>
      </c>
      <c r="I70">
        <v>155.95099999999999</v>
      </c>
      <c r="J70">
        <v>168.95599999999999</v>
      </c>
      <c r="K70">
        <v>169.4</v>
      </c>
      <c r="L70">
        <v>155.96799999999999</v>
      </c>
      <c r="M70">
        <v>155.69</v>
      </c>
      <c r="N70">
        <v>27.248000000000001</v>
      </c>
      <c r="O70">
        <v>27.513999999999999</v>
      </c>
      <c r="R70">
        <v>17.236000000000001</v>
      </c>
      <c r="S70">
        <v>17.303999999999998</v>
      </c>
      <c r="T70">
        <v>37.509</v>
      </c>
      <c r="U70">
        <v>38.018000000000001</v>
      </c>
      <c r="W70">
        <v>0.28399999999999997</v>
      </c>
      <c r="X70">
        <v>-0.13600000000000001</v>
      </c>
      <c r="Z70">
        <v>-5.6000000000000001E-2</v>
      </c>
      <c r="AA70">
        <v>-0.33900000000000002</v>
      </c>
      <c r="AB70">
        <v>7.0000000000000001E-3</v>
      </c>
      <c r="AC70">
        <v>8.5000000000000006E-2</v>
      </c>
      <c r="AD70">
        <v>-0.13600000000000001</v>
      </c>
      <c r="AE70">
        <v>0.28399999999999997</v>
      </c>
      <c r="AF70">
        <v>-7.9000000000000001E-2</v>
      </c>
      <c r="AG70">
        <v>-0.185</v>
      </c>
      <c r="AH70">
        <v>-5.6000000000000001E-2</v>
      </c>
      <c r="AI70">
        <v>-0.33900000000000002</v>
      </c>
    </row>
    <row r="71" spans="1:35" x14ac:dyDescent="0.25">
      <c r="A71" t="s">
        <v>1810</v>
      </c>
      <c r="B71" t="s">
        <v>32</v>
      </c>
      <c r="C71" s="25">
        <v>43704.705081018517</v>
      </c>
      <c r="D71" s="741" t="s">
        <v>969</v>
      </c>
      <c r="E71" s="741">
        <f t="array" ref="E71">SUMPRODUCT(IF(AMP7_8[[#This Row],[Dim 1_1]:[T 8]]-$F$4:$AI$4&lt;0,1,0)+IF($F$5:$AI$5-AMP7_8[[#This Row],[Dim 1_1]:[T 8]]&lt;0,1,0),IF(ISNUMBER(AMP7_8[[#This Row],[Dim 1_1]:[T 8]])=TRUE,1,0))</f>
        <v>0</v>
      </c>
      <c r="F71">
        <v>41.148000000000003</v>
      </c>
      <c r="G71">
        <v>41.473999999999997</v>
      </c>
      <c r="H71">
        <v>155.874</v>
      </c>
      <c r="I71">
        <v>156.08799999999999</v>
      </c>
      <c r="L71">
        <v>155.94499999999999</v>
      </c>
      <c r="M71">
        <v>155.73699999999999</v>
      </c>
      <c r="N71">
        <v>27.222999999999999</v>
      </c>
      <c r="O71">
        <v>27.314</v>
      </c>
      <c r="R71">
        <v>17.248000000000001</v>
      </c>
      <c r="S71">
        <v>17.321000000000002</v>
      </c>
      <c r="T71">
        <v>32.767000000000003</v>
      </c>
      <c r="U71">
        <v>33.709000000000003</v>
      </c>
      <c r="W71">
        <v>-1E-3</v>
      </c>
      <c r="X71">
        <v>-0.32700000000000001</v>
      </c>
      <c r="Z71">
        <v>-1E-3</v>
      </c>
      <c r="AA71">
        <v>-0.33800000000000002</v>
      </c>
      <c r="AB71">
        <v>-0.14699999999999999</v>
      </c>
      <c r="AC71">
        <v>-7.9000000000000001E-2</v>
      </c>
      <c r="AD71">
        <v>-0.32700000000000001</v>
      </c>
      <c r="AE71">
        <v>-1E-3</v>
      </c>
      <c r="AF71">
        <v>-1E-3</v>
      </c>
      <c r="AG71">
        <v>-0.10299999999999999</v>
      </c>
      <c r="AH71">
        <v>-0.24399999999999999</v>
      </c>
      <c r="AI71">
        <v>-0.33800000000000002</v>
      </c>
    </row>
    <row r="72" spans="1:35" x14ac:dyDescent="0.25">
      <c r="A72" t="s">
        <v>1811</v>
      </c>
      <c r="B72" t="s">
        <v>31</v>
      </c>
      <c r="C72" s="25">
        <v>43704.713206018518</v>
      </c>
      <c r="D72" s="741" t="s">
        <v>969</v>
      </c>
      <c r="E72" s="741">
        <f t="array" ref="E72">SUMPRODUCT(IF(AMP7_8[[#This Row],[Dim 1_1]:[T 8]]-$F$4:$AI$4&lt;0,1,0)+IF($F$5:$AI$5-AMP7_8[[#This Row],[Dim 1_1]:[T 8]]&lt;0,1,0),IF(ISNUMBER(AMP7_8[[#This Row],[Dim 1_1]:[T 8]])=TRUE,1,0))</f>
        <v>0</v>
      </c>
      <c r="H72">
        <v>155.834</v>
      </c>
      <c r="I72">
        <v>155.88999999999999</v>
      </c>
      <c r="J72">
        <v>168.93</v>
      </c>
      <c r="K72">
        <v>169.19900000000001</v>
      </c>
      <c r="L72">
        <v>155.90600000000001</v>
      </c>
      <c r="M72">
        <v>155.62799999999999</v>
      </c>
      <c r="N72">
        <v>27.331</v>
      </c>
      <c r="O72">
        <v>27.587</v>
      </c>
      <c r="R72">
        <v>17.202999999999999</v>
      </c>
      <c r="S72">
        <v>17.213000000000001</v>
      </c>
      <c r="T72">
        <v>39.106999999999999</v>
      </c>
      <c r="U72">
        <v>39.094000000000001</v>
      </c>
      <c r="W72">
        <v>0.376</v>
      </c>
      <c r="X72">
        <v>-4.1000000000000002E-2</v>
      </c>
      <c r="Z72">
        <v>8.6999999999999994E-2</v>
      </c>
      <c r="AA72">
        <v>-0.248</v>
      </c>
      <c r="AB72">
        <v>7.4999999999999997E-2</v>
      </c>
      <c r="AC72">
        <v>0.16800000000000001</v>
      </c>
      <c r="AD72">
        <v>-4.1000000000000002E-2</v>
      </c>
      <c r="AE72">
        <v>0.376</v>
      </c>
      <c r="AF72">
        <v>-3.2000000000000001E-2</v>
      </c>
      <c r="AG72">
        <v>-0.153</v>
      </c>
      <c r="AH72">
        <v>8.6999999999999994E-2</v>
      </c>
      <c r="AI72">
        <v>-0.248</v>
      </c>
    </row>
    <row r="73" spans="1:35" x14ac:dyDescent="0.25">
      <c r="A73" t="s">
        <v>1812</v>
      </c>
      <c r="B73" t="s">
        <v>32</v>
      </c>
      <c r="C73" s="25">
        <v>43704.784930555557</v>
      </c>
      <c r="D73" s="741" t="s">
        <v>969</v>
      </c>
      <c r="E73" s="741">
        <f t="array" ref="E73">SUMPRODUCT(IF(AMP7_8[[#This Row],[Dim 1_1]:[T 8]]-$F$4:$AI$4&lt;0,1,0)+IF($F$5:$AI$5-AMP7_8[[#This Row],[Dim 1_1]:[T 8]]&lt;0,1,0),IF(ISNUMBER(AMP7_8[[#This Row],[Dim 1_1]:[T 8]])=TRUE,1,0))</f>
        <v>0</v>
      </c>
      <c r="F73">
        <v>41.109000000000002</v>
      </c>
      <c r="G73">
        <v>41.396000000000001</v>
      </c>
      <c r="H73">
        <v>155.91900000000001</v>
      </c>
      <c r="I73">
        <v>156.12799999999999</v>
      </c>
      <c r="L73">
        <v>155.98599999999999</v>
      </c>
      <c r="M73">
        <v>155.81299999999999</v>
      </c>
      <c r="N73">
        <v>27.183</v>
      </c>
      <c r="O73">
        <v>27.222999999999999</v>
      </c>
      <c r="R73">
        <v>17.260000000000002</v>
      </c>
      <c r="S73">
        <v>17.251999999999999</v>
      </c>
      <c r="T73">
        <v>32.709000000000003</v>
      </c>
      <c r="U73">
        <v>33.664999999999999</v>
      </c>
      <c r="W73">
        <v>4.0000000000000001E-3</v>
      </c>
      <c r="X73">
        <v>-0.29399999999999998</v>
      </c>
      <c r="Z73">
        <v>-7.2999999999999995E-2</v>
      </c>
      <c r="AA73">
        <v>-0.35599999999999998</v>
      </c>
      <c r="AB73">
        <v>-0.214</v>
      </c>
      <c r="AC73">
        <v>-0.21099999999999999</v>
      </c>
      <c r="AD73">
        <v>-0.29399999999999998</v>
      </c>
      <c r="AE73">
        <v>4.0000000000000001E-3</v>
      </c>
      <c r="AF73">
        <v>-7.2999999999999995E-2</v>
      </c>
      <c r="AG73">
        <v>-0.192</v>
      </c>
      <c r="AH73">
        <v>-0.27200000000000002</v>
      </c>
      <c r="AI73">
        <v>-0.35599999999999998</v>
      </c>
    </row>
    <row r="74" spans="1:35" x14ac:dyDescent="0.25">
      <c r="A74" t="s">
        <v>1813</v>
      </c>
      <c r="B74" t="s">
        <v>31</v>
      </c>
      <c r="C74" s="25">
        <v>43704.786724537036</v>
      </c>
      <c r="D74" s="741" t="s">
        <v>969</v>
      </c>
      <c r="E74" s="741">
        <f t="array" ref="E74">SUMPRODUCT(IF(AMP7_8[[#This Row],[Dim 1_1]:[T 8]]-$F$4:$AI$4&lt;0,1,0)+IF($F$5:$AI$5-AMP7_8[[#This Row],[Dim 1_1]:[T 8]]&lt;0,1,0),IF(ISNUMBER(AMP7_8[[#This Row],[Dim 1_1]:[T 8]])=TRUE,1,0))</f>
        <v>0</v>
      </c>
      <c r="H74">
        <v>155.84299999999999</v>
      </c>
      <c r="I74">
        <v>155.922</v>
      </c>
      <c r="J74">
        <v>168.95099999999999</v>
      </c>
      <c r="K74">
        <v>169.251</v>
      </c>
      <c r="L74">
        <v>155.92099999999999</v>
      </c>
      <c r="M74">
        <v>155.637</v>
      </c>
      <c r="N74">
        <v>27.294</v>
      </c>
      <c r="O74">
        <v>27.605</v>
      </c>
      <c r="R74">
        <v>17.196000000000002</v>
      </c>
      <c r="S74">
        <v>17.262</v>
      </c>
      <c r="T74">
        <v>39.015999999999998</v>
      </c>
      <c r="U74">
        <v>38.738999999999997</v>
      </c>
      <c r="W74">
        <v>0.23400000000000001</v>
      </c>
      <c r="X74">
        <v>-0.20699999999999999</v>
      </c>
      <c r="Z74">
        <v>-0.14299999999999999</v>
      </c>
      <c r="AA74">
        <v>-0.45900000000000002</v>
      </c>
      <c r="AB74">
        <v>-2.1999999999999999E-2</v>
      </c>
      <c r="AC74">
        <v>6.4000000000000001E-2</v>
      </c>
      <c r="AD74">
        <v>-0.20699999999999999</v>
      </c>
      <c r="AE74">
        <v>0.23400000000000001</v>
      </c>
      <c r="AF74">
        <v>-0.153</v>
      </c>
      <c r="AG74">
        <v>-0.27</v>
      </c>
      <c r="AH74">
        <v>-0.14299999999999999</v>
      </c>
      <c r="AI74">
        <v>-0.45900000000000002</v>
      </c>
    </row>
    <row r="75" spans="1:35" x14ac:dyDescent="0.25">
      <c r="A75" t="s">
        <v>1814</v>
      </c>
      <c r="B75" t="s">
        <v>32</v>
      </c>
      <c r="C75" s="25">
        <v>43704.861111111109</v>
      </c>
      <c r="D75" s="741" t="s">
        <v>969</v>
      </c>
      <c r="E75" s="741">
        <f t="array" ref="E75">SUMPRODUCT(IF(AMP7_8[[#This Row],[Dim 1_1]:[T 8]]-$F$4:$AI$4&lt;0,1,0)+IF($F$5:$AI$5-AMP7_8[[#This Row],[Dim 1_1]:[T 8]]&lt;0,1,0),IF(ISNUMBER(AMP7_8[[#This Row],[Dim 1_1]:[T 8]])=TRUE,1,0))</f>
        <v>0</v>
      </c>
      <c r="F75">
        <v>41.441000000000003</v>
      </c>
      <c r="G75">
        <v>41.786999999999999</v>
      </c>
      <c r="H75">
        <v>155.99299999999999</v>
      </c>
      <c r="I75">
        <v>156.328</v>
      </c>
      <c r="L75">
        <v>155.934</v>
      </c>
      <c r="M75">
        <v>155.81</v>
      </c>
      <c r="N75">
        <v>27.251000000000001</v>
      </c>
      <c r="O75">
        <v>27.248999999999999</v>
      </c>
      <c r="R75">
        <v>17.234999999999999</v>
      </c>
      <c r="S75">
        <v>17.388999999999999</v>
      </c>
      <c r="T75">
        <v>33.052999999999997</v>
      </c>
      <c r="U75">
        <v>33.709000000000003</v>
      </c>
      <c r="W75">
        <v>2.9000000000000001E-2</v>
      </c>
      <c r="X75">
        <v>-0.30299999999999999</v>
      </c>
      <c r="Z75">
        <v>-5.8999999999999997E-2</v>
      </c>
      <c r="AA75">
        <v>-0.48799999999999999</v>
      </c>
      <c r="AB75">
        <v>-0.111</v>
      </c>
      <c r="AC75">
        <v>-4.4999999999999998E-2</v>
      </c>
      <c r="AD75">
        <v>-0.30299999999999999</v>
      </c>
      <c r="AE75">
        <v>2.9000000000000001E-2</v>
      </c>
      <c r="AF75">
        <v>-5.8999999999999997E-2</v>
      </c>
      <c r="AG75">
        <v>-0.14699999999999999</v>
      </c>
      <c r="AH75">
        <v>-0.252</v>
      </c>
      <c r="AI75">
        <v>-0.48799999999999999</v>
      </c>
    </row>
    <row r="76" spans="1:35" x14ac:dyDescent="0.25">
      <c r="A76" t="s">
        <v>1815</v>
      </c>
      <c r="B76" t="s">
        <v>31</v>
      </c>
      <c r="C76" s="25">
        <v>43704.864421296297</v>
      </c>
      <c r="D76" s="741" t="s">
        <v>969</v>
      </c>
      <c r="E76" s="741">
        <f t="array" ref="E76">SUMPRODUCT(IF(AMP7_8[[#This Row],[Dim 1_1]:[T 8]]-$F$4:$AI$4&lt;0,1,0)+IF($F$5:$AI$5-AMP7_8[[#This Row],[Dim 1_1]:[T 8]]&lt;0,1,0),IF(ISNUMBER(AMP7_8[[#This Row],[Dim 1_1]:[T 8]])=TRUE,1,0))</f>
        <v>0</v>
      </c>
      <c r="H76">
        <v>155.65600000000001</v>
      </c>
      <c r="I76">
        <v>155.75800000000001</v>
      </c>
      <c r="J76">
        <v>168.952</v>
      </c>
      <c r="K76">
        <v>169.35</v>
      </c>
      <c r="L76">
        <v>155.65299999999999</v>
      </c>
      <c r="M76">
        <v>155.434</v>
      </c>
      <c r="N76">
        <v>27.548999999999999</v>
      </c>
      <c r="O76">
        <v>27.844999999999999</v>
      </c>
      <c r="R76">
        <v>17.277999999999999</v>
      </c>
      <c r="S76">
        <v>17.382999999999999</v>
      </c>
      <c r="T76">
        <v>37.648000000000003</v>
      </c>
      <c r="U76">
        <v>38.151000000000003</v>
      </c>
      <c r="W76">
        <v>0.193</v>
      </c>
      <c r="X76">
        <v>-0.17100000000000001</v>
      </c>
      <c r="Z76">
        <v>-6.2E-2</v>
      </c>
      <c r="AA76">
        <v>-0.248</v>
      </c>
      <c r="AB76">
        <v>-4.5999999999999999E-2</v>
      </c>
      <c r="AC76">
        <v>3.5999999999999997E-2</v>
      </c>
      <c r="AD76">
        <v>-0.17100000000000001</v>
      </c>
      <c r="AE76">
        <v>0.193</v>
      </c>
      <c r="AF76">
        <v>-0.115</v>
      </c>
      <c r="AG76">
        <v>-0.22800000000000001</v>
      </c>
      <c r="AH76">
        <v>-6.2E-2</v>
      </c>
      <c r="AI76">
        <v>-0.248</v>
      </c>
    </row>
    <row r="77" spans="1:35" x14ac:dyDescent="0.25">
      <c r="A77" t="s">
        <v>1816</v>
      </c>
      <c r="B77" t="s">
        <v>32</v>
      </c>
      <c r="C77" s="25">
        <v>43704.935011574074</v>
      </c>
      <c r="D77" s="741" t="s">
        <v>969</v>
      </c>
      <c r="E77" s="741">
        <f t="array" ref="E77">SUMPRODUCT(IF(AMP7_8[[#This Row],[Dim 1_1]:[T 8]]-$F$4:$AI$4&lt;0,1,0)+IF($F$5:$AI$5-AMP7_8[[#This Row],[Dim 1_1]:[T 8]]&lt;0,1,0),IF(ISNUMBER(AMP7_8[[#This Row],[Dim 1_1]:[T 8]])=TRUE,1,0))</f>
        <v>1</v>
      </c>
      <c r="F77">
        <v>41.44</v>
      </c>
      <c r="G77">
        <v>41.869</v>
      </c>
      <c r="H77">
        <v>155.97</v>
      </c>
      <c r="I77">
        <v>156.29400000000001</v>
      </c>
      <c r="L77">
        <v>155.928</v>
      </c>
      <c r="M77">
        <v>155.80199999999999</v>
      </c>
      <c r="N77">
        <v>27.251000000000001</v>
      </c>
      <c r="O77">
        <v>27.268000000000001</v>
      </c>
      <c r="R77">
        <v>17.254000000000001</v>
      </c>
      <c r="S77">
        <v>17.419</v>
      </c>
      <c r="T77">
        <v>33.008000000000003</v>
      </c>
      <c r="U77">
        <v>33.65</v>
      </c>
      <c r="W77">
        <v>9.9000000000000005E-2</v>
      </c>
      <c r="X77">
        <v>-0.28100000000000003</v>
      </c>
      <c r="Z77">
        <v>-5.1999999999999998E-2</v>
      </c>
      <c r="AA77">
        <v>-0.48399999999999999</v>
      </c>
      <c r="AB77">
        <v>-0.10199999999999999</v>
      </c>
      <c r="AC77">
        <v>-0.03</v>
      </c>
      <c r="AD77">
        <v>-0.28100000000000003</v>
      </c>
      <c r="AE77">
        <v>9.9000000000000005E-2</v>
      </c>
      <c r="AF77">
        <v>-5.1999999999999998E-2</v>
      </c>
      <c r="AG77">
        <v>-0.125</v>
      </c>
      <c r="AH77">
        <v>-0.25800000000000001</v>
      </c>
      <c r="AI77">
        <v>-0.48399999999999999</v>
      </c>
    </row>
    <row r="78" spans="1:35" x14ac:dyDescent="0.25">
      <c r="A78" t="s">
        <v>1817</v>
      </c>
      <c r="B78" t="s">
        <v>31</v>
      </c>
      <c r="C78" s="25">
        <v>43704.936967592592</v>
      </c>
      <c r="D78" s="741" t="s">
        <v>969</v>
      </c>
      <c r="E78" s="741">
        <f t="array" ref="E78">SUMPRODUCT(IF(AMP7_8[[#This Row],[Dim 1_1]:[T 8]]-$F$4:$AI$4&lt;0,1,0)+IF($F$5:$AI$5-AMP7_8[[#This Row],[Dim 1_1]:[T 8]]&lt;0,1,0),IF(ISNUMBER(AMP7_8[[#This Row],[Dim 1_1]:[T 8]])=TRUE,1,0))</f>
        <v>0</v>
      </c>
      <c r="H78">
        <v>155.673</v>
      </c>
      <c r="I78">
        <v>155.75200000000001</v>
      </c>
      <c r="J78">
        <v>168.947</v>
      </c>
      <c r="K78">
        <v>169.33</v>
      </c>
      <c r="L78">
        <v>155.64400000000001</v>
      </c>
      <c r="M78">
        <v>155.417</v>
      </c>
      <c r="N78">
        <v>27.574999999999999</v>
      </c>
      <c r="O78">
        <v>27.876999999999999</v>
      </c>
      <c r="R78">
        <v>17.291</v>
      </c>
      <c r="S78">
        <v>17.353000000000002</v>
      </c>
      <c r="T78">
        <v>37.215000000000003</v>
      </c>
      <c r="U78">
        <v>37.302999999999997</v>
      </c>
      <c r="W78">
        <v>0.29199999999999998</v>
      </c>
      <c r="X78">
        <v>-0.127</v>
      </c>
      <c r="Z78">
        <v>-4.1000000000000002E-2</v>
      </c>
      <c r="AA78">
        <v>-0.249</v>
      </c>
      <c r="AB78">
        <v>-6.0999999999999999E-2</v>
      </c>
      <c r="AC78">
        <v>2.8000000000000001E-2</v>
      </c>
      <c r="AD78">
        <v>-0.127</v>
      </c>
      <c r="AE78">
        <v>0.29199999999999998</v>
      </c>
      <c r="AF78">
        <v>-0.13300000000000001</v>
      </c>
      <c r="AG78">
        <v>-0.249</v>
      </c>
      <c r="AH78">
        <v>-4.1000000000000002E-2</v>
      </c>
      <c r="AI78">
        <v>-0.217</v>
      </c>
    </row>
    <row r="79" spans="1:35" x14ac:dyDescent="0.25">
      <c r="A79" t="s">
        <v>1818</v>
      </c>
      <c r="B79" t="s">
        <v>32</v>
      </c>
      <c r="C79" s="25">
        <v>43705.035196759258</v>
      </c>
      <c r="D79" s="741" t="s">
        <v>969</v>
      </c>
      <c r="E79" s="741">
        <f t="array" ref="E79">SUMPRODUCT(IF(AMP7_8[[#This Row],[Dim 1_1]:[T 8]]-$F$4:$AI$4&lt;0,1,0)+IF($F$5:$AI$5-AMP7_8[[#This Row],[Dim 1_1]:[T 8]]&lt;0,1,0),IF(ISNUMBER(AMP7_8[[#This Row],[Dim 1_1]:[T 8]])=TRUE,1,0))</f>
        <v>1</v>
      </c>
      <c r="F79">
        <v>41.411000000000001</v>
      </c>
      <c r="G79">
        <v>41.808999999999997</v>
      </c>
      <c r="H79">
        <v>156</v>
      </c>
      <c r="I79">
        <v>156.33000000000001</v>
      </c>
      <c r="L79">
        <v>155.94399999999999</v>
      </c>
      <c r="M79">
        <v>155.84200000000001</v>
      </c>
      <c r="N79">
        <v>27.245999999999999</v>
      </c>
      <c r="O79">
        <v>27.218</v>
      </c>
      <c r="R79">
        <v>17.219000000000001</v>
      </c>
      <c r="S79">
        <v>17.395</v>
      </c>
      <c r="T79">
        <v>33.040999999999997</v>
      </c>
      <c r="U79">
        <v>33.668999999999997</v>
      </c>
      <c r="W79">
        <v>5.0000000000000001E-3</v>
      </c>
      <c r="X79">
        <v>-0.373</v>
      </c>
      <c r="Z79">
        <v>-6.6000000000000003E-2</v>
      </c>
      <c r="AA79">
        <v>-0.51800000000000002</v>
      </c>
      <c r="AB79">
        <v>-0.14499999999999999</v>
      </c>
      <c r="AC79">
        <v>-7.8E-2</v>
      </c>
      <c r="AD79">
        <v>-0.373</v>
      </c>
      <c r="AE79">
        <v>5.0000000000000001E-3</v>
      </c>
      <c r="AF79">
        <v>-6.6000000000000003E-2</v>
      </c>
      <c r="AG79">
        <v>-0.155</v>
      </c>
      <c r="AH79">
        <v>-0.311</v>
      </c>
      <c r="AI79">
        <v>-0.51800000000000002</v>
      </c>
    </row>
    <row r="80" spans="1:35" x14ac:dyDescent="0.25">
      <c r="A80" t="s">
        <v>1819</v>
      </c>
      <c r="B80" t="s">
        <v>31</v>
      </c>
      <c r="C80" s="25">
        <v>43705.037268518521</v>
      </c>
      <c r="D80" s="741" t="s">
        <v>969</v>
      </c>
      <c r="E80" s="741">
        <f t="array" ref="E80">SUMPRODUCT(IF(AMP7_8[[#This Row],[Dim 1_1]:[T 8]]-$F$4:$AI$4&lt;0,1,0)+IF($F$5:$AI$5-AMP7_8[[#This Row],[Dim 1_1]:[T 8]]&lt;0,1,0),IF(ISNUMBER(AMP7_8[[#This Row],[Dim 1_1]:[T 8]])=TRUE,1,0))</f>
        <v>0</v>
      </c>
      <c r="H80">
        <v>155.685</v>
      </c>
      <c r="I80">
        <v>155.749</v>
      </c>
      <c r="J80">
        <v>168.89099999999999</v>
      </c>
      <c r="K80">
        <v>169.381</v>
      </c>
      <c r="L80">
        <v>155.684</v>
      </c>
      <c r="M80">
        <v>155.428</v>
      </c>
      <c r="N80">
        <v>27.539000000000001</v>
      </c>
      <c r="O80">
        <v>27.844000000000001</v>
      </c>
      <c r="R80">
        <v>17.271999999999998</v>
      </c>
      <c r="S80">
        <v>17.364999999999998</v>
      </c>
      <c r="T80">
        <v>38.027000000000001</v>
      </c>
      <c r="U80">
        <v>38.332999999999998</v>
      </c>
      <c r="W80">
        <v>0.249</v>
      </c>
      <c r="X80">
        <v>-0.13500000000000001</v>
      </c>
      <c r="Z80">
        <v>-0.05</v>
      </c>
      <c r="AA80">
        <v>-0.23200000000000001</v>
      </c>
      <c r="AB80">
        <v>-6.9000000000000006E-2</v>
      </c>
      <c r="AC80">
        <v>1.2999999999999999E-2</v>
      </c>
      <c r="AD80">
        <v>-0.13500000000000001</v>
      </c>
      <c r="AE80">
        <v>0.249</v>
      </c>
      <c r="AF80">
        <v>-0.112</v>
      </c>
      <c r="AG80">
        <v>-0.23200000000000001</v>
      </c>
      <c r="AH80">
        <v>-0.05</v>
      </c>
      <c r="AI80">
        <v>-0.22600000000000001</v>
      </c>
    </row>
    <row r="81" spans="1:35" x14ac:dyDescent="0.25">
      <c r="A81" t="s">
        <v>1820</v>
      </c>
      <c r="B81" t="s">
        <v>32</v>
      </c>
      <c r="C81" s="25">
        <v>43705.352696759262</v>
      </c>
      <c r="D81" s="741" t="s">
        <v>969</v>
      </c>
      <c r="E81" s="741">
        <f t="array" ref="E81">SUMPRODUCT(IF(AMP7_8[[#This Row],[Dim 1_1]:[T 8]]-$F$4:$AI$4&lt;0,1,0)+IF($F$5:$AI$5-AMP7_8[[#This Row],[Dim 1_1]:[T 8]]&lt;0,1,0),IF(ISNUMBER(AMP7_8[[#This Row],[Dim 1_1]:[T 8]])=TRUE,1,0))</f>
        <v>1</v>
      </c>
      <c r="F81">
        <v>41.491999999999997</v>
      </c>
      <c r="G81">
        <v>41.884</v>
      </c>
      <c r="H81">
        <v>156.02699999999999</v>
      </c>
      <c r="I81">
        <v>156.285</v>
      </c>
      <c r="L81">
        <v>155.96700000000001</v>
      </c>
      <c r="M81">
        <v>155.744</v>
      </c>
      <c r="N81">
        <v>27.224</v>
      </c>
      <c r="O81">
        <v>27.329000000000001</v>
      </c>
      <c r="R81">
        <v>17.242000000000001</v>
      </c>
      <c r="S81">
        <v>17.439</v>
      </c>
      <c r="T81">
        <v>33.417999999999999</v>
      </c>
      <c r="U81">
        <v>33.445</v>
      </c>
      <c r="W81">
        <v>0.03</v>
      </c>
      <c r="X81">
        <v>-0.30499999999999999</v>
      </c>
      <c r="Z81">
        <v>-6.5000000000000002E-2</v>
      </c>
      <c r="AA81">
        <v>-0.54500000000000004</v>
      </c>
      <c r="AB81">
        <v>-9.5000000000000001E-2</v>
      </c>
      <c r="AC81">
        <v>-3.3000000000000002E-2</v>
      </c>
      <c r="AD81">
        <v>-0.30499999999999999</v>
      </c>
      <c r="AE81">
        <v>0.03</v>
      </c>
      <c r="AF81">
        <v>-6.5000000000000002E-2</v>
      </c>
      <c r="AG81">
        <v>-0.16200000000000001</v>
      </c>
      <c r="AH81">
        <v>-0.27400000000000002</v>
      </c>
      <c r="AI81">
        <v>-0.54500000000000004</v>
      </c>
    </row>
    <row r="82" spans="1:35" x14ac:dyDescent="0.25">
      <c r="A82" t="s">
        <v>1821</v>
      </c>
      <c r="B82" t="s">
        <v>31</v>
      </c>
      <c r="C82" s="25">
        <v>43705.355810185189</v>
      </c>
      <c r="D82" s="741" t="s">
        <v>969</v>
      </c>
      <c r="E82" s="741">
        <f t="array" ref="E82">SUMPRODUCT(IF(AMP7_8[[#This Row],[Dim 1_1]:[T 8]]-$F$4:$AI$4&lt;0,1,0)+IF($F$5:$AI$5-AMP7_8[[#This Row],[Dim 1_1]:[T 8]]&lt;0,1,0),IF(ISNUMBER(AMP7_8[[#This Row],[Dim 1_1]:[T 8]])=TRUE,1,0))</f>
        <v>1</v>
      </c>
      <c r="H82">
        <v>155.73400000000001</v>
      </c>
      <c r="I82">
        <v>155.90100000000001</v>
      </c>
      <c r="J82">
        <v>169.06899999999999</v>
      </c>
      <c r="K82">
        <v>169.44499999999999</v>
      </c>
      <c r="L82">
        <v>155.70599999999999</v>
      </c>
      <c r="M82">
        <v>155.583</v>
      </c>
      <c r="N82">
        <v>27.5</v>
      </c>
      <c r="O82">
        <v>27.699000000000002</v>
      </c>
      <c r="R82">
        <v>17.309999999999999</v>
      </c>
      <c r="S82">
        <v>17.43</v>
      </c>
      <c r="T82">
        <v>38.031999999999996</v>
      </c>
      <c r="U82">
        <v>39.598999999999997</v>
      </c>
      <c r="W82">
        <v>0.19900000000000001</v>
      </c>
      <c r="X82">
        <v>-0.129</v>
      </c>
      <c r="Z82">
        <v>1.4999999999999999E-2</v>
      </c>
      <c r="AA82">
        <v>-0.25900000000000001</v>
      </c>
      <c r="AB82">
        <v>-0.115</v>
      </c>
      <c r="AC82">
        <v>-2.1000000000000001E-2</v>
      </c>
      <c r="AD82">
        <v>-0.129</v>
      </c>
      <c r="AE82">
        <v>0.19900000000000001</v>
      </c>
      <c r="AF82">
        <v>-0.17699999999999999</v>
      </c>
      <c r="AG82">
        <v>-0.25900000000000001</v>
      </c>
      <c r="AH82">
        <v>1.4999999999999999E-2</v>
      </c>
      <c r="AI82">
        <v>-0.20599999999999999</v>
      </c>
    </row>
    <row r="83" spans="1:35" x14ac:dyDescent="0.25">
      <c r="A83" t="s">
        <v>1822</v>
      </c>
      <c r="B83" t="s">
        <v>32</v>
      </c>
      <c r="C83" s="25">
        <v>43705.42664351852</v>
      </c>
      <c r="D83" s="741" t="s">
        <v>969</v>
      </c>
      <c r="E83" s="741">
        <f t="array" ref="E83">SUMPRODUCT(IF(AMP7_8[[#This Row],[Dim 1_1]:[T 8]]-$F$4:$AI$4&lt;0,1,0)+IF($F$5:$AI$5-AMP7_8[[#This Row],[Dim 1_1]:[T 8]]&lt;0,1,0),IF(ISNUMBER(AMP7_8[[#This Row],[Dim 1_1]:[T 8]])=TRUE,1,0))</f>
        <v>1</v>
      </c>
      <c r="F83">
        <v>41.421999999999997</v>
      </c>
      <c r="G83">
        <v>41.878</v>
      </c>
      <c r="H83">
        <v>155.98099999999999</v>
      </c>
      <c r="I83">
        <v>156.34700000000001</v>
      </c>
      <c r="L83">
        <v>155.917</v>
      </c>
      <c r="M83">
        <v>155.79400000000001</v>
      </c>
      <c r="N83">
        <v>27.289000000000001</v>
      </c>
      <c r="O83">
        <v>27.245000000000001</v>
      </c>
      <c r="R83">
        <v>17.212</v>
      </c>
      <c r="S83">
        <v>17.420000000000002</v>
      </c>
      <c r="T83">
        <v>33.097999999999999</v>
      </c>
      <c r="U83">
        <v>33.799999999999997</v>
      </c>
      <c r="W83">
        <v>2E-3</v>
      </c>
      <c r="X83">
        <v>-0.379</v>
      </c>
      <c r="Z83">
        <v>-6.8000000000000005E-2</v>
      </c>
      <c r="AA83">
        <v>-0.56799999999999995</v>
      </c>
      <c r="AB83">
        <v>-0.124</v>
      </c>
      <c r="AC83">
        <v>-6.2E-2</v>
      </c>
      <c r="AD83">
        <v>-0.379</v>
      </c>
      <c r="AE83">
        <v>2E-3</v>
      </c>
      <c r="AF83">
        <v>-6.8000000000000005E-2</v>
      </c>
      <c r="AG83">
        <v>-0.157</v>
      </c>
      <c r="AH83">
        <v>-0.30599999999999999</v>
      </c>
      <c r="AI83">
        <v>-0.56799999999999995</v>
      </c>
    </row>
    <row r="84" spans="1:35" x14ac:dyDescent="0.25">
      <c r="A84" t="s">
        <v>1823</v>
      </c>
      <c r="B84" t="s">
        <v>31</v>
      </c>
      <c r="C84" s="25">
        <v>43705.429375</v>
      </c>
      <c r="D84" s="741" t="s">
        <v>969</v>
      </c>
      <c r="E84" s="741">
        <f t="array" ref="E84">SUMPRODUCT(IF(AMP7_8[[#This Row],[Dim 1_1]:[T 8]]-$F$4:$AI$4&lt;0,1,0)+IF($F$5:$AI$5-AMP7_8[[#This Row],[Dim 1_1]:[T 8]]&lt;0,1,0),IF(ISNUMBER(AMP7_8[[#This Row],[Dim 1_1]:[T 8]])=TRUE,1,0))</f>
        <v>0</v>
      </c>
      <c r="H84">
        <v>155.69200000000001</v>
      </c>
      <c r="I84">
        <v>155.745</v>
      </c>
      <c r="J84">
        <v>168.91900000000001</v>
      </c>
      <c r="K84">
        <v>169.32499999999999</v>
      </c>
      <c r="L84">
        <v>155.66999999999999</v>
      </c>
      <c r="M84">
        <v>155.434</v>
      </c>
      <c r="N84">
        <v>27.524000000000001</v>
      </c>
      <c r="O84">
        <v>27.867000000000001</v>
      </c>
      <c r="R84">
        <v>17.317</v>
      </c>
      <c r="S84">
        <v>17.425000000000001</v>
      </c>
      <c r="T84">
        <v>40.009</v>
      </c>
      <c r="U84">
        <v>40.267000000000003</v>
      </c>
      <c r="W84">
        <v>0.26600000000000001</v>
      </c>
      <c r="X84">
        <v>-0.09</v>
      </c>
      <c r="Z84">
        <v>-3.2000000000000001E-2</v>
      </c>
      <c r="AA84">
        <v>-0.24399999999999999</v>
      </c>
      <c r="AB84">
        <v>-4.7E-2</v>
      </c>
      <c r="AC84">
        <v>3.9E-2</v>
      </c>
      <c r="AD84">
        <v>-0.09</v>
      </c>
      <c r="AE84">
        <v>0.26600000000000001</v>
      </c>
      <c r="AF84">
        <v>-0.13300000000000001</v>
      </c>
      <c r="AG84">
        <v>-0.24399999999999999</v>
      </c>
      <c r="AH84">
        <v>-3.2000000000000001E-2</v>
      </c>
      <c r="AI84">
        <v>-0.214</v>
      </c>
    </row>
    <row r="85" spans="1:35" x14ac:dyDescent="0.25">
      <c r="A85" t="s">
        <v>1987</v>
      </c>
      <c r="B85" t="s">
        <v>32</v>
      </c>
      <c r="C85" s="25">
        <v>43705.541215277779</v>
      </c>
      <c r="D85" s="741" t="s">
        <v>969</v>
      </c>
      <c r="E85" s="741">
        <f t="array" ref="E85">SUMPRODUCT(IF(AMP7_8[[#This Row],[Dim 1_1]:[T 8]]-$F$4:$AI$4&lt;0,1,0)+IF($F$5:$AI$5-AMP7_8[[#This Row],[Dim 1_1]:[T 8]]&lt;0,1,0),IF(ISNUMBER(AMP7_8[[#This Row],[Dim 1_1]:[T 8]])=TRUE,1,0))</f>
        <v>0</v>
      </c>
      <c r="F85">
        <v>40.968000000000004</v>
      </c>
      <c r="G85">
        <v>41.252000000000002</v>
      </c>
      <c r="H85">
        <v>155.857</v>
      </c>
      <c r="I85">
        <v>156.03899999999999</v>
      </c>
      <c r="L85">
        <v>155.92699999999999</v>
      </c>
      <c r="M85">
        <v>155.68</v>
      </c>
      <c r="N85">
        <v>27.280999999999999</v>
      </c>
      <c r="O85">
        <v>27.401</v>
      </c>
      <c r="R85">
        <v>17.268999999999998</v>
      </c>
      <c r="S85">
        <v>17.311</v>
      </c>
      <c r="T85">
        <v>32.902000000000001</v>
      </c>
      <c r="U85">
        <v>33.654000000000003</v>
      </c>
      <c r="W85">
        <v>4.7E-2</v>
      </c>
      <c r="X85">
        <v>-0.28199999999999997</v>
      </c>
      <c r="Z85">
        <v>7.0000000000000001E-3</v>
      </c>
      <c r="AA85">
        <v>-0.23599999999999999</v>
      </c>
      <c r="AB85">
        <v>-9.9000000000000005E-2</v>
      </c>
      <c r="AC85">
        <v>-4.4999999999999998E-2</v>
      </c>
      <c r="AD85">
        <v>-0.28199999999999997</v>
      </c>
      <c r="AE85">
        <v>4.7E-2</v>
      </c>
      <c r="AF85">
        <v>7.0000000000000001E-3</v>
      </c>
      <c r="AG85">
        <v>-0.09</v>
      </c>
      <c r="AH85">
        <v>-9.9000000000000005E-2</v>
      </c>
      <c r="AI85">
        <v>-0.23599999999999999</v>
      </c>
    </row>
    <row r="86" spans="1:35" x14ac:dyDescent="0.25">
      <c r="A86" t="s">
        <v>1988</v>
      </c>
      <c r="B86" t="s">
        <v>31</v>
      </c>
      <c r="C86" s="25">
        <v>43705.543622685182</v>
      </c>
      <c r="D86" s="741" t="s">
        <v>969</v>
      </c>
      <c r="E86" s="741">
        <f t="array" ref="E86">SUMPRODUCT(IF(AMP7_8[[#This Row],[Dim 1_1]:[T 8]]-$F$4:$AI$4&lt;0,1,0)+IF($F$5:$AI$5-AMP7_8[[#This Row],[Dim 1_1]:[T 8]]&lt;0,1,0),IF(ISNUMBER(AMP7_8[[#This Row],[Dim 1_1]:[T 8]])=TRUE,1,0))</f>
        <v>0</v>
      </c>
      <c r="H86">
        <v>155.83799999999999</v>
      </c>
      <c r="I86">
        <v>155.90799999999999</v>
      </c>
      <c r="J86">
        <v>168.643</v>
      </c>
      <c r="K86">
        <v>169.02799999999999</v>
      </c>
      <c r="L86">
        <v>155.92699999999999</v>
      </c>
      <c r="M86">
        <v>155.744</v>
      </c>
      <c r="N86">
        <v>27.286999999999999</v>
      </c>
      <c r="O86">
        <v>27.484000000000002</v>
      </c>
      <c r="R86">
        <v>17.225999999999999</v>
      </c>
      <c r="S86">
        <v>17.245000000000001</v>
      </c>
      <c r="T86">
        <v>37.244</v>
      </c>
      <c r="U86">
        <v>36.655999999999999</v>
      </c>
      <c r="W86">
        <v>0.41299999999999998</v>
      </c>
      <c r="X86">
        <v>-0.19900000000000001</v>
      </c>
      <c r="Z86">
        <v>6.4000000000000001E-2</v>
      </c>
      <c r="AA86">
        <v>-0.26400000000000001</v>
      </c>
      <c r="AB86">
        <v>-5.7000000000000002E-2</v>
      </c>
      <c r="AC86">
        <v>2.8000000000000001E-2</v>
      </c>
      <c r="AD86">
        <v>-0.19900000000000001</v>
      </c>
      <c r="AE86">
        <v>0.41299999999999998</v>
      </c>
      <c r="AF86">
        <v>-5.2999999999999999E-2</v>
      </c>
      <c r="AG86">
        <v>-0.16800000000000001</v>
      </c>
      <c r="AH86">
        <v>6.4000000000000001E-2</v>
      </c>
      <c r="AI86">
        <v>-0.26400000000000001</v>
      </c>
    </row>
    <row r="87" spans="1:35" x14ac:dyDescent="0.25">
      <c r="A87" t="s">
        <v>1989</v>
      </c>
      <c r="B87" t="s">
        <v>32</v>
      </c>
      <c r="C87" s="25">
        <v>43705.579745370371</v>
      </c>
      <c r="D87" s="741" t="s">
        <v>969</v>
      </c>
      <c r="E87" s="741">
        <f t="array" ref="E87">SUMPRODUCT(IF(AMP7_8[[#This Row],[Dim 1_1]:[T 8]]-$F$4:$AI$4&lt;0,1,0)+IF($F$5:$AI$5-AMP7_8[[#This Row],[Dim 1_1]:[T 8]]&lt;0,1,0),IF(ISNUMBER(AMP7_8[[#This Row],[Dim 1_1]:[T 8]])=TRUE,1,0))</f>
        <v>0</v>
      </c>
      <c r="F87">
        <v>41.06</v>
      </c>
      <c r="G87">
        <v>41.317999999999998</v>
      </c>
      <c r="H87">
        <v>155.893</v>
      </c>
      <c r="I87">
        <v>156.04599999999999</v>
      </c>
      <c r="L87">
        <v>155.982</v>
      </c>
      <c r="M87">
        <v>155.732</v>
      </c>
      <c r="N87">
        <v>27.213000000000001</v>
      </c>
      <c r="O87">
        <v>27.332000000000001</v>
      </c>
      <c r="R87">
        <v>17.268000000000001</v>
      </c>
      <c r="S87">
        <v>17.236999999999998</v>
      </c>
      <c r="T87">
        <v>32.658000000000001</v>
      </c>
      <c r="U87">
        <v>33.841999999999999</v>
      </c>
      <c r="W87">
        <v>5.6000000000000001E-2</v>
      </c>
      <c r="X87">
        <v>-0.23499999999999999</v>
      </c>
      <c r="Z87">
        <v>-4.8000000000000001E-2</v>
      </c>
      <c r="AA87">
        <v>-0.19900000000000001</v>
      </c>
      <c r="AB87">
        <v>-0.192</v>
      </c>
      <c r="AC87">
        <v>-0.114</v>
      </c>
      <c r="AD87">
        <v>-0.23499999999999999</v>
      </c>
      <c r="AE87">
        <v>5.6000000000000001E-2</v>
      </c>
      <c r="AF87">
        <v>-4.8000000000000001E-2</v>
      </c>
      <c r="AG87">
        <v>-0.13300000000000001</v>
      </c>
      <c r="AH87">
        <v>-0.05</v>
      </c>
      <c r="AI87">
        <v>-0.19900000000000001</v>
      </c>
    </row>
    <row r="88" spans="1:35" x14ac:dyDescent="0.25">
      <c r="A88" t="s">
        <v>1990</v>
      </c>
      <c r="B88" t="s">
        <v>31</v>
      </c>
      <c r="C88" s="25">
        <v>43705.582384259258</v>
      </c>
      <c r="D88" s="741" t="s">
        <v>969</v>
      </c>
      <c r="E88" s="741">
        <f t="array" ref="E88">SUMPRODUCT(IF(AMP7_8[[#This Row],[Dim 1_1]:[T 8]]-$F$4:$AI$4&lt;0,1,0)+IF($F$5:$AI$5-AMP7_8[[#This Row],[Dim 1_1]:[T 8]]&lt;0,1,0),IF(ISNUMBER(AMP7_8[[#This Row],[Dim 1_1]:[T 8]])=TRUE,1,0))</f>
        <v>0</v>
      </c>
      <c r="H88">
        <v>155.87100000000001</v>
      </c>
      <c r="I88">
        <v>155.946</v>
      </c>
      <c r="J88">
        <v>168.661</v>
      </c>
      <c r="K88">
        <v>168.93100000000001</v>
      </c>
      <c r="L88">
        <v>155.95599999999999</v>
      </c>
      <c r="M88">
        <v>155.76400000000001</v>
      </c>
      <c r="N88">
        <v>27.277000000000001</v>
      </c>
      <c r="O88">
        <v>27.489000000000001</v>
      </c>
      <c r="R88">
        <v>17.238</v>
      </c>
      <c r="S88">
        <v>17.28</v>
      </c>
      <c r="T88">
        <v>39.052</v>
      </c>
      <c r="U88">
        <v>39.317</v>
      </c>
      <c r="W88">
        <v>0.22800000000000001</v>
      </c>
      <c r="X88">
        <v>-0.246</v>
      </c>
      <c r="Z88">
        <v>-1.2999999999999999E-2</v>
      </c>
      <c r="AA88">
        <v>-0.30199999999999999</v>
      </c>
      <c r="AB88">
        <v>-5.8999999999999997E-2</v>
      </c>
      <c r="AC88">
        <v>2.3E-2</v>
      </c>
      <c r="AD88">
        <v>-0.246</v>
      </c>
      <c r="AE88">
        <v>0.22800000000000001</v>
      </c>
      <c r="AF88">
        <v>-3.6999999999999998E-2</v>
      </c>
      <c r="AG88">
        <v>-0.157</v>
      </c>
      <c r="AH88">
        <v>-1.2999999999999999E-2</v>
      </c>
      <c r="AI88">
        <v>-0.30199999999999999</v>
      </c>
    </row>
    <row r="89" spans="1:35" x14ac:dyDescent="0.25">
      <c r="A89" t="s">
        <v>1991</v>
      </c>
      <c r="B89" t="s">
        <v>32</v>
      </c>
      <c r="C89" s="25">
        <v>43705.634976851848</v>
      </c>
      <c r="D89" s="741" t="s">
        <v>969</v>
      </c>
      <c r="E89" s="741">
        <f t="array" ref="E89">SUMPRODUCT(IF(AMP7_8[[#This Row],[Dim 1_1]:[T 8]]-$F$4:$AI$4&lt;0,1,0)+IF($F$5:$AI$5-AMP7_8[[#This Row],[Dim 1_1]:[T 8]]&lt;0,1,0),IF(ISNUMBER(AMP7_8[[#This Row],[Dim 1_1]:[T 8]])=TRUE,1,0))</f>
        <v>0</v>
      </c>
      <c r="F89">
        <v>41.195999999999998</v>
      </c>
      <c r="G89">
        <v>41.44</v>
      </c>
      <c r="H89">
        <v>155.89099999999999</v>
      </c>
      <c r="I89">
        <v>156.06700000000001</v>
      </c>
      <c r="L89">
        <v>155.96799999999999</v>
      </c>
      <c r="M89">
        <v>155.684</v>
      </c>
      <c r="N89">
        <v>27.234000000000002</v>
      </c>
      <c r="O89">
        <v>27.364999999999998</v>
      </c>
      <c r="R89">
        <v>17.283000000000001</v>
      </c>
      <c r="S89">
        <v>17.216999999999999</v>
      </c>
      <c r="T89">
        <v>32.229999999999997</v>
      </c>
      <c r="U89">
        <v>33.551000000000002</v>
      </c>
      <c r="W89">
        <v>7.0999999999999994E-2</v>
      </c>
      <c r="X89">
        <v>-0.218</v>
      </c>
      <c r="Z89">
        <v>3.0000000000000001E-3</v>
      </c>
      <c r="AA89">
        <v>-0.16600000000000001</v>
      </c>
      <c r="AB89">
        <v>-0.18099999999999999</v>
      </c>
      <c r="AC89">
        <v>-9.5000000000000001E-2</v>
      </c>
      <c r="AD89">
        <v>-0.218</v>
      </c>
      <c r="AE89">
        <v>7.0999999999999994E-2</v>
      </c>
      <c r="AF89">
        <v>3.0000000000000001E-3</v>
      </c>
      <c r="AG89">
        <v>-9.2999999999999999E-2</v>
      </c>
      <c r="AH89">
        <v>-4.2000000000000003E-2</v>
      </c>
      <c r="AI89">
        <v>-0.16600000000000001</v>
      </c>
    </row>
    <row r="90" spans="1:35" x14ac:dyDescent="0.25">
      <c r="A90" t="s">
        <v>1992</v>
      </c>
      <c r="B90" t="s">
        <v>31</v>
      </c>
      <c r="C90" s="25">
        <v>43705.637291666666</v>
      </c>
      <c r="D90" s="741" t="s">
        <v>969</v>
      </c>
      <c r="E90" s="741">
        <f t="array" ref="E90">SUMPRODUCT(IF(AMP7_8[[#This Row],[Dim 1_1]:[T 8]]-$F$4:$AI$4&lt;0,1,0)+IF($F$5:$AI$5-AMP7_8[[#This Row],[Dim 1_1]:[T 8]]&lt;0,1,0),IF(ISNUMBER(AMP7_8[[#This Row],[Dim 1_1]:[T 8]])=TRUE,1,0))</f>
        <v>0</v>
      </c>
      <c r="H90">
        <v>155.809</v>
      </c>
      <c r="I90">
        <v>155.88200000000001</v>
      </c>
      <c r="J90">
        <v>168.87</v>
      </c>
      <c r="K90">
        <v>169.09399999999999</v>
      </c>
      <c r="L90">
        <v>155.928</v>
      </c>
      <c r="M90">
        <v>155.74700000000001</v>
      </c>
      <c r="N90">
        <v>27.295000000000002</v>
      </c>
      <c r="O90">
        <v>27.5</v>
      </c>
      <c r="R90">
        <v>17.23</v>
      </c>
      <c r="S90">
        <v>17.29</v>
      </c>
      <c r="T90">
        <v>38.063000000000002</v>
      </c>
      <c r="U90">
        <v>38.61</v>
      </c>
      <c r="W90">
        <v>0.41599999999999998</v>
      </c>
      <c r="X90">
        <v>-6.5000000000000002E-2</v>
      </c>
      <c r="Z90">
        <v>2.1999999999999999E-2</v>
      </c>
      <c r="AA90">
        <v>-0.30099999999999999</v>
      </c>
      <c r="AB90">
        <v>5.7000000000000002E-2</v>
      </c>
      <c r="AC90">
        <v>0.14399999999999999</v>
      </c>
      <c r="AD90">
        <v>-6.5000000000000002E-2</v>
      </c>
      <c r="AE90">
        <v>0.41599999999999998</v>
      </c>
      <c r="AF90">
        <v>-7.0999999999999994E-2</v>
      </c>
      <c r="AG90">
        <v>-0.185</v>
      </c>
      <c r="AH90">
        <v>2.1999999999999999E-2</v>
      </c>
      <c r="AI90">
        <v>-0.30099999999999999</v>
      </c>
    </row>
    <row r="91" spans="1:35" x14ac:dyDescent="0.25">
      <c r="A91" t="s">
        <v>1993</v>
      </c>
      <c r="B91" t="s">
        <v>32</v>
      </c>
      <c r="C91" s="25">
        <v>43705.751319444447</v>
      </c>
      <c r="D91" s="741" t="s">
        <v>969</v>
      </c>
      <c r="E91" s="741">
        <f t="array" ref="E91">SUMPRODUCT(IF(AMP7_8[[#This Row],[Dim 1_1]:[T 8]]-$F$4:$AI$4&lt;0,1,0)+IF($F$5:$AI$5-AMP7_8[[#This Row],[Dim 1_1]:[T 8]]&lt;0,1,0),IF(ISNUMBER(AMP7_8[[#This Row],[Dim 1_1]:[T 8]])=TRUE,1,0))</f>
        <v>0</v>
      </c>
      <c r="F91">
        <v>41.173999999999999</v>
      </c>
      <c r="G91">
        <v>41.222000000000001</v>
      </c>
      <c r="H91">
        <v>155.82400000000001</v>
      </c>
      <c r="I91">
        <v>156.03899999999999</v>
      </c>
      <c r="L91">
        <v>155.928</v>
      </c>
      <c r="M91">
        <v>155.696</v>
      </c>
      <c r="N91">
        <v>27.28</v>
      </c>
      <c r="O91">
        <v>27.382999999999999</v>
      </c>
      <c r="R91">
        <v>17.236000000000001</v>
      </c>
      <c r="S91">
        <v>17.274000000000001</v>
      </c>
      <c r="T91">
        <v>32.753999999999998</v>
      </c>
      <c r="U91">
        <v>33.744</v>
      </c>
      <c r="W91">
        <v>9.6000000000000002E-2</v>
      </c>
      <c r="X91">
        <v>-0.26200000000000001</v>
      </c>
      <c r="Z91">
        <v>3.4000000000000002E-2</v>
      </c>
      <c r="AA91">
        <v>-0.23300000000000001</v>
      </c>
      <c r="AB91">
        <v>-8.8999999999999996E-2</v>
      </c>
      <c r="AC91">
        <v>-3.1E-2</v>
      </c>
      <c r="AD91">
        <v>-0.26200000000000001</v>
      </c>
      <c r="AE91">
        <v>9.6000000000000002E-2</v>
      </c>
      <c r="AF91">
        <v>3.4000000000000002E-2</v>
      </c>
      <c r="AG91">
        <v>-6.6000000000000003E-2</v>
      </c>
      <c r="AH91">
        <v>-5.6000000000000001E-2</v>
      </c>
      <c r="AI91">
        <v>-0.23300000000000001</v>
      </c>
    </row>
    <row r="92" spans="1:35" x14ac:dyDescent="0.25">
      <c r="A92" t="s">
        <v>1994</v>
      </c>
      <c r="B92" t="s">
        <v>31</v>
      </c>
      <c r="C92" s="25">
        <v>43705.752835648149</v>
      </c>
      <c r="D92" s="741" t="s">
        <v>969</v>
      </c>
      <c r="E92" s="741">
        <f t="array" ref="E92">SUMPRODUCT(IF(AMP7_8[[#This Row],[Dim 1_1]:[T 8]]-$F$4:$AI$4&lt;0,1,0)+IF($F$5:$AI$5-AMP7_8[[#This Row],[Dim 1_1]:[T 8]]&lt;0,1,0),IF(ISNUMBER(AMP7_8[[#This Row],[Dim 1_1]:[T 8]])=TRUE,1,0))</f>
        <v>0</v>
      </c>
      <c r="H92">
        <v>155.81299999999999</v>
      </c>
      <c r="I92">
        <v>155.90299999999999</v>
      </c>
      <c r="J92">
        <v>168.77</v>
      </c>
      <c r="K92">
        <v>168.98699999999999</v>
      </c>
      <c r="L92">
        <v>155.93299999999999</v>
      </c>
      <c r="M92">
        <v>155.76499999999999</v>
      </c>
      <c r="N92">
        <v>27.298999999999999</v>
      </c>
      <c r="O92">
        <v>27.478999999999999</v>
      </c>
      <c r="R92">
        <v>17.213999999999999</v>
      </c>
      <c r="S92">
        <v>17.225999999999999</v>
      </c>
      <c r="T92">
        <v>38.643999999999998</v>
      </c>
      <c r="U92">
        <v>38.18</v>
      </c>
      <c r="W92">
        <v>0.23699999999999999</v>
      </c>
      <c r="X92">
        <v>-0.23100000000000001</v>
      </c>
      <c r="Z92">
        <v>8.0000000000000002E-3</v>
      </c>
      <c r="AA92">
        <v>-0.33900000000000002</v>
      </c>
      <c r="AB92">
        <v>-8.2000000000000003E-2</v>
      </c>
      <c r="AC92">
        <v>5.0000000000000001E-3</v>
      </c>
      <c r="AD92">
        <v>-0.23100000000000001</v>
      </c>
      <c r="AE92">
        <v>0.23699999999999999</v>
      </c>
      <c r="AF92">
        <v>-7.1999999999999995E-2</v>
      </c>
      <c r="AG92">
        <v>-0.17299999999999999</v>
      </c>
      <c r="AH92">
        <v>8.0000000000000002E-3</v>
      </c>
      <c r="AI92">
        <v>-0.33900000000000002</v>
      </c>
    </row>
    <row r="93" spans="1:35" x14ac:dyDescent="0.25">
      <c r="A93" t="s">
        <v>1995</v>
      </c>
      <c r="B93" t="s">
        <v>32</v>
      </c>
      <c r="C93" s="25">
        <v>43705.820185185185</v>
      </c>
      <c r="D93" s="741" t="s">
        <v>969</v>
      </c>
      <c r="E93" s="741">
        <f t="array" ref="E93">SUMPRODUCT(IF(AMP7_8[[#This Row],[Dim 1_1]:[T 8]]-$F$4:$AI$4&lt;0,1,0)+IF($F$5:$AI$5-AMP7_8[[#This Row],[Dim 1_1]:[T 8]]&lt;0,1,0),IF(ISNUMBER(AMP7_8[[#This Row],[Dim 1_1]:[T 8]])=TRUE,1,0))</f>
        <v>0</v>
      </c>
      <c r="F93">
        <v>41.079000000000001</v>
      </c>
      <c r="G93">
        <v>41.277999999999999</v>
      </c>
      <c r="H93">
        <v>155.91900000000001</v>
      </c>
      <c r="I93">
        <v>156.059</v>
      </c>
      <c r="L93">
        <v>155.977</v>
      </c>
      <c r="M93">
        <v>155.673</v>
      </c>
      <c r="N93">
        <v>27.219000000000001</v>
      </c>
      <c r="O93">
        <v>27.373999999999999</v>
      </c>
      <c r="R93">
        <v>17.277000000000001</v>
      </c>
      <c r="S93">
        <v>17.16</v>
      </c>
      <c r="T93">
        <v>32.985999999999997</v>
      </c>
      <c r="U93">
        <v>33.64</v>
      </c>
      <c r="W93">
        <v>0.19600000000000001</v>
      </c>
      <c r="X93">
        <v>-0.12</v>
      </c>
      <c r="Z93">
        <v>-2.8000000000000001E-2</v>
      </c>
      <c r="AA93">
        <v>-0.17599999999999999</v>
      </c>
      <c r="AB93">
        <v>-0.12</v>
      </c>
      <c r="AC93">
        <v>-2.8000000000000001E-2</v>
      </c>
      <c r="AD93">
        <v>-0.104</v>
      </c>
      <c r="AE93">
        <v>0.19600000000000001</v>
      </c>
      <c r="AF93">
        <v>-4.3999999999999997E-2</v>
      </c>
      <c r="AG93">
        <v>-0.16500000000000001</v>
      </c>
      <c r="AH93">
        <v>-2.8000000000000001E-2</v>
      </c>
      <c r="AI93">
        <v>-0.17599999999999999</v>
      </c>
    </row>
    <row r="94" spans="1:35" x14ac:dyDescent="0.25">
      <c r="A94" t="s">
        <v>1996</v>
      </c>
      <c r="B94" t="s">
        <v>31</v>
      </c>
      <c r="C94" s="25">
        <v>43705.82167824074</v>
      </c>
      <c r="D94" s="741" t="s">
        <v>969</v>
      </c>
      <c r="E94" s="741">
        <f t="array" ref="E94">SUMPRODUCT(IF(AMP7_8[[#This Row],[Dim 1_1]:[T 8]]-$F$4:$AI$4&lt;0,1,0)+IF($F$5:$AI$5-AMP7_8[[#This Row],[Dim 1_1]:[T 8]]&lt;0,1,0),IF(ISNUMBER(AMP7_8[[#This Row],[Dim 1_1]:[T 8]])=TRUE,1,0))</f>
        <v>0</v>
      </c>
      <c r="H94">
        <v>155.858</v>
      </c>
      <c r="I94">
        <v>155.947</v>
      </c>
      <c r="J94">
        <v>168.684</v>
      </c>
      <c r="K94">
        <v>168.93</v>
      </c>
      <c r="L94">
        <v>155.98500000000001</v>
      </c>
      <c r="M94">
        <v>155.804</v>
      </c>
      <c r="N94">
        <v>27.241</v>
      </c>
      <c r="O94">
        <v>27.442</v>
      </c>
      <c r="R94">
        <v>17.215</v>
      </c>
      <c r="S94">
        <v>17.253</v>
      </c>
      <c r="T94">
        <v>39.07</v>
      </c>
      <c r="U94">
        <v>39.628</v>
      </c>
      <c r="W94">
        <v>0.246</v>
      </c>
      <c r="X94">
        <v>-0.245</v>
      </c>
      <c r="Z94">
        <v>-4.0000000000000001E-3</v>
      </c>
      <c r="AA94">
        <v>-0.40400000000000003</v>
      </c>
      <c r="AB94">
        <v>-0.122</v>
      </c>
      <c r="AC94">
        <v>-3.3000000000000002E-2</v>
      </c>
      <c r="AD94">
        <v>-0.245</v>
      </c>
      <c r="AE94">
        <v>0.246</v>
      </c>
      <c r="AF94">
        <v>-0.159</v>
      </c>
      <c r="AG94">
        <v>-0.27500000000000002</v>
      </c>
      <c r="AH94">
        <v>-4.0000000000000001E-3</v>
      </c>
      <c r="AI94">
        <v>-0.40400000000000003</v>
      </c>
    </row>
    <row r="95" spans="1:35" x14ac:dyDescent="0.25">
      <c r="A95" t="s">
        <v>1997</v>
      </c>
      <c r="B95" t="s">
        <v>32</v>
      </c>
      <c r="C95" s="25">
        <v>43705.948321759257</v>
      </c>
      <c r="D95" s="741" t="s">
        <v>969</v>
      </c>
      <c r="E95" s="741">
        <f t="array" ref="E95">SUMPRODUCT(IF(AMP7_8[[#This Row],[Dim 1_1]:[T 8]]-$F$4:$AI$4&lt;0,1,0)+IF($F$5:$AI$5-AMP7_8[[#This Row],[Dim 1_1]:[T 8]]&lt;0,1,0),IF(ISNUMBER(AMP7_8[[#This Row],[Dim 1_1]:[T 8]])=TRUE,1,0))</f>
        <v>0</v>
      </c>
      <c r="F95">
        <v>41.027000000000001</v>
      </c>
      <c r="G95">
        <v>41.247</v>
      </c>
      <c r="H95">
        <v>155.97999999999999</v>
      </c>
      <c r="I95">
        <v>156.137</v>
      </c>
      <c r="L95">
        <v>156.08799999999999</v>
      </c>
      <c r="M95">
        <v>155.81100000000001</v>
      </c>
      <c r="N95">
        <v>27.109000000000002</v>
      </c>
      <c r="O95">
        <v>27.27</v>
      </c>
      <c r="R95">
        <v>17.228999999999999</v>
      </c>
      <c r="S95">
        <v>17.09</v>
      </c>
      <c r="T95">
        <v>32.750999999999998</v>
      </c>
      <c r="U95">
        <v>33.75</v>
      </c>
      <c r="W95">
        <v>0.14399999999999999</v>
      </c>
      <c r="X95">
        <v>-0.29499999999999998</v>
      </c>
      <c r="Z95">
        <v>0.11899999999999999</v>
      </c>
      <c r="AA95">
        <v>-0.214</v>
      </c>
      <c r="AB95">
        <v>-0.29499999999999998</v>
      </c>
      <c r="AC95">
        <v>-0.20100000000000001</v>
      </c>
      <c r="AD95">
        <v>-0.14000000000000001</v>
      </c>
      <c r="AE95">
        <v>0.14399999999999999</v>
      </c>
      <c r="AF95">
        <v>-0.106</v>
      </c>
      <c r="AG95">
        <v>-0.214</v>
      </c>
      <c r="AH95">
        <v>0.11899999999999999</v>
      </c>
      <c r="AI95">
        <v>-7.2999999999999995E-2</v>
      </c>
    </row>
    <row r="96" spans="1:35" x14ac:dyDescent="0.25">
      <c r="A96" t="s">
        <v>1998</v>
      </c>
      <c r="B96" t="s">
        <v>31</v>
      </c>
      <c r="C96" s="25">
        <v>43705.950243055559</v>
      </c>
      <c r="D96" s="741" t="s">
        <v>969</v>
      </c>
      <c r="E96" s="741">
        <f t="array" ref="E96">SUMPRODUCT(IF(AMP7_8[[#This Row],[Dim 1_1]:[T 8]]-$F$4:$AI$4&lt;0,1,0)+IF($F$5:$AI$5-AMP7_8[[#This Row],[Dim 1_1]:[T 8]]&lt;0,1,0),IF(ISNUMBER(AMP7_8[[#This Row],[Dim 1_1]:[T 8]])=TRUE,1,0))</f>
        <v>0</v>
      </c>
      <c r="H96">
        <v>155.96799999999999</v>
      </c>
      <c r="I96">
        <v>156.02799999999999</v>
      </c>
      <c r="J96">
        <v>168.77</v>
      </c>
      <c r="K96">
        <v>169.00800000000001</v>
      </c>
      <c r="L96">
        <v>156.089</v>
      </c>
      <c r="M96">
        <v>155.89400000000001</v>
      </c>
      <c r="N96">
        <v>27.134</v>
      </c>
      <c r="O96">
        <v>27.361000000000001</v>
      </c>
      <c r="R96">
        <v>17.231000000000002</v>
      </c>
      <c r="S96">
        <v>17.236999999999998</v>
      </c>
      <c r="T96">
        <v>36.868000000000002</v>
      </c>
      <c r="U96">
        <v>36.703000000000003</v>
      </c>
      <c r="W96">
        <v>0.26300000000000001</v>
      </c>
      <c r="X96">
        <v>-0.255</v>
      </c>
      <c r="Z96">
        <v>0.11700000000000001</v>
      </c>
      <c r="AA96">
        <v>-0.28000000000000003</v>
      </c>
      <c r="AB96">
        <v>-0.125</v>
      </c>
      <c r="AC96">
        <v>-1.7999999999999999E-2</v>
      </c>
      <c r="AD96">
        <v>-0.255</v>
      </c>
      <c r="AE96">
        <v>0.26300000000000001</v>
      </c>
      <c r="AF96">
        <v>-6.8000000000000005E-2</v>
      </c>
      <c r="AG96">
        <v>-0.193</v>
      </c>
      <c r="AH96">
        <v>0.11700000000000001</v>
      </c>
      <c r="AI96">
        <v>-0.28000000000000003</v>
      </c>
    </row>
    <row r="97" spans="1:35" x14ac:dyDescent="0.25">
      <c r="A97" t="s">
        <v>1999</v>
      </c>
      <c r="B97" t="s">
        <v>32</v>
      </c>
      <c r="C97" s="25">
        <v>43706.008842592593</v>
      </c>
      <c r="D97" s="741" t="s">
        <v>969</v>
      </c>
      <c r="E97" s="741">
        <f t="array" ref="E97">SUMPRODUCT(IF(AMP7_8[[#This Row],[Dim 1_1]:[T 8]]-$F$4:$AI$4&lt;0,1,0)+IF($F$5:$AI$5-AMP7_8[[#This Row],[Dim 1_1]:[T 8]]&lt;0,1,0),IF(ISNUMBER(AMP7_8[[#This Row],[Dim 1_1]:[T 8]])=TRUE,1,0))</f>
        <v>0</v>
      </c>
      <c r="F97">
        <v>40.99</v>
      </c>
      <c r="G97">
        <v>41.225999999999999</v>
      </c>
      <c r="H97">
        <v>155.94900000000001</v>
      </c>
      <c r="I97">
        <v>156.119</v>
      </c>
      <c r="L97">
        <v>156.03700000000001</v>
      </c>
      <c r="M97">
        <v>155.78399999999999</v>
      </c>
      <c r="N97">
        <v>27.132999999999999</v>
      </c>
      <c r="O97">
        <v>27.268000000000001</v>
      </c>
      <c r="R97">
        <v>17.231999999999999</v>
      </c>
      <c r="S97">
        <v>17.202999999999999</v>
      </c>
      <c r="T97">
        <v>32.691000000000003</v>
      </c>
      <c r="U97">
        <v>33.709000000000003</v>
      </c>
      <c r="W97">
        <v>9.8000000000000004E-2</v>
      </c>
      <c r="X97">
        <v>-0.214</v>
      </c>
      <c r="Z97">
        <v>-2.4E-2</v>
      </c>
      <c r="AA97">
        <v>-0.218</v>
      </c>
      <c r="AB97">
        <v>-0.17899999999999999</v>
      </c>
      <c r="AC97">
        <v>-9.1999999999999998E-2</v>
      </c>
      <c r="AD97">
        <v>-0.214</v>
      </c>
      <c r="AE97">
        <v>9.8000000000000004E-2</v>
      </c>
      <c r="AF97">
        <v>-2.4E-2</v>
      </c>
      <c r="AG97">
        <v>-0.127</v>
      </c>
      <c r="AH97">
        <v>-5.8000000000000003E-2</v>
      </c>
      <c r="AI97">
        <v>-0.218</v>
      </c>
    </row>
    <row r="98" spans="1:35" x14ac:dyDescent="0.25">
      <c r="A98" t="s">
        <v>2000</v>
      </c>
      <c r="B98" t="s">
        <v>31</v>
      </c>
      <c r="C98" s="25">
        <v>43706.010625000003</v>
      </c>
      <c r="D98" s="741" t="s">
        <v>969</v>
      </c>
      <c r="E98" s="741">
        <f t="array" ref="E98">SUMPRODUCT(IF(AMP7_8[[#This Row],[Dim 1_1]:[T 8]]-$F$4:$AI$4&lt;0,1,0)+IF($F$5:$AI$5-AMP7_8[[#This Row],[Dim 1_1]:[T 8]]&lt;0,1,0),IF(ISNUMBER(AMP7_8[[#This Row],[Dim 1_1]:[T 8]])=TRUE,1,0))</f>
        <v>0</v>
      </c>
      <c r="H98">
        <v>155.94300000000001</v>
      </c>
      <c r="I98">
        <v>155.97499999999999</v>
      </c>
      <c r="J98">
        <v>168.696</v>
      </c>
      <c r="K98">
        <v>169.011</v>
      </c>
      <c r="L98">
        <v>156.04499999999999</v>
      </c>
      <c r="M98">
        <v>155.845</v>
      </c>
      <c r="N98">
        <v>27.201000000000001</v>
      </c>
      <c r="O98">
        <v>27.414999999999999</v>
      </c>
      <c r="R98">
        <v>17.187000000000001</v>
      </c>
      <c r="S98">
        <v>17.273</v>
      </c>
      <c r="T98">
        <v>37.152000000000001</v>
      </c>
      <c r="U98">
        <v>37.186</v>
      </c>
      <c r="W98">
        <v>0.254</v>
      </c>
      <c r="X98">
        <v>-0.27900000000000003</v>
      </c>
      <c r="Z98">
        <v>-2.8000000000000001E-2</v>
      </c>
      <c r="AA98">
        <v>-0.39800000000000002</v>
      </c>
      <c r="AB98">
        <v>-0.14699999999999999</v>
      </c>
      <c r="AC98">
        <v>-4.1000000000000002E-2</v>
      </c>
      <c r="AD98">
        <v>-0.27900000000000003</v>
      </c>
      <c r="AE98">
        <v>0.254</v>
      </c>
      <c r="AF98">
        <v>-0.14199999999999999</v>
      </c>
      <c r="AG98">
        <v>-0.29399999999999998</v>
      </c>
      <c r="AH98">
        <v>-2.8000000000000001E-2</v>
      </c>
      <c r="AI98">
        <v>-0.39800000000000002</v>
      </c>
    </row>
    <row r="99" spans="1:35" x14ac:dyDescent="0.25">
      <c r="A99" t="s">
        <v>2001</v>
      </c>
      <c r="B99" t="s">
        <v>32</v>
      </c>
      <c r="C99" s="25">
        <v>43706.053310185183</v>
      </c>
      <c r="D99" s="741" t="s">
        <v>969</v>
      </c>
      <c r="E99" s="741">
        <f t="array" ref="E99">SUMPRODUCT(IF(AMP7_8[[#This Row],[Dim 1_1]:[T 8]]-$F$4:$AI$4&lt;0,1,0)+IF($F$5:$AI$5-AMP7_8[[#This Row],[Dim 1_1]:[T 8]]&lt;0,1,0),IF(ISNUMBER(AMP7_8[[#This Row],[Dim 1_1]:[T 8]])=TRUE,1,0))</f>
        <v>0</v>
      </c>
      <c r="F99">
        <v>40.941000000000003</v>
      </c>
      <c r="G99">
        <v>41.145000000000003</v>
      </c>
      <c r="H99">
        <v>155.952</v>
      </c>
      <c r="I99">
        <v>156.08699999999999</v>
      </c>
      <c r="L99">
        <v>156.04</v>
      </c>
      <c r="M99">
        <v>155.75200000000001</v>
      </c>
      <c r="N99">
        <v>27.15</v>
      </c>
      <c r="O99">
        <v>27.309000000000001</v>
      </c>
      <c r="R99">
        <v>17.247</v>
      </c>
      <c r="S99">
        <v>17.145</v>
      </c>
      <c r="T99">
        <v>32.676000000000002</v>
      </c>
      <c r="U99">
        <v>33.796999999999997</v>
      </c>
      <c r="W99">
        <v>0.14899999999999999</v>
      </c>
      <c r="X99">
        <v>-0.15</v>
      </c>
      <c r="Z99">
        <v>3.1E-2</v>
      </c>
      <c r="AA99">
        <v>-0.14499999999999999</v>
      </c>
      <c r="AB99">
        <v>-0.15</v>
      </c>
      <c r="AC99">
        <v>-7.5999999999999998E-2</v>
      </c>
      <c r="AD99">
        <v>-0.14699999999999999</v>
      </c>
      <c r="AE99">
        <v>0.14899999999999999</v>
      </c>
      <c r="AF99">
        <v>-4.2000000000000003E-2</v>
      </c>
      <c r="AG99">
        <v>-0.14099999999999999</v>
      </c>
      <c r="AH99">
        <v>3.1E-2</v>
      </c>
      <c r="AI99">
        <v>-0.14499999999999999</v>
      </c>
    </row>
    <row r="100" spans="1:35" x14ac:dyDescent="0.25">
      <c r="A100" t="s">
        <v>2002</v>
      </c>
      <c r="B100" t="s">
        <v>31</v>
      </c>
      <c r="C100" s="25">
        <v>43706.054803240739</v>
      </c>
      <c r="D100" s="741" t="s">
        <v>969</v>
      </c>
      <c r="E100" s="741">
        <f t="array" ref="E100">SUMPRODUCT(IF(AMP7_8[[#This Row],[Dim 1_1]:[T 8]]-$F$4:$AI$4&lt;0,1,0)+IF($F$5:$AI$5-AMP7_8[[#This Row],[Dim 1_1]:[T 8]]&lt;0,1,0),IF(ISNUMBER(AMP7_8[[#This Row],[Dim 1_1]:[T 8]])=TRUE,1,0))</f>
        <v>0</v>
      </c>
      <c r="H100">
        <v>155.94200000000001</v>
      </c>
      <c r="I100">
        <v>155.97499999999999</v>
      </c>
      <c r="J100">
        <v>168.62700000000001</v>
      </c>
      <c r="K100">
        <v>168.828</v>
      </c>
      <c r="L100">
        <v>156.072</v>
      </c>
      <c r="M100">
        <v>155.864</v>
      </c>
      <c r="N100">
        <v>27.169</v>
      </c>
      <c r="O100">
        <v>27.436</v>
      </c>
      <c r="R100">
        <v>17.213000000000001</v>
      </c>
      <c r="S100">
        <v>17.225999999999999</v>
      </c>
      <c r="T100">
        <v>37.136000000000003</v>
      </c>
      <c r="U100">
        <v>39.08</v>
      </c>
      <c r="W100">
        <v>0.23699999999999999</v>
      </c>
      <c r="X100">
        <v>-0.26100000000000001</v>
      </c>
      <c r="Z100">
        <v>9.2999999999999999E-2</v>
      </c>
      <c r="AA100">
        <v>-0.34499999999999997</v>
      </c>
      <c r="AB100">
        <v>-0.14099999999999999</v>
      </c>
      <c r="AC100">
        <v>-3.5000000000000003E-2</v>
      </c>
      <c r="AD100">
        <v>-0.26100000000000001</v>
      </c>
      <c r="AE100">
        <v>0.23699999999999999</v>
      </c>
      <c r="AF100">
        <v>-0.108</v>
      </c>
      <c r="AG100">
        <v>-0.25</v>
      </c>
      <c r="AH100">
        <v>9.2999999999999999E-2</v>
      </c>
      <c r="AI100">
        <v>-0.34499999999999997</v>
      </c>
    </row>
    <row r="101" spans="1:35" x14ac:dyDescent="0.25">
      <c r="A101" t="s">
        <v>2420</v>
      </c>
      <c r="B101" t="s">
        <v>32</v>
      </c>
      <c r="C101" s="25">
        <v>43706.736770833333</v>
      </c>
      <c r="D101" s="741" t="s">
        <v>2238</v>
      </c>
      <c r="E101" s="741">
        <f t="array" ref="E101">SUMPRODUCT(IF(AMP7_8[[#This Row],[Dim 1_1]:[T 8]]-$F$4:$AI$4&lt;0,1,0)+IF($F$5:$AI$5-AMP7_8[[#This Row],[Dim 1_1]:[T 8]]&lt;0,1,0),IF(ISNUMBER(AMP7_8[[#This Row],[Dim 1_1]:[T 8]])=TRUE,1,0))</f>
        <v>0</v>
      </c>
      <c r="F101">
        <v>41.033000000000001</v>
      </c>
      <c r="G101">
        <v>41.250999999999998</v>
      </c>
      <c r="H101">
        <v>156.00200000000001</v>
      </c>
      <c r="I101">
        <v>156.14699999999999</v>
      </c>
      <c r="L101">
        <v>156.077</v>
      </c>
      <c r="M101">
        <v>155.78200000000001</v>
      </c>
      <c r="N101">
        <v>27.134</v>
      </c>
      <c r="O101">
        <v>27.282</v>
      </c>
      <c r="R101">
        <v>17.228000000000002</v>
      </c>
      <c r="S101">
        <v>17.152999999999999</v>
      </c>
      <c r="T101">
        <v>32.805999999999997</v>
      </c>
      <c r="U101">
        <v>33.970999999999997</v>
      </c>
      <c r="W101">
        <v>8.2000000000000003E-2</v>
      </c>
      <c r="X101">
        <v>-0.27300000000000002</v>
      </c>
      <c r="Z101">
        <v>6.4000000000000001E-2</v>
      </c>
      <c r="AA101">
        <v>-0.151</v>
      </c>
      <c r="AB101">
        <v>-0.27300000000000002</v>
      </c>
      <c r="AC101">
        <v>-0.193</v>
      </c>
      <c r="AD101">
        <v>-0.19700000000000001</v>
      </c>
      <c r="AE101">
        <v>8.2000000000000003E-2</v>
      </c>
      <c r="AF101">
        <v>-3.5000000000000003E-2</v>
      </c>
      <c r="AG101">
        <v>-0.151</v>
      </c>
      <c r="AH101">
        <v>6.4000000000000001E-2</v>
      </c>
      <c r="AI101">
        <v>-0.113</v>
      </c>
    </row>
    <row r="102" spans="1:35" x14ac:dyDescent="0.25">
      <c r="A102" t="s">
        <v>2421</v>
      </c>
      <c r="B102" t="s">
        <v>31</v>
      </c>
      <c r="C102" s="25">
        <v>43706.738819444443</v>
      </c>
      <c r="D102" s="741" t="s">
        <v>2238</v>
      </c>
      <c r="E102" s="741">
        <f t="array" ref="E102">SUMPRODUCT(IF(AMP7_8[[#This Row],[Dim 1_1]:[T 8]]-$F$4:$AI$4&lt;0,1,0)+IF($F$5:$AI$5-AMP7_8[[#This Row],[Dim 1_1]:[T 8]]&lt;0,1,0),IF(ISNUMBER(AMP7_8[[#This Row],[Dim 1_1]:[T 8]])=TRUE,1,0))</f>
        <v>0</v>
      </c>
      <c r="H102">
        <v>155.952</v>
      </c>
      <c r="I102">
        <v>156.03</v>
      </c>
      <c r="J102">
        <v>168.804</v>
      </c>
      <c r="K102">
        <v>168.98099999999999</v>
      </c>
      <c r="L102">
        <v>156.10599999999999</v>
      </c>
      <c r="M102">
        <v>155.90899999999999</v>
      </c>
      <c r="N102">
        <v>27.106000000000002</v>
      </c>
      <c r="O102">
        <v>27.356000000000002</v>
      </c>
      <c r="R102">
        <v>17.231000000000002</v>
      </c>
      <c r="S102">
        <v>17.190000000000001</v>
      </c>
      <c r="T102">
        <v>37.863</v>
      </c>
      <c r="U102">
        <v>37.801000000000002</v>
      </c>
      <c r="W102">
        <v>0.41499999999999998</v>
      </c>
      <c r="X102">
        <v>-5.8000000000000003E-2</v>
      </c>
      <c r="Z102">
        <v>0.22500000000000001</v>
      </c>
      <c r="AA102">
        <v>-0.121</v>
      </c>
      <c r="AB102">
        <v>-3.6999999999999998E-2</v>
      </c>
      <c r="AC102">
        <v>6.8000000000000005E-2</v>
      </c>
      <c r="AD102">
        <v>-5.8000000000000003E-2</v>
      </c>
      <c r="AE102">
        <v>0.41499999999999998</v>
      </c>
      <c r="AF102">
        <v>3.1E-2</v>
      </c>
      <c r="AG102">
        <v>-9.5000000000000001E-2</v>
      </c>
      <c r="AH102">
        <v>0.22500000000000001</v>
      </c>
      <c r="AI102">
        <v>-0.121</v>
      </c>
    </row>
    <row r="103" spans="1:35" x14ac:dyDescent="0.25">
      <c r="A103" t="s">
        <v>2422</v>
      </c>
      <c r="B103" t="s">
        <v>32</v>
      </c>
      <c r="C103" s="25">
        <v>43706.819421296299</v>
      </c>
      <c r="D103" s="741" t="s">
        <v>2238</v>
      </c>
      <c r="E103" s="741">
        <f t="array" ref="E103">SUMPRODUCT(IF(AMP7_8[[#This Row],[Dim 1_1]:[T 8]]-$F$4:$AI$4&lt;0,1,0)+IF($F$5:$AI$5-AMP7_8[[#This Row],[Dim 1_1]:[T 8]]&lt;0,1,0),IF(ISNUMBER(AMP7_8[[#This Row],[Dim 1_1]:[T 8]])=TRUE,1,0))</f>
        <v>0</v>
      </c>
      <c r="F103">
        <v>40.883000000000003</v>
      </c>
      <c r="G103">
        <v>41.167999999999999</v>
      </c>
      <c r="H103">
        <v>156.01900000000001</v>
      </c>
      <c r="I103">
        <v>156.161</v>
      </c>
      <c r="L103">
        <v>156.12</v>
      </c>
      <c r="M103">
        <v>155.84100000000001</v>
      </c>
      <c r="N103">
        <v>27.117999999999999</v>
      </c>
      <c r="O103">
        <v>27.283999999999999</v>
      </c>
      <c r="R103">
        <v>17.241</v>
      </c>
      <c r="S103">
        <v>17.138999999999999</v>
      </c>
      <c r="T103">
        <v>32.731000000000002</v>
      </c>
      <c r="U103">
        <v>33.834000000000003</v>
      </c>
      <c r="W103">
        <v>0.108</v>
      </c>
      <c r="X103">
        <v>-0.193</v>
      </c>
      <c r="Z103">
        <v>-0.01</v>
      </c>
      <c r="AA103">
        <v>-0.19800000000000001</v>
      </c>
      <c r="AB103">
        <v>-0.191</v>
      </c>
      <c r="AC103">
        <v>-0.11600000000000001</v>
      </c>
      <c r="AD103">
        <v>-0.193</v>
      </c>
      <c r="AE103">
        <v>0.108</v>
      </c>
      <c r="AF103">
        <v>-0.10299999999999999</v>
      </c>
      <c r="AG103">
        <v>-0.19800000000000001</v>
      </c>
      <c r="AH103">
        <v>-0.01</v>
      </c>
      <c r="AI103">
        <v>-0.191</v>
      </c>
    </row>
    <row r="104" spans="1:35" x14ac:dyDescent="0.25">
      <c r="A104" t="s">
        <v>2423</v>
      </c>
      <c r="B104" t="s">
        <v>31</v>
      </c>
      <c r="C104" s="25">
        <v>43706.821469907409</v>
      </c>
      <c r="D104" s="741" t="s">
        <v>2238</v>
      </c>
      <c r="E104" s="741">
        <f t="array" ref="E104">SUMPRODUCT(IF(AMP7_8[[#This Row],[Dim 1_1]:[T 8]]-$F$4:$AI$4&lt;0,1,0)+IF($F$5:$AI$5-AMP7_8[[#This Row],[Dim 1_1]:[T 8]]&lt;0,1,0),IF(ISNUMBER(AMP7_8[[#This Row],[Dim 1_1]:[T 8]])=TRUE,1,0))</f>
        <v>0</v>
      </c>
      <c r="H104">
        <v>156.04900000000001</v>
      </c>
      <c r="I104">
        <v>156.06399999999999</v>
      </c>
      <c r="J104">
        <v>168.678</v>
      </c>
      <c r="K104">
        <v>168.88399999999999</v>
      </c>
      <c r="L104">
        <v>156.12700000000001</v>
      </c>
      <c r="M104">
        <v>155.93899999999999</v>
      </c>
      <c r="N104">
        <v>27.094000000000001</v>
      </c>
      <c r="O104">
        <v>27.356999999999999</v>
      </c>
      <c r="R104">
        <v>17.262</v>
      </c>
      <c r="S104">
        <v>17.224</v>
      </c>
      <c r="T104">
        <v>37.451000000000001</v>
      </c>
      <c r="U104">
        <v>39.261000000000003</v>
      </c>
      <c r="W104">
        <v>0.28100000000000003</v>
      </c>
      <c r="X104">
        <v>-0.22900000000000001</v>
      </c>
      <c r="Z104">
        <v>8.2000000000000003E-2</v>
      </c>
      <c r="AA104">
        <v>-0.30099999999999999</v>
      </c>
      <c r="AB104">
        <v>-0.18099999999999999</v>
      </c>
      <c r="AC104">
        <v>-9.1999999999999998E-2</v>
      </c>
      <c r="AD104">
        <v>-0.22900000000000001</v>
      </c>
      <c r="AE104">
        <v>0.28100000000000003</v>
      </c>
      <c r="AF104">
        <v>-0.12</v>
      </c>
      <c r="AG104">
        <v>-0.25800000000000001</v>
      </c>
      <c r="AH104">
        <v>8.2000000000000003E-2</v>
      </c>
      <c r="AI104">
        <v>-0.30099999999999999</v>
      </c>
    </row>
    <row r="105" spans="1:35" x14ac:dyDescent="0.25">
      <c r="A105" t="s">
        <v>2424</v>
      </c>
      <c r="B105" t="s">
        <v>32</v>
      </c>
      <c r="C105" s="25">
        <v>43706.967766203707</v>
      </c>
      <c r="D105" s="741" t="s">
        <v>2238</v>
      </c>
      <c r="E105" s="741">
        <f t="array" ref="E105">SUMPRODUCT(IF(AMP7_8[[#This Row],[Dim 1_1]:[T 8]]-$F$4:$AI$4&lt;0,1,0)+IF($F$5:$AI$5-AMP7_8[[#This Row],[Dim 1_1]:[T 8]]&lt;0,1,0),IF(ISNUMBER(AMP7_8[[#This Row],[Dim 1_1]:[T 8]])=TRUE,1,0))</f>
        <v>0</v>
      </c>
      <c r="F105">
        <v>41.493000000000002</v>
      </c>
      <c r="G105">
        <v>41.707000000000001</v>
      </c>
      <c r="H105">
        <v>155.773</v>
      </c>
      <c r="I105">
        <v>155.983</v>
      </c>
      <c r="L105">
        <v>155.80799999999999</v>
      </c>
      <c r="M105">
        <v>155.626</v>
      </c>
      <c r="N105">
        <v>27.393000000000001</v>
      </c>
      <c r="O105">
        <v>27.454000000000001</v>
      </c>
      <c r="R105">
        <v>17.279</v>
      </c>
      <c r="S105">
        <v>17.309000000000001</v>
      </c>
      <c r="T105">
        <v>32.601999999999997</v>
      </c>
      <c r="U105">
        <v>34.101999999999997</v>
      </c>
      <c r="W105">
        <v>0.36399999999999999</v>
      </c>
      <c r="X105">
        <v>2.7E-2</v>
      </c>
      <c r="Z105">
        <v>0.16700000000000001</v>
      </c>
      <c r="AA105">
        <v>-1.6E-2</v>
      </c>
      <c r="AB105">
        <v>7.0999999999999994E-2</v>
      </c>
      <c r="AC105">
        <v>0.14099999999999999</v>
      </c>
      <c r="AD105">
        <v>2.7E-2</v>
      </c>
      <c r="AE105">
        <v>0.36399999999999999</v>
      </c>
      <c r="AF105">
        <v>0.16700000000000001</v>
      </c>
      <c r="AG105">
        <v>7.0000000000000007E-2</v>
      </c>
      <c r="AH105">
        <v>0.13100000000000001</v>
      </c>
      <c r="AI105">
        <v>-1.6E-2</v>
      </c>
    </row>
    <row r="106" spans="1:35" x14ac:dyDescent="0.25">
      <c r="A106" t="s">
        <v>2425</v>
      </c>
      <c r="B106" t="s">
        <v>31</v>
      </c>
      <c r="C106" s="25">
        <v>43706.970358796294</v>
      </c>
      <c r="D106" s="741" t="s">
        <v>2238</v>
      </c>
      <c r="E106" s="741">
        <f t="array" ref="E106">SUMPRODUCT(IF(AMP7_8[[#This Row],[Dim 1_1]:[T 8]]-$F$4:$AI$4&lt;0,1,0)+IF($F$5:$AI$5-AMP7_8[[#This Row],[Dim 1_1]:[T 8]]&lt;0,1,0),IF(ISNUMBER(AMP7_8[[#This Row],[Dim 1_1]:[T 8]])=TRUE,1,0))</f>
        <v>0</v>
      </c>
      <c r="H106">
        <v>155.70599999999999</v>
      </c>
      <c r="I106">
        <v>155.715</v>
      </c>
      <c r="J106">
        <v>168.85300000000001</v>
      </c>
      <c r="K106">
        <v>169.24100000000001</v>
      </c>
      <c r="L106">
        <v>155.80500000000001</v>
      </c>
      <c r="M106">
        <v>155.50299999999999</v>
      </c>
      <c r="N106">
        <v>27.411000000000001</v>
      </c>
      <c r="O106">
        <v>27.73</v>
      </c>
      <c r="R106">
        <v>17.274999999999999</v>
      </c>
      <c r="S106">
        <v>17.241</v>
      </c>
      <c r="T106">
        <v>37.317999999999998</v>
      </c>
      <c r="U106">
        <v>38.015999999999998</v>
      </c>
      <c r="W106">
        <v>0.38900000000000001</v>
      </c>
      <c r="X106">
        <v>-6.3E-2</v>
      </c>
      <c r="Z106">
        <v>0.317</v>
      </c>
      <c r="AA106">
        <v>4.2000000000000003E-2</v>
      </c>
      <c r="AB106">
        <v>0.03</v>
      </c>
      <c r="AC106">
        <v>0.11</v>
      </c>
      <c r="AD106">
        <v>-6.3E-2</v>
      </c>
      <c r="AE106">
        <v>0.38900000000000001</v>
      </c>
      <c r="AF106">
        <v>0.17199999999999999</v>
      </c>
      <c r="AG106">
        <v>4.2000000000000003E-2</v>
      </c>
      <c r="AH106">
        <v>0.317</v>
      </c>
      <c r="AI106">
        <v>5.8000000000000003E-2</v>
      </c>
    </row>
    <row r="107" spans="1:35" x14ac:dyDescent="0.25">
      <c r="A107" t="s">
        <v>2426</v>
      </c>
      <c r="B107" t="s">
        <v>32</v>
      </c>
      <c r="C107" s="25">
        <v>43707.021053240744</v>
      </c>
      <c r="D107" s="741" t="s">
        <v>2238</v>
      </c>
      <c r="E107" s="741">
        <f t="array" ref="E107">SUMPRODUCT(IF(AMP7_8[[#This Row],[Dim 1_1]:[T 8]]-$F$4:$AI$4&lt;0,1,0)+IF($F$5:$AI$5-AMP7_8[[#This Row],[Dim 1_1]:[T 8]]&lt;0,1,0),IF(ISNUMBER(AMP7_8[[#This Row],[Dim 1_1]:[T 8]])=TRUE,1,0))</f>
        <v>0</v>
      </c>
      <c r="F107">
        <v>41.283000000000001</v>
      </c>
      <c r="G107">
        <v>41.231000000000002</v>
      </c>
      <c r="H107">
        <v>155.71100000000001</v>
      </c>
      <c r="I107">
        <v>156.00899999999999</v>
      </c>
      <c r="L107">
        <v>155.76300000000001</v>
      </c>
      <c r="M107">
        <v>155.70599999999999</v>
      </c>
      <c r="N107">
        <v>27.439</v>
      </c>
      <c r="O107">
        <v>27.373999999999999</v>
      </c>
      <c r="R107">
        <v>17.265999999999998</v>
      </c>
      <c r="S107">
        <v>17.343</v>
      </c>
      <c r="T107">
        <v>33.015999999999998</v>
      </c>
      <c r="U107">
        <v>33.698999999999998</v>
      </c>
      <c r="W107">
        <v>0.221</v>
      </c>
      <c r="X107">
        <v>-0.11799999999999999</v>
      </c>
      <c r="Z107">
        <v>9.6000000000000002E-2</v>
      </c>
      <c r="AA107">
        <v>-0.13100000000000001</v>
      </c>
      <c r="AB107">
        <v>0</v>
      </c>
      <c r="AC107">
        <v>5.0999999999999997E-2</v>
      </c>
      <c r="AD107">
        <v>-0.11799999999999999</v>
      </c>
      <c r="AE107">
        <v>0.221</v>
      </c>
      <c r="AF107">
        <v>9.6000000000000002E-2</v>
      </c>
      <c r="AG107">
        <v>8.0000000000000002E-3</v>
      </c>
      <c r="AH107">
        <v>4.2999999999999997E-2</v>
      </c>
      <c r="AI107">
        <v>-0.13100000000000001</v>
      </c>
    </row>
    <row r="108" spans="1:35" x14ac:dyDescent="0.25">
      <c r="A108" t="s">
        <v>2427</v>
      </c>
      <c r="B108" t="s">
        <v>31</v>
      </c>
      <c r="C108" s="25">
        <v>43707.023101851853</v>
      </c>
      <c r="D108" s="741" t="s">
        <v>2238</v>
      </c>
      <c r="E108" s="741">
        <f t="array" ref="E108">SUMPRODUCT(IF(AMP7_8[[#This Row],[Dim 1_1]:[T 8]]-$F$4:$AI$4&lt;0,1,0)+IF($F$5:$AI$5-AMP7_8[[#This Row],[Dim 1_1]:[T 8]]&lt;0,1,0),IF(ISNUMBER(AMP7_8[[#This Row],[Dim 1_1]:[T 8]])=TRUE,1,0))</f>
        <v>0</v>
      </c>
      <c r="H108">
        <v>155.71700000000001</v>
      </c>
      <c r="I108">
        <v>155.70599999999999</v>
      </c>
      <c r="J108">
        <v>168.69399999999999</v>
      </c>
      <c r="K108">
        <v>168.679</v>
      </c>
      <c r="L108">
        <v>155.80500000000001</v>
      </c>
      <c r="M108">
        <v>155.49299999999999</v>
      </c>
      <c r="N108">
        <v>27.41</v>
      </c>
      <c r="O108">
        <v>27.751000000000001</v>
      </c>
      <c r="R108">
        <v>17.251999999999999</v>
      </c>
      <c r="S108">
        <v>17.337</v>
      </c>
      <c r="T108">
        <v>39.042000000000002</v>
      </c>
      <c r="U108">
        <v>39.793999999999997</v>
      </c>
      <c r="W108">
        <v>0.253</v>
      </c>
      <c r="X108">
        <v>-0.24199999999999999</v>
      </c>
      <c r="Z108">
        <v>0.126</v>
      </c>
      <c r="AA108">
        <v>-0.14099999999999999</v>
      </c>
      <c r="AB108">
        <v>1.4999999999999999E-2</v>
      </c>
      <c r="AC108">
        <v>0.107</v>
      </c>
      <c r="AD108">
        <v>-0.24199999999999999</v>
      </c>
      <c r="AE108">
        <v>0.253</v>
      </c>
      <c r="AF108">
        <v>0.10199999999999999</v>
      </c>
      <c r="AG108">
        <v>-2.3E-2</v>
      </c>
      <c r="AH108">
        <v>0.126</v>
      </c>
      <c r="AI108">
        <v>-0.14099999999999999</v>
      </c>
    </row>
    <row r="109" spans="1:35" x14ac:dyDescent="0.25">
      <c r="A109" t="s">
        <v>2428</v>
      </c>
      <c r="B109" t="s">
        <v>32</v>
      </c>
      <c r="C109" s="25">
        <v>43707.331886574073</v>
      </c>
      <c r="D109" s="741" t="s">
        <v>2238</v>
      </c>
      <c r="E109" s="741">
        <f t="array" ref="E109">SUMPRODUCT(IF(AMP7_8[[#This Row],[Dim 1_1]:[T 8]]-$F$4:$AI$4&lt;0,1,0)+IF($F$5:$AI$5-AMP7_8[[#This Row],[Dim 1_1]:[T 8]]&lt;0,1,0),IF(ISNUMBER(AMP7_8[[#This Row],[Dim 1_1]:[T 8]])=TRUE,1,0))</f>
        <v>0</v>
      </c>
      <c r="F109">
        <v>41.264000000000003</v>
      </c>
      <c r="G109">
        <v>41.298999999999999</v>
      </c>
      <c r="H109">
        <v>155.74799999999999</v>
      </c>
      <c r="I109">
        <v>155.99600000000001</v>
      </c>
      <c r="L109">
        <v>155.81399999999999</v>
      </c>
      <c r="M109">
        <v>155.643</v>
      </c>
      <c r="N109">
        <v>27.388000000000002</v>
      </c>
      <c r="O109">
        <v>27.425999999999998</v>
      </c>
      <c r="R109">
        <v>17.248000000000001</v>
      </c>
      <c r="S109">
        <v>17.338999999999999</v>
      </c>
      <c r="T109">
        <v>32.564999999999998</v>
      </c>
      <c r="U109">
        <v>33.988</v>
      </c>
      <c r="W109">
        <v>0.32100000000000001</v>
      </c>
      <c r="X109">
        <v>-4.8000000000000001E-2</v>
      </c>
      <c r="Z109">
        <v>0.25</v>
      </c>
      <c r="AA109">
        <v>-2.3E-2</v>
      </c>
      <c r="AB109">
        <v>0.1</v>
      </c>
      <c r="AC109">
        <v>0.16900000000000001</v>
      </c>
      <c r="AD109">
        <v>-4.8000000000000001E-2</v>
      </c>
      <c r="AE109">
        <v>0.32100000000000001</v>
      </c>
      <c r="AF109">
        <v>0.25</v>
      </c>
      <c r="AG109">
        <v>0.15</v>
      </c>
      <c r="AH109">
        <v>0.15</v>
      </c>
      <c r="AI109">
        <v>-2.3E-2</v>
      </c>
    </row>
    <row r="110" spans="1:35" x14ac:dyDescent="0.25">
      <c r="A110" t="s">
        <v>2429</v>
      </c>
      <c r="B110" t="s">
        <v>31</v>
      </c>
      <c r="C110" s="25">
        <v>43707.334085648145</v>
      </c>
      <c r="D110" s="741" t="s">
        <v>2238</v>
      </c>
      <c r="E110" s="741">
        <f t="array" ref="E110">SUMPRODUCT(IF(AMP7_8[[#This Row],[Dim 1_1]:[T 8]]-$F$4:$AI$4&lt;0,1,0)+IF($F$5:$AI$5-AMP7_8[[#This Row],[Dim 1_1]:[T 8]]&lt;0,1,0),IF(ISNUMBER(AMP7_8[[#This Row],[Dim 1_1]:[T 8]])=TRUE,1,0))</f>
        <v>0</v>
      </c>
      <c r="H110">
        <v>155.76</v>
      </c>
      <c r="I110">
        <v>155.76499999999999</v>
      </c>
      <c r="J110">
        <v>168.74700000000001</v>
      </c>
      <c r="K110">
        <v>168.76900000000001</v>
      </c>
      <c r="L110">
        <v>155.86600000000001</v>
      </c>
      <c r="M110">
        <v>155.55099999999999</v>
      </c>
      <c r="N110">
        <v>27.358000000000001</v>
      </c>
      <c r="O110">
        <v>27.681999999999999</v>
      </c>
      <c r="R110">
        <v>17.254000000000001</v>
      </c>
      <c r="S110">
        <v>17.327999999999999</v>
      </c>
      <c r="T110">
        <v>38.478000000000002</v>
      </c>
      <c r="U110">
        <v>39.036999999999999</v>
      </c>
      <c r="W110">
        <v>0.41299999999999998</v>
      </c>
      <c r="X110">
        <v>-9.1999999999999998E-2</v>
      </c>
      <c r="Z110">
        <v>0.33300000000000002</v>
      </c>
      <c r="AA110">
        <v>4.2000000000000003E-2</v>
      </c>
      <c r="AB110">
        <v>9.7000000000000003E-2</v>
      </c>
      <c r="AC110">
        <v>0.191</v>
      </c>
      <c r="AD110">
        <v>-9.1999999999999998E-2</v>
      </c>
      <c r="AE110">
        <v>0.41299999999999998</v>
      </c>
      <c r="AF110">
        <v>0.223</v>
      </c>
      <c r="AG110">
        <v>9.9000000000000005E-2</v>
      </c>
      <c r="AH110">
        <v>0.33300000000000002</v>
      </c>
      <c r="AI110">
        <v>4.2000000000000003E-2</v>
      </c>
    </row>
    <row r="111" spans="1:35" x14ac:dyDescent="0.25">
      <c r="A111" t="s">
        <v>2430</v>
      </c>
      <c r="B111" t="s">
        <v>32</v>
      </c>
      <c r="C111" s="25">
        <v>43707.415254629632</v>
      </c>
      <c r="D111" s="741" t="s">
        <v>2238</v>
      </c>
      <c r="E111" s="741">
        <f t="array" ref="E111">SUMPRODUCT(IF(AMP7_8[[#This Row],[Dim 1_1]:[T 8]]-$F$4:$AI$4&lt;0,1,0)+IF($F$5:$AI$5-AMP7_8[[#This Row],[Dim 1_1]:[T 8]]&lt;0,1,0),IF(ISNUMBER(AMP7_8[[#This Row],[Dim 1_1]:[T 8]])=TRUE,1,0))</f>
        <v>0</v>
      </c>
      <c r="F111">
        <v>41.076999999999998</v>
      </c>
      <c r="G111">
        <v>41.220999999999997</v>
      </c>
      <c r="H111">
        <v>155.79900000000001</v>
      </c>
      <c r="I111">
        <v>156.03700000000001</v>
      </c>
      <c r="L111">
        <v>155.852</v>
      </c>
      <c r="M111">
        <v>155.68600000000001</v>
      </c>
      <c r="N111">
        <v>27.321999999999999</v>
      </c>
      <c r="O111">
        <v>27.388000000000002</v>
      </c>
      <c r="R111">
        <v>17.245000000000001</v>
      </c>
      <c r="S111">
        <v>17.324000000000002</v>
      </c>
      <c r="T111">
        <v>33.000999999999998</v>
      </c>
      <c r="U111">
        <v>33.853999999999999</v>
      </c>
      <c r="W111">
        <v>0.24299999999999999</v>
      </c>
      <c r="X111">
        <v>-5.2999999999999999E-2</v>
      </c>
      <c r="Z111">
        <v>0.159</v>
      </c>
      <c r="AA111">
        <v>-8.5000000000000006E-2</v>
      </c>
      <c r="AB111">
        <v>7.4999999999999997E-2</v>
      </c>
      <c r="AC111">
        <v>0.124</v>
      </c>
      <c r="AD111">
        <v>-5.2999999999999999E-2</v>
      </c>
      <c r="AE111">
        <v>0.24299999999999999</v>
      </c>
      <c r="AF111">
        <v>0.159</v>
      </c>
      <c r="AG111">
        <v>6.4000000000000001E-2</v>
      </c>
      <c r="AH111">
        <v>9.6000000000000002E-2</v>
      </c>
      <c r="AI111">
        <v>-8.5000000000000006E-2</v>
      </c>
    </row>
    <row r="112" spans="1:35" x14ac:dyDescent="0.25">
      <c r="A112" t="s">
        <v>2431</v>
      </c>
      <c r="B112" t="s">
        <v>31</v>
      </c>
      <c r="C112" s="25">
        <v>43707.417662037034</v>
      </c>
      <c r="D112" s="741" t="s">
        <v>2238</v>
      </c>
      <c r="E112" s="741">
        <f t="array" ref="E112">SUMPRODUCT(IF(AMP7_8[[#This Row],[Dim 1_1]:[T 8]]-$F$4:$AI$4&lt;0,1,0)+IF($F$5:$AI$5-AMP7_8[[#This Row],[Dim 1_1]:[T 8]]&lt;0,1,0),IF(ISNUMBER(AMP7_8[[#This Row],[Dim 1_1]:[T 8]])=TRUE,1,0))</f>
        <v>0</v>
      </c>
      <c r="H112">
        <v>155.76400000000001</v>
      </c>
      <c r="I112">
        <v>155.791</v>
      </c>
      <c r="J112">
        <v>168.393</v>
      </c>
      <c r="K112">
        <v>168.56200000000001</v>
      </c>
      <c r="L112">
        <v>155.864</v>
      </c>
      <c r="M112">
        <v>155.59399999999999</v>
      </c>
      <c r="N112">
        <v>27.379000000000001</v>
      </c>
      <c r="O112">
        <v>27.673999999999999</v>
      </c>
      <c r="R112">
        <v>17.254999999999999</v>
      </c>
      <c r="S112">
        <v>17.116</v>
      </c>
      <c r="T112">
        <v>38.792999999999999</v>
      </c>
      <c r="U112">
        <v>39.94</v>
      </c>
      <c r="W112">
        <v>0.47499999999999998</v>
      </c>
      <c r="X112">
        <v>-3.5999999999999997E-2</v>
      </c>
      <c r="Z112">
        <v>0.41699999999999998</v>
      </c>
      <c r="AA112">
        <v>-0.106</v>
      </c>
      <c r="AB112">
        <v>-3.5999999999999997E-2</v>
      </c>
      <c r="AC112">
        <v>5.7000000000000002E-2</v>
      </c>
      <c r="AD112">
        <v>4.1000000000000002E-2</v>
      </c>
      <c r="AE112">
        <v>0.47499999999999998</v>
      </c>
      <c r="AF112">
        <v>1.7000000000000001E-2</v>
      </c>
      <c r="AG112">
        <v>-0.106</v>
      </c>
      <c r="AH112">
        <v>0.41699999999999998</v>
      </c>
      <c r="AI112">
        <v>8.5000000000000006E-2</v>
      </c>
    </row>
    <row r="113" spans="1:35" x14ac:dyDescent="0.25">
      <c r="A113" t="s">
        <v>2564</v>
      </c>
      <c r="B113" t="s">
        <v>32</v>
      </c>
      <c r="C113" s="25">
        <v>43707.501608796294</v>
      </c>
      <c r="D113" s="741" t="s">
        <v>2238</v>
      </c>
      <c r="E113" s="741">
        <f t="array" ref="E113">SUMPRODUCT(IF(AMP7_8[[#This Row],[Dim 1_1]:[T 8]]-$F$4:$AI$4&lt;0,1,0)+IF($F$5:$AI$5-AMP7_8[[#This Row],[Dim 1_1]:[T 8]]&lt;0,1,0),IF(ISNUMBER(AMP7_8[[#This Row],[Dim 1_1]:[T 8]])=TRUE,1,0))</f>
        <v>0</v>
      </c>
      <c r="F113">
        <v>41.197000000000003</v>
      </c>
      <c r="G113">
        <v>41.259</v>
      </c>
      <c r="H113">
        <v>155.81800000000001</v>
      </c>
      <c r="I113">
        <v>156.08699999999999</v>
      </c>
      <c r="L113">
        <v>155.89099999999999</v>
      </c>
      <c r="M113">
        <v>155.72499999999999</v>
      </c>
      <c r="N113">
        <v>27.315999999999999</v>
      </c>
      <c r="O113">
        <v>27.367000000000001</v>
      </c>
      <c r="R113">
        <v>17.256</v>
      </c>
      <c r="S113">
        <v>17.248999999999999</v>
      </c>
      <c r="T113">
        <v>32.869999999999997</v>
      </c>
      <c r="U113">
        <v>33.924999999999997</v>
      </c>
      <c r="W113">
        <v>0.253</v>
      </c>
      <c r="X113">
        <v>-5.6000000000000001E-2</v>
      </c>
      <c r="Z113">
        <v>0.107</v>
      </c>
      <c r="AA113">
        <v>-6.8000000000000005E-2</v>
      </c>
      <c r="AB113">
        <v>-5.2999999999999999E-2</v>
      </c>
      <c r="AC113">
        <v>0.02</v>
      </c>
      <c r="AD113">
        <v>-5.6000000000000001E-2</v>
      </c>
      <c r="AE113">
        <v>0.253</v>
      </c>
      <c r="AF113">
        <v>6.7000000000000004E-2</v>
      </c>
      <c r="AG113">
        <v>-2.1999999999999999E-2</v>
      </c>
      <c r="AH113">
        <v>0.107</v>
      </c>
      <c r="AI113">
        <v>-6.8000000000000005E-2</v>
      </c>
    </row>
    <row r="114" spans="1:35" x14ac:dyDescent="0.25">
      <c r="A114" t="s">
        <v>2565</v>
      </c>
      <c r="B114" t="s">
        <v>31</v>
      </c>
      <c r="C114" s="25">
        <v>43707.503969907404</v>
      </c>
      <c r="D114" s="741" t="s">
        <v>2238</v>
      </c>
      <c r="E114" s="741">
        <f t="array" ref="E114">SUMPRODUCT(IF(AMP7_8[[#This Row],[Dim 1_1]:[T 8]]-$F$4:$AI$4&lt;0,1,0)+IF($F$5:$AI$5-AMP7_8[[#This Row],[Dim 1_1]:[T 8]]&lt;0,1,0),IF(ISNUMBER(AMP7_8[[#This Row],[Dim 1_1]:[T 8]])=TRUE,1,0))</f>
        <v>0</v>
      </c>
      <c r="H114">
        <v>155.839</v>
      </c>
      <c r="I114">
        <v>155.84100000000001</v>
      </c>
      <c r="J114">
        <v>168.75</v>
      </c>
      <c r="K114">
        <v>168.827</v>
      </c>
      <c r="L114">
        <v>155.91499999999999</v>
      </c>
      <c r="M114">
        <v>155.63499999999999</v>
      </c>
      <c r="N114">
        <v>27.315000000000001</v>
      </c>
      <c r="O114">
        <v>27.626999999999999</v>
      </c>
      <c r="R114">
        <v>17.27</v>
      </c>
      <c r="S114">
        <v>17.265000000000001</v>
      </c>
      <c r="T114">
        <v>36.468000000000004</v>
      </c>
      <c r="U114">
        <v>36.548999999999999</v>
      </c>
      <c r="W114">
        <v>0.20200000000000001</v>
      </c>
      <c r="X114">
        <v>-0.20499999999999999</v>
      </c>
      <c r="Z114">
        <v>0.23799999999999999</v>
      </c>
      <c r="AA114">
        <v>-0.104</v>
      </c>
      <c r="AB114">
        <v>-5.0999999999999997E-2</v>
      </c>
      <c r="AC114">
        <v>0.03</v>
      </c>
      <c r="AD114">
        <v>-0.20499999999999999</v>
      </c>
      <c r="AE114">
        <v>0.20200000000000001</v>
      </c>
      <c r="AF114">
        <v>6.5000000000000002E-2</v>
      </c>
      <c r="AG114">
        <v>-5.1999999999999998E-2</v>
      </c>
      <c r="AH114">
        <v>0.23799999999999999</v>
      </c>
      <c r="AI114">
        <v>-0.104</v>
      </c>
    </row>
    <row r="115" spans="1:35" x14ac:dyDescent="0.25">
      <c r="A115" t="s">
        <v>2566</v>
      </c>
      <c r="B115" t="s">
        <v>32</v>
      </c>
      <c r="C115" s="25">
        <v>43707.67659722222</v>
      </c>
      <c r="D115" s="741" t="s">
        <v>2238</v>
      </c>
      <c r="E115" s="741">
        <f t="array" ref="E115">SUMPRODUCT(IF(AMP7_8[[#This Row],[Dim 1_1]:[T 8]]-$F$4:$AI$4&lt;0,1,0)+IF($F$5:$AI$5-AMP7_8[[#This Row],[Dim 1_1]:[T 8]]&lt;0,1,0),IF(ISNUMBER(AMP7_8[[#This Row],[Dim 1_1]:[T 8]])=TRUE,1,0))</f>
        <v>0</v>
      </c>
      <c r="F115">
        <v>41.197000000000003</v>
      </c>
      <c r="G115">
        <v>41.201000000000001</v>
      </c>
      <c r="H115">
        <v>155.78100000000001</v>
      </c>
      <c r="I115">
        <v>156.07599999999999</v>
      </c>
      <c r="L115">
        <v>155.83500000000001</v>
      </c>
      <c r="M115">
        <v>155.755</v>
      </c>
      <c r="N115">
        <v>27.353000000000002</v>
      </c>
      <c r="O115">
        <v>27.35</v>
      </c>
      <c r="R115">
        <v>17.259</v>
      </c>
      <c r="S115">
        <v>17.271999999999998</v>
      </c>
      <c r="T115">
        <v>32.786000000000001</v>
      </c>
      <c r="U115">
        <v>33.97</v>
      </c>
      <c r="W115">
        <v>0.22500000000000001</v>
      </c>
      <c r="X115">
        <v>-0.16900000000000001</v>
      </c>
      <c r="Z115">
        <v>0.12</v>
      </c>
      <c r="AA115">
        <v>-7.0999999999999994E-2</v>
      </c>
      <c r="AB115">
        <v>-3.6999999999999998E-2</v>
      </c>
      <c r="AC115">
        <v>5.8999999999999997E-2</v>
      </c>
      <c r="AD115">
        <v>-0.16900000000000001</v>
      </c>
      <c r="AE115">
        <v>0.22500000000000001</v>
      </c>
      <c r="AF115">
        <v>0.12</v>
      </c>
      <c r="AG115">
        <v>1.2E-2</v>
      </c>
      <c r="AH115">
        <v>0.06</v>
      </c>
      <c r="AI115">
        <v>-7.0999999999999994E-2</v>
      </c>
    </row>
    <row r="116" spans="1:35" x14ac:dyDescent="0.25">
      <c r="A116" t="s">
        <v>2567</v>
      </c>
      <c r="B116" t="s">
        <v>31</v>
      </c>
      <c r="C116" s="25">
        <v>43707.678877314815</v>
      </c>
      <c r="D116" s="741" t="s">
        <v>2238</v>
      </c>
      <c r="E116" s="741">
        <f t="array" ref="E116">SUMPRODUCT(IF(AMP7_8[[#This Row],[Dim 1_1]:[T 8]]-$F$4:$AI$4&lt;0,1,0)+IF($F$5:$AI$5-AMP7_8[[#This Row],[Dim 1_1]:[T 8]]&lt;0,1,0),IF(ISNUMBER(AMP7_8[[#This Row],[Dim 1_1]:[T 8]])=TRUE,1,0))</f>
        <v>0</v>
      </c>
      <c r="H116">
        <v>155.74799999999999</v>
      </c>
      <c r="I116">
        <v>155.76900000000001</v>
      </c>
      <c r="J116">
        <v>168.66300000000001</v>
      </c>
      <c r="K116">
        <v>168.64400000000001</v>
      </c>
      <c r="L116">
        <v>155.852</v>
      </c>
      <c r="M116">
        <v>155.554</v>
      </c>
      <c r="N116">
        <v>27.38</v>
      </c>
      <c r="O116">
        <v>27.707000000000001</v>
      </c>
      <c r="R116">
        <v>17.247</v>
      </c>
      <c r="S116">
        <v>17.361000000000001</v>
      </c>
      <c r="T116">
        <v>39.247999999999998</v>
      </c>
      <c r="U116">
        <v>40.121000000000002</v>
      </c>
      <c r="W116">
        <v>0.28399999999999997</v>
      </c>
      <c r="X116">
        <v>-0.188</v>
      </c>
      <c r="Z116">
        <v>0.19600000000000001</v>
      </c>
      <c r="AA116">
        <v>-0.13700000000000001</v>
      </c>
      <c r="AB116">
        <v>4.0000000000000001E-3</v>
      </c>
      <c r="AC116">
        <v>9.9000000000000005E-2</v>
      </c>
      <c r="AD116">
        <v>-0.188</v>
      </c>
      <c r="AE116">
        <v>0.28399999999999997</v>
      </c>
      <c r="AF116">
        <v>0.129</v>
      </c>
      <c r="AG116">
        <v>-1E-3</v>
      </c>
      <c r="AH116">
        <v>0.19600000000000001</v>
      </c>
      <c r="AI116">
        <v>-0.13700000000000001</v>
      </c>
    </row>
    <row r="117" spans="1:35" x14ac:dyDescent="0.25">
      <c r="A117" t="s">
        <v>2636</v>
      </c>
      <c r="B117" t="s">
        <v>32</v>
      </c>
      <c r="C117" s="25">
        <v>43711.383738425924</v>
      </c>
      <c r="D117" s="741" t="s">
        <v>2238</v>
      </c>
      <c r="E117" s="741">
        <f t="array" ref="E117">SUMPRODUCT(IF(AMP7_8[[#This Row],[Dim 1_1]:[T 8]]-$F$4:$AI$4&lt;0,1,0)+IF($F$5:$AI$5-AMP7_8[[#This Row],[Dim 1_1]:[T 8]]&lt;0,1,0),IF(ISNUMBER(AMP7_8[[#This Row],[Dim 1_1]:[T 8]])=TRUE,1,0))</f>
        <v>0</v>
      </c>
      <c r="F117">
        <v>41.234999999999999</v>
      </c>
      <c r="G117">
        <v>41.244</v>
      </c>
      <c r="H117">
        <v>155.83099999999999</v>
      </c>
      <c r="I117">
        <v>156.101</v>
      </c>
      <c r="L117">
        <v>155.893</v>
      </c>
      <c r="M117">
        <v>155.76599999999999</v>
      </c>
      <c r="N117">
        <v>27.254000000000001</v>
      </c>
      <c r="O117">
        <v>27.297000000000001</v>
      </c>
      <c r="R117">
        <v>17.263000000000002</v>
      </c>
      <c r="S117">
        <v>17.265999999999998</v>
      </c>
      <c r="T117">
        <v>33.207999999999998</v>
      </c>
      <c r="U117">
        <v>33.908000000000001</v>
      </c>
      <c r="W117">
        <v>0.42199999999999999</v>
      </c>
      <c r="X117">
        <v>-8.5999999999999993E-2</v>
      </c>
      <c r="Z117">
        <v>0.14099999999999999</v>
      </c>
      <c r="AA117">
        <v>-0.02</v>
      </c>
      <c r="AB117">
        <v>-4.1000000000000002E-2</v>
      </c>
      <c r="AC117">
        <v>0.05</v>
      </c>
      <c r="AD117">
        <v>-8.5999999999999993E-2</v>
      </c>
      <c r="AE117">
        <v>0.42199999999999999</v>
      </c>
      <c r="AF117">
        <v>0.14099999999999999</v>
      </c>
      <c r="AG117">
        <v>0.04</v>
      </c>
      <c r="AH117">
        <v>0.125</v>
      </c>
      <c r="AI117">
        <v>-0.02</v>
      </c>
    </row>
    <row r="118" spans="1:35" x14ac:dyDescent="0.25">
      <c r="A118" t="s">
        <v>2637</v>
      </c>
      <c r="B118" t="s">
        <v>31</v>
      </c>
      <c r="C118" s="25">
        <v>43711.385879629626</v>
      </c>
      <c r="D118" s="741" t="s">
        <v>2238</v>
      </c>
      <c r="E118" s="741">
        <f t="array" ref="E118">SUMPRODUCT(IF(AMP7_8[[#This Row],[Dim 1_1]:[T 8]]-$F$4:$AI$4&lt;0,1,0)+IF($F$5:$AI$5-AMP7_8[[#This Row],[Dim 1_1]:[T 8]]&lt;0,1,0),IF(ISNUMBER(AMP7_8[[#This Row],[Dim 1_1]:[T 8]])=TRUE,1,0))</f>
        <v>0</v>
      </c>
      <c r="H118">
        <v>155.81700000000001</v>
      </c>
      <c r="I118">
        <v>155.82900000000001</v>
      </c>
      <c r="J118">
        <v>168.804</v>
      </c>
      <c r="K118">
        <v>168.86099999999999</v>
      </c>
      <c r="L118">
        <v>155.98099999999999</v>
      </c>
      <c r="M118">
        <v>155.70500000000001</v>
      </c>
      <c r="N118">
        <v>27.289000000000001</v>
      </c>
      <c r="O118">
        <v>27.587</v>
      </c>
      <c r="R118">
        <v>17.239999999999998</v>
      </c>
      <c r="S118">
        <v>17.231999999999999</v>
      </c>
      <c r="T118">
        <v>37.424999999999997</v>
      </c>
      <c r="U118">
        <v>38.366</v>
      </c>
      <c r="W118">
        <v>0.41499999999999998</v>
      </c>
      <c r="X118">
        <v>-0.1</v>
      </c>
      <c r="Z118">
        <v>0.35</v>
      </c>
      <c r="AA118">
        <v>2.5999999999999999E-2</v>
      </c>
      <c r="AB118">
        <v>3.6999999999999998E-2</v>
      </c>
      <c r="AC118">
        <v>0.13600000000000001</v>
      </c>
      <c r="AD118">
        <v>-0.1</v>
      </c>
      <c r="AE118">
        <v>0.41499999999999998</v>
      </c>
      <c r="AF118">
        <v>0.192</v>
      </c>
      <c r="AG118">
        <v>7.5999999999999998E-2</v>
      </c>
      <c r="AH118">
        <v>0.35</v>
      </c>
      <c r="AI118">
        <v>2.5999999999999999E-2</v>
      </c>
    </row>
    <row r="119" spans="1:35" x14ac:dyDescent="0.25">
      <c r="A119" t="s">
        <v>2638</v>
      </c>
      <c r="B119" t="s">
        <v>32</v>
      </c>
      <c r="C119" s="25">
        <v>43711.470543981479</v>
      </c>
      <c r="D119" s="741" t="s">
        <v>2238</v>
      </c>
      <c r="E119" s="741">
        <f t="array" ref="E119">SUMPRODUCT(IF(AMP7_8[[#This Row],[Dim 1_1]:[T 8]]-$F$4:$AI$4&lt;0,1,0)+IF($F$5:$AI$5-AMP7_8[[#This Row],[Dim 1_1]:[T 8]]&lt;0,1,0),IF(ISNUMBER(AMP7_8[[#This Row],[Dim 1_1]:[T 8]])=TRUE,1,0))</f>
        <v>0</v>
      </c>
      <c r="F119">
        <v>41.05</v>
      </c>
      <c r="G119">
        <v>41.085000000000001</v>
      </c>
      <c r="H119">
        <v>155.79900000000001</v>
      </c>
      <c r="I119">
        <v>156.07499999999999</v>
      </c>
      <c r="L119">
        <v>155.90799999999999</v>
      </c>
      <c r="M119">
        <v>155.79400000000001</v>
      </c>
      <c r="N119">
        <v>27.311</v>
      </c>
      <c r="O119">
        <v>27.303000000000001</v>
      </c>
      <c r="R119">
        <v>17.245999999999999</v>
      </c>
      <c r="S119">
        <v>17.234000000000002</v>
      </c>
      <c r="T119">
        <v>33.161000000000001</v>
      </c>
      <c r="U119">
        <v>33.920999999999999</v>
      </c>
      <c r="W119">
        <v>0.32400000000000001</v>
      </c>
      <c r="X119">
        <v>-2.5999999999999999E-2</v>
      </c>
      <c r="Z119">
        <v>0.158</v>
      </c>
      <c r="AA119">
        <v>-0.01</v>
      </c>
      <c r="AB119">
        <v>-2.5999999999999999E-2</v>
      </c>
      <c r="AC119">
        <v>2.8000000000000001E-2</v>
      </c>
      <c r="AD119">
        <v>-4.0000000000000001E-3</v>
      </c>
      <c r="AE119">
        <v>0.32400000000000001</v>
      </c>
      <c r="AF119">
        <v>8.7999999999999995E-2</v>
      </c>
      <c r="AG119">
        <v>-0.01</v>
      </c>
      <c r="AH119">
        <v>0.158</v>
      </c>
      <c r="AI119">
        <v>8.9999999999999993E-3</v>
      </c>
    </row>
    <row r="120" spans="1:35" x14ac:dyDescent="0.25">
      <c r="A120" t="s">
        <v>2796</v>
      </c>
      <c r="B120" t="s">
        <v>31</v>
      </c>
      <c r="C120" s="25">
        <v>43711.472696759258</v>
      </c>
      <c r="D120" s="741" t="s">
        <v>2238</v>
      </c>
      <c r="E120" s="741">
        <f t="array" ref="E120">SUMPRODUCT(IF(AMP7_8[[#This Row],[Dim 1_1]:[T 8]]-$F$4:$AI$4&lt;0,1,0)+IF($F$5:$AI$5-AMP7_8[[#This Row],[Dim 1_1]:[T 8]]&lt;0,1,0),IF(ISNUMBER(AMP7_8[[#This Row],[Dim 1_1]:[T 8]])=TRUE,1,0))</f>
        <v>0</v>
      </c>
      <c r="H120">
        <v>155.76900000000001</v>
      </c>
      <c r="I120">
        <v>155.857</v>
      </c>
      <c r="J120">
        <v>168.61099999999999</v>
      </c>
      <c r="K120">
        <v>168.66300000000001</v>
      </c>
      <c r="L120">
        <v>155.87299999999999</v>
      </c>
      <c r="M120">
        <v>155.64099999999999</v>
      </c>
      <c r="N120">
        <v>27.355</v>
      </c>
      <c r="O120">
        <v>27.643999999999998</v>
      </c>
      <c r="R120">
        <v>17.335000000000001</v>
      </c>
      <c r="S120">
        <v>17.452000000000002</v>
      </c>
      <c r="T120">
        <v>39.89</v>
      </c>
      <c r="U120">
        <v>40.567999999999998</v>
      </c>
      <c r="W120">
        <v>0.184</v>
      </c>
      <c r="X120">
        <v>-0.30299999999999999</v>
      </c>
      <c r="Z120">
        <v>0.20699999999999999</v>
      </c>
      <c r="AA120">
        <v>-0.14599999999999999</v>
      </c>
      <c r="AB120">
        <v>1.7999999999999999E-2</v>
      </c>
      <c r="AC120">
        <v>0.111</v>
      </c>
      <c r="AD120">
        <v>-0.30299999999999999</v>
      </c>
      <c r="AE120">
        <v>0.184</v>
      </c>
      <c r="AF120">
        <v>0.20699999999999999</v>
      </c>
      <c r="AG120">
        <v>9.2999999999999999E-2</v>
      </c>
      <c r="AH120">
        <v>0.154</v>
      </c>
      <c r="AI120">
        <v>-0.14599999999999999</v>
      </c>
    </row>
    <row r="121" spans="1:35" x14ac:dyDescent="0.25">
      <c r="A121" t="s">
        <v>2797</v>
      </c>
      <c r="B121" t="s">
        <v>32</v>
      </c>
      <c r="C121" s="25">
        <v>43711.560532407406</v>
      </c>
      <c r="D121" s="741" t="s">
        <v>2238</v>
      </c>
      <c r="E121" s="741">
        <f t="array" ref="E121">SUMPRODUCT(IF(AMP7_8[[#This Row],[Dim 1_1]:[T 8]]-$F$4:$AI$4&lt;0,1,0)+IF($F$5:$AI$5-AMP7_8[[#This Row],[Dim 1_1]:[T 8]]&lt;0,1,0),IF(ISNUMBER(AMP7_8[[#This Row],[Dim 1_1]:[T 8]])=TRUE,1,0))</f>
        <v>0</v>
      </c>
      <c r="F121">
        <v>41.103000000000002</v>
      </c>
      <c r="G121">
        <v>41.078000000000003</v>
      </c>
      <c r="H121">
        <v>155.81299999999999</v>
      </c>
      <c r="I121">
        <v>156.1</v>
      </c>
      <c r="L121">
        <v>155.911</v>
      </c>
      <c r="M121">
        <v>155.78</v>
      </c>
      <c r="N121">
        <v>27.279</v>
      </c>
      <c r="O121">
        <v>27.276</v>
      </c>
      <c r="R121">
        <v>17.228999999999999</v>
      </c>
      <c r="S121">
        <v>17.239000000000001</v>
      </c>
      <c r="T121">
        <v>32.926000000000002</v>
      </c>
      <c r="U121">
        <v>33.905999999999999</v>
      </c>
      <c r="W121">
        <v>0.224</v>
      </c>
      <c r="X121">
        <v>-7.9000000000000001E-2</v>
      </c>
      <c r="Z121">
        <v>0.13600000000000001</v>
      </c>
      <c r="AA121">
        <v>-4.3999999999999997E-2</v>
      </c>
      <c r="AB121">
        <v>-5.0999999999999997E-2</v>
      </c>
      <c r="AC121">
        <v>0.03</v>
      </c>
      <c r="AD121">
        <v>-7.9000000000000001E-2</v>
      </c>
      <c r="AE121">
        <v>0.224</v>
      </c>
      <c r="AF121">
        <v>0.13600000000000001</v>
      </c>
      <c r="AG121">
        <v>0.03</v>
      </c>
      <c r="AH121">
        <v>0.13100000000000001</v>
      </c>
      <c r="AI121">
        <v>-4.3999999999999997E-2</v>
      </c>
    </row>
    <row r="122" spans="1:35" x14ac:dyDescent="0.25">
      <c r="A122" t="s">
        <v>2798</v>
      </c>
      <c r="B122" t="s">
        <v>31</v>
      </c>
      <c r="C122" s="25">
        <v>43711.562638888892</v>
      </c>
      <c r="D122" s="741" t="s">
        <v>2238</v>
      </c>
      <c r="E122" s="741">
        <f t="array" ref="E122">SUMPRODUCT(IF(AMP7_8[[#This Row],[Dim 1_1]:[T 8]]-$F$4:$AI$4&lt;0,1,0)+IF($F$5:$AI$5-AMP7_8[[#This Row],[Dim 1_1]:[T 8]]&lt;0,1,0),IF(ISNUMBER(AMP7_8[[#This Row],[Dim 1_1]:[T 8]])=TRUE,1,0))</f>
        <v>0</v>
      </c>
      <c r="H122">
        <v>155.85599999999999</v>
      </c>
      <c r="I122">
        <v>155.858</v>
      </c>
      <c r="J122">
        <v>168.679</v>
      </c>
      <c r="K122">
        <v>168.761</v>
      </c>
      <c r="L122">
        <v>155.86600000000001</v>
      </c>
      <c r="M122">
        <v>155.595</v>
      </c>
      <c r="N122">
        <v>27.376000000000001</v>
      </c>
      <c r="O122">
        <v>27.673999999999999</v>
      </c>
      <c r="R122">
        <v>17.248999999999999</v>
      </c>
      <c r="S122">
        <v>17.321000000000002</v>
      </c>
      <c r="T122">
        <v>36.231000000000002</v>
      </c>
      <c r="U122">
        <v>37.914999999999999</v>
      </c>
      <c r="W122">
        <v>0.29299999999999998</v>
      </c>
      <c r="X122">
        <v>-0.185</v>
      </c>
      <c r="Z122">
        <v>7.0999999999999994E-2</v>
      </c>
      <c r="AA122">
        <v>-0.27200000000000002</v>
      </c>
      <c r="AB122">
        <v>4.0000000000000001E-3</v>
      </c>
      <c r="AC122">
        <v>0.09</v>
      </c>
      <c r="AD122">
        <v>-0.185</v>
      </c>
      <c r="AE122">
        <v>0.29299999999999998</v>
      </c>
      <c r="AF122">
        <v>-0.01</v>
      </c>
      <c r="AG122">
        <v>-0.15</v>
      </c>
      <c r="AH122">
        <v>7.0999999999999994E-2</v>
      </c>
      <c r="AI122">
        <v>-0.27200000000000002</v>
      </c>
    </row>
    <row r="123" spans="1:35" x14ac:dyDescent="0.25">
      <c r="A123" t="s">
        <v>2799</v>
      </c>
      <c r="B123" t="s">
        <v>32</v>
      </c>
      <c r="C123" s="25">
        <v>43711.671666666669</v>
      </c>
      <c r="D123" s="741" t="s">
        <v>2238</v>
      </c>
      <c r="E123" s="741">
        <f t="array" ref="E123">SUMPRODUCT(IF(AMP7_8[[#This Row],[Dim 1_1]:[T 8]]-$F$4:$AI$4&lt;0,1,0)+IF($F$5:$AI$5-AMP7_8[[#This Row],[Dim 1_1]:[T 8]]&lt;0,1,0),IF(ISNUMBER(AMP7_8[[#This Row],[Dim 1_1]:[T 8]])=TRUE,1,0))</f>
        <v>0</v>
      </c>
      <c r="F123">
        <v>41.082000000000001</v>
      </c>
      <c r="G123">
        <v>41.1</v>
      </c>
      <c r="H123">
        <v>155.834</v>
      </c>
      <c r="I123">
        <v>156.07400000000001</v>
      </c>
      <c r="L123">
        <v>155.91200000000001</v>
      </c>
      <c r="M123">
        <v>155.732</v>
      </c>
      <c r="N123">
        <v>27.268999999999998</v>
      </c>
      <c r="O123">
        <v>27.315999999999999</v>
      </c>
      <c r="R123">
        <v>17.234000000000002</v>
      </c>
      <c r="S123">
        <v>17.207999999999998</v>
      </c>
      <c r="T123">
        <v>32.845999999999997</v>
      </c>
      <c r="U123">
        <v>33.944000000000003</v>
      </c>
      <c r="W123">
        <v>0.47299999999999998</v>
      </c>
      <c r="X123">
        <v>1.7999999999999999E-2</v>
      </c>
      <c r="Z123">
        <v>0.36799999999999999</v>
      </c>
      <c r="AA123">
        <v>-0.14899999999999999</v>
      </c>
      <c r="AB123">
        <v>1.7999999999999999E-2</v>
      </c>
      <c r="AC123">
        <v>9.6000000000000002E-2</v>
      </c>
      <c r="AD123">
        <v>0.189</v>
      </c>
      <c r="AE123">
        <v>0.47299999999999998</v>
      </c>
      <c r="AF123">
        <v>-4.9000000000000002E-2</v>
      </c>
      <c r="AG123">
        <v>-0.14899999999999999</v>
      </c>
      <c r="AH123">
        <v>0.36799999999999999</v>
      </c>
      <c r="AI123">
        <v>-2.5000000000000001E-2</v>
      </c>
    </row>
    <row r="124" spans="1:35" x14ac:dyDescent="0.25">
      <c r="A124" t="s">
        <v>2800</v>
      </c>
      <c r="B124" t="s">
        <v>31</v>
      </c>
      <c r="C124" s="25">
        <v>43711.673715277779</v>
      </c>
      <c r="D124" s="741" t="s">
        <v>2238</v>
      </c>
      <c r="E124" s="741">
        <f t="array" ref="E124">SUMPRODUCT(IF(AMP7_8[[#This Row],[Dim 1_1]:[T 8]]-$F$4:$AI$4&lt;0,1,0)+IF($F$5:$AI$5-AMP7_8[[#This Row],[Dim 1_1]:[T 8]]&lt;0,1,0),IF(ISNUMBER(AMP7_8[[#This Row],[Dim 1_1]:[T 8]])=TRUE,1,0))</f>
        <v>0</v>
      </c>
      <c r="H124">
        <v>155.87899999999999</v>
      </c>
      <c r="I124">
        <v>155.91200000000001</v>
      </c>
      <c r="J124">
        <v>168.685</v>
      </c>
      <c r="K124">
        <v>168.76</v>
      </c>
      <c r="L124">
        <v>155.90799999999999</v>
      </c>
      <c r="M124">
        <v>155.62</v>
      </c>
      <c r="N124">
        <v>27.300999999999998</v>
      </c>
      <c r="O124">
        <v>27.632000000000001</v>
      </c>
      <c r="R124">
        <v>17.27</v>
      </c>
      <c r="S124">
        <v>17.306999999999999</v>
      </c>
      <c r="T124">
        <v>37.238999999999997</v>
      </c>
      <c r="U124">
        <v>37.966000000000001</v>
      </c>
      <c r="W124">
        <v>9.1999999999999998E-2</v>
      </c>
      <c r="X124">
        <v>-0.38400000000000001</v>
      </c>
      <c r="Z124">
        <v>-0.16600000000000001</v>
      </c>
      <c r="AA124">
        <v>-0.56399999999999995</v>
      </c>
      <c r="AB124">
        <v>-8.3000000000000004E-2</v>
      </c>
      <c r="AC124">
        <v>0</v>
      </c>
      <c r="AD124">
        <v>-0.38400000000000001</v>
      </c>
      <c r="AE124">
        <v>9.1999999999999998E-2</v>
      </c>
      <c r="AF124">
        <v>-0.18099999999999999</v>
      </c>
      <c r="AG124">
        <v>-0.34100000000000003</v>
      </c>
      <c r="AH124">
        <v>-0.16600000000000001</v>
      </c>
      <c r="AI124">
        <v>-0.56399999999999995</v>
      </c>
    </row>
    <row r="125" spans="1:35" ht="14.45" customHeight="1" x14ac:dyDescent="0.25">
      <c r="A125" t="s">
        <v>2801</v>
      </c>
      <c r="B125" t="s">
        <v>32</v>
      </c>
      <c r="C125" s="25">
        <v>43711.751354166663</v>
      </c>
      <c r="D125" s="741" t="s">
        <v>2238</v>
      </c>
      <c r="E125" s="741">
        <f t="array" ref="E125">SUMPRODUCT(IF(AMP7_8[[#This Row],[Dim 1_1]:[T 8]]-$F$4:$AI$4&lt;0,1,0)+IF($F$5:$AI$5-AMP7_8[[#This Row],[Dim 1_1]:[T 8]]&lt;0,1,0),IF(ISNUMBER(AMP7_8[[#This Row],[Dim 1_1]:[T 8]])=TRUE,1,0))</f>
        <v>0</v>
      </c>
      <c r="F125">
        <v>41.1</v>
      </c>
      <c r="G125">
        <v>41.055</v>
      </c>
      <c r="H125">
        <v>155.91200000000001</v>
      </c>
      <c r="I125">
        <v>156.161</v>
      </c>
      <c r="L125">
        <v>155.983</v>
      </c>
      <c r="M125">
        <v>155.83699999999999</v>
      </c>
      <c r="N125">
        <v>27.245999999999999</v>
      </c>
      <c r="O125">
        <v>27.29</v>
      </c>
      <c r="R125">
        <v>17.291</v>
      </c>
      <c r="S125">
        <v>17.218</v>
      </c>
      <c r="T125">
        <v>32.732999999999997</v>
      </c>
      <c r="U125">
        <v>33.976999999999997</v>
      </c>
      <c r="W125">
        <v>0.192</v>
      </c>
      <c r="X125">
        <v>-0.16900000000000001</v>
      </c>
      <c r="Z125">
        <v>2.4E-2</v>
      </c>
      <c r="AA125">
        <v>-0.17499999999999999</v>
      </c>
      <c r="AB125">
        <v>-0.16900000000000001</v>
      </c>
      <c r="AC125">
        <v>-0.09</v>
      </c>
      <c r="AD125">
        <v>-0.129</v>
      </c>
      <c r="AE125">
        <v>0.192</v>
      </c>
      <c r="AF125">
        <v>-4.8000000000000001E-2</v>
      </c>
      <c r="AG125">
        <v>-0.17499999999999999</v>
      </c>
      <c r="AH125">
        <v>2.4E-2</v>
      </c>
      <c r="AI125">
        <v>-0.125</v>
      </c>
    </row>
    <row r="126" spans="1:35" x14ac:dyDescent="0.25">
      <c r="A126" t="s">
        <v>2802</v>
      </c>
      <c r="B126" t="s">
        <v>31</v>
      </c>
      <c r="C126" s="25">
        <v>43711.753449074073</v>
      </c>
      <c r="D126" s="741" t="s">
        <v>2238</v>
      </c>
      <c r="E126" s="741">
        <f t="array" ref="E126">SUMPRODUCT(IF(AMP7_8[[#This Row],[Dim 1_1]:[T 8]]-$F$4:$AI$4&lt;0,1,0)+IF($F$5:$AI$5-AMP7_8[[#This Row],[Dim 1_1]:[T 8]]&lt;0,1,0),IF(ISNUMBER(AMP7_8[[#This Row],[Dim 1_1]:[T 8]])=TRUE,1,0))</f>
        <v>0</v>
      </c>
      <c r="H126">
        <v>155.89599999999999</v>
      </c>
      <c r="I126">
        <v>155.91</v>
      </c>
      <c r="J126">
        <v>168.62799999999999</v>
      </c>
      <c r="K126">
        <v>168.67500000000001</v>
      </c>
      <c r="L126">
        <v>155.97900000000001</v>
      </c>
      <c r="M126">
        <v>155.69300000000001</v>
      </c>
      <c r="N126">
        <v>27.23</v>
      </c>
      <c r="O126">
        <v>27.562999999999999</v>
      </c>
      <c r="R126">
        <v>17.280999999999999</v>
      </c>
      <c r="S126">
        <v>17.228000000000002</v>
      </c>
      <c r="T126">
        <v>39.444000000000003</v>
      </c>
      <c r="U126">
        <v>38.906999999999996</v>
      </c>
      <c r="W126">
        <v>0.216</v>
      </c>
      <c r="X126">
        <v>-0.26600000000000001</v>
      </c>
      <c r="Z126">
        <v>0.184</v>
      </c>
      <c r="AA126">
        <v>-0.161</v>
      </c>
      <c r="AB126">
        <v>-0.13500000000000001</v>
      </c>
      <c r="AC126">
        <v>-9.6000000000000002E-2</v>
      </c>
      <c r="AD126">
        <v>-0.26600000000000001</v>
      </c>
      <c r="AE126">
        <v>0.216</v>
      </c>
      <c r="AF126">
        <v>-1.4999999999999999E-2</v>
      </c>
      <c r="AG126">
        <v>-0.121</v>
      </c>
      <c r="AH126">
        <v>0.184</v>
      </c>
      <c r="AI126">
        <v>-0.161</v>
      </c>
    </row>
    <row r="127" spans="1:35" x14ac:dyDescent="0.25">
      <c r="A127" t="s">
        <v>2803</v>
      </c>
      <c r="B127" t="s">
        <v>32</v>
      </c>
      <c r="C127" s="25">
        <v>43711.802581018521</v>
      </c>
      <c r="D127" s="741" t="s">
        <v>2238</v>
      </c>
      <c r="E127" s="741">
        <f t="array" ref="E127">SUMPRODUCT(IF(AMP7_8[[#This Row],[Dim 1_1]:[T 8]]-$F$4:$AI$4&lt;0,1,0)+IF($F$5:$AI$5-AMP7_8[[#This Row],[Dim 1_1]:[T 8]]&lt;0,1,0),IF(ISNUMBER(AMP7_8[[#This Row],[Dim 1_1]:[T 8]])=TRUE,1,0))</f>
        <v>0</v>
      </c>
      <c r="F127">
        <v>41.103000000000002</v>
      </c>
      <c r="G127">
        <v>41.148000000000003</v>
      </c>
      <c r="H127">
        <v>155.87299999999999</v>
      </c>
      <c r="I127">
        <v>156.149</v>
      </c>
      <c r="L127">
        <v>155.94800000000001</v>
      </c>
      <c r="M127">
        <v>155.79400000000001</v>
      </c>
      <c r="N127">
        <v>27.242000000000001</v>
      </c>
      <c r="O127">
        <v>27.271999999999998</v>
      </c>
      <c r="R127">
        <v>17.234999999999999</v>
      </c>
      <c r="S127">
        <v>17.234999999999999</v>
      </c>
      <c r="T127">
        <v>32.752000000000002</v>
      </c>
      <c r="U127">
        <v>33.951999999999998</v>
      </c>
      <c r="W127">
        <v>0.224</v>
      </c>
      <c r="X127">
        <v>-9.8000000000000004E-2</v>
      </c>
      <c r="Z127">
        <v>9.9000000000000005E-2</v>
      </c>
      <c r="AA127">
        <v>-9.6000000000000002E-2</v>
      </c>
      <c r="AB127">
        <v>-7.1999999999999995E-2</v>
      </c>
      <c r="AC127">
        <v>1.4E-2</v>
      </c>
      <c r="AD127">
        <v>-9.8000000000000004E-2</v>
      </c>
      <c r="AE127">
        <v>0.224</v>
      </c>
      <c r="AF127">
        <v>5.2999999999999999E-2</v>
      </c>
      <c r="AG127">
        <v>-5.5E-2</v>
      </c>
      <c r="AH127">
        <v>9.9000000000000005E-2</v>
      </c>
      <c r="AI127">
        <v>-9.6000000000000002E-2</v>
      </c>
    </row>
    <row r="128" spans="1:35" x14ac:dyDescent="0.25">
      <c r="A128" t="s">
        <v>2804</v>
      </c>
      <c r="B128" t="s">
        <v>31</v>
      </c>
      <c r="C128" s="25">
        <v>43711.804780092592</v>
      </c>
      <c r="D128" s="741" t="s">
        <v>2238</v>
      </c>
      <c r="E128" s="741">
        <f t="array" ref="E128">SUMPRODUCT(IF(AMP7_8[[#This Row],[Dim 1_1]:[T 8]]-$F$4:$AI$4&lt;0,1,0)+IF($F$5:$AI$5-AMP7_8[[#This Row],[Dim 1_1]:[T 8]]&lt;0,1,0),IF(ISNUMBER(AMP7_8[[#This Row],[Dim 1_1]:[T 8]])=TRUE,1,0))</f>
        <v>0</v>
      </c>
      <c r="H128">
        <v>155.87</v>
      </c>
      <c r="I128">
        <v>155.87799999999999</v>
      </c>
      <c r="J128">
        <v>168.72499999999999</v>
      </c>
      <c r="K128">
        <v>168.726</v>
      </c>
      <c r="L128">
        <v>155.94200000000001</v>
      </c>
      <c r="M128">
        <v>155.66399999999999</v>
      </c>
      <c r="N128">
        <v>27.283999999999999</v>
      </c>
      <c r="O128">
        <v>27.6</v>
      </c>
      <c r="R128">
        <v>17.231000000000002</v>
      </c>
      <c r="S128">
        <v>17.295000000000002</v>
      </c>
      <c r="T128">
        <v>39.261000000000003</v>
      </c>
      <c r="U128">
        <v>38.908000000000001</v>
      </c>
      <c r="W128">
        <v>0.21</v>
      </c>
      <c r="X128">
        <v>-0.24</v>
      </c>
      <c r="Z128">
        <v>0.13500000000000001</v>
      </c>
      <c r="AA128">
        <v>-0.253</v>
      </c>
      <c r="AB128">
        <v>-8.5000000000000006E-2</v>
      </c>
      <c r="AC128">
        <v>5.0000000000000001E-3</v>
      </c>
      <c r="AD128">
        <v>-0.24</v>
      </c>
      <c r="AE128">
        <v>0.21</v>
      </c>
      <c r="AF128">
        <v>-2.7E-2</v>
      </c>
      <c r="AG128">
        <v>-0.16300000000000001</v>
      </c>
      <c r="AH128">
        <v>0.13500000000000001</v>
      </c>
      <c r="AI128">
        <v>-0.253</v>
      </c>
    </row>
    <row r="129" spans="1:35" x14ac:dyDescent="0.25">
      <c r="A129" t="s">
        <v>2805</v>
      </c>
      <c r="B129" t="s">
        <v>32</v>
      </c>
      <c r="C129" s="25">
        <v>43711.887106481481</v>
      </c>
      <c r="D129" s="741" t="s">
        <v>2238</v>
      </c>
      <c r="E129" s="741">
        <f t="array" ref="E129">SUMPRODUCT(IF(AMP7_8[[#This Row],[Dim 1_1]:[T 8]]-$F$4:$AI$4&lt;0,1,0)+IF($F$5:$AI$5-AMP7_8[[#This Row],[Dim 1_1]:[T 8]]&lt;0,1,0),IF(ISNUMBER(AMP7_8[[#This Row],[Dim 1_1]:[T 8]])=TRUE,1,0))</f>
        <v>0</v>
      </c>
      <c r="F129">
        <v>41.506</v>
      </c>
      <c r="G129">
        <v>41.6</v>
      </c>
      <c r="H129">
        <v>155.96100000000001</v>
      </c>
      <c r="I129">
        <v>156.197</v>
      </c>
      <c r="L129">
        <v>156.05699999999999</v>
      </c>
      <c r="M129">
        <v>155.87299999999999</v>
      </c>
      <c r="N129">
        <v>27.155000000000001</v>
      </c>
      <c r="O129">
        <v>27.242999999999999</v>
      </c>
      <c r="R129">
        <v>17.239000000000001</v>
      </c>
      <c r="S129">
        <v>17.204999999999998</v>
      </c>
      <c r="T129">
        <v>32.866</v>
      </c>
      <c r="U129">
        <v>33.856000000000002</v>
      </c>
      <c r="W129">
        <v>0.16900000000000001</v>
      </c>
      <c r="X129">
        <v>-0.184</v>
      </c>
      <c r="Z129">
        <v>6.0999999999999999E-2</v>
      </c>
      <c r="AA129">
        <v>-0.16500000000000001</v>
      </c>
      <c r="AB129">
        <v>-0.184</v>
      </c>
      <c r="AC129">
        <v>-9.9000000000000005E-2</v>
      </c>
      <c r="AD129">
        <v>-0.128</v>
      </c>
      <c r="AE129">
        <v>0.16900000000000001</v>
      </c>
      <c r="AF129">
        <v>-5.8000000000000003E-2</v>
      </c>
      <c r="AG129">
        <v>-0.16500000000000001</v>
      </c>
      <c r="AH129">
        <v>6.0999999999999999E-2</v>
      </c>
      <c r="AI129">
        <v>-0.13200000000000001</v>
      </c>
    </row>
    <row r="130" spans="1:35" x14ac:dyDescent="0.25">
      <c r="A130" t="s">
        <v>2806</v>
      </c>
      <c r="B130" t="s">
        <v>31</v>
      </c>
      <c r="C130" s="25">
        <v>43711.889143518521</v>
      </c>
      <c r="D130" s="741" t="s">
        <v>2238</v>
      </c>
      <c r="E130" s="741">
        <f t="array" ref="E130">SUMPRODUCT(IF(AMP7_8[[#This Row],[Dim 1_1]:[T 8]]-$F$4:$AI$4&lt;0,1,0)+IF($F$5:$AI$5-AMP7_8[[#This Row],[Dim 1_1]:[T 8]]&lt;0,1,0),IF(ISNUMBER(AMP7_8[[#This Row],[Dim 1_1]:[T 8]])=TRUE,1,0))</f>
        <v>0</v>
      </c>
      <c r="H130">
        <v>155.93199999999999</v>
      </c>
      <c r="I130">
        <v>155.97200000000001</v>
      </c>
      <c r="J130">
        <v>169.20400000000001</v>
      </c>
      <c r="K130">
        <v>169.315</v>
      </c>
      <c r="L130">
        <v>156.036</v>
      </c>
      <c r="M130">
        <v>155.78100000000001</v>
      </c>
      <c r="N130">
        <v>27.186</v>
      </c>
      <c r="O130">
        <v>27.5</v>
      </c>
      <c r="R130">
        <v>17.262</v>
      </c>
      <c r="S130">
        <v>17.29</v>
      </c>
      <c r="T130">
        <v>37.537999999999997</v>
      </c>
      <c r="U130">
        <v>38.890999999999998</v>
      </c>
      <c r="W130">
        <v>0.10100000000000001</v>
      </c>
      <c r="X130">
        <v>-0.29299999999999998</v>
      </c>
      <c r="Z130">
        <v>0.14099999999999999</v>
      </c>
      <c r="AA130">
        <v>-0.25600000000000001</v>
      </c>
      <c r="AB130">
        <v>-0.187</v>
      </c>
      <c r="AC130">
        <v>-7.9000000000000001E-2</v>
      </c>
      <c r="AD130">
        <v>-0.29299999999999998</v>
      </c>
      <c r="AE130">
        <v>0.10100000000000001</v>
      </c>
      <c r="AF130">
        <v>-9.2999999999999999E-2</v>
      </c>
      <c r="AG130">
        <v>-0.223</v>
      </c>
      <c r="AH130">
        <v>0.14099999999999999</v>
      </c>
      <c r="AI130">
        <v>-0.25600000000000001</v>
      </c>
    </row>
    <row r="131" spans="1:35" x14ac:dyDescent="0.25">
      <c r="A131" t="s">
        <v>2807</v>
      </c>
      <c r="B131" t="s">
        <v>32</v>
      </c>
      <c r="C131" s="25">
        <v>43711.980416666665</v>
      </c>
      <c r="D131" s="741" t="s">
        <v>2238</v>
      </c>
      <c r="E131" s="741">
        <f t="array" ref="E131">SUMPRODUCT(IF(AMP7_8[[#This Row],[Dim 1_1]:[T 8]]-$F$4:$AI$4&lt;0,1,0)+IF($F$5:$AI$5-AMP7_8[[#This Row],[Dim 1_1]:[T 8]]&lt;0,1,0),IF(ISNUMBER(AMP7_8[[#This Row],[Dim 1_1]:[T 8]])=TRUE,1,0))</f>
        <v>1</v>
      </c>
      <c r="F131">
        <v>40.71</v>
      </c>
      <c r="G131">
        <v>40.857999999999997</v>
      </c>
      <c r="H131">
        <v>156.00299999999999</v>
      </c>
      <c r="I131">
        <v>156.26900000000001</v>
      </c>
      <c r="L131">
        <v>156.08199999999999</v>
      </c>
      <c r="M131">
        <v>155.965</v>
      </c>
      <c r="N131">
        <v>27.096</v>
      </c>
      <c r="O131">
        <v>27.109000000000002</v>
      </c>
      <c r="R131">
        <v>17.251000000000001</v>
      </c>
      <c r="S131">
        <v>17.157</v>
      </c>
      <c r="T131">
        <v>32.948999999999998</v>
      </c>
      <c r="U131">
        <v>33.744</v>
      </c>
      <c r="W131">
        <v>4.2000000000000003E-2</v>
      </c>
      <c r="X131">
        <v>-0.36699999999999999</v>
      </c>
      <c r="Z131">
        <v>-0.111</v>
      </c>
      <c r="AA131">
        <v>-0.30199999999999999</v>
      </c>
      <c r="AB131">
        <v>-0.36699999999999999</v>
      </c>
      <c r="AC131">
        <v>-0.27100000000000002</v>
      </c>
      <c r="AD131">
        <v>-0.22700000000000001</v>
      </c>
      <c r="AE131">
        <v>4.2000000000000003E-2</v>
      </c>
      <c r="AF131">
        <v>-0.21299999999999999</v>
      </c>
      <c r="AG131">
        <v>-0.30199999999999999</v>
      </c>
      <c r="AH131">
        <v>-0.111</v>
      </c>
      <c r="AI131">
        <v>-0.218</v>
      </c>
    </row>
    <row r="132" spans="1:35" x14ac:dyDescent="0.25">
      <c r="A132" t="s">
        <v>2808</v>
      </c>
      <c r="B132" t="s">
        <v>31</v>
      </c>
      <c r="C132" s="25">
        <v>43711.982499999998</v>
      </c>
      <c r="D132" s="741" t="s">
        <v>2238</v>
      </c>
      <c r="E132" s="741">
        <f t="array" ref="E132">SUMPRODUCT(IF(AMP7_8[[#This Row],[Dim 1_1]:[T 8]]-$F$4:$AI$4&lt;0,1,0)+IF($F$5:$AI$5-AMP7_8[[#This Row],[Dim 1_1]:[T 8]]&lt;0,1,0),IF(ISNUMBER(AMP7_8[[#This Row],[Dim 1_1]:[T 8]])=TRUE,1,0))</f>
        <v>0</v>
      </c>
      <c r="H132">
        <v>155.97999999999999</v>
      </c>
      <c r="I132">
        <v>156.018</v>
      </c>
      <c r="J132">
        <v>168.47399999999999</v>
      </c>
      <c r="K132">
        <v>168.75200000000001</v>
      </c>
      <c r="L132">
        <v>156.07599999999999</v>
      </c>
      <c r="M132">
        <v>155.84</v>
      </c>
      <c r="N132">
        <v>27.169</v>
      </c>
      <c r="O132">
        <v>27.452000000000002</v>
      </c>
      <c r="R132">
        <v>17.251999999999999</v>
      </c>
      <c r="S132">
        <v>17.323</v>
      </c>
      <c r="T132">
        <v>38.945999999999998</v>
      </c>
      <c r="U132">
        <v>41.048000000000002</v>
      </c>
      <c r="W132">
        <v>3.4000000000000002E-2</v>
      </c>
      <c r="X132">
        <v>-0.36299999999999999</v>
      </c>
      <c r="Z132">
        <v>8.0000000000000002E-3</v>
      </c>
      <c r="AA132">
        <v>-0.33800000000000002</v>
      </c>
      <c r="AB132">
        <v>-0.29699999999999999</v>
      </c>
      <c r="AC132">
        <v>-0.20799999999999999</v>
      </c>
      <c r="AD132">
        <v>-0.36299999999999999</v>
      </c>
      <c r="AE132">
        <v>3.4000000000000002E-2</v>
      </c>
      <c r="AF132">
        <v>-0.20799999999999999</v>
      </c>
      <c r="AG132">
        <v>-0.33800000000000002</v>
      </c>
      <c r="AH132">
        <v>8.0000000000000002E-3</v>
      </c>
      <c r="AI132">
        <v>-0.33300000000000002</v>
      </c>
    </row>
    <row r="133" spans="1:35" x14ac:dyDescent="0.25">
      <c r="A133" t="s">
        <v>2809</v>
      </c>
      <c r="B133" t="s">
        <v>32</v>
      </c>
      <c r="C133" s="25">
        <v>43712.046331018515</v>
      </c>
      <c r="D133" s="741" t="s">
        <v>2238</v>
      </c>
      <c r="E133" s="741">
        <f t="array" ref="E133">SUMPRODUCT(IF(AMP7_8[[#This Row],[Dim 1_1]:[T 8]]-$F$4:$AI$4&lt;0,1,0)+IF($F$5:$AI$5-AMP7_8[[#This Row],[Dim 1_1]:[T 8]]&lt;0,1,0),IF(ISNUMBER(AMP7_8[[#This Row],[Dim 1_1]:[T 8]])=TRUE,1,0))</f>
        <v>0</v>
      </c>
      <c r="F133">
        <v>41.002000000000002</v>
      </c>
      <c r="G133">
        <v>41.036999999999999</v>
      </c>
      <c r="H133">
        <v>155.96899999999999</v>
      </c>
      <c r="I133">
        <v>156.16800000000001</v>
      </c>
      <c r="L133">
        <v>156.04300000000001</v>
      </c>
      <c r="M133">
        <v>155.809</v>
      </c>
      <c r="N133">
        <v>27.129000000000001</v>
      </c>
      <c r="O133">
        <v>27.262</v>
      </c>
      <c r="R133">
        <v>17.254000000000001</v>
      </c>
      <c r="S133">
        <v>17.123000000000001</v>
      </c>
      <c r="T133">
        <v>32.787999999999997</v>
      </c>
      <c r="U133">
        <v>34.067</v>
      </c>
      <c r="W133">
        <v>0.34799999999999998</v>
      </c>
      <c r="X133">
        <v>-0.10100000000000001</v>
      </c>
      <c r="Z133">
        <v>0.17699999999999999</v>
      </c>
      <c r="AA133">
        <v>-0.158</v>
      </c>
      <c r="AB133">
        <v>-0.10100000000000001</v>
      </c>
      <c r="AC133">
        <v>-3.3000000000000002E-2</v>
      </c>
      <c r="AD133">
        <v>7.2999999999999995E-2</v>
      </c>
      <c r="AE133">
        <v>0.34799999999999998</v>
      </c>
      <c r="AF133">
        <v>-0.06</v>
      </c>
      <c r="AG133">
        <v>-0.158</v>
      </c>
      <c r="AH133">
        <v>0.17699999999999999</v>
      </c>
      <c r="AI133">
        <v>-5.5E-2</v>
      </c>
    </row>
    <row r="134" spans="1:35" x14ac:dyDescent="0.25">
      <c r="A134" t="s">
        <v>2810</v>
      </c>
      <c r="B134" t="s">
        <v>31</v>
      </c>
      <c r="C134" s="25">
        <v>43712.048391203702</v>
      </c>
      <c r="D134" s="741" t="s">
        <v>2238</v>
      </c>
      <c r="E134" s="741">
        <f t="array" ref="E134">SUMPRODUCT(IF(AMP7_8[[#This Row],[Dim 1_1]:[T 8]]-$F$4:$AI$4&lt;0,1,0)+IF($F$5:$AI$5-AMP7_8[[#This Row],[Dim 1_1]:[T 8]]&lt;0,1,0),IF(ISNUMBER(AMP7_8[[#This Row],[Dim 1_1]:[T 8]])=TRUE,1,0))</f>
        <v>0</v>
      </c>
      <c r="H134">
        <v>155.99299999999999</v>
      </c>
      <c r="I134">
        <v>155.99299999999999</v>
      </c>
      <c r="J134">
        <v>168.744</v>
      </c>
      <c r="K134">
        <v>168.839</v>
      </c>
      <c r="L134">
        <v>156.01900000000001</v>
      </c>
      <c r="M134">
        <v>155.739</v>
      </c>
      <c r="N134">
        <v>27.195</v>
      </c>
      <c r="O134">
        <v>27.504999999999999</v>
      </c>
      <c r="R134">
        <v>17.282</v>
      </c>
      <c r="S134">
        <v>17.25</v>
      </c>
      <c r="T134">
        <v>38.113</v>
      </c>
      <c r="U134">
        <v>39.185000000000002</v>
      </c>
      <c r="W134">
        <v>0.13</v>
      </c>
      <c r="X134">
        <v>-0.30399999999999999</v>
      </c>
      <c r="Z134">
        <v>8.0000000000000002E-3</v>
      </c>
      <c r="AA134">
        <v>-0.39700000000000002</v>
      </c>
      <c r="AB134">
        <v>-0.20100000000000001</v>
      </c>
      <c r="AC134">
        <v>-0.11700000000000001</v>
      </c>
      <c r="AD134">
        <v>-0.30399999999999999</v>
      </c>
      <c r="AE134">
        <v>0.13</v>
      </c>
      <c r="AF134">
        <v>-0.22500000000000001</v>
      </c>
      <c r="AG134">
        <v>-0.35699999999999998</v>
      </c>
      <c r="AH134">
        <v>8.0000000000000002E-3</v>
      </c>
      <c r="AI134">
        <v>-0.39700000000000002</v>
      </c>
    </row>
    <row r="135" spans="1:35" x14ac:dyDescent="0.25">
      <c r="A135" t="s">
        <v>2811</v>
      </c>
      <c r="B135" t="s">
        <v>32</v>
      </c>
      <c r="C135" s="25">
        <v>43712.30945601852</v>
      </c>
      <c r="D135" s="741" t="s">
        <v>2238</v>
      </c>
      <c r="E135" s="741">
        <f t="array" ref="E135">SUMPRODUCT(IF(AMP7_8[[#This Row],[Dim 1_1]:[T 8]]-$F$4:$AI$4&lt;0,1,0)+IF($F$5:$AI$5-AMP7_8[[#This Row],[Dim 1_1]:[T 8]]&lt;0,1,0),IF(ISNUMBER(AMP7_8[[#This Row],[Dim 1_1]:[T 8]])=TRUE,1,0))</f>
        <v>0</v>
      </c>
      <c r="F135">
        <v>41.103000000000002</v>
      </c>
      <c r="G135">
        <v>41.201999999999998</v>
      </c>
      <c r="H135">
        <v>155.87799999999999</v>
      </c>
      <c r="I135">
        <v>156.08600000000001</v>
      </c>
      <c r="L135">
        <v>155.97499999999999</v>
      </c>
      <c r="M135">
        <v>155.74</v>
      </c>
      <c r="N135">
        <v>27.213999999999999</v>
      </c>
      <c r="O135">
        <v>27.321000000000002</v>
      </c>
      <c r="R135">
        <v>17.239999999999998</v>
      </c>
      <c r="S135">
        <v>17.225999999999999</v>
      </c>
      <c r="T135">
        <v>32.761000000000003</v>
      </c>
      <c r="U135">
        <v>34.244999999999997</v>
      </c>
      <c r="W135">
        <v>0.26300000000000001</v>
      </c>
      <c r="X135">
        <v>-6.9000000000000006E-2</v>
      </c>
      <c r="Z135">
        <v>0.13500000000000001</v>
      </c>
      <c r="AA135">
        <v>-7.0999999999999994E-2</v>
      </c>
      <c r="AB135">
        <v>-6.9000000000000006E-2</v>
      </c>
      <c r="AC135">
        <v>1.7999999999999999E-2</v>
      </c>
      <c r="AD135">
        <v>-5.6000000000000001E-2</v>
      </c>
      <c r="AE135">
        <v>0.26300000000000001</v>
      </c>
      <c r="AF135">
        <v>7.6999999999999999E-2</v>
      </c>
      <c r="AG135">
        <v>-2.9000000000000001E-2</v>
      </c>
      <c r="AH135">
        <v>0.13500000000000001</v>
      </c>
      <c r="AI135">
        <v>-7.0999999999999994E-2</v>
      </c>
    </row>
    <row r="136" spans="1:35" x14ac:dyDescent="0.25">
      <c r="A136" t="s">
        <v>2812</v>
      </c>
      <c r="B136" t="s">
        <v>31</v>
      </c>
      <c r="C136" s="25">
        <v>43712.311585648145</v>
      </c>
      <c r="D136" s="741" t="s">
        <v>2238</v>
      </c>
      <c r="E136" s="741">
        <f t="array" ref="E136">SUMPRODUCT(IF(AMP7_8[[#This Row],[Dim 1_1]:[T 8]]-$F$4:$AI$4&lt;0,1,0)+IF($F$5:$AI$5-AMP7_8[[#This Row],[Dim 1_1]:[T 8]]&lt;0,1,0),IF(ISNUMBER(AMP7_8[[#This Row],[Dim 1_1]:[T 8]])=TRUE,1,0))</f>
        <v>0</v>
      </c>
      <c r="H136">
        <v>155.91200000000001</v>
      </c>
      <c r="I136">
        <v>155.916</v>
      </c>
      <c r="J136">
        <v>168.65299999999999</v>
      </c>
      <c r="K136">
        <v>168.74</v>
      </c>
      <c r="L136">
        <v>155.97800000000001</v>
      </c>
      <c r="M136">
        <v>155.71100000000001</v>
      </c>
      <c r="N136">
        <v>27.253</v>
      </c>
      <c r="O136">
        <v>27.542000000000002</v>
      </c>
      <c r="R136">
        <v>17.265999999999998</v>
      </c>
      <c r="S136">
        <v>17.321999999999999</v>
      </c>
      <c r="T136">
        <v>38.459000000000003</v>
      </c>
      <c r="U136">
        <v>40.911000000000001</v>
      </c>
      <c r="W136">
        <v>0.308</v>
      </c>
      <c r="X136">
        <v>-0.21099999999999999</v>
      </c>
      <c r="Z136">
        <v>0.22600000000000001</v>
      </c>
      <c r="AA136">
        <v>-0.183</v>
      </c>
      <c r="AB136">
        <v>-5.1999999999999998E-2</v>
      </c>
      <c r="AC136">
        <v>5.1999999999999998E-2</v>
      </c>
      <c r="AD136">
        <v>-0.21099999999999999</v>
      </c>
      <c r="AE136">
        <v>0.308</v>
      </c>
      <c r="AF136">
        <v>7.8E-2</v>
      </c>
      <c r="AG136">
        <v>-7.3999999999999996E-2</v>
      </c>
      <c r="AH136">
        <v>0.22600000000000001</v>
      </c>
      <c r="AI136">
        <v>-0.183</v>
      </c>
    </row>
    <row r="137" spans="1:35" x14ac:dyDescent="0.25">
      <c r="D137" s="736"/>
      <c r="E137" s="736"/>
    </row>
  </sheetData>
  <mergeCells count="1">
    <mergeCell ref="E1:E2"/>
  </mergeCells>
  <conditionalFormatting sqref="AJ8:XFD8 B10:D21 B23:D136">
    <cfRule type="notContainsBlanks" priority="16" stopIfTrue="1">
      <formula>LEN(TRIM(B8))&gt;0</formula>
    </cfRule>
  </conditionalFormatting>
  <conditionalFormatting sqref="A6:AI8">
    <cfRule type="notContainsBlanks" priority="7" stopIfTrue="1">
      <formula>LEN(TRIM(A6))&gt;0</formula>
    </cfRule>
  </conditionalFormatting>
  <conditionalFormatting sqref="E1 E3:E1048576">
    <cfRule type="cellIs" dxfId="8" priority="2" operator="greaterThan">
      <formula>0</formula>
    </cfRule>
  </conditionalFormatting>
  <conditionalFormatting sqref="E1 E3:E8">
    <cfRule type="notContainsBlanks" priority="1" stopIfTrue="1">
      <formula>LEN(TRIM(E1))&gt;0</formula>
    </cfRule>
  </conditionalFormatting>
  <conditionalFormatting sqref="A8:D8">
    <cfRule type="notContainsBlanks" priority="8" stopIfTrue="1">
      <formula>LEN(TRIM(A8))&gt;0</formula>
    </cfRule>
  </conditionalFormatting>
  <conditionalFormatting sqref="A1:A1048576">
    <cfRule type="duplicateValues" dxfId="7" priority="10"/>
  </conditionalFormatting>
  <conditionalFormatting sqref="F6:S7 V6:AI7">
    <cfRule type="cellIs" dxfId="6" priority="5" stopIfTrue="1" operator="notBetween">
      <formula>0.35</formula>
      <formula>-0.35</formula>
    </cfRule>
    <cfRule type="cellIs" dxfId="5" priority="6" operator="notBetween">
      <formula>0.2</formula>
      <formula>-0.2</formula>
    </cfRule>
  </conditionalFormatting>
  <conditionalFormatting sqref="T6:U7">
    <cfRule type="cellIs" dxfId="4" priority="4" operator="lessThanOrEqual">
      <formula>1</formula>
    </cfRule>
  </conditionalFormatting>
  <conditionalFormatting sqref="F1:AI1048576">
    <cfRule type="containsBlanks" priority="3" stopIfTrue="1">
      <formula>LEN(TRIM(F1))=0</formula>
    </cfRule>
    <cfRule type="cellIs" dxfId="3" priority="9" stopIfTrue="1" operator="notBetween">
      <formula>F$4</formula>
      <formula>F$5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6"/>
  <dimension ref="A1:AM97"/>
  <sheetViews>
    <sheetView workbookViewId="0"/>
  </sheetViews>
  <sheetFormatPr defaultRowHeight="15" x14ac:dyDescent="0.25"/>
  <cols>
    <col min="1" max="1" width="13" customWidth="1"/>
    <col min="2" max="2" width="6.140625" customWidth="1"/>
    <col min="3" max="3" width="28.28515625" customWidth="1"/>
    <col min="4" max="4" width="23" customWidth="1"/>
    <col min="5" max="5" width="7" customWidth="1"/>
    <col min="6" max="6" width="10.5703125" style="13" bestFit="1" customWidth="1"/>
    <col min="7" max="7" width="8.42578125" style="472" bestFit="1" customWidth="1"/>
    <col min="8" max="8" width="16" style="13" customWidth="1"/>
    <col min="9" max="9" width="7.140625" style="13" customWidth="1"/>
    <col min="10" max="10" width="8.42578125" style="13" customWidth="1"/>
    <col min="11" max="11" width="4.42578125" style="13" customWidth="1"/>
    <col min="12" max="12" width="6.85546875" customWidth="1"/>
    <col min="13" max="13" width="5.28515625" customWidth="1"/>
    <col min="14" max="14" width="23" customWidth="1"/>
    <col min="15" max="15" width="22.7109375" customWidth="1"/>
  </cols>
  <sheetData>
    <row r="1" spans="1:39" ht="15.75" thickBot="1" x14ac:dyDescent="0.3">
      <c r="A1" s="29"/>
      <c r="B1" s="29"/>
      <c r="C1" s="29"/>
      <c r="D1" s="29"/>
      <c r="E1" s="29"/>
      <c r="F1" s="441"/>
      <c r="G1" s="441"/>
      <c r="H1" s="441"/>
      <c r="I1" s="441"/>
      <c r="J1" s="441"/>
      <c r="K1" s="441"/>
      <c r="L1" s="502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</row>
    <row r="2" spans="1:39" ht="15" customHeight="1" x14ac:dyDescent="0.25">
      <c r="A2" s="29"/>
      <c r="B2" s="873" t="s">
        <v>311</v>
      </c>
      <c r="C2" s="874"/>
      <c r="D2" s="875"/>
      <c r="E2" s="230"/>
      <c r="F2" s="230"/>
      <c r="G2" s="230"/>
      <c r="H2" s="230"/>
      <c r="I2" s="230"/>
      <c r="J2" s="230"/>
      <c r="K2" s="230"/>
      <c r="L2" s="527"/>
      <c r="M2" s="873" t="s">
        <v>310</v>
      </c>
      <c r="N2" s="874"/>
      <c r="O2" s="875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</row>
    <row r="3" spans="1:39" ht="15" customHeight="1" x14ac:dyDescent="0.25">
      <c r="A3" s="528"/>
      <c r="B3" s="876"/>
      <c r="C3" s="877"/>
      <c r="D3" s="878"/>
      <c r="E3" s="230"/>
      <c r="F3" s="230"/>
      <c r="G3" s="230"/>
      <c r="H3" s="230"/>
      <c r="I3" s="230"/>
      <c r="J3" s="230"/>
      <c r="K3" s="230"/>
      <c r="L3" s="527"/>
      <c r="M3" s="876"/>
      <c r="N3" s="877"/>
      <c r="O3" s="878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</row>
    <row r="4" spans="1:39" ht="51.75" customHeight="1" thickBot="1" x14ac:dyDescent="0.35">
      <c r="A4" s="29"/>
      <c r="B4" s="1178" t="s">
        <v>309</v>
      </c>
      <c r="C4" s="1179"/>
      <c r="D4" s="1180"/>
      <c r="E4" s="526"/>
      <c r="F4" s="441"/>
      <c r="G4" s="441"/>
      <c r="H4" s="441"/>
      <c r="I4" s="441"/>
      <c r="J4" s="441"/>
      <c r="K4" s="441"/>
      <c r="L4" s="502"/>
      <c r="M4" s="1178" t="s">
        <v>308</v>
      </c>
      <c r="N4" s="1179"/>
      <c r="O4" s="1180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</row>
    <row r="5" spans="1:39" ht="16.5" customHeight="1" x14ac:dyDescent="0.25">
      <c r="A5" s="29"/>
      <c r="B5" s="798">
        <v>1</v>
      </c>
      <c r="C5" s="885" t="s">
        <v>306</v>
      </c>
      <c r="D5" s="514"/>
      <c r="E5" s="518">
        <v>6</v>
      </c>
      <c r="F5" s="777" t="s">
        <v>316</v>
      </c>
      <c r="G5" s="1182"/>
      <c r="H5" s="1182"/>
      <c r="I5" s="1182"/>
      <c r="J5" s="1182"/>
      <c r="K5" s="1183"/>
      <c r="L5" s="523"/>
      <c r="M5" s="819">
        <v>1</v>
      </c>
      <c r="N5" s="1176" t="s">
        <v>306</v>
      </c>
      <c r="O5" s="501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</row>
    <row r="6" spans="1:39" ht="15.75" customHeight="1" thickBot="1" x14ac:dyDescent="0.3">
      <c r="A6" s="29"/>
      <c r="B6" s="799"/>
      <c r="C6" s="1181"/>
      <c r="D6" s="492"/>
      <c r="E6" s="518"/>
      <c r="F6" s="1184"/>
      <c r="G6" s="1185"/>
      <c r="H6" s="1185"/>
      <c r="I6" s="1185"/>
      <c r="J6" s="1185"/>
      <c r="K6" s="1186"/>
      <c r="L6" s="520"/>
      <c r="M6" s="821"/>
      <c r="N6" s="1177"/>
      <c r="O6" s="497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</row>
    <row r="7" spans="1:39" ht="15" customHeight="1" thickBot="1" x14ac:dyDescent="0.35">
      <c r="A7" s="29"/>
      <c r="B7" s="819">
        <v>2</v>
      </c>
      <c r="C7" s="1176" t="s">
        <v>315</v>
      </c>
      <c r="D7" s="519"/>
      <c r="E7" s="518">
        <v>2</v>
      </c>
      <c r="F7" s="517"/>
      <c r="G7" s="516"/>
      <c r="H7" s="516"/>
      <c r="I7" s="515" t="s">
        <v>93</v>
      </c>
      <c r="J7" s="515" t="s">
        <v>304</v>
      </c>
      <c r="K7" s="509"/>
      <c r="L7" s="502"/>
      <c r="M7" s="798">
        <v>2</v>
      </c>
      <c r="N7" s="800" t="s">
        <v>298</v>
      </c>
      <c r="O7" s="49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  <row r="8" spans="1:39" ht="15.75" customHeight="1" thickBot="1" x14ac:dyDescent="0.3">
      <c r="A8" s="29"/>
      <c r="B8" s="821"/>
      <c r="C8" s="1177"/>
      <c r="D8" s="497"/>
      <c r="E8" s="491"/>
      <c r="F8" s="773" t="s">
        <v>250</v>
      </c>
      <c r="G8" s="771" t="s">
        <v>251</v>
      </c>
      <c r="H8" s="411" t="s">
        <v>252</v>
      </c>
      <c r="I8" s="503">
        <v>0</v>
      </c>
      <c r="J8" s="503">
        <v>0</v>
      </c>
      <c r="K8" s="440" t="s">
        <v>293</v>
      </c>
      <c r="L8" s="506"/>
      <c r="M8" s="856"/>
      <c r="N8" s="862"/>
      <c r="O8" s="493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</row>
    <row r="9" spans="1:39" ht="15" customHeight="1" x14ac:dyDescent="0.25">
      <c r="A9" s="29"/>
      <c r="B9" s="798">
        <v>3</v>
      </c>
      <c r="C9" s="800" t="s">
        <v>314</v>
      </c>
      <c r="D9" s="514"/>
      <c r="E9" s="29"/>
      <c r="F9" s="774"/>
      <c r="G9" s="785"/>
      <c r="H9" s="513" t="s">
        <v>253</v>
      </c>
      <c r="I9" s="512">
        <v>0</v>
      </c>
      <c r="J9" s="512">
        <v>0</v>
      </c>
      <c r="K9" s="511" t="s">
        <v>293</v>
      </c>
      <c r="L9" s="506"/>
      <c r="M9" s="856"/>
      <c r="N9" s="862"/>
      <c r="O9" s="493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  <row r="10" spans="1:39" ht="15" customHeight="1" thickBot="1" x14ac:dyDescent="0.3">
      <c r="A10" s="29"/>
      <c r="B10" s="856"/>
      <c r="C10" s="862"/>
      <c r="D10" s="504"/>
      <c r="E10" s="29"/>
      <c r="F10" s="774"/>
      <c r="G10" s="439" t="s">
        <v>254</v>
      </c>
      <c r="H10" s="496" t="s">
        <v>253</v>
      </c>
      <c r="I10" s="490">
        <v>0</v>
      </c>
      <c r="J10" s="490">
        <v>0</v>
      </c>
      <c r="K10" s="489" t="s">
        <v>293</v>
      </c>
      <c r="L10" s="506"/>
      <c r="M10" s="799"/>
      <c r="N10" s="801"/>
      <c r="O10" s="492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</row>
    <row r="11" spans="1:39" ht="15" customHeight="1" x14ac:dyDescent="0.25">
      <c r="A11" s="29"/>
      <c r="B11" s="856"/>
      <c r="C11" s="510" t="s">
        <v>303</v>
      </c>
      <c r="D11" s="509"/>
      <c r="E11" s="29"/>
      <c r="F11" s="774"/>
      <c r="G11" s="439" t="s">
        <v>255</v>
      </c>
      <c r="H11" s="496" t="s">
        <v>252</v>
      </c>
      <c r="I11" s="490">
        <v>0</v>
      </c>
      <c r="J11" s="490">
        <v>0</v>
      </c>
      <c r="K11" s="489" t="s">
        <v>293</v>
      </c>
      <c r="L11" s="506"/>
      <c r="M11" s="819">
        <v>3</v>
      </c>
      <c r="N11" s="845" t="s">
        <v>302</v>
      </c>
      <c r="O11" s="508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</row>
    <row r="12" spans="1:39" ht="15" customHeight="1" thickBot="1" x14ac:dyDescent="0.3">
      <c r="A12" s="29"/>
      <c r="B12" s="856"/>
      <c r="C12" s="862" t="s">
        <v>313</v>
      </c>
      <c r="D12" s="504"/>
      <c r="E12" s="29"/>
      <c r="F12" s="775"/>
      <c r="G12" s="507" t="s">
        <v>256</v>
      </c>
      <c r="H12" s="507" t="s">
        <v>257</v>
      </c>
      <c r="I12" s="488">
        <v>0</v>
      </c>
      <c r="J12" s="488">
        <v>0</v>
      </c>
      <c r="K12" s="487" t="s">
        <v>293</v>
      </c>
      <c r="L12" s="506"/>
      <c r="M12" s="820"/>
      <c r="N12" s="833"/>
      <c r="O12" s="505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</row>
    <row r="13" spans="1:39" ht="15" customHeight="1" thickBot="1" x14ac:dyDescent="0.3">
      <c r="A13" s="29"/>
      <c r="B13" s="856"/>
      <c r="C13" s="862"/>
      <c r="D13" s="504"/>
      <c r="E13" s="29"/>
      <c r="F13" s="773" t="s">
        <v>258</v>
      </c>
      <c r="G13" s="771" t="s">
        <v>251</v>
      </c>
      <c r="H13" s="411" t="s">
        <v>259</v>
      </c>
      <c r="I13" s="503">
        <v>0</v>
      </c>
      <c r="J13" s="503">
        <v>0</v>
      </c>
      <c r="K13" s="440" t="s">
        <v>293</v>
      </c>
      <c r="L13" s="486"/>
      <c r="M13" s="821"/>
      <c r="N13" s="834"/>
      <c r="O13" s="497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</row>
    <row r="14" spans="1:39" ht="15.75" customHeight="1" thickBot="1" x14ac:dyDescent="0.3">
      <c r="A14" s="29"/>
      <c r="B14" s="799"/>
      <c r="C14" s="801"/>
      <c r="D14" s="492" t="s">
        <v>301</v>
      </c>
      <c r="E14" s="29"/>
      <c r="F14" s="774"/>
      <c r="G14" s="772"/>
      <c r="H14" s="502" t="s">
        <v>260</v>
      </c>
      <c r="I14" s="485">
        <v>0</v>
      </c>
      <c r="J14" s="485">
        <v>0</v>
      </c>
      <c r="K14" s="484" t="s">
        <v>293</v>
      </c>
      <c r="L14" s="486"/>
      <c r="M14" s="486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</row>
    <row r="15" spans="1:39" ht="15" customHeight="1" x14ac:dyDescent="0.25">
      <c r="A15" s="29"/>
      <c r="B15" s="819">
        <v>4</v>
      </c>
      <c r="C15" s="846" t="s">
        <v>300</v>
      </c>
      <c r="D15" s="501"/>
      <c r="E15" s="29"/>
      <c r="F15" s="774"/>
      <c r="G15" s="500" t="s">
        <v>254</v>
      </c>
      <c r="H15" s="500" t="s">
        <v>259</v>
      </c>
      <c r="I15" s="499">
        <v>0</v>
      </c>
      <c r="J15" s="499">
        <v>0</v>
      </c>
      <c r="K15" s="498" t="s">
        <v>293</v>
      </c>
      <c r="L15" s="486"/>
      <c r="M15" s="486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</row>
    <row r="16" spans="1:39" ht="15.75" customHeight="1" thickBot="1" x14ac:dyDescent="0.3">
      <c r="A16" s="29"/>
      <c r="B16" s="821"/>
      <c r="C16" s="848"/>
      <c r="D16" s="497"/>
      <c r="E16" s="29" t="s">
        <v>299</v>
      </c>
      <c r="F16" s="774"/>
      <c r="G16" s="496" t="s">
        <v>255</v>
      </c>
      <c r="H16" s="496" t="s">
        <v>260</v>
      </c>
      <c r="I16" s="490">
        <v>0</v>
      </c>
      <c r="J16" s="490">
        <v>0</v>
      </c>
      <c r="K16" s="489" t="s">
        <v>293</v>
      </c>
      <c r="L16" s="486"/>
      <c r="M16" s="486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</row>
    <row r="17" spans="1:39" ht="15" customHeight="1" thickBot="1" x14ac:dyDescent="0.3">
      <c r="A17" s="441"/>
      <c r="B17" s="798">
        <v>5</v>
      </c>
      <c r="C17" s="800" t="s">
        <v>298</v>
      </c>
      <c r="D17" s="495"/>
      <c r="E17" s="491" t="b">
        <v>1</v>
      </c>
      <c r="F17" s="775"/>
      <c r="G17" s="418" t="s">
        <v>261</v>
      </c>
      <c r="H17" s="418" t="s">
        <v>257</v>
      </c>
      <c r="I17" s="483">
        <v>0</v>
      </c>
      <c r="J17" s="483">
        <v>0</v>
      </c>
      <c r="K17" s="482" t="s">
        <v>293</v>
      </c>
      <c r="L17" s="486"/>
      <c r="M17" s="486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</row>
    <row r="18" spans="1:39" ht="15" customHeight="1" x14ac:dyDescent="0.25">
      <c r="A18" s="441"/>
      <c r="B18" s="856"/>
      <c r="C18" s="862"/>
      <c r="D18" s="493"/>
      <c r="E18" s="491" t="b">
        <v>0</v>
      </c>
      <c r="F18" s="773" t="s">
        <v>262</v>
      </c>
      <c r="G18" s="776" t="s">
        <v>254</v>
      </c>
      <c r="H18" s="776"/>
      <c r="I18" s="494">
        <v>0</v>
      </c>
      <c r="J18" s="494">
        <v>0</v>
      </c>
      <c r="K18" s="442" t="s">
        <v>293</v>
      </c>
      <c r="L18" s="486"/>
      <c r="M18" s="486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</row>
    <row r="19" spans="1:39" ht="15" customHeight="1" x14ac:dyDescent="0.25">
      <c r="A19" s="29"/>
      <c r="B19" s="856"/>
      <c r="C19" s="862"/>
      <c r="D19" s="493"/>
      <c r="E19" s="491" t="b">
        <v>1</v>
      </c>
      <c r="F19" s="774"/>
      <c r="G19" s="770" t="s">
        <v>263</v>
      </c>
      <c r="H19" s="770"/>
      <c r="I19" s="485">
        <v>0</v>
      </c>
      <c r="J19" s="485">
        <v>0</v>
      </c>
      <c r="K19" s="484" t="s">
        <v>293</v>
      </c>
      <c r="L19" s="486"/>
      <c r="M19" s="486"/>
      <c r="N19" s="29"/>
      <c r="O19" s="230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1:39" ht="15.75" customHeight="1" thickBot="1" x14ac:dyDescent="0.3">
      <c r="A20" s="29"/>
      <c r="B20" s="799"/>
      <c r="C20" s="801"/>
      <c r="D20" s="492"/>
      <c r="E20" s="491" t="b">
        <v>0</v>
      </c>
      <c r="F20" s="774"/>
      <c r="G20" s="783" t="s">
        <v>264</v>
      </c>
      <c r="H20" s="783"/>
      <c r="I20" s="490">
        <v>0</v>
      </c>
      <c r="J20" s="490">
        <v>0</v>
      </c>
      <c r="K20" s="489" t="s">
        <v>293</v>
      </c>
      <c r="L20" s="486"/>
      <c r="M20" s="486"/>
      <c r="N20" s="29"/>
      <c r="O20" s="230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</row>
    <row r="21" spans="1:39" s="13" customFormat="1" ht="15" customHeight="1" x14ac:dyDescent="0.25">
      <c r="A21" s="441"/>
      <c r="B21" s="842">
        <v>6</v>
      </c>
      <c r="C21" s="845" t="s">
        <v>312</v>
      </c>
      <c r="D21" s="1187"/>
      <c r="E21" s="441"/>
      <c r="F21" s="774"/>
      <c r="G21" s="770" t="s">
        <v>265</v>
      </c>
      <c r="H21" s="770"/>
      <c r="I21" s="485">
        <v>0</v>
      </c>
      <c r="J21" s="485">
        <v>0</v>
      </c>
      <c r="K21" s="484" t="s">
        <v>293</v>
      </c>
      <c r="L21" s="486"/>
      <c r="M21" s="486"/>
      <c r="N21" s="29"/>
      <c r="O21" s="29"/>
      <c r="P21" s="230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441"/>
      <c r="AH21" s="441"/>
      <c r="AI21" s="441"/>
      <c r="AJ21" s="441"/>
      <c r="AK21" s="441"/>
      <c r="AL21" s="441"/>
      <c r="AM21" s="441"/>
    </row>
    <row r="22" spans="1:39" s="13" customFormat="1" ht="15" customHeight="1" thickBot="1" x14ac:dyDescent="0.3">
      <c r="A22" s="441"/>
      <c r="B22" s="843"/>
      <c r="C22" s="833"/>
      <c r="D22" s="1188"/>
      <c r="E22" s="441"/>
      <c r="F22" s="775"/>
      <c r="G22" s="784" t="s">
        <v>266</v>
      </c>
      <c r="H22" s="784"/>
      <c r="I22" s="488">
        <v>0</v>
      </c>
      <c r="J22" s="488">
        <v>0</v>
      </c>
      <c r="K22" s="487" t="s">
        <v>293</v>
      </c>
      <c r="L22" s="486"/>
      <c r="M22" s="486"/>
      <c r="N22" s="29"/>
      <c r="O22" s="29"/>
      <c r="P22" s="230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441"/>
      <c r="AH22" s="441"/>
      <c r="AI22" s="441"/>
      <c r="AJ22" s="441"/>
      <c r="AK22" s="441"/>
      <c r="AL22" s="441"/>
      <c r="AM22" s="441"/>
    </row>
    <row r="23" spans="1:39" ht="15" customHeight="1" x14ac:dyDescent="0.25">
      <c r="A23" s="29"/>
      <c r="B23" s="843"/>
      <c r="C23" s="833"/>
      <c r="D23" s="1188"/>
      <c r="E23" s="29"/>
      <c r="F23" s="769" t="s">
        <v>297</v>
      </c>
      <c r="G23" s="770"/>
      <c r="H23" s="770"/>
      <c r="I23" s="485">
        <v>0</v>
      </c>
      <c r="J23" s="485">
        <v>0</v>
      </c>
      <c r="K23" s="484" t="s">
        <v>293</v>
      </c>
      <c r="L23" s="486"/>
      <c r="M23" s="486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</row>
    <row r="24" spans="1:39" ht="15.75" thickBot="1" x14ac:dyDescent="0.3">
      <c r="A24" s="29"/>
      <c r="B24" s="844"/>
      <c r="C24" s="834"/>
      <c r="D24" s="1189"/>
      <c r="E24" s="29"/>
      <c r="F24" s="781" t="s">
        <v>296</v>
      </c>
      <c r="G24" s="782"/>
      <c r="H24" s="782"/>
      <c r="I24" s="483">
        <v>0</v>
      </c>
      <c r="J24" s="483">
        <v>0</v>
      </c>
      <c r="K24" s="482" t="s">
        <v>293</v>
      </c>
      <c r="L24" s="486"/>
      <c r="M24" s="486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</row>
    <row r="25" spans="1:39" x14ac:dyDescent="0.25">
      <c r="A25" s="29"/>
      <c r="B25" s="29"/>
      <c r="C25" s="29"/>
      <c r="D25" s="29"/>
      <c r="E25" s="29"/>
      <c r="F25" s="769" t="s">
        <v>295</v>
      </c>
      <c r="G25" s="770"/>
      <c r="H25" s="770"/>
      <c r="I25" s="485">
        <v>0</v>
      </c>
      <c r="J25" s="485">
        <v>0</v>
      </c>
      <c r="K25" s="484" t="s">
        <v>293</v>
      </c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</row>
    <row r="26" spans="1:39" ht="15.75" thickBot="1" x14ac:dyDescent="0.3">
      <c r="A26" s="29"/>
      <c r="B26" s="29"/>
      <c r="C26" s="29"/>
      <c r="D26" s="29"/>
      <c r="E26" s="29"/>
      <c r="F26" s="781" t="s">
        <v>294</v>
      </c>
      <c r="G26" s="782"/>
      <c r="H26" s="782"/>
      <c r="I26" s="483">
        <v>0</v>
      </c>
      <c r="J26" s="483">
        <v>0</v>
      </c>
      <c r="K26" s="482" t="s">
        <v>293</v>
      </c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</row>
    <row r="27" spans="1:39" ht="15.75" customHeight="1" x14ac:dyDescent="0.25">
      <c r="A27" s="29"/>
      <c r="B27" s="29"/>
      <c r="C27" s="29"/>
      <c r="D27" s="29"/>
      <c r="E27" s="29"/>
      <c r="F27" s="768" t="s">
        <v>292</v>
      </c>
      <c r="G27" s="768"/>
      <c r="H27" s="768"/>
      <c r="I27" s="768"/>
      <c r="J27" s="768"/>
      <c r="K27" s="768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</row>
    <row r="28" spans="1:39" ht="15.75" customHeight="1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</row>
    <row r="29" spans="1:39" ht="15.75" customHeight="1" thickBot="1" x14ac:dyDescent="0.3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</row>
    <row r="30" spans="1:39" ht="15" customHeight="1" x14ac:dyDescent="0.25">
      <c r="A30" s="29"/>
      <c r="B30" s="760" t="s">
        <v>291</v>
      </c>
      <c r="C30" s="761"/>
      <c r="D30" s="480"/>
      <c r="E30" s="480"/>
      <c r="F30" s="481"/>
      <c r="G30" s="481"/>
      <c r="H30" s="481"/>
      <c r="I30" s="481"/>
      <c r="J30" s="481"/>
      <c r="K30" s="481"/>
      <c r="L30" s="480"/>
      <c r="M30" s="480"/>
      <c r="N30" s="480"/>
      <c r="O30" s="47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</row>
    <row r="31" spans="1:39" ht="15" customHeight="1" x14ac:dyDescent="0.25">
      <c r="A31" s="29"/>
      <c r="B31" s="762"/>
      <c r="C31" s="763"/>
      <c r="D31" s="477"/>
      <c r="E31" s="477"/>
      <c r="F31" s="478"/>
      <c r="G31" s="478"/>
      <c r="H31" s="478"/>
      <c r="I31" s="478"/>
      <c r="J31" s="478"/>
      <c r="K31" s="478"/>
      <c r="L31" s="477"/>
      <c r="M31" s="477"/>
      <c r="N31" s="477"/>
      <c r="O31" s="476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</row>
    <row r="32" spans="1:39" ht="15.75" customHeight="1" thickBot="1" x14ac:dyDescent="0.3">
      <c r="A32" s="29"/>
      <c r="B32" s="764"/>
      <c r="C32" s="765"/>
      <c r="D32" s="474"/>
      <c r="E32" s="474"/>
      <c r="F32" s="475"/>
      <c r="G32" s="475"/>
      <c r="H32" s="475"/>
      <c r="I32" s="475"/>
      <c r="J32" s="475"/>
      <c r="K32" s="475"/>
      <c r="L32" s="474"/>
      <c r="M32" s="474"/>
      <c r="N32" s="474"/>
      <c r="O32" s="473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</row>
    <row r="33" spans="1:39" ht="15.75" customHeight="1" x14ac:dyDescent="0.25">
      <c r="A33" s="29"/>
      <c r="B33" s="29"/>
      <c r="C33" s="29"/>
      <c r="D33" s="29"/>
      <c r="E33" s="29"/>
      <c r="F33" s="441"/>
      <c r="G33" s="441"/>
      <c r="H33" s="441"/>
      <c r="I33" s="441"/>
      <c r="J33" s="441"/>
      <c r="K33" s="441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</row>
    <row r="34" spans="1:39" ht="15" customHeight="1" x14ac:dyDescent="0.25">
      <c r="A34" s="29"/>
      <c r="B34" s="29"/>
      <c r="C34" s="29"/>
      <c r="D34" s="29"/>
      <c r="E34" s="29"/>
      <c r="F34" s="441"/>
      <c r="G34" s="441"/>
      <c r="H34" s="441"/>
      <c r="I34" s="441"/>
      <c r="J34" s="441"/>
      <c r="K34" s="441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</row>
    <row r="35" spans="1:39" ht="15.75" customHeight="1" x14ac:dyDescent="0.25">
      <c r="A35" s="29"/>
      <c r="B35" s="29"/>
      <c r="C35" s="29"/>
      <c r="D35" s="29"/>
      <c r="E35" s="29"/>
      <c r="F35" s="441"/>
      <c r="G35" s="441"/>
      <c r="H35" s="441"/>
      <c r="I35" s="441"/>
      <c r="J35" s="441"/>
      <c r="K35" s="441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</row>
    <row r="36" spans="1:39" ht="15" customHeight="1" x14ac:dyDescent="0.25">
      <c r="A36" s="29"/>
      <c r="B36" s="29"/>
      <c r="C36" s="29"/>
      <c r="D36" s="29"/>
      <c r="E36" s="29"/>
      <c r="F36" s="441"/>
      <c r="G36" s="441"/>
      <c r="H36" s="441"/>
      <c r="I36" s="441"/>
      <c r="J36" s="441"/>
      <c r="K36" s="441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</row>
    <row r="37" spans="1:39" ht="15.75" customHeight="1" x14ac:dyDescent="0.25">
      <c r="A37" s="29"/>
      <c r="B37" s="29"/>
      <c r="C37" s="29"/>
      <c r="D37" s="29"/>
      <c r="E37" s="29"/>
      <c r="F37" s="441"/>
      <c r="G37" s="441"/>
      <c r="H37" s="441"/>
      <c r="I37" s="441"/>
      <c r="J37" s="441"/>
      <c r="K37" s="441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</row>
    <row r="38" spans="1:39" ht="15" customHeight="1" x14ac:dyDescent="0.25">
      <c r="A38" s="29"/>
      <c r="B38" s="29"/>
      <c r="C38" s="29"/>
      <c r="D38" s="29"/>
      <c r="E38" s="29"/>
      <c r="F38" s="441"/>
      <c r="G38" s="441"/>
      <c r="H38" s="441"/>
      <c r="I38" s="441"/>
      <c r="J38" s="441"/>
      <c r="K38" s="441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</row>
    <row r="39" spans="1:39" ht="15" customHeight="1" x14ac:dyDescent="0.25">
      <c r="A39" s="29"/>
      <c r="B39" s="29"/>
      <c r="C39" s="29"/>
      <c r="D39" s="29"/>
      <c r="E39" s="29"/>
      <c r="F39" s="441"/>
      <c r="G39" s="441"/>
      <c r="H39" s="441"/>
      <c r="I39" s="441"/>
      <c r="J39" s="441"/>
      <c r="K39" s="441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</row>
    <row r="40" spans="1:39" ht="15.75" customHeight="1" x14ac:dyDescent="0.25">
      <c r="A40" s="29"/>
      <c r="B40" s="29"/>
      <c r="C40" s="29"/>
      <c r="D40" s="29"/>
      <c r="E40" s="29"/>
      <c r="F40" s="441"/>
      <c r="G40" s="441"/>
      <c r="H40" s="441"/>
      <c r="I40" s="441"/>
      <c r="J40" s="441"/>
      <c r="K40" s="441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</row>
    <row r="41" spans="1:39" ht="15.75" customHeight="1" x14ac:dyDescent="0.25">
      <c r="A41" s="29"/>
      <c r="B41" s="29"/>
      <c r="C41" s="29"/>
      <c r="D41" s="29"/>
      <c r="E41" s="29"/>
      <c r="F41" s="441"/>
      <c r="G41" s="441"/>
      <c r="H41" s="441"/>
      <c r="I41" s="441"/>
      <c r="J41" s="441"/>
      <c r="K41" s="441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</row>
    <row r="42" spans="1:39" ht="15" customHeight="1" x14ac:dyDescent="0.25">
      <c r="A42" s="29"/>
      <c r="B42" s="29"/>
      <c r="C42" s="29"/>
      <c r="D42" s="29"/>
      <c r="E42" s="29"/>
      <c r="F42" s="441"/>
      <c r="G42" s="441"/>
      <c r="H42" s="441"/>
      <c r="I42" s="441"/>
      <c r="J42" s="441"/>
      <c r="K42" s="441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</row>
    <row r="43" spans="1:39" ht="15.75" customHeight="1" x14ac:dyDescent="0.25">
      <c r="A43" s="29"/>
      <c r="B43" s="29"/>
      <c r="C43" s="29"/>
      <c r="D43" s="29"/>
      <c r="E43" s="29"/>
      <c r="F43" s="441"/>
      <c r="G43" s="441"/>
      <c r="H43" s="441"/>
      <c r="I43" s="441"/>
      <c r="J43" s="441"/>
      <c r="K43" s="441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</row>
    <row r="44" spans="1:39" ht="15" customHeight="1" x14ac:dyDescent="0.25">
      <c r="A44" s="29"/>
      <c r="B44" s="29"/>
      <c r="C44" s="29"/>
      <c r="D44" s="29"/>
      <c r="E44" s="29"/>
      <c r="F44" s="441"/>
      <c r="G44" s="441"/>
      <c r="H44" s="441"/>
      <c r="I44" s="441"/>
      <c r="J44" s="441"/>
      <c r="K44" s="441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</row>
    <row r="45" spans="1:39" ht="15" customHeight="1" x14ac:dyDescent="0.25">
      <c r="A45" s="29"/>
      <c r="B45" s="29"/>
      <c r="C45" s="29"/>
      <c r="D45" s="29"/>
      <c r="E45" s="29"/>
      <c r="F45" s="441"/>
      <c r="G45" s="441"/>
      <c r="H45" s="441"/>
      <c r="I45" s="441"/>
      <c r="J45" s="441"/>
      <c r="K45" s="441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</row>
    <row r="46" spans="1:39" ht="15" customHeight="1" x14ac:dyDescent="0.25">
      <c r="A46" s="29"/>
      <c r="B46" s="29"/>
      <c r="C46" s="29"/>
      <c r="D46" s="29"/>
      <c r="E46" s="29"/>
      <c r="F46" s="441"/>
      <c r="G46" s="441"/>
      <c r="H46" s="441"/>
      <c r="I46" s="441"/>
      <c r="J46" s="441"/>
      <c r="K46" s="441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</row>
    <row r="47" spans="1:39" ht="15.75" customHeight="1" x14ac:dyDescent="0.25">
      <c r="A47" s="29"/>
      <c r="B47" s="29"/>
      <c r="C47" s="29"/>
      <c r="D47" s="29"/>
      <c r="E47" s="29"/>
      <c r="F47" s="441"/>
      <c r="G47" s="441"/>
      <c r="H47" s="441"/>
      <c r="I47" s="441"/>
      <c r="J47" s="441"/>
      <c r="K47" s="441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</row>
    <row r="48" spans="1:39" ht="15" customHeight="1" x14ac:dyDescent="0.25">
      <c r="A48" s="29"/>
      <c r="B48" s="29"/>
      <c r="C48" s="29"/>
      <c r="D48" s="29"/>
      <c r="E48" s="29"/>
      <c r="F48" s="441"/>
      <c r="G48" s="441"/>
      <c r="H48" s="441"/>
      <c r="I48" s="441"/>
      <c r="J48" s="441"/>
      <c r="K48" s="441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</row>
    <row r="49" spans="1:39" ht="15" customHeight="1" x14ac:dyDescent="0.25">
      <c r="A49" s="29"/>
      <c r="B49" s="29"/>
      <c r="C49" s="29"/>
      <c r="D49" s="29"/>
      <c r="E49" s="29"/>
      <c r="F49" s="441"/>
      <c r="G49" s="441"/>
      <c r="H49" s="441"/>
      <c r="I49" s="441"/>
      <c r="J49" s="441"/>
      <c r="K49" s="441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</row>
    <row r="50" spans="1:39" ht="15.75" customHeight="1" x14ac:dyDescent="0.25">
      <c r="A50" s="29"/>
      <c r="B50" s="29"/>
      <c r="C50" s="29"/>
      <c r="D50" s="29"/>
      <c r="E50" s="29"/>
      <c r="F50" s="441"/>
      <c r="G50" s="441"/>
      <c r="H50" s="441"/>
      <c r="I50" s="441"/>
      <c r="J50" s="441"/>
      <c r="K50" s="441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</row>
    <row r="51" spans="1:39" x14ac:dyDescent="0.25">
      <c r="A51" s="29"/>
      <c r="B51" s="29"/>
      <c r="C51" s="29"/>
      <c r="D51" s="29"/>
      <c r="E51" s="29"/>
      <c r="F51" s="441"/>
      <c r="G51" s="441"/>
      <c r="H51" s="441"/>
      <c r="I51" s="441"/>
      <c r="J51" s="441"/>
      <c r="K51" s="441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</row>
    <row r="52" spans="1:39" x14ac:dyDescent="0.25">
      <c r="A52" s="29"/>
      <c r="B52" s="29"/>
      <c r="C52" s="29"/>
      <c r="D52" s="29"/>
      <c r="E52" s="29"/>
      <c r="F52" s="441"/>
      <c r="G52" s="441"/>
      <c r="H52" s="441"/>
      <c r="I52" s="441"/>
      <c r="J52" s="441"/>
      <c r="K52" s="441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</row>
    <row r="53" spans="1:39" x14ac:dyDescent="0.25">
      <c r="A53" s="29"/>
      <c r="B53" s="29"/>
      <c r="C53" s="29"/>
      <c r="D53" s="29"/>
      <c r="E53" s="29"/>
      <c r="F53" s="441"/>
      <c r="G53" s="441"/>
      <c r="H53" s="441"/>
      <c r="I53" s="441"/>
      <c r="J53" s="441"/>
      <c r="K53" s="441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</row>
    <row r="54" spans="1:39" x14ac:dyDescent="0.25">
      <c r="A54" s="29"/>
      <c r="B54" s="29"/>
      <c r="C54" s="29"/>
      <c r="D54" s="29"/>
      <c r="E54" s="29"/>
      <c r="F54" s="441"/>
      <c r="G54" s="441"/>
      <c r="H54" s="441"/>
      <c r="I54" s="441"/>
      <c r="J54" s="441"/>
      <c r="K54" s="441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</row>
    <row r="55" spans="1:39" ht="15" customHeight="1" x14ac:dyDescent="0.25">
      <c r="A55" s="29"/>
      <c r="B55" s="29"/>
      <c r="C55" s="29"/>
      <c r="D55" s="29"/>
      <c r="E55" s="29"/>
      <c r="F55" s="441"/>
      <c r="G55" s="441"/>
      <c r="H55" s="441"/>
      <c r="I55" s="441"/>
      <c r="J55" s="441"/>
      <c r="K55" s="441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</row>
    <row r="56" spans="1:39" ht="15" customHeight="1" x14ac:dyDescent="0.25">
      <c r="A56" s="29"/>
      <c r="B56" s="29"/>
      <c r="C56" s="29"/>
      <c r="D56" s="29"/>
      <c r="E56" s="29"/>
      <c r="F56" s="441"/>
      <c r="G56" s="441"/>
      <c r="H56" s="441"/>
      <c r="I56" s="441"/>
      <c r="J56" s="441"/>
      <c r="K56" s="441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</row>
    <row r="57" spans="1:39" ht="15.75" customHeight="1" x14ac:dyDescent="0.25">
      <c r="A57" s="29"/>
      <c r="B57" s="29"/>
      <c r="C57" s="29"/>
      <c r="D57" s="29"/>
      <c r="E57" s="29"/>
      <c r="F57" s="441"/>
      <c r="G57" s="441"/>
      <c r="H57" s="441"/>
      <c r="I57" s="441"/>
      <c r="J57" s="441"/>
      <c r="K57" s="441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</row>
    <row r="58" spans="1:39" x14ac:dyDescent="0.25">
      <c r="A58" s="29"/>
      <c r="B58" s="29"/>
      <c r="C58" s="29"/>
      <c r="D58" s="29"/>
      <c r="E58" s="29"/>
      <c r="F58" s="441"/>
      <c r="G58" s="441"/>
      <c r="H58" s="441"/>
      <c r="I58" s="441"/>
      <c r="J58" s="441"/>
      <c r="K58" s="441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</row>
    <row r="59" spans="1:39" x14ac:dyDescent="0.25">
      <c r="A59" s="29"/>
      <c r="B59" s="29"/>
      <c r="C59" s="29"/>
      <c r="D59" s="29"/>
      <c r="E59" s="29"/>
      <c r="F59" s="441"/>
      <c r="G59" s="441"/>
      <c r="H59" s="441"/>
      <c r="I59" s="441"/>
      <c r="J59" s="441"/>
      <c r="K59" s="441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</row>
    <row r="60" spans="1:39" x14ac:dyDescent="0.25">
      <c r="A60" s="29"/>
      <c r="B60" s="29"/>
      <c r="C60" s="29"/>
      <c r="D60" s="29"/>
      <c r="E60" s="29"/>
      <c r="F60" s="441"/>
      <c r="G60" s="441"/>
      <c r="H60" s="441"/>
      <c r="I60" s="441"/>
      <c r="J60" s="441"/>
      <c r="K60" s="441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</row>
    <row r="61" spans="1:39" x14ac:dyDescent="0.25">
      <c r="A61" s="29"/>
      <c r="P61" s="29"/>
    </row>
    <row r="62" spans="1:39" x14ac:dyDescent="0.25">
      <c r="A62" s="29"/>
      <c r="P62" s="29"/>
    </row>
    <row r="63" spans="1:39" x14ac:dyDescent="0.25">
      <c r="A63" s="29"/>
      <c r="P63" s="29"/>
    </row>
    <row r="64" spans="1:39" x14ac:dyDescent="0.25">
      <c r="A64" s="29"/>
      <c r="P64" s="29"/>
    </row>
    <row r="65" spans="1:16" x14ac:dyDescent="0.25">
      <c r="A65" s="29"/>
      <c r="P65" s="29"/>
    </row>
    <row r="66" spans="1:16" x14ac:dyDescent="0.25">
      <c r="A66" s="29"/>
      <c r="P66" s="29"/>
    </row>
    <row r="67" spans="1:16" x14ac:dyDescent="0.25">
      <c r="A67" s="29"/>
      <c r="P67" s="29"/>
    </row>
    <row r="68" spans="1:16" x14ac:dyDescent="0.25">
      <c r="A68" s="29"/>
      <c r="P68" s="29"/>
    </row>
    <row r="69" spans="1:16" x14ac:dyDescent="0.25">
      <c r="A69" s="29"/>
      <c r="P69" s="29"/>
    </row>
    <row r="70" spans="1:16" x14ac:dyDescent="0.25">
      <c r="A70" s="29"/>
      <c r="P70" s="29"/>
    </row>
    <row r="71" spans="1:16" x14ac:dyDescent="0.25">
      <c r="A71" s="29"/>
      <c r="P71" s="29"/>
    </row>
    <row r="72" spans="1:16" x14ac:dyDescent="0.25">
      <c r="A72" s="29"/>
      <c r="P72" s="29"/>
    </row>
    <row r="73" spans="1:16" x14ac:dyDescent="0.25">
      <c r="A73" s="29"/>
      <c r="P73" s="29"/>
    </row>
    <row r="74" spans="1:16" x14ac:dyDescent="0.25">
      <c r="A74" s="29"/>
      <c r="P74" s="29"/>
    </row>
    <row r="75" spans="1:16" x14ac:dyDescent="0.25">
      <c r="A75" s="29"/>
      <c r="P75" s="29"/>
    </row>
    <row r="76" spans="1:16" x14ac:dyDescent="0.25">
      <c r="A76" s="29"/>
      <c r="P76" s="29"/>
    </row>
    <row r="77" spans="1:16" x14ac:dyDescent="0.25">
      <c r="A77" s="29"/>
      <c r="P77" s="29"/>
    </row>
    <row r="78" spans="1:16" x14ac:dyDescent="0.25">
      <c r="A78" s="29"/>
      <c r="P78" s="29"/>
    </row>
    <row r="79" spans="1:16" x14ac:dyDescent="0.25">
      <c r="A79" s="29"/>
      <c r="P79" s="29"/>
    </row>
    <row r="80" spans="1:16" x14ac:dyDescent="0.25">
      <c r="A80" s="29"/>
      <c r="P80" s="29"/>
    </row>
    <row r="81" spans="1:16" x14ac:dyDescent="0.25">
      <c r="A81" s="29"/>
      <c r="P81" s="29"/>
    </row>
    <row r="82" spans="1:16" x14ac:dyDescent="0.25">
      <c r="A82" s="29"/>
      <c r="P82" s="29"/>
    </row>
    <row r="83" spans="1:16" x14ac:dyDescent="0.25">
      <c r="A83" s="29"/>
      <c r="P83" s="29"/>
    </row>
    <row r="84" spans="1:16" x14ac:dyDescent="0.25">
      <c r="A84" s="29"/>
      <c r="P84" s="29"/>
    </row>
    <row r="85" spans="1:16" x14ac:dyDescent="0.25">
      <c r="A85" s="29"/>
      <c r="P85" s="29"/>
    </row>
    <row r="86" spans="1:16" x14ac:dyDescent="0.25">
      <c r="A86" s="29"/>
      <c r="P86" s="29"/>
    </row>
    <row r="87" spans="1:16" x14ac:dyDescent="0.25">
      <c r="A87" s="29"/>
      <c r="P87" s="29"/>
    </row>
    <row r="88" spans="1:16" x14ac:dyDescent="0.25">
      <c r="A88" s="29"/>
      <c r="P88" s="29"/>
    </row>
    <row r="89" spans="1:16" x14ac:dyDescent="0.25">
      <c r="A89" s="29"/>
      <c r="P89" s="29"/>
    </row>
    <row r="90" spans="1:16" x14ac:dyDescent="0.25">
      <c r="A90" s="29"/>
      <c r="P90" s="29"/>
    </row>
    <row r="91" spans="1:16" x14ac:dyDescent="0.25">
      <c r="A91" s="29"/>
      <c r="P91" s="29"/>
    </row>
    <row r="92" spans="1:16" x14ac:dyDescent="0.25">
      <c r="A92" s="29"/>
      <c r="P92" s="29"/>
    </row>
    <row r="93" spans="1:16" x14ac:dyDescent="0.25">
      <c r="A93" s="29"/>
      <c r="P93" s="29"/>
    </row>
    <row r="94" spans="1:16" x14ac:dyDescent="0.25">
      <c r="A94" s="29"/>
      <c r="P94" s="29"/>
    </row>
    <row r="95" spans="1:16" x14ac:dyDescent="0.25">
      <c r="A95" s="29"/>
      <c r="P95" s="29"/>
    </row>
    <row r="96" spans="1:16" x14ac:dyDescent="0.25">
      <c r="A96" s="29"/>
      <c r="P96" s="29"/>
    </row>
    <row r="97" spans="1:16" x14ac:dyDescent="0.25">
      <c r="A97" s="29"/>
      <c r="P97" s="29"/>
    </row>
  </sheetData>
  <mergeCells count="40">
    <mergeCell ref="B30:C32"/>
    <mergeCell ref="G20:H20"/>
    <mergeCell ref="G21:H21"/>
    <mergeCell ref="G22:H22"/>
    <mergeCell ref="F23:H23"/>
    <mergeCell ref="C17:C20"/>
    <mergeCell ref="F18:F22"/>
    <mergeCell ref="G18:H18"/>
    <mergeCell ref="G19:H19"/>
    <mergeCell ref="B21:B24"/>
    <mergeCell ref="F25:H25"/>
    <mergeCell ref="F26:H26"/>
    <mergeCell ref="F27:K27"/>
    <mergeCell ref="B17:B20"/>
    <mergeCell ref="C21:D24"/>
    <mergeCell ref="F24:H24"/>
    <mergeCell ref="B2:D3"/>
    <mergeCell ref="M2:O3"/>
    <mergeCell ref="B4:D4"/>
    <mergeCell ref="M4:O4"/>
    <mergeCell ref="B5:B6"/>
    <mergeCell ref="C5:C6"/>
    <mergeCell ref="M5:M6"/>
    <mergeCell ref="N5:N6"/>
    <mergeCell ref="F5:K6"/>
    <mergeCell ref="M7:M10"/>
    <mergeCell ref="N7:N10"/>
    <mergeCell ref="F8:F12"/>
    <mergeCell ref="G8:G9"/>
    <mergeCell ref="B9:B14"/>
    <mergeCell ref="C9:C10"/>
    <mergeCell ref="M11:M13"/>
    <mergeCell ref="N11:N13"/>
    <mergeCell ref="C12:C14"/>
    <mergeCell ref="F13:F17"/>
    <mergeCell ref="B7:B8"/>
    <mergeCell ref="C7:C8"/>
    <mergeCell ref="G13:G14"/>
    <mergeCell ref="B15:B16"/>
    <mergeCell ref="C15:C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DoTheOffset">
                <anchor moveWithCells="1" sizeWithCells="1">
                  <from>
                    <xdr:col>2</xdr:col>
                    <xdr:colOff>1800225</xdr:colOff>
                    <xdr:row>20</xdr:row>
                    <xdr:rowOff>171450</xdr:rowOff>
                  </from>
                  <to>
                    <xdr:col>3</xdr:col>
                    <xdr:colOff>1438275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Drop Down 2">
              <controlPr defaultSize="0" autoLine="0" autoPict="0">
                <anchor moveWithCells="1">
                  <from>
                    <xdr:col>3</xdr:col>
                    <xdr:colOff>57150</xdr:colOff>
                    <xdr:row>4</xdr:row>
                    <xdr:rowOff>104775</xdr:rowOff>
                  </from>
                  <to>
                    <xdr:col>3</xdr:col>
                    <xdr:colOff>1438275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GetDataFromOffsetCalculator">
                <anchor moveWithCells="1" sizeWithCells="1">
                  <from>
                    <xdr:col>3</xdr:col>
                    <xdr:colOff>209550</xdr:colOff>
                    <xdr:row>11</xdr:row>
                    <xdr:rowOff>19050</xdr:rowOff>
                  </from>
                  <to>
                    <xdr:col>3</xdr:col>
                    <xdr:colOff>1276350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Drop Down 4">
              <controlPr defaultSize="0" autoLine="0" autoPict="0">
                <anchor moveWithCells="1">
                  <from>
                    <xdr:col>3</xdr:col>
                    <xdr:colOff>57150</xdr:colOff>
                    <xdr:row>6</xdr:row>
                    <xdr:rowOff>85725</xdr:rowOff>
                  </from>
                  <to>
                    <xdr:col>3</xdr:col>
                    <xdr:colOff>1438275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CheckFix12">
              <controlPr defaultSize="0" autoFill="0" autoLine="0" autoPict="0">
                <anchor moveWithCells="1">
                  <from>
                    <xdr:col>3</xdr:col>
                    <xdr:colOff>428625</xdr:colOff>
                    <xdr:row>16</xdr:row>
                    <xdr:rowOff>38100</xdr:rowOff>
                  </from>
                  <to>
                    <xdr:col>3</xdr:col>
                    <xdr:colOff>1314450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CheckFix34">
              <controlPr defaultSize="0" autoFill="0" autoLine="0" autoPict="0">
                <anchor moveWithCells="1">
                  <from>
                    <xdr:col>3</xdr:col>
                    <xdr:colOff>428625</xdr:colOff>
                    <xdr:row>17</xdr:row>
                    <xdr:rowOff>9525</xdr:rowOff>
                  </from>
                  <to>
                    <xdr:col>3</xdr:col>
                    <xdr:colOff>1333500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CheckFix56">
              <controlPr defaultSize="0" autoFill="0" autoLine="0" autoPict="0">
                <anchor moveWithCells="1">
                  <from>
                    <xdr:col>3</xdr:col>
                    <xdr:colOff>428625</xdr:colOff>
                    <xdr:row>17</xdr:row>
                    <xdr:rowOff>152400</xdr:rowOff>
                  </from>
                  <to>
                    <xdr:col>3</xdr:col>
                    <xdr:colOff>1333500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CheckFix78">
              <controlPr defaultSize="0" autoFill="0" autoLine="0" autoPict="0">
                <anchor moveWithCells="1">
                  <from>
                    <xdr:col>3</xdr:col>
                    <xdr:colOff>428625</xdr:colOff>
                    <xdr:row>18</xdr:row>
                    <xdr:rowOff>123825</xdr:rowOff>
                  </from>
                  <to>
                    <xdr:col>3</xdr:col>
                    <xdr:colOff>1333500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1" name="Button 9">
              <controlPr defaultSize="0" print="0" autoFill="0" autoPict="0" macro="[0]!GetPathFromNominalORD">
                <anchor moveWithCells="1" sizeWithCells="1">
                  <from>
                    <xdr:col>4</xdr:col>
                    <xdr:colOff>133350</xdr:colOff>
                    <xdr:row>29</xdr:row>
                    <xdr:rowOff>76200</xdr:rowOff>
                  </from>
                  <to>
                    <xdr:col>6</xdr:col>
                    <xdr:colOff>238125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2" name="Button 10">
              <controlPr defaultSize="0" print="0" autoFill="0" autoPict="0" macro="[0]!JustOffsetNoFileExport">
                <anchor moveWithCells="1" sizeWithCells="1">
                  <from>
                    <xdr:col>6</xdr:col>
                    <xdr:colOff>447675</xdr:colOff>
                    <xdr:row>29</xdr:row>
                    <xdr:rowOff>85725</xdr:rowOff>
                  </from>
                  <to>
                    <xdr:col>8</xdr:col>
                    <xdr:colOff>95250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3" name="Button 11">
              <controlPr defaultSize="0" print="0" autoFill="0" autoPict="0" macro="[0]!RevertToOldOffset">
                <anchor moveWithCells="1" sizeWithCells="1">
                  <from>
                    <xdr:col>8</xdr:col>
                    <xdr:colOff>342900</xdr:colOff>
                    <xdr:row>29</xdr:row>
                    <xdr:rowOff>85725</xdr:rowOff>
                  </from>
                  <to>
                    <xdr:col>11</xdr:col>
                    <xdr:colOff>276225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4" name="Drop Down 12">
              <controlPr defaultSize="0" autoLine="0" autoPict="0">
                <anchor moveWithCells="1">
                  <from>
                    <xdr:col>14</xdr:col>
                    <xdr:colOff>57150</xdr:colOff>
                    <xdr:row>4</xdr:row>
                    <xdr:rowOff>123825</xdr:rowOff>
                  </from>
                  <to>
                    <xdr:col>14</xdr:col>
                    <xdr:colOff>1438275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5" name="Button 13">
              <controlPr defaultSize="0" print="0" autoFill="0" autoPict="0" macro="[0]!JustMakeCutFiles">
                <anchor moveWithCells="1" sizeWithCells="1">
                  <from>
                    <xdr:col>13</xdr:col>
                    <xdr:colOff>1828800</xdr:colOff>
                    <xdr:row>10</xdr:row>
                    <xdr:rowOff>85725</xdr:rowOff>
                  </from>
                  <to>
                    <xdr:col>14</xdr:col>
                    <xdr:colOff>1466850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6" name="Check Box 14">
              <controlPr defaultSize="0" autoFill="0" autoLine="0" autoPict="0">
                <anchor moveWithCells="1">
                  <from>
                    <xdr:col>14</xdr:col>
                    <xdr:colOff>428625</xdr:colOff>
                    <xdr:row>6</xdr:row>
                    <xdr:rowOff>38100</xdr:rowOff>
                  </from>
                  <to>
                    <xdr:col>14</xdr:col>
                    <xdr:colOff>1314450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7" name="Check Box 15">
              <controlPr defaultSize="0" autoFill="0" autoLine="0" autoPict="0">
                <anchor moveWithCells="1">
                  <from>
                    <xdr:col>14</xdr:col>
                    <xdr:colOff>428625</xdr:colOff>
                    <xdr:row>7</xdr:row>
                    <xdr:rowOff>9525</xdr:rowOff>
                  </from>
                  <to>
                    <xdr:col>14</xdr:col>
                    <xdr:colOff>1333500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8" name="Check Box 16">
              <controlPr defaultSize="0" autoFill="0" autoLine="0" autoPict="0">
                <anchor moveWithCells="1">
                  <from>
                    <xdr:col>14</xdr:col>
                    <xdr:colOff>428625</xdr:colOff>
                    <xdr:row>7</xdr:row>
                    <xdr:rowOff>152400</xdr:rowOff>
                  </from>
                  <to>
                    <xdr:col>14</xdr:col>
                    <xdr:colOff>1333500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9" name="Check Box 17">
              <controlPr defaultSize="0" autoFill="0" autoLine="0" autoPict="0">
                <anchor moveWithCells="1">
                  <from>
                    <xdr:col>14</xdr:col>
                    <xdr:colOff>428625</xdr:colOff>
                    <xdr:row>8</xdr:row>
                    <xdr:rowOff>123825</xdr:rowOff>
                  </from>
                  <to>
                    <xdr:col>14</xdr:col>
                    <xdr:colOff>1333500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0" name="Button 18">
              <controlPr defaultSize="0" print="0" autoFill="0" autoPict="0" macro="[0]!ShowHideSheets">
                <anchor moveWithCells="1" sizeWithCells="1">
                  <from>
                    <xdr:col>11</xdr:col>
                    <xdr:colOff>400050</xdr:colOff>
                    <xdr:row>29</xdr:row>
                    <xdr:rowOff>85725</xdr:rowOff>
                  </from>
                  <to>
                    <xdr:col>13</xdr:col>
                    <xdr:colOff>876300</xdr:colOff>
                    <xdr:row>31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7"/>
  <dimension ref="A1:EB86"/>
  <sheetViews>
    <sheetView workbookViewId="0">
      <selection activeCell="P11" sqref="P11"/>
    </sheetView>
  </sheetViews>
  <sheetFormatPr defaultRowHeight="15" x14ac:dyDescent="0.25"/>
  <cols>
    <col min="1" max="1" width="2.28515625" bestFit="1" customWidth="1"/>
    <col min="2" max="2" width="19.85546875" bestFit="1" customWidth="1"/>
    <col min="3" max="3" width="8.42578125" bestFit="1" customWidth="1"/>
    <col min="4" max="4" width="10" customWidth="1"/>
    <col min="5" max="5" width="5.7109375" bestFit="1" customWidth="1"/>
    <col min="6" max="6" width="12.7109375" customWidth="1"/>
    <col min="7" max="7" width="13.140625" customWidth="1"/>
    <col min="8" max="8" width="11.28515625" customWidth="1"/>
    <col min="9" max="9" width="14.28515625" customWidth="1"/>
    <col min="10" max="13" width="5.28515625" customWidth="1"/>
    <col min="14" max="14" width="16.7109375" customWidth="1"/>
    <col min="15" max="15" width="5.28515625" customWidth="1"/>
    <col min="16" max="16" width="10.42578125" bestFit="1" customWidth="1"/>
    <col min="17" max="17" width="9.42578125" bestFit="1" customWidth="1"/>
    <col min="18" max="18" width="15.42578125" bestFit="1" customWidth="1"/>
    <col min="19" max="26" width="5.28515625" customWidth="1"/>
    <col min="27" max="29" width="5.140625" customWidth="1"/>
    <col min="30" max="34" width="12.140625" customWidth="1"/>
    <col min="47" max="47" width="4.5703125" customWidth="1"/>
    <col min="48" max="50" width="9.140625" hidden="1" customWidth="1"/>
  </cols>
  <sheetData>
    <row r="1" spans="1:30" ht="15.75" thickBot="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</row>
    <row r="2" spans="1:30" ht="38.25" customHeight="1" thickBot="1" x14ac:dyDescent="0.3">
      <c r="B2" s="565"/>
      <c r="C2" s="564"/>
      <c r="D2" s="564"/>
      <c r="E2" s="1193" t="s">
        <v>394</v>
      </c>
      <c r="F2" s="1193"/>
      <c r="G2" s="754" t="s">
        <v>393</v>
      </c>
      <c r="H2" s="754"/>
      <c r="I2" s="755"/>
      <c r="J2" s="523"/>
      <c r="K2" s="523"/>
      <c r="L2" s="523"/>
      <c r="M2" s="523"/>
      <c r="N2" s="748" t="s">
        <v>392</v>
      </c>
      <c r="O2" s="749"/>
      <c r="P2" s="749"/>
      <c r="Q2" s="749"/>
      <c r="R2" s="750"/>
      <c r="S2" s="523"/>
      <c r="T2" s="523"/>
      <c r="U2" s="523"/>
      <c r="V2" s="523"/>
      <c r="W2" s="523"/>
      <c r="X2" s="523"/>
      <c r="Y2" s="523"/>
      <c r="Z2" s="523"/>
      <c r="AA2" s="523"/>
    </row>
    <row r="3" spans="1:30" x14ac:dyDescent="0.25">
      <c r="B3" s="563"/>
      <c r="C3" s="562"/>
      <c r="D3" s="562"/>
      <c r="E3" s="1190" t="s">
        <v>391</v>
      </c>
      <c r="F3" s="1190"/>
      <c r="G3" s="1191"/>
      <c r="H3" s="1191"/>
      <c r="I3" s="1192"/>
      <c r="J3" s="559"/>
      <c r="K3" s="559"/>
      <c r="L3" s="559"/>
      <c r="M3" s="559"/>
      <c r="N3" s="751" t="s">
        <v>387</v>
      </c>
      <c r="O3" s="752"/>
      <c r="P3" s="561" t="s">
        <v>390</v>
      </c>
      <c r="Q3" s="561" t="s">
        <v>389</v>
      </c>
      <c r="R3" s="560" t="s">
        <v>388</v>
      </c>
      <c r="S3" s="559"/>
      <c r="T3" s="559"/>
      <c r="U3" s="559"/>
      <c r="V3" s="548">
        <v>25</v>
      </c>
      <c r="W3" s="548">
        <v>27</v>
      </c>
      <c r="X3" s="559"/>
      <c r="Y3" s="537">
        <v>1</v>
      </c>
      <c r="Z3" s="537">
        <v>1</v>
      </c>
      <c r="AA3" s="523"/>
    </row>
    <row r="4" spans="1:30" ht="15.75" thickBot="1" x14ac:dyDescent="0.3">
      <c r="B4" s="558"/>
      <c r="C4" s="547"/>
      <c r="D4" s="547" t="s">
        <v>387</v>
      </c>
      <c r="E4" s="534" t="s">
        <v>93</v>
      </c>
      <c r="F4" s="557" t="s">
        <v>304</v>
      </c>
      <c r="G4" s="534" t="s">
        <v>386</v>
      </c>
      <c r="H4" s="534" t="s">
        <v>385</v>
      </c>
      <c r="I4" s="533" t="s">
        <v>384</v>
      </c>
      <c r="J4" s="523"/>
      <c r="K4" s="523"/>
      <c r="L4" s="523"/>
      <c r="M4" s="523"/>
      <c r="N4" s="555" t="s">
        <v>383</v>
      </c>
      <c r="O4" s="554"/>
      <c r="P4" s="537">
        <v>1</v>
      </c>
      <c r="Q4" s="537">
        <v>1</v>
      </c>
      <c r="R4" s="536" t="b">
        <v>1</v>
      </c>
      <c r="S4" s="523"/>
      <c r="T4" s="523"/>
      <c r="U4" s="523"/>
      <c r="V4" s="548">
        <v>28</v>
      </c>
      <c r="W4" s="548">
        <v>30</v>
      </c>
      <c r="X4" s="523"/>
      <c r="Y4" s="543">
        <v>2</v>
      </c>
      <c r="Z4" s="537">
        <v>51</v>
      </c>
      <c r="AA4" s="523"/>
    </row>
    <row r="5" spans="1:30" x14ac:dyDescent="0.25">
      <c r="B5" s="743" t="s">
        <v>250</v>
      </c>
      <c r="C5" s="747" t="s">
        <v>251</v>
      </c>
      <c r="D5" s="523" t="s">
        <v>252</v>
      </c>
      <c r="E5" s="537" t="s">
        <v>382</v>
      </c>
      <c r="F5" s="543" t="s">
        <v>381</v>
      </c>
      <c r="G5" s="548">
        <v>26</v>
      </c>
      <c r="H5" s="548">
        <v>28</v>
      </c>
      <c r="I5" s="536" t="s">
        <v>321</v>
      </c>
      <c r="J5" s="523"/>
      <c r="K5" s="523"/>
      <c r="L5" s="523"/>
      <c r="M5" s="523"/>
      <c r="N5" s="555" t="s">
        <v>322</v>
      </c>
      <c r="O5" s="554"/>
      <c r="P5" s="543">
        <v>2</v>
      </c>
      <c r="Q5" s="537">
        <v>52</v>
      </c>
      <c r="R5" s="536" t="b">
        <v>0</v>
      </c>
      <c r="S5" s="523"/>
      <c r="T5" s="523"/>
      <c r="U5" s="523"/>
      <c r="V5" s="548">
        <v>29</v>
      </c>
      <c r="W5" s="548">
        <v>33</v>
      </c>
      <c r="X5" s="523"/>
      <c r="Y5" s="543">
        <v>52</v>
      </c>
      <c r="Z5" s="543">
        <v>53</v>
      </c>
      <c r="AA5" s="523"/>
    </row>
    <row r="6" spans="1:30" x14ac:dyDescent="0.25">
      <c r="B6" s="743"/>
      <c r="C6" s="747"/>
      <c r="D6" s="523" t="s">
        <v>253</v>
      </c>
      <c r="E6" s="537" t="s">
        <v>380</v>
      </c>
      <c r="F6" s="543" t="s">
        <v>379</v>
      </c>
      <c r="G6" s="548">
        <v>29</v>
      </c>
      <c r="H6" s="548">
        <v>31</v>
      </c>
      <c r="I6" s="536" t="s">
        <v>321</v>
      </c>
      <c r="J6" s="523"/>
      <c r="K6" s="523"/>
      <c r="L6" s="523"/>
      <c r="M6" s="523"/>
      <c r="N6" s="555" t="s">
        <v>378</v>
      </c>
      <c r="O6" s="554"/>
      <c r="P6" s="543">
        <v>53</v>
      </c>
      <c r="Q6" s="543">
        <v>54</v>
      </c>
      <c r="R6" s="536" t="b">
        <v>0</v>
      </c>
      <c r="S6" s="523"/>
      <c r="T6" s="523"/>
      <c r="U6" s="523"/>
      <c r="V6" s="548">
        <v>24</v>
      </c>
      <c r="W6" s="548">
        <v>26</v>
      </c>
      <c r="X6" s="523"/>
      <c r="Y6" s="543">
        <v>54</v>
      </c>
      <c r="Z6" s="537">
        <v>103</v>
      </c>
      <c r="AA6" s="523"/>
    </row>
    <row r="7" spans="1:30" x14ac:dyDescent="0.25">
      <c r="B7" s="743"/>
      <c r="C7" s="556" t="s">
        <v>254</v>
      </c>
      <c r="D7" s="523" t="s">
        <v>253</v>
      </c>
      <c r="E7" s="537" t="s">
        <v>377</v>
      </c>
      <c r="F7" s="543" t="s">
        <v>376</v>
      </c>
      <c r="G7" s="548">
        <v>30</v>
      </c>
      <c r="H7" s="548">
        <v>34</v>
      </c>
      <c r="I7" s="536" t="s">
        <v>323</v>
      </c>
      <c r="J7" s="523"/>
      <c r="K7" s="523"/>
      <c r="L7" s="523"/>
      <c r="M7" s="523"/>
      <c r="N7" s="555" t="s">
        <v>324</v>
      </c>
      <c r="O7" s="554"/>
      <c r="P7" s="543">
        <v>55</v>
      </c>
      <c r="Q7" s="537">
        <v>105</v>
      </c>
      <c r="R7" s="536" t="b">
        <v>0</v>
      </c>
      <c r="S7" s="523"/>
      <c r="T7" s="523"/>
      <c r="U7" s="523"/>
      <c r="V7" s="548">
        <v>3</v>
      </c>
      <c r="W7" s="548">
        <v>6</v>
      </c>
      <c r="X7" s="523"/>
      <c r="Y7" s="543">
        <v>104</v>
      </c>
      <c r="Z7" s="543">
        <v>105</v>
      </c>
      <c r="AA7" s="523"/>
    </row>
    <row r="8" spans="1:30" x14ac:dyDescent="0.25">
      <c r="B8" s="743"/>
      <c r="C8" s="556" t="s">
        <v>255</v>
      </c>
      <c r="D8" s="523" t="s">
        <v>252</v>
      </c>
      <c r="E8" s="537" t="s">
        <v>375</v>
      </c>
      <c r="F8" s="543" t="s">
        <v>374</v>
      </c>
      <c r="G8" s="548">
        <v>25</v>
      </c>
      <c r="H8" s="548">
        <v>27</v>
      </c>
      <c r="I8" s="536" t="s">
        <v>323</v>
      </c>
      <c r="J8" s="523"/>
      <c r="K8" s="523"/>
      <c r="L8" s="523"/>
      <c r="M8" s="523"/>
      <c r="N8" s="555" t="s">
        <v>373</v>
      </c>
      <c r="O8" s="554"/>
      <c r="P8" s="543">
        <v>106</v>
      </c>
      <c r="Q8" s="543">
        <v>107</v>
      </c>
      <c r="R8" s="536" t="b">
        <v>0</v>
      </c>
      <c r="S8" s="523"/>
      <c r="T8" s="523"/>
      <c r="U8" s="523"/>
      <c r="V8" s="548">
        <v>14</v>
      </c>
      <c r="W8" s="548">
        <v>16</v>
      </c>
      <c r="X8" s="523"/>
      <c r="Y8" s="537">
        <v>106</v>
      </c>
      <c r="Z8" s="537">
        <v>155</v>
      </c>
      <c r="AA8" s="523"/>
    </row>
    <row r="9" spans="1:30" x14ac:dyDescent="0.25">
      <c r="B9" s="743"/>
      <c r="C9" s="523" t="s">
        <v>256</v>
      </c>
      <c r="D9" s="523" t="s">
        <v>257</v>
      </c>
      <c r="E9" s="537" t="s">
        <v>372</v>
      </c>
      <c r="F9" s="543" t="s">
        <v>371</v>
      </c>
      <c r="G9" s="548">
        <v>4</v>
      </c>
      <c r="H9" s="548">
        <v>7</v>
      </c>
      <c r="I9" s="536" t="s">
        <v>323</v>
      </c>
      <c r="J9" s="523"/>
      <c r="K9" s="523"/>
      <c r="L9" s="523"/>
      <c r="M9" s="523"/>
      <c r="N9" s="555" t="s">
        <v>325</v>
      </c>
      <c r="O9" s="554"/>
      <c r="P9" s="537">
        <v>108</v>
      </c>
      <c r="Q9" s="537">
        <v>158</v>
      </c>
      <c r="R9" s="536" t="b">
        <v>1</v>
      </c>
      <c r="S9" s="523"/>
      <c r="T9" s="523"/>
      <c r="U9" s="523"/>
      <c r="V9" s="548">
        <v>11</v>
      </c>
      <c r="W9" s="548">
        <v>13</v>
      </c>
      <c r="X9" s="523"/>
      <c r="Y9" s="543">
        <v>156</v>
      </c>
      <c r="Z9" s="543">
        <v>157</v>
      </c>
      <c r="AA9" s="523"/>
    </row>
    <row r="10" spans="1:30" x14ac:dyDescent="0.25">
      <c r="B10" s="743" t="s">
        <v>258</v>
      </c>
      <c r="C10" s="747" t="s">
        <v>251</v>
      </c>
      <c r="D10" s="523" t="s">
        <v>259</v>
      </c>
      <c r="E10" s="537" t="s">
        <v>370</v>
      </c>
      <c r="F10" s="543" t="s">
        <v>369</v>
      </c>
      <c r="G10" s="548">
        <v>15</v>
      </c>
      <c r="H10" s="548">
        <v>17</v>
      </c>
      <c r="I10" s="536" t="s">
        <v>321</v>
      </c>
      <c r="J10" s="523"/>
      <c r="K10" s="523"/>
      <c r="L10" s="523"/>
      <c r="M10" s="523"/>
      <c r="N10" s="555" t="s">
        <v>368</v>
      </c>
      <c r="O10" s="554"/>
      <c r="P10" s="543">
        <v>159</v>
      </c>
      <c r="Q10" s="543">
        <v>160</v>
      </c>
      <c r="R10" s="536" t="b">
        <v>0</v>
      </c>
      <c r="S10" s="523"/>
      <c r="T10" s="523"/>
      <c r="U10" s="523"/>
      <c r="V10" s="548">
        <v>15</v>
      </c>
      <c r="W10" s="548">
        <v>19</v>
      </c>
      <c r="X10" s="523"/>
      <c r="Y10" s="537">
        <v>158</v>
      </c>
      <c r="Z10" s="537">
        <v>207</v>
      </c>
      <c r="AA10" s="523"/>
    </row>
    <row r="11" spans="1:30" x14ac:dyDescent="0.25">
      <c r="B11" s="743"/>
      <c r="C11" s="747"/>
      <c r="D11" s="523" t="s">
        <v>260</v>
      </c>
      <c r="E11" s="537" t="s">
        <v>367</v>
      </c>
      <c r="F11" s="543" t="s">
        <v>366</v>
      </c>
      <c r="G11" s="548">
        <v>12</v>
      </c>
      <c r="H11" s="548">
        <v>14</v>
      </c>
      <c r="I11" s="536" t="s">
        <v>321</v>
      </c>
      <c r="J11" s="523"/>
      <c r="K11" s="523"/>
      <c r="L11" s="523"/>
      <c r="M11" s="523"/>
      <c r="N11" s="555" t="s">
        <v>326</v>
      </c>
      <c r="O11" s="554"/>
      <c r="P11" s="537">
        <v>161</v>
      </c>
      <c r="Q11" s="537">
        <v>211</v>
      </c>
      <c r="R11" s="536" t="b">
        <v>0</v>
      </c>
      <c r="S11" s="523"/>
      <c r="T11" s="523"/>
      <c r="U11" s="523"/>
      <c r="V11" s="548">
        <v>10</v>
      </c>
      <c r="W11" s="548">
        <v>12</v>
      </c>
      <c r="X11" s="523"/>
      <c r="Y11" s="543">
        <v>208</v>
      </c>
      <c r="Z11" s="543">
        <v>208</v>
      </c>
      <c r="AA11" s="523"/>
    </row>
    <row r="12" spans="1:30" x14ac:dyDescent="0.25">
      <c r="B12" s="743"/>
      <c r="C12" s="523" t="s">
        <v>254</v>
      </c>
      <c r="D12" s="523" t="s">
        <v>259</v>
      </c>
      <c r="E12" s="537" t="s">
        <v>365</v>
      </c>
      <c r="F12" s="543" t="s">
        <v>364</v>
      </c>
      <c r="G12" s="548">
        <v>16</v>
      </c>
      <c r="H12" s="548">
        <v>20</v>
      </c>
      <c r="I12" s="536" t="s">
        <v>323</v>
      </c>
      <c r="J12" s="523"/>
      <c r="K12" s="523"/>
      <c r="L12" s="523"/>
      <c r="M12" s="523"/>
      <c r="N12" s="555" t="s">
        <v>363</v>
      </c>
      <c r="O12" s="554"/>
      <c r="P12" s="543">
        <v>212</v>
      </c>
      <c r="Q12" s="543">
        <v>212</v>
      </c>
      <c r="R12" s="536" t="b">
        <v>0</v>
      </c>
      <c r="S12" s="523"/>
      <c r="T12" s="523"/>
      <c r="U12" s="523"/>
      <c r="V12" s="548">
        <v>0</v>
      </c>
      <c r="W12" s="548">
        <v>2</v>
      </c>
      <c r="X12" s="523"/>
      <c r="Y12" s="543">
        <v>209</v>
      </c>
      <c r="Z12" s="543">
        <v>209</v>
      </c>
      <c r="AA12" s="523"/>
    </row>
    <row r="13" spans="1:30" x14ac:dyDescent="0.25">
      <c r="B13" s="743"/>
      <c r="C13" s="523" t="s">
        <v>255</v>
      </c>
      <c r="D13" s="523" t="s">
        <v>260</v>
      </c>
      <c r="E13" s="537" t="s">
        <v>362</v>
      </c>
      <c r="F13" s="543" t="s">
        <v>361</v>
      </c>
      <c r="G13" s="548">
        <v>11</v>
      </c>
      <c r="H13" s="548">
        <v>13</v>
      </c>
      <c r="I13" s="536" t="s">
        <v>323</v>
      </c>
      <c r="J13" s="523"/>
      <c r="K13" s="523"/>
      <c r="L13" s="523"/>
      <c r="M13" s="523"/>
      <c r="N13" s="555" t="s">
        <v>360</v>
      </c>
      <c r="O13" s="554"/>
      <c r="P13" s="543">
        <v>213</v>
      </c>
      <c r="Q13" s="543">
        <v>213</v>
      </c>
      <c r="R13" s="553" t="b">
        <v>1</v>
      </c>
      <c r="S13" s="523"/>
      <c r="T13" s="523"/>
      <c r="U13" s="523"/>
      <c r="V13" s="548">
        <v>44</v>
      </c>
      <c r="W13" s="548">
        <v>49</v>
      </c>
      <c r="X13" s="523"/>
      <c r="Y13" s="543">
        <v>210</v>
      </c>
      <c r="Z13" s="543">
        <v>210</v>
      </c>
      <c r="AA13" s="523"/>
    </row>
    <row r="14" spans="1:30" x14ac:dyDescent="0.25">
      <c r="B14" s="743"/>
      <c r="C14" s="523" t="s">
        <v>261</v>
      </c>
      <c r="D14" s="523" t="s">
        <v>257</v>
      </c>
      <c r="E14" s="537" t="s">
        <v>359</v>
      </c>
      <c r="F14" s="543" t="s">
        <v>358</v>
      </c>
      <c r="G14" s="548">
        <v>0</v>
      </c>
      <c r="H14" s="548">
        <v>3</v>
      </c>
      <c r="I14" s="536" t="s">
        <v>323</v>
      </c>
      <c r="J14" s="523"/>
      <c r="K14" s="523"/>
      <c r="L14" s="523"/>
      <c r="M14" s="523"/>
      <c r="N14" s="555" t="s">
        <v>357</v>
      </c>
      <c r="O14" s="554"/>
      <c r="P14" s="543">
        <v>214</v>
      </c>
      <c r="Q14" s="543">
        <v>214</v>
      </c>
      <c r="R14" s="553" t="b">
        <v>1</v>
      </c>
      <c r="S14" s="523"/>
      <c r="T14" s="523"/>
      <c r="U14" s="523"/>
      <c r="V14" s="548">
        <v>42</v>
      </c>
      <c r="W14" s="548">
        <v>45</v>
      </c>
      <c r="X14" s="523"/>
      <c r="Y14" s="543">
        <v>211</v>
      </c>
      <c r="Z14" s="543">
        <v>211</v>
      </c>
      <c r="AA14" s="523"/>
    </row>
    <row r="15" spans="1:30" x14ac:dyDescent="0.25">
      <c r="B15" s="743" t="s">
        <v>262</v>
      </c>
      <c r="C15" s="537" t="s">
        <v>254</v>
      </c>
      <c r="D15" s="537"/>
      <c r="E15" s="537" t="s">
        <v>356</v>
      </c>
      <c r="F15" s="543" t="s">
        <v>355</v>
      </c>
      <c r="G15" s="548">
        <v>45</v>
      </c>
      <c r="H15" s="548">
        <v>50</v>
      </c>
      <c r="I15" s="536" t="s">
        <v>321</v>
      </c>
      <c r="J15" s="523"/>
      <c r="K15" s="523"/>
      <c r="L15" s="523"/>
      <c r="M15" s="523"/>
      <c r="N15" s="552" t="s">
        <v>354</v>
      </c>
      <c r="O15" s="551"/>
      <c r="P15" s="543">
        <v>215</v>
      </c>
      <c r="Q15" s="543">
        <v>215</v>
      </c>
      <c r="R15" s="553" t="b">
        <v>1</v>
      </c>
      <c r="S15" s="523"/>
      <c r="T15" s="523"/>
      <c r="U15" s="523"/>
      <c r="V15" s="548">
        <v>40</v>
      </c>
      <c r="W15" s="548">
        <v>43</v>
      </c>
      <c r="X15" s="523"/>
      <c r="Y15" s="543">
        <v>212</v>
      </c>
      <c r="Z15" s="543">
        <v>212</v>
      </c>
      <c r="AA15" s="523"/>
    </row>
    <row r="16" spans="1:30" ht="15.75" thickBot="1" x14ac:dyDescent="0.3">
      <c r="B16" s="743"/>
      <c r="C16" s="537" t="s">
        <v>263</v>
      </c>
      <c r="D16" s="537"/>
      <c r="E16" s="537" t="s">
        <v>353</v>
      </c>
      <c r="F16" s="543" t="s">
        <v>352</v>
      </c>
      <c r="G16" s="548">
        <v>43</v>
      </c>
      <c r="H16" s="548">
        <v>46</v>
      </c>
      <c r="I16" s="536" t="s">
        <v>323</v>
      </c>
      <c r="J16" s="523"/>
      <c r="K16" s="523"/>
      <c r="L16" s="523"/>
      <c r="M16" s="523"/>
      <c r="N16" s="552" t="s">
        <v>351</v>
      </c>
      <c r="O16" s="551"/>
      <c r="P16" s="543">
        <v>216</v>
      </c>
      <c r="Q16" s="543">
        <v>216</v>
      </c>
      <c r="R16" s="536" t="b">
        <v>1</v>
      </c>
      <c r="S16" s="523"/>
      <c r="T16" s="523"/>
      <c r="U16" s="523"/>
      <c r="V16" s="548">
        <v>38</v>
      </c>
      <c r="W16" s="548">
        <v>41</v>
      </c>
      <c r="X16" s="523"/>
      <c r="Y16" s="534">
        <v>213</v>
      </c>
      <c r="Z16" s="534">
        <v>213</v>
      </c>
      <c r="AA16" s="523"/>
    </row>
    <row r="17" spans="2:132" ht="15.75" thickBot="1" x14ac:dyDescent="0.3">
      <c r="B17" s="743"/>
      <c r="C17" s="537" t="s">
        <v>264</v>
      </c>
      <c r="D17" s="537"/>
      <c r="E17" s="537" t="s">
        <v>350</v>
      </c>
      <c r="F17" s="543" t="s">
        <v>349</v>
      </c>
      <c r="G17" s="548">
        <v>41</v>
      </c>
      <c r="H17" s="548">
        <v>44</v>
      </c>
      <c r="I17" s="536" t="s">
        <v>321</v>
      </c>
      <c r="J17" s="523"/>
      <c r="K17" s="523"/>
      <c r="L17" s="523"/>
      <c r="M17" s="523"/>
      <c r="N17" s="550" t="s">
        <v>348</v>
      </c>
      <c r="O17" s="549"/>
      <c r="P17" s="534">
        <v>217</v>
      </c>
      <c r="Q17" s="534">
        <v>217</v>
      </c>
      <c r="R17" s="533" t="b">
        <v>1</v>
      </c>
      <c r="S17" s="523"/>
      <c r="T17" s="523"/>
      <c r="U17" s="523"/>
      <c r="V17" s="548">
        <v>35</v>
      </c>
      <c r="W17" s="548">
        <v>39</v>
      </c>
      <c r="X17" s="523"/>
      <c r="Y17" s="523"/>
      <c r="Z17" s="523"/>
      <c r="AA17" s="523"/>
    </row>
    <row r="18" spans="2:132" x14ac:dyDescent="0.25">
      <c r="B18" s="743"/>
      <c r="C18" s="537" t="s">
        <v>265</v>
      </c>
      <c r="D18" s="537"/>
      <c r="E18" s="537" t="s">
        <v>347</v>
      </c>
      <c r="F18" s="543" t="s">
        <v>346</v>
      </c>
      <c r="G18" s="548">
        <v>39</v>
      </c>
      <c r="H18" s="548">
        <v>42</v>
      </c>
      <c r="I18" s="536" t="s">
        <v>323</v>
      </c>
      <c r="J18" s="523"/>
      <c r="K18" s="523"/>
      <c r="L18" s="523"/>
      <c r="M18" s="523"/>
      <c r="N18" s="523"/>
      <c r="O18" s="523"/>
      <c r="P18" s="523"/>
      <c r="Q18" s="523"/>
      <c r="R18" s="523"/>
      <c r="S18" s="523"/>
      <c r="T18" s="523"/>
      <c r="U18" s="523"/>
      <c r="V18" s="548">
        <v>7</v>
      </c>
      <c r="W18" s="548">
        <v>51</v>
      </c>
      <c r="X18" s="523"/>
      <c r="Y18" s="523"/>
      <c r="Z18" s="523"/>
      <c r="AA18" s="523"/>
    </row>
    <row r="19" spans="2:132" x14ac:dyDescent="0.25">
      <c r="B19" s="743"/>
      <c r="C19" s="537" t="s">
        <v>266</v>
      </c>
      <c r="D19" s="537"/>
      <c r="E19" s="537" t="s">
        <v>345</v>
      </c>
      <c r="F19" s="543" t="s">
        <v>344</v>
      </c>
      <c r="G19" s="548">
        <v>36</v>
      </c>
      <c r="H19" s="548">
        <v>40</v>
      </c>
      <c r="I19" s="536" t="s">
        <v>321</v>
      </c>
      <c r="J19" s="523"/>
      <c r="K19" s="523"/>
      <c r="L19" s="523"/>
      <c r="M19" s="523"/>
      <c r="N19" s="523"/>
      <c r="O19" s="523"/>
      <c r="P19" s="523"/>
      <c r="Q19" s="523"/>
      <c r="R19" s="523"/>
      <c r="S19" s="523"/>
      <c r="T19" s="523"/>
      <c r="U19" s="523"/>
      <c r="V19" s="548">
        <v>7</v>
      </c>
      <c r="W19" s="548">
        <v>51</v>
      </c>
      <c r="X19" s="523"/>
      <c r="Y19" s="523"/>
      <c r="Z19" s="523"/>
      <c r="AA19" s="523"/>
    </row>
    <row r="20" spans="2:132" x14ac:dyDescent="0.25">
      <c r="B20" s="743" t="s">
        <v>343</v>
      </c>
      <c r="C20" s="745" t="s">
        <v>341</v>
      </c>
      <c r="D20" s="745"/>
      <c r="E20" s="523"/>
      <c r="F20" s="523"/>
      <c r="G20" s="548">
        <v>8</v>
      </c>
      <c r="H20" s="548">
        <v>52</v>
      </c>
      <c r="I20" s="536" t="s">
        <v>323</v>
      </c>
      <c r="J20" s="523"/>
      <c r="K20" s="523"/>
      <c r="L20" s="523"/>
      <c r="M20" s="523"/>
      <c r="N20" s="523"/>
      <c r="O20" s="523"/>
      <c r="P20" s="523"/>
      <c r="Q20" s="523"/>
      <c r="R20" s="523"/>
      <c r="S20" s="523"/>
      <c r="T20" s="523"/>
      <c r="U20" s="523"/>
      <c r="V20" s="548">
        <v>0</v>
      </c>
      <c r="W20" s="548">
        <v>6</v>
      </c>
      <c r="X20" s="523"/>
      <c r="Y20" s="523"/>
      <c r="Z20" s="523"/>
      <c r="AA20" s="523"/>
    </row>
    <row r="21" spans="2:132" ht="15.75" thickBot="1" x14ac:dyDescent="0.3">
      <c r="B21" s="743"/>
      <c r="C21" s="745" t="s">
        <v>340</v>
      </c>
      <c r="D21" s="745"/>
      <c r="E21" s="523"/>
      <c r="F21" s="523"/>
      <c r="G21" s="548">
        <v>8</v>
      </c>
      <c r="H21" s="548">
        <v>52</v>
      </c>
      <c r="I21" s="536" t="s">
        <v>321</v>
      </c>
      <c r="J21" s="523"/>
      <c r="K21" s="523"/>
      <c r="L21" s="523"/>
      <c r="M21" s="523"/>
      <c r="N21" s="523"/>
      <c r="O21" s="523"/>
      <c r="P21" s="523"/>
      <c r="Q21" s="523"/>
      <c r="R21" s="523"/>
      <c r="S21" s="523"/>
      <c r="T21" s="523"/>
      <c r="U21" s="523"/>
      <c r="V21" s="546">
        <v>0</v>
      </c>
      <c r="W21" s="546">
        <v>6</v>
      </c>
      <c r="X21" s="523"/>
      <c r="Y21" s="523"/>
      <c r="Z21" s="523"/>
      <c r="AA21" s="523"/>
    </row>
    <row r="22" spans="2:132" x14ac:dyDescent="0.25">
      <c r="B22" s="743" t="s">
        <v>342</v>
      </c>
      <c r="C22" s="745" t="s">
        <v>341</v>
      </c>
      <c r="D22" s="745"/>
      <c r="E22" s="523"/>
      <c r="F22" s="523"/>
      <c r="G22" s="548">
        <v>0</v>
      </c>
      <c r="H22" s="548">
        <v>7</v>
      </c>
      <c r="I22" s="536" t="s">
        <v>323</v>
      </c>
    </row>
    <row r="23" spans="2:132" ht="15.75" thickBot="1" x14ac:dyDescent="0.3">
      <c r="B23" s="744"/>
      <c r="C23" s="746" t="s">
        <v>340</v>
      </c>
      <c r="D23" s="746"/>
      <c r="E23" s="547"/>
      <c r="F23" s="547"/>
      <c r="G23" s="546">
        <v>0</v>
      </c>
      <c r="H23" s="546">
        <v>7</v>
      </c>
      <c r="I23" s="533" t="s">
        <v>321</v>
      </c>
    </row>
    <row r="25" spans="2:132" x14ac:dyDescent="0.25">
      <c r="B25" s="530" t="s">
        <v>495</v>
      </c>
      <c r="C25" t="b">
        <v>1</v>
      </c>
    </row>
    <row r="26" spans="2:132" x14ac:dyDescent="0.25">
      <c r="B26" s="530" t="s">
        <v>501</v>
      </c>
      <c r="C26" t="b">
        <v>0</v>
      </c>
    </row>
    <row r="27" spans="2:132" x14ac:dyDescent="0.25">
      <c r="B27" s="530" t="s">
        <v>493</v>
      </c>
      <c r="C27" t="b">
        <v>1</v>
      </c>
    </row>
    <row r="28" spans="2:132" x14ac:dyDescent="0.25">
      <c r="B28">
        <v>2</v>
      </c>
      <c r="C28" t="b">
        <v>0</v>
      </c>
      <c r="EB28">
        <v>2</v>
      </c>
    </row>
    <row r="29" spans="2:132" ht="15" customHeight="1" x14ac:dyDescent="0.25">
      <c r="C29" t="s">
        <v>491</v>
      </c>
      <c r="E29" s="1195" t="s">
        <v>339</v>
      </c>
      <c r="F29" s="1195"/>
      <c r="G29" s="1195"/>
      <c r="H29" s="1195"/>
      <c r="I29" s="1195"/>
      <c r="J29" s="1195"/>
      <c r="K29" s="1195"/>
      <c r="L29" s="1195"/>
      <c r="M29" s="1195"/>
      <c r="N29" s="1195"/>
      <c r="O29" s="1195"/>
      <c r="P29" s="1195"/>
      <c r="Q29" s="1195"/>
      <c r="R29" s="1195"/>
      <c r="S29" s="1195"/>
      <c r="T29" s="1195"/>
      <c r="U29" s="1195"/>
      <c r="V29" s="1195"/>
    </row>
    <row r="30" spans="2:132" ht="15" customHeight="1" x14ac:dyDescent="0.25">
      <c r="E30" s="1195"/>
      <c r="F30" s="1195"/>
      <c r="G30" s="1195"/>
      <c r="H30" s="1195"/>
      <c r="I30" s="1195"/>
      <c r="J30" s="1195"/>
      <c r="K30" s="1195"/>
      <c r="L30" s="1195"/>
      <c r="M30" s="1195"/>
      <c r="N30" s="1195"/>
      <c r="O30" s="1195"/>
      <c r="P30" s="1195"/>
      <c r="Q30" s="1195"/>
      <c r="R30" s="1195"/>
      <c r="S30" s="1195"/>
      <c r="T30" s="1195"/>
      <c r="U30" s="1195"/>
      <c r="V30" s="1195"/>
    </row>
    <row r="31" spans="2:132" x14ac:dyDescent="0.25">
      <c r="B31" s="530" t="s">
        <v>338</v>
      </c>
      <c r="C31" t="s">
        <v>277</v>
      </c>
      <c r="D31" t="s">
        <v>233</v>
      </c>
      <c r="E31" s="532"/>
      <c r="F31" s="545"/>
      <c r="G31" s="544"/>
      <c r="AF31" s="538" t="s">
        <v>337</v>
      </c>
      <c r="AG31" s="537" t="s">
        <v>336</v>
      </c>
      <c r="AH31" s="537" t="s">
        <v>337</v>
      </c>
      <c r="AI31" s="537" t="s">
        <v>336</v>
      </c>
      <c r="AJ31" s="537" t="s">
        <v>337</v>
      </c>
      <c r="AK31" s="537" t="s">
        <v>336</v>
      </c>
      <c r="AL31" s="537" t="s">
        <v>337</v>
      </c>
      <c r="AM31" s="537" t="s">
        <v>336</v>
      </c>
      <c r="AN31" s="537" t="s">
        <v>337</v>
      </c>
      <c r="AO31" s="537" t="s">
        <v>336</v>
      </c>
      <c r="AP31" s="537" t="s">
        <v>337</v>
      </c>
      <c r="AQ31" s="537" t="s">
        <v>336</v>
      </c>
      <c r="AR31" s="537" t="s">
        <v>337</v>
      </c>
      <c r="AS31" s="537" t="s">
        <v>336</v>
      </c>
      <c r="AT31" s="537" t="s">
        <v>337</v>
      </c>
      <c r="AU31" s="537" t="s">
        <v>336</v>
      </c>
      <c r="AV31" s="537" t="s">
        <v>337</v>
      </c>
      <c r="AW31" s="537" t="s">
        <v>336</v>
      </c>
      <c r="AX31" s="537" t="s">
        <v>337</v>
      </c>
      <c r="AY31" s="536" t="s">
        <v>336</v>
      </c>
    </row>
    <row r="32" spans="2:132" x14ac:dyDescent="0.25">
      <c r="B32" s="13">
        <v>8</v>
      </c>
      <c r="C32" s="529" t="s">
        <v>278</v>
      </c>
      <c r="D32" t="s">
        <v>200</v>
      </c>
      <c r="E32" s="532"/>
      <c r="G32" s="540" t="s">
        <v>335</v>
      </c>
      <c r="H32" s="1194" t="s">
        <v>334</v>
      </c>
      <c r="I32" s="1194"/>
      <c r="J32" s="1194"/>
      <c r="K32" s="1194"/>
      <c r="L32" s="1194"/>
      <c r="M32" s="1194"/>
      <c r="N32" s="1194"/>
      <c r="O32" s="1194"/>
      <c r="P32" s="1194"/>
      <c r="Q32" s="1194"/>
      <c r="R32" s="1194"/>
      <c r="S32" s="1194"/>
      <c r="T32" s="1194"/>
      <c r="U32" s="1194"/>
      <c r="V32" s="1194"/>
      <c r="AF32" s="542">
        <v>26</v>
      </c>
      <c r="AG32" s="537" t="s">
        <v>321</v>
      </c>
      <c r="AH32" s="537">
        <v>27</v>
      </c>
      <c r="AI32" s="537" t="s">
        <v>321</v>
      </c>
      <c r="AJ32" s="537">
        <v>28</v>
      </c>
      <c r="AK32" s="537" t="s">
        <v>321</v>
      </c>
      <c r="AL32" s="537">
        <v>29</v>
      </c>
      <c r="AM32" s="537" t="s">
        <v>321</v>
      </c>
      <c r="AN32" s="543">
        <v>30</v>
      </c>
      <c r="AO32" s="537" t="s">
        <v>321</v>
      </c>
      <c r="AP32" s="537"/>
      <c r="AQ32" s="537"/>
      <c r="AR32" s="537"/>
      <c r="AS32" s="537"/>
      <c r="AT32" s="537"/>
      <c r="AU32" s="537"/>
      <c r="AV32" s="537"/>
      <c r="AW32" s="537"/>
      <c r="AX32" s="537"/>
      <c r="AY32" s="536"/>
    </row>
    <row r="33" spans="2:51" x14ac:dyDescent="0.25">
      <c r="B33" s="13"/>
      <c r="C33" s="529" t="s">
        <v>279</v>
      </c>
      <c r="D33" t="s">
        <v>196</v>
      </c>
      <c r="E33" s="532"/>
      <c r="G33" s="540" t="s">
        <v>333</v>
      </c>
      <c r="H33" s="1194" t="s">
        <v>332</v>
      </c>
      <c r="I33" s="1194"/>
      <c r="J33" s="1194"/>
      <c r="K33" s="1194"/>
      <c r="L33" s="1194"/>
      <c r="M33" s="1194"/>
      <c r="N33" s="1194"/>
      <c r="O33" s="1194"/>
      <c r="P33" s="1194"/>
      <c r="Q33" s="1194"/>
      <c r="R33" s="1194"/>
      <c r="S33" s="1194"/>
      <c r="T33" s="1194"/>
      <c r="U33" s="1194"/>
      <c r="V33" s="1194"/>
      <c r="AF33" s="538">
        <v>31</v>
      </c>
      <c r="AG33" s="537" t="s">
        <v>321</v>
      </c>
      <c r="AH33" s="537">
        <v>32</v>
      </c>
      <c r="AI33" s="537" t="s">
        <v>321</v>
      </c>
      <c r="AJ33" s="537">
        <v>33</v>
      </c>
      <c r="AK33" s="537" t="s">
        <v>321</v>
      </c>
      <c r="AL33" s="537">
        <v>34</v>
      </c>
      <c r="AM33" s="537" t="s">
        <v>321</v>
      </c>
      <c r="AN33" s="541">
        <v>35</v>
      </c>
      <c r="AO33" s="537" t="s">
        <v>321</v>
      </c>
      <c r="AP33" s="541">
        <v>36</v>
      </c>
      <c r="AQ33" s="537" t="s">
        <v>321</v>
      </c>
      <c r="AR33" s="541">
        <v>37</v>
      </c>
      <c r="AS33" s="537" t="s">
        <v>321</v>
      </c>
      <c r="AT33" s="537"/>
      <c r="AU33" s="537"/>
      <c r="AV33" s="537"/>
      <c r="AW33" s="537"/>
      <c r="AX33" s="537"/>
      <c r="AY33" s="536"/>
    </row>
    <row r="34" spans="2:51" x14ac:dyDescent="0.25">
      <c r="B34" s="13"/>
      <c r="C34" s="529" t="s">
        <v>280</v>
      </c>
      <c r="D34" t="s">
        <v>245</v>
      </c>
      <c r="E34" s="532"/>
      <c r="G34" s="540" t="s">
        <v>331</v>
      </c>
      <c r="H34" s="1194" t="s">
        <v>330</v>
      </c>
      <c r="I34" s="1194"/>
      <c r="J34" s="1194"/>
      <c r="K34" s="1194"/>
      <c r="L34" s="1194"/>
      <c r="M34" s="1194"/>
      <c r="N34" s="1194"/>
      <c r="O34" s="1194"/>
      <c r="P34" s="1194"/>
      <c r="Q34" s="1194"/>
      <c r="R34" s="1194"/>
      <c r="S34" s="1194"/>
      <c r="T34" s="1194"/>
      <c r="U34" s="1194"/>
      <c r="V34" s="1194"/>
      <c r="AF34" s="542">
        <v>31</v>
      </c>
      <c r="AG34" s="537" t="s">
        <v>323</v>
      </c>
      <c r="AH34" s="537">
        <v>32</v>
      </c>
      <c r="AI34" s="537" t="s">
        <v>323</v>
      </c>
      <c r="AJ34" s="537">
        <v>33</v>
      </c>
      <c r="AK34" s="537" t="s">
        <v>323</v>
      </c>
      <c r="AL34" s="537">
        <v>34</v>
      </c>
      <c r="AM34" s="537" t="s">
        <v>323</v>
      </c>
      <c r="AN34" s="537">
        <v>35</v>
      </c>
      <c r="AO34" s="537" t="s">
        <v>323</v>
      </c>
      <c r="AP34" s="537">
        <v>36</v>
      </c>
      <c r="AQ34" s="537" t="s">
        <v>323</v>
      </c>
      <c r="AR34" s="537">
        <v>37</v>
      </c>
      <c r="AS34" s="537" t="s">
        <v>323</v>
      </c>
      <c r="AT34" s="537"/>
      <c r="AU34" s="537"/>
      <c r="AV34" s="537"/>
      <c r="AW34" s="537"/>
      <c r="AX34" s="537"/>
      <c r="AY34" s="536"/>
    </row>
    <row r="35" spans="2:51" x14ac:dyDescent="0.25">
      <c r="B35" s="13"/>
      <c r="C35" s="529" t="s">
        <v>241</v>
      </c>
      <c r="D35" t="s">
        <v>226</v>
      </c>
      <c r="E35" s="532"/>
      <c r="G35" s="540" t="s">
        <v>329</v>
      </c>
      <c r="H35" s="1194" t="s">
        <v>328</v>
      </c>
      <c r="I35" s="1194"/>
      <c r="J35" s="1194"/>
      <c r="K35" s="1194"/>
      <c r="L35" s="1194"/>
      <c r="M35" s="1194"/>
      <c r="N35" s="1194"/>
      <c r="O35" s="1194"/>
      <c r="P35" s="1194"/>
      <c r="Q35" s="1194"/>
      <c r="R35" s="1194"/>
      <c r="S35" s="1194"/>
      <c r="T35" s="1194"/>
      <c r="U35" s="1194"/>
      <c r="V35" s="1194"/>
      <c r="AF35" s="538">
        <v>26</v>
      </c>
      <c r="AG35" s="537" t="s">
        <v>323</v>
      </c>
      <c r="AH35" s="537">
        <v>27</v>
      </c>
      <c r="AI35" s="537" t="s">
        <v>323</v>
      </c>
      <c r="AJ35" s="537">
        <v>28</v>
      </c>
      <c r="AK35" s="537" t="s">
        <v>323</v>
      </c>
      <c r="AL35" s="537">
        <v>29</v>
      </c>
      <c r="AM35" s="537" t="s">
        <v>323</v>
      </c>
      <c r="AN35" s="541">
        <v>30</v>
      </c>
      <c r="AO35" s="537" t="s">
        <v>323</v>
      </c>
      <c r="AP35" s="537"/>
      <c r="AQ35" s="537"/>
      <c r="AR35" s="537"/>
      <c r="AS35" s="537"/>
      <c r="AT35" s="537"/>
      <c r="AU35" s="537"/>
      <c r="AV35" s="537"/>
      <c r="AW35" s="537"/>
      <c r="AX35" s="537"/>
      <c r="AY35" s="536"/>
    </row>
    <row r="36" spans="2:51" x14ac:dyDescent="0.25">
      <c r="B36" s="13"/>
      <c r="C36" s="529" t="s">
        <v>240</v>
      </c>
      <c r="D36" t="s">
        <v>193</v>
      </c>
      <c r="E36" s="532"/>
      <c r="G36" s="540" t="s">
        <v>465</v>
      </c>
      <c r="H36" s="1196" t="s">
        <v>466</v>
      </c>
      <c r="I36" s="1196"/>
      <c r="J36" s="1196"/>
      <c r="K36" s="1196"/>
      <c r="L36" s="1196"/>
      <c r="M36" s="1196"/>
      <c r="N36" s="1196"/>
      <c r="O36" s="1196"/>
      <c r="P36" s="1196"/>
      <c r="Q36" s="1196"/>
      <c r="R36" s="1196"/>
      <c r="S36" s="1196"/>
      <c r="T36" s="1196"/>
      <c r="U36" s="1196"/>
      <c r="V36" s="1196"/>
      <c r="AF36" s="538">
        <v>3</v>
      </c>
      <c r="AG36" s="537" t="s">
        <v>323</v>
      </c>
      <c r="AH36" s="537">
        <v>4</v>
      </c>
      <c r="AI36" s="537" t="s">
        <v>323</v>
      </c>
      <c r="AJ36" s="537"/>
      <c r="AK36" s="537"/>
      <c r="AL36" s="537"/>
      <c r="AM36" s="537"/>
      <c r="AN36" s="537"/>
      <c r="AO36" s="537"/>
      <c r="AP36" s="537"/>
      <c r="AQ36" s="537"/>
      <c r="AR36" s="537"/>
      <c r="AS36" s="537"/>
      <c r="AT36" s="537"/>
      <c r="AU36" s="537"/>
      <c r="AV36" s="537"/>
      <c r="AW36" s="537"/>
      <c r="AX36" s="537"/>
      <c r="AY36" s="536"/>
    </row>
    <row r="37" spans="2:51" x14ac:dyDescent="0.25">
      <c r="C37" s="529" t="s">
        <v>281</v>
      </c>
      <c r="D37" t="s">
        <v>190</v>
      </c>
      <c r="E37" s="532"/>
      <c r="G37" s="540" t="s">
        <v>452</v>
      </c>
      <c r="H37" s="1194"/>
      <c r="I37" s="1194"/>
      <c r="J37" s="1194"/>
      <c r="K37" s="1194"/>
      <c r="L37" s="1194"/>
      <c r="M37" s="1194"/>
      <c r="N37" s="1194"/>
      <c r="O37" s="1194"/>
      <c r="P37" s="1194"/>
      <c r="Q37" s="1194"/>
      <c r="R37" s="1194"/>
      <c r="S37" s="1194"/>
      <c r="T37" s="1194"/>
      <c r="U37" s="1194"/>
      <c r="V37" s="1194"/>
      <c r="AF37" s="538">
        <v>15</v>
      </c>
      <c r="AG37" s="537" t="s">
        <v>321</v>
      </c>
      <c r="AH37" s="537">
        <v>16</v>
      </c>
      <c r="AI37" s="537" t="s">
        <v>321</v>
      </c>
      <c r="AJ37" s="537">
        <v>17</v>
      </c>
      <c r="AK37" s="537" t="s">
        <v>321</v>
      </c>
      <c r="AL37" s="537">
        <v>18</v>
      </c>
      <c r="AM37" s="537" t="s">
        <v>321</v>
      </c>
      <c r="AN37" s="541">
        <v>19</v>
      </c>
      <c r="AO37" s="537" t="s">
        <v>321</v>
      </c>
      <c r="AP37" s="541">
        <v>20</v>
      </c>
      <c r="AQ37" s="537" t="s">
        <v>321</v>
      </c>
      <c r="AR37" s="541">
        <v>21</v>
      </c>
      <c r="AS37" s="537" t="s">
        <v>321</v>
      </c>
      <c r="AT37" s="537"/>
      <c r="AU37" s="537"/>
      <c r="AV37" s="537"/>
      <c r="AW37" s="537"/>
      <c r="AX37" s="537"/>
      <c r="AY37" s="536"/>
    </row>
    <row r="38" spans="2:51" x14ac:dyDescent="0.25">
      <c r="C38" s="529" t="s">
        <v>247</v>
      </c>
      <c r="D38" t="s">
        <v>207</v>
      </c>
      <c r="E38" s="532"/>
      <c r="G38" s="540" t="s">
        <v>453</v>
      </c>
      <c r="H38" s="529"/>
      <c r="I38" s="529"/>
      <c r="J38" s="529"/>
      <c r="K38" s="529"/>
      <c r="L38" s="529"/>
      <c r="M38" s="529"/>
      <c r="N38" s="529"/>
      <c r="O38" s="529"/>
      <c r="P38" s="529"/>
      <c r="Q38" s="529"/>
      <c r="R38" s="529"/>
      <c r="S38" s="529"/>
      <c r="T38" s="529"/>
      <c r="U38" s="529"/>
      <c r="V38" s="529"/>
      <c r="AF38" s="538">
        <v>11</v>
      </c>
      <c r="AG38" s="537" t="s">
        <v>321</v>
      </c>
      <c r="AH38" s="537">
        <v>12</v>
      </c>
      <c r="AI38" s="537" t="s">
        <v>321</v>
      </c>
      <c r="AJ38" s="537">
        <v>13</v>
      </c>
      <c r="AK38" s="537" t="s">
        <v>321</v>
      </c>
      <c r="AL38" s="537">
        <v>14</v>
      </c>
      <c r="AM38" s="537" t="s">
        <v>321</v>
      </c>
      <c r="AN38" s="537"/>
      <c r="AO38" s="537"/>
      <c r="AP38" s="537"/>
      <c r="AQ38" s="537"/>
      <c r="AR38" s="537"/>
      <c r="AS38" s="537"/>
      <c r="AT38" s="537"/>
      <c r="AU38" s="537"/>
      <c r="AV38" s="537"/>
      <c r="AW38" s="537"/>
      <c r="AX38" s="537"/>
      <c r="AY38" s="536"/>
    </row>
    <row r="39" spans="2:51" x14ac:dyDescent="0.25">
      <c r="E39" s="532"/>
      <c r="G39" s="540" t="s">
        <v>454</v>
      </c>
      <c r="H39" s="597" t="s">
        <v>460</v>
      </c>
      <c r="I39" s="529"/>
      <c r="J39" s="529"/>
      <c r="K39" s="529"/>
      <c r="L39" s="529"/>
      <c r="M39" s="529"/>
      <c r="N39" s="529"/>
      <c r="O39" s="529"/>
      <c r="P39" s="529"/>
      <c r="Q39" s="529"/>
      <c r="R39" s="529"/>
      <c r="S39" s="529"/>
      <c r="T39" s="529"/>
      <c r="U39" s="529"/>
      <c r="V39" s="529"/>
      <c r="AF39" s="542">
        <v>15</v>
      </c>
      <c r="AG39" s="537" t="s">
        <v>323</v>
      </c>
      <c r="AH39" s="537">
        <v>16</v>
      </c>
      <c r="AI39" s="537" t="s">
        <v>323</v>
      </c>
      <c r="AJ39" s="537">
        <v>17</v>
      </c>
      <c r="AK39" s="537" t="s">
        <v>323</v>
      </c>
      <c r="AL39" s="537">
        <v>18</v>
      </c>
      <c r="AM39" s="537" t="s">
        <v>323</v>
      </c>
      <c r="AN39" s="541">
        <v>19</v>
      </c>
      <c r="AO39" s="537" t="s">
        <v>323</v>
      </c>
      <c r="AP39" s="541">
        <v>20</v>
      </c>
      <c r="AQ39" s="537" t="s">
        <v>323</v>
      </c>
      <c r="AR39" s="541">
        <v>21</v>
      </c>
      <c r="AS39" s="537" t="s">
        <v>323</v>
      </c>
      <c r="AT39" s="537"/>
      <c r="AU39" s="537"/>
      <c r="AV39" s="537"/>
      <c r="AW39" s="537"/>
      <c r="AX39" s="537"/>
      <c r="AY39" s="536"/>
    </row>
    <row r="40" spans="2:51" x14ac:dyDescent="0.25">
      <c r="E40" s="532"/>
      <c r="G40" s="540" t="s">
        <v>455</v>
      </c>
      <c r="H40" s="597" t="s">
        <v>459</v>
      </c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29"/>
      <c r="T40" s="529"/>
      <c r="U40" s="529"/>
      <c r="V40" s="529"/>
      <c r="AF40" s="538">
        <v>10</v>
      </c>
      <c r="AG40" s="537" t="s">
        <v>323</v>
      </c>
      <c r="AH40" s="537">
        <v>11</v>
      </c>
      <c r="AI40" s="537" t="s">
        <v>323</v>
      </c>
      <c r="AJ40" s="537">
        <v>12</v>
      </c>
      <c r="AK40" s="537" t="s">
        <v>323</v>
      </c>
      <c r="AL40" s="537">
        <v>13</v>
      </c>
      <c r="AM40" s="537" t="s">
        <v>323</v>
      </c>
      <c r="AN40" s="541">
        <v>14</v>
      </c>
      <c r="AO40" s="537" t="s">
        <v>323</v>
      </c>
      <c r="AP40" s="537"/>
      <c r="AQ40" s="537"/>
      <c r="AR40" s="537"/>
      <c r="AS40" s="537"/>
      <c r="AT40" s="537"/>
      <c r="AU40" s="537"/>
      <c r="AV40" s="537"/>
      <c r="AW40" s="537"/>
      <c r="AX40" s="537"/>
      <c r="AY40" s="536"/>
    </row>
    <row r="41" spans="2:51" x14ac:dyDescent="0.25">
      <c r="E41" s="532"/>
      <c r="G41" s="540" t="s">
        <v>456</v>
      </c>
      <c r="H41" s="597" t="s">
        <v>461</v>
      </c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AF41" s="538">
        <v>0</v>
      </c>
      <c r="AG41" s="537" t="s">
        <v>323</v>
      </c>
      <c r="AH41" s="537">
        <v>1</v>
      </c>
      <c r="AI41" s="537" t="s">
        <v>323</v>
      </c>
      <c r="AJ41" s="537">
        <v>2</v>
      </c>
      <c r="AK41" s="537" t="s">
        <v>323</v>
      </c>
      <c r="AL41" s="537"/>
      <c r="AM41" s="537"/>
      <c r="AN41" s="537"/>
      <c r="AO41" s="537"/>
      <c r="AP41" s="537"/>
      <c r="AQ41" s="537"/>
      <c r="AR41" s="537"/>
      <c r="AS41" s="537"/>
      <c r="AT41" s="537"/>
      <c r="AU41" s="537"/>
      <c r="AV41" s="537"/>
      <c r="AW41" s="537"/>
      <c r="AX41" s="537"/>
      <c r="AY41" s="536"/>
    </row>
    <row r="42" spans="2:51" x14ac:dyDescent="0.25">
      <c r="B42" s="539" t="s">
        <v>327</v>
      </c>
      <c r="E42" s="532"/>
      <c r="G42" s="540" t="s">
        <v>457</v>
      </c>
      <c r="H42" s="597" t="s">
        <v>462</v>
      </c>
      <c r="I42" s="529"/>
      <c r="J42" s="529"/>
      <c r="K42" s="529"/>
      <c r="L42" s="529"/>
      <c r="M42" s="529"/>
      <c r="N42" s="529"/>
      <c r="O42" s="529"/>
      <c r="P42" s="529"/>
      <c r="Q42" s="529"/>
      <c r="R42" s="529"/>
      <c r="S42" s="529"/>
      <c r="T42" s="529"/>
      <c r="U42" s="529"/>
      <c r="V42" s="529"/>
      <c r="AF42" s="538">
        <v>57</v>
      </c>
      <c r="AG42" s="537" t="s">
        <v>321</v>
      </c>
      <c r="AH42" s="537">
        <v>58</v>
      </c>
      <c r="AI42" s="537" t="s">
        <v>321</v>
      </c>
      <c r="AJ42" s="537">
        <v>59</v>
      </c>
      <c r="AK42" s="537" t="s">
        <v>321</v>
      </c>
      <c r="AL42" s="537">
        <v>60</v>
      </c>
      <c r="AM42" s="537" t="s">
        <v>321</v>
      </c>
      <c r="AN42" s="537">
        <v>61</v>
      </c>
      <c r="AO42" s="537" t="s">
        <v>321</v>
      </c>
      <c r="AP42" s="537">
        <v>62</v>
      </c>
      <c r="AQ42" s="537" t="s">
        <v>321</v>
      </c>
      <c r="AR42" s="537">
        <v>63</v>
      </c>
      <c r="AS42" s="537" t="s">
        <v>321</v>
      </c>
      <c r="AT42" s="537">
        <v>64</v>
      </c>
      <c r="AU42" s="537" t="s">
        <v>321</v>
      </c>
      <c r="AV42" s="537">
        <v>65</v>
      </c>
      <c r="AW42" s="537" t="s">
        <v>321</v>
      </c>
      <c r="AX42" s="537"/>
      <c r="AY42" s="536"/>
    </row>
    <row r="43" spans="2:51" x14ac:dyDescent="0.25">
      <c r="B43">
        <v>4</v>
      </c>
      <c r="C43" t="s">
        <v>326</v>
      </c>
      <c r="D43" t="b">
        <v>0</v>
      </c>
      <c r="E43" s="532"/>
      <c r="F43" s="13"/>
      <c r="G43" s="540" t="s">
        <v>458</v>
      </c>
      <c r="H43" s="598" t="s">
        <v>463</v>
      </c>
      <c r="AF43" s="538">
        <v>52</v>
      </c>
      <c r="AG43" s="537" t="s">
        <v>323</v>
      </c>
      <c r="AH43" s="537">
        <v>53</v>
      </c>
      <c r="AI43" s="537" t="s">
        <v>323</v>
      </c>
      <c r="AJ43" s="537">
        <v>54</v>
      </c>
      <c r="AK43" s="537" t="s">
        <v>323</v>
      </c>
      <c r="AL43" s="537">
        <v>55</v>
      </c>
      <c r="AM43" s="537" t="s">
        <v>323</v>
      </c>
      <c r="AN43" s="537">
        <v>56</v>
      </c>
      <c r="AO43" s="537" t="s">
        <v>323</v>
      </c>
      <c r="AP43" s="537">
        <v>57</v>
      </c>
      <c r="AQ43" s="537" t="s">
        <v>323</v>
      </c>
      <c r="AR43" s="537">
        <v>58</v>
      </c>
      <c r="AS43" s="537" t="s">
        <v>323</v>
      </c>
      <c r="AT43" s="537">
        <v>59</v>
      </c>
      <c r="AU43" s="537" t="s">
        <v>323</v>
      </c>
      <c r="AV43" s="537">
        <v>60</v>
      </c>
      <c r="AW43" s="537" t="s">
        <v>323</v>
      </c>
      <c r="AX43" s="537">
        <v>61</v>
      </c>
      <c r="AY43" s="536" t="s">
        <v>323</v>
      </c>
    </row>
    <row r="44" spans="2:51" x14ac:dyDescent="0.25">
      <c r="C44" t="s">
        <v>325</v>
      </c>
      <c r="D44" t="b">
        <v>0</v>
      </c>
      <c r="E44" s="532"/>
      <c r="AF44" s="538">
        <v>47</v>
      </c>
      <c r="AG44" s="537" t="s">
        <v>321</v>
      </c>
      <c r="AH44" s="537">
        <v>48</v>
      </c>
      <c r="AI44" s="537" t="s">
        <v>321</v>
      </c>
      <c r="AJ44" s="537">
        <v>49</v>
      </c>
      <c r="AK44" s="537" t="s">
        <v>321</v>
      </c>
      <c r="AL44" s="537">
        <v>50</v>
      </c>
      <c r="AM44" s="537" t="s">
        <v>321</v>
      </c>
      <c r="AN44" s="537">
        <v>51</v>
      </c>
      <c r="AO44" s="537" t="s">
        <v>321</v>
      </c>
      <c r="AP44" s="537">
        <v>52</v>
      </c>
      <c r="AQ44" s="537" t="s">
        <v>321</v>
      </c>
      <c r="AR44" s="537">
        <v>53</v>
      </c>
      <c r="AS44" s="537" t="s">
        <v>321</v>
      </c>
      <c r="AT44" s="537">
        <v>54</v>
      </c>
      <c r="AU44" s="537" t="s">
        <v>321</v>
      </c>
      <c r="AV44" s="537">
        <v>55</v>
      </c>
      <c r="AW44" s="537" t="s">
        <v>321</v>
      </c>
      <c r="AX44" s="537">
        <v>56</v>
      </c>
      <c r="AY44" s="536" t="s">
        <v>321</v>
      </c>
    </row>
    <row r="45" spans="2:51" x14ac:dyDescent="0.25">
      <c r="C45" t="s">
        <v>324</v>
      </c>
      <c r="D45" t="b">
        <v>0</v>
      </c>
      <c r="E45" s="532"/>
      <c r="AF45" s="538">
        <v>42</v>
      </c>
      <c r="AG45" s="537" t="s">
        <v>323</v>
      </c>
      <c r="AH45" s="537">
        <v>43</v>
      </c>
      <c r="AI45" s="537" t="s">
        <v>323</v>
      </c>
      <c r="AJ45" s="537">
        <v>44</v>
      </c>
      <c r="AK45" s="537" t="s">
        <v>323</v>
      </c>
      <c r="AL45" s="537">
        <v>45</v>
      </c>
      <c r="AM45" s="537" t="s">
        <v>323</v>
      </c>
      <c r="AN45" s="537">
        <v>46</v>
      </c>
      <c r="AO45" s="537" t="s">
        <v>323</v>
      </c>
      <c r="AP45" s="537">
        <v>47</v>
      </c>
      <c r="AQ45" s="537" t="s">
        <v>323</v>
      </c>
      <c r="AR45" s="537">
        <v>48</v>
      </c>
      <c r="AS45" s="537" t="s">
        <v>323</v>
      </c>
      <c r="AT45" s="537">
        <v>49</v>
      </c>
      <c r="AU45" s="537" t="s">
        <v>323</v>
      </c>
      <c r="AV45" s="537">
        <v>50</v>
      </c>
      <c r="AW45" s="537" t="s">
        <v>323</v>
      </c>
      <c r="AX45" s="537">
        <v>51</v>
      </c>
      <c r="AY45" s="536" t="s">
        <v>323</v>
      </c>
    </row>
    <row r="46" spans="2:51" ht="15.75" thickBot="1" x14ac:dyDescent="0.3">
      <c r="C46" t="s">
        <v>322</v>
      </c>
      <c r="D46" t="b">
        <v>0</v>
      </c>
      <c r="E46" s="532"/>
      <c r="AF46" s="535">
        <v>39</v>
      </c>
      <c r="AG46" s="534" t="s">
        <v>321</v>
      </c>
      <c r="AH46" s="534">
        <v>40</v>
      </c>
      <c r="AI46" s="534" t="s">
        <v>321</v>
      </c>
      <c r="AJ46" s="534">
        <v>41</v>
      </c>
      <c r="AK46" s="534" t="s">
        <v>321</v>
      </c>
      <c r="AL46" s="534">
        <v>42</v>
      </c>
      <c r="AM46" s="534" t="s">
        <v>321</v>
      </c>
      <c r="AN46" s="534">
        <v>43</v>
      </c>
      <c r="AO46" s="534" t="s">
        <v>321</v>
      </c>
      <c r="AP46" s="534">
        <v>44</v>
      </c>
      <c r="AQ46" s="534" t="s">
        <v>321</v>
      </c>
      <c r="AR46" s="534">
        <v>45</v>
      </c>
      <c r="AS46" s="534" t="s">
        <v>321</v>
      </c>
      <c r="AT46" s="534">
        <v>46</v>
      </c>
      <c r="AU46" s="534" t="s">
        <v>321</v>
      </c>
      <c r="AV46" s="534"/>
      <c r="AW46" s="534"/>
      <c r="AX46" s="534"/>
      <c r="AY46" s="533"/>
    </row>
    <row r="47" spans="2:51" x14ac:dyDescent="0.25">
      <c r="E47" s="532"/>
    </row>
    <row r="48" spans="2:51" x14ac:dyDescent="0.25">
      <c r="E48" s="532"/>
    </row>
    <row r="49" spans="2:7" x14ac:dyDescent="0.25">
      <c r="E49" s="532"/>
    </row>
    <row r="50" spans="2:7" x14ac:dyDescent="0.25">
      <c r="E50" s="532"/>
    </row>
    <row r="51" spans="2:7" x14ac:dyDescent="0.25">
      <c r="E51" s="532"/>
    </row>
    <row r="52" spans="2:7" x14ac:dyDescent="0.25">
      <c r="B52" s="530" t="s">
        <v>320</v>
      </c>
      <c r="C52" s="529" t="s">
        <v>468</v>
      </c>
      <c r="E52" s="532"/>
    </row>
    <row r="53" spans="2:7" x14ac:dyDescent="0.25">
      <c r="B53" s="13"/>
      <c r="C53" s="529"/>
      <c r="E53" s="532"/>
    </row>
    <row r="54" spans="2:7" x14ac:dyDescent="0.25">
      <c r="B54" s="13"/>
      <c r="E54" s="532"/>
      <c r="F54" s="531"/>
      <c r="G54" s="531"/>
    </row>
    <row r="55" spans="2:7" x14ac:dyDescent="0.25">
      <c r="B55" s="13"/>
      <c r="C55" s="529" t="s">
        <v>319</v>
      </c>
    </row>
    <row r="56" spans="2:7" x14ac:dyDescent="0.25">
      <c r="B56" s="13"/>
      <c r="C56" s="529" t="s">
        <v>444</v>
      </c>
    </row>
    <row r="57" spans="2:7" x14ac:dyDescent="0.25">
      <c r="B57" s="13"/>
      <c r="C57" s="529" t="s">
        <v>445</v>
      </c>
    </row>
    <row r="58" spans="2:7" x14ac:dyDescent="0.25">
      <c r="C58" s="529" t="s">
        <v>446</v>
      </c>
    </row>
    <row r="59" spans="2:7" x14ac:dyDescent="0.25">
      <c r="C59" s="529" t="s">
        <v>447</v>
      </c>
    </row>
    <row r="63" spans="2:7" x14ac:dyDescent="0.25">
      <c r="B63" s="530" t="s">
        <v>318</v>
      </c>
      <c r="C63" s="529" t="s">
        <v>467</v>
      </c>
    </row>
    <row r="64" spans="2:7" x14ac:dyDescent="0.25">
      <c r="B64" s="13"/>
      <c r="C64" s="529"/>
    </row>
    <row r="65" spans="2:3" x14ac:dyDescent="0.25">
      <c r="B65" s="13"/>
    </row>
    <row r="66" spans="2:3" x14ac:dyDescent="0.25">
      <c r="B66" s="13"/>
      <c r="C66" s="529" t="s">
        <v>317</v>
      </c>
    </row>
    <row r="67" spans="2:3" x14ac:dyDescent="0.25">
      <c r="B67" s="13"/>
      <c r="C67" s="529" t="s">
        <v>448</v>
      </c>
    </row>
    <row r="68" spans="2:3" x14ac:dyDescent="0.25">
      <c r="B68" s="13"/>
      <c r="C68" s="529" t="s">
        <v>449</v>
      </c>
    </row>
    <row r="69" spans="2:3" x14ac:dyDescent="0.25">
      <c r="C69" s="529" t="s">
        <v>450</v>
      </c>
    </row>
    <row r="70" spans="2:3" x14ac:dyDescent="0.25">
      <c r="C70" s="529" t="s">
        <v>451</v>
      </c>
    </row>
    <row r="74" spans="2:3" x14ac:dyDescent="0.25">
      <c r="B74" s="530" t="s">
        <v>476</v>
      </c>
      <c r="C74">
        <v>0.2</v>
      </c>
    </row>
    <row r="75" spans="2:3" x14ac:dyDescent="0.25">
      <c r="B75">
        <v>1</v>
      </c>
      <c r="C75">
        <v>0.5</v>
      </c>
    </row>
    <row r="76" spans="2:3" x14ac:dyDescent="0.25">
      <c r="C76" s="24">
        <v>1</v>
      </c>
    </row>
    <row r="78" spans="2:3" x14ac:dyDescent="0.25">
      <c r="B78" s="530" t="s">
        <v>477</v>
      </c>
      <c r="C78">
        <v>0.05</v>
      </c>
    </row>
    <row r="79" spans="2:3" x14ac:dyDescent="0.25">
      <c r="B79">
        <v>2</v>
      </c>
      <c r="C79" s="614">
        <v>0.1</v>
      </c>
    </row>
    <row r="81" spans="2:3" x14ac:dyDescent="0.25">
      <c r="B81" s="530" t="s">
        <v>481</v>
      </c>
      <c r="C81" t="s">
        <v>482</v>
      </c>
    </row>
    <row r="82" spans="2:3" x14ac:dyDescent="0.25">
      <c r="B82">
        <v>4</v>
      </c>
      <c r="C82" t="s">
        <v>483</v>
      </c>
    </row>
    <row r="83" spans="2:3" x14ac:dyDescent="0.25">
      <c r="C83" t="s">
        <v>484</v>
      </c>
    </row>
    <row r="84" spans="2:3" x14ac:dyDescent="0.25">
      <c r="C84" t="s">
        <v>485</v>
      </c>
    </row>
    <row r="85" spans="2:3" x14ac:dyDescent="0.25">
      <c r="C85" t="s">
        <v>486</v>
      </c>
    </row>
    <row r="86" spans="2:3" x14ac:dyDescent="0.25">
      <c r="C86" t="s">
        <v>487</v>
      </c>
    </row>
  </sheetData>
  <dataConsolidate/>
  <mergeCells count="23">
    <mergeCell ref="H37:V37"/>
    <mergeCell ref="H36:V36"/>
    <mergeCell ref="H33:V33"/>
    <mergeCell ref="H35:V35"/>
    <mergeCell ref="H32:V32"/>
    <mergeCell ref="B22:B23"/>
    <mergeCell ref="C22:D22"/>
    <mergeCell ref="C23:D23"/>
    <mergeCell ref="H34:V34"/>
    <mergeCell ref="N3:O3"/>
    <mergeCell ref="E29:V30"/>
    <mergeCell ref="B5:B9"/>
    <mergeCell ref="B10:B14"/>
    <mergeCell ref="B15:B19"/>
    <mergeCell ref="B20:B21"/>
    <mergeCell ref="C21:D21"/>
    <mergeCell ref="C20:D20"/>
    <mergeCell ref="N2:R2"/>
    <mergeCell ref="E3:F3"/>
    <mergeCell ref="C5:C6"/>
    <mergeCell ref="C10:C11"/>
    <mergeCell ref="G2:I3"/>
    <mergeCell ref="E2:F2"/>
  </mergeCells>
  <hyperlinks>
    <hyperlink ref="H36" r:id="rId1" xr:uid="{00000000-0004-0000-1E00-000000000000}"/>
  </hyperlinks>
  <pageMargins left="0.7" right="0.7" top="0.75" bottom="0.75" header="0.3" footer="0.3"/>
  <pageSetup orientation="portrait"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/>
  <dimension ref="A1:A653"/>
  <sheetViews>
    <sheetView workbookViewId="0"/>
  </sheetViews>
  <sheetFormatPr defaultRowHeight="15" x14ac:dyDescent="0.25"/>
  <cols>
    <col min="1" max="1" width="99.28515625" bestFit="1" customWidth="1"/>
  </cols>
  <sheetData>
    <row r="1" spans="1:1" x14ac:dyDescent="0.25">
      <c r="A1" t="s">
        <v>520</v>
      </c>
    </row>
    <row r="2" spans="1:1" x14ac:dyDescent="0.25">
      <c r="A2" t="s">
        <v>411</v>
      </c>
    </row>
    <row r="3" spans="1:1" x14ac:dyDescent="0.25">
      <c r="A3" t="s">
        <v>405</v>
      </c>
    </row>
    <row r="4" spans="1:1" x14ac:dyDescent="0.25">
      <c r="A4" t="s">
        <v>410</v>
      </c>
    </row>
    <row r="5" spans="1:1" x14ac:dyDescent="0.25">
      <c r="A5" t="s">
        <v>409</v>
      </c>
    </row>
    <row r="6" spans="1:1" x14ac:dyDescent="0.25">
      <c r="A6" t="s">
        <v>396</v>
      </c>
    </row>
    <row r="7" spans="1:1" x14ac:dyDescent="0.25">
      <c r="A7" t="s">
        <v>521</v>
      </c>
    </row>
    <row r="8" spans="1:1" x14ac:dyDescent="0.25">
      <c r="A8" t="s">
        <v>522</v>
      </c>
    </row>
    <row r="9" spans="1:1" x14ac:dyDescent="0.25">
      <c r="A9" t="s">
        <v>408</v>
      </c>
    </row>
    <row r="10" spans="1:1" x14ac:dyDescent="0.25">
      <c r="A10" t="s">
        <v>523</v>
      </c>
    </row>
    <row r="11" spans="1:1" x14ac:dyDescent="0.25">
      <c r="A11" t="s">
        <v>524</v>
      </c>
    </row>
    <row r="12" spans="1:1" x14ac:dyDescent="0.25">
      <c r="A12" t="s">
        <v>408</v>
      </c>
    </row>
    <row r="13" spans="1:1" x14ac:dyDescent="0.25">
      <c r="A13" t="s">
        <v>525</v>
      </c>
    </row>
    <row r="14" spans="1:1" x14ac:dyDescent="0.25">
      <c r="A14" t="s">
        <v>524</v>
      </c>
    </row>
    <row r="15" spans="1:1" x14ac:dyDescent="0.25">
      <c r="A15" t="s">
        <v>407</v>
      </c>
    </row>
    <row r="16" spans="1:1" x14ac:dyDescent="0.25">
      <c r="A16" t="s">
        <v>526</v>
      </c>
    </row>
    <row r="17" spans="1:1" x14ac:dyDescent="0.25">
      <c r="A17" t="s">
        <v>527</v>
      </c>
    </row>
    <row r="18" spans="1:1" x14ac:dyDescent="0.25">
      <c r="A18" t="s">
        <v>406</v>
      </c>
    </row>
    <row r="19" spans="1:1" x14ac:dyDescent="0.25">
      <c r="A19" t="s">
        <v>528</v>
      </c>
    </row>
    <row r="20" spans="1:1" x14ac:dyDescent="0.25">
      <c r="A20" t="s">
        <v>529</v>
      </c>
    </row>
    <row r="21" spans="1:1" x14ac:dyDescent="0.25">
      <c r="A21" t="s">
        <v>405</v>
      </c>
    </row>
    <row r="22" spans="1:1" x14ac:dyDescent="0.25">
      <c r="A22" t="s">
        <v>530</v>
      </c>
    </row>
    <row r="23" spans="1:1" x14ac:dyDescent="0.25">
      <c r="A23" t="s">
        <v>531</v>
      </c>
    </row>
    <row r="24" spans="1:1" x14ac:dyDescent="0.25">
      <c r="A24" t="s">
        <v>396</v>
      </c>
    </row>
    <row r="25" spans="1:1" x14ac:dyDescent="0.25">
      <c r="A25" t="s">
        <v>532</v>
      </c>
    </row>
    <row r="26" spans="1:1" x14ac:dyDescent="0.25">
      <c r="A26" t="s">
        <v>533</v>
      </c>
    </row>
    <row r="27" spans="1:1" x14ac:dyDescent="0.25">
      <c r="A27" t="s">
        <v>396</v>
      </c>
    </row>
    <row r="28" spans="1:1" x14ac:dyDescent="0.25">
      <c r="A28" t="s">
        <v>534</v>
      </c>
    </row>
    <row r="29" spans="1:1" x14ac:dyDescent="0.25">
      <c r="A29" t="s">
        <v>535</v>
      </c>
    </row>
    <row r="30" spans="1:1" x14ac:dyDescent="0.25">
      <c r="A30" t="s">
        <v>396</v>
      </c>
    </row>
    <row r="31" spans="1:1" x14ac:dyDescent="0.25">
      <c r="A31" t="s">
        <v>536</v>
      </c>
    </row>
    <row r="32" spans="1:1" x14ac:dyDescent="0.25">
      <c r="A32" t="s">
        <v>537</v>
      </c>
    </row>
    <row r="33" spans="1:1" x14ac:dyDescent="0.25">
      <c r="A33" t="s">
        <v>408</v>
      </c>
    </row>
    <row r="34" spans="1:1" x14ac:dyDescent="0.25">
      <c r="A34" t="s">
        <v>538</v>
      </c>
    </row>
    <row r="35" spans="1:1" x14ac:dyDescent="0.25">
      <c r="A35" t="s">
        <v>539</v>
      </c>
    </row>
    <row r="36" spans="1:1" x14ac:dyDescent="0.25">
      <c r="A36" t="s">
        <v>407</v>
      </c>
    </row>
    <row r="37" spans="1:1" x14ac:dyDescent="0.25">
      <c r="A37" t="s">
        <v>540</v>
      </c>
    </row>
    <row r="38" spans="1:1" x14ac:dyDescent="0.25">
      <c r="A38" t="s">
        <v>541</v>
      </c>
    </row>
    <row r="39" spans="1:1" x14ac:dyDescent="0.25">
      <c r="A39" t="s">
        <v>407</v>
      </c>
    </row>
    <row r="40" spans="1:1" x14ac:dyDescent="0.25">
      <c r="A40" t="s">
        <v>542</v>
      </c>
    </row>
    <row r="41" spans="1:1" x14ac:dyDescent="0.25">
      <c r="A41" t="s">
        <v>543</v>
      </c>
    </row>
    <row r="42" spans="1:1" x14ac:dyDescent="0.25">
      <c r="A42" t="s">
        <v>407</v>
      </c>
    </row>
    <row r="43" spans="1:1" x14ac:dyDescent="0.25">
      <c r="A43" t="s">
        <v>544</v>
      </c>
    </row>
    <row r="44" spans="1:1" x14ac:dyDescent="0.25">
      <c r="A44" t="s">
        <v>545</v>
      </c>
    </row>
    <row r="45" spans="1:1" x14ac:dyDescent="0.25">
      <c r="A45" t="s">
        <v>407</v>
      </c>
    </row>
    <row r="46" spans="1:1" x14ac:dyDescent="0.25">
      <c r="A46" t="s">
        <v>546</v>
      </c>
    </row>
    <row r="47" spans="1:1" x14ac:dyDescent="0.25">
      <c r="A47" t="s">
        <v>547</v>
      </c>
    </row>
    <row r="48" spans="1:1" x14ac:dyDescent="0.25">
      <c r="A48" t="s">
        <v>407</v>
      </c>
    </row>
    <row r="49" spans="1:1" x14ac:dyDescent="0.25">
      <c r="A49" t="s">
        <v>548</v>
      </c>
    </row>
    <row r="50" spans="1:1" x14ac:dyDescent="0.25">
      <c r="A50" t="s">
        <v>549</v>
      </c>
    </row>
    <row r="51" spans="1:1" x14ac:dyDescent="0.25">
      <c r="A51" t="s">
        <v>407</v>
      </c>
    </row>
    <row r="52" spans="1:1" x14ac:dyDescent="0.25">
      <c r="A52" t="s">
        <v>550</v>
      </c>
    </row>
    <row r="53" spans="1:1" x14ac:dyDescent="0.25">
      <c r="A53" t="s">
        <v>551</v>
      </c>
    </row>
    <row r="54" spans="1:1" x14ac:dyDescent="0.25">
      <c r="A54" t="s">
        <v>407</v>
      </c>
    </row>
    <row r="55" spans="1:1" x14ac:dyDescent="0.25">
      <c r="A55" t="s">
        <v>552</v>
      </c>
    </row>
    <row r="56" spans="1:1" x14ac:dyDescent="0.25">
      <c r="A56" t="s">
        <v>553</v>
      </c>
    </row>
    <row r="57" spans="1:1" x14ac:dyDescent="0.25">
      <c r="A57" t="s">
        <v>407</v>
      </c>
    </row>
    <row r="58" spans="1:1" x14ac:dyDescent="0.25">
      <c r="A58" t="s">
        <v>554</v>
      </c>
    </row>
    <row r="59" spans="1:1" x14ac:dyDescent="0.25">
      <c r="A59" t="s">
        <v>555</v>
      </c>
    </row>
    <row r="60" spans="1:1" x14ac:dyDescent="0.25">
      <c r="A60" t="s">
        <v>406</v>
      </c>
    </row>
    <row r="61" spans="1:1" x14ac:dyDescent="0.25">
      <c r="A61" t="s">
        <v>556</v>
      </c>
    </row>
    <row r="62" spans="1:1" x14ac:dyDescent="0.25">
      <c r="A62" t="s">
        <v>557</v>
      </c>
    </row>
    <row r="63" spans="1:1" x14ac:dyDescent="0.25">
      <c r="A63" t="s">
        <v>405</v>
      </c>
    </row>
    <row r="64" spans="1:1" x14ac:dyDescent="0.25">
      <c r="A64" t="s">
        <v>558</v>
      </c>
    </row>
    <row r="65" spans="1:1" x14ac:dyDescent="0.25">
      <c r="A65" t="s">
        <v>559</v>
      </c>
    </row>
    <row r="66" spans="1:1" x14ac:dyDescent="0.25">
      <c r="A66" t="s">
        <v>396</v>
      </c>
    </row>
    <row r="67" spans="1:1" x14ac:dyDescent="0.25">
      <c r="A67" t="s">
        <v>560</v>
      </c>
    </row>
    <row r="68" spans="1:1" x14ac:dyDescent="0.25">
      <c r="A68" t="s">
        <v>561</v>
      </c>
    </row>
    <row r="69" spans="1:1" x14ac:dyDescent="0.25">
      <c r="A69" t="s">
        <v>396</v>
      </c>
    </row>
    <row r="70" spans="1:1" x14ac:dyDescent="0.25">
      <c r="A70" t="s">
        <v>562</v>
      </c>
    </row>
    <row r="71" spans="1:1" x14ac:dyDescent="0.25">
      <c r="A71" t="s">
        <v>563</v>
      </c>
    </row>
    <row r="72" spans="1:1" x14ac:dyDescent="0.25">
      <c r="A72" t="s">
        <v>396</v>
      </c>
    </row>
    <row r="73" spans="1:1" x14ac:dyDescent="0.25">
      <c r="A73" t="s">
        <v>564</v>
      </c>
    </row>
    <row r="74" spans="1:1" x14ac:dyDescent="0.25">
      <c r="A74" t="s">
        <v>565</v>
      </c>
    </row>
    <row r="75" spans="1:1" x14ac:dyDescent="0.25">
      <c r="A75" t="s">
        <v>408</v>
      </c>
    </row>
    <row r="76" spans="1:1" x14ac:dyDescent="0.25">
      <c r="A76" t="s">
        <v>566</v>
      </c>
    </row>
    <row r="77" spans="1:1" x14ac:dyDescent="0.25">
      <c r="A77" t="s">
        <v>567</v>
      </c>
    </row>
    <row r="78" spans="1:1" x14ac:dyDescent="0.25">
      <c r="A78" t="s">
        <v>407</v>
      </c>
    </row>
    <row r="79" spans="1:1" x14ac:dyDescent="0.25">
      <c r="A79" t="s">
        <v>568</v>
      </c>
    </row>
    <row r="80" spans="1:1" x14ac:dyDescent="0.25">
      <c r="A80" t="s">
        <v>569</v>
      </c>
    </row>
    <row r="81" spans="1:1" x14ac:dyDescent="0.25">
      <c r="A81" t="s">
        <v>407</v>
      </c>
    </row>
    <row r="82" spans="1:1" x14ac:dyDescent="0.25">
      <c r="A82" t="s">
        <v>570</v>
      </c>
    </row>
    <row r="83" spans="1:1" x14ac:dyDescent="0.25">
      <c r="A83" t="s">
        <v>571</v>
      </c>
    </row>
    <row r="84" spans="1:1" x14ac:dyDescent="0.25">
      <c r="A84" t="s">
        <v>407</v>
      </c>
    </row>
    <row r="85" spans="1:1" x14ac:dyDescent="0.25">
      <c r="A85" t="s">
        <v>572</v>
      </c>
    </row>
    <row r="86" spans="1:1" x14ac:dyDescent="0.25">
      <c r="A86" t="s">
        <v>573</v>
      </c>
    </row>
    <row r="87" spans="1:1" x14ac:dyDescent="0.25">
      <c r="A87" t="s">
        <v>407</v>
      </c>
    </row>
    <row r="88" spans="1:1" x14ac:dyDescent="0.25">
      <c r="A88" t="s">
        <v>574</v>
      </c>
    </row>
    <row r="89" spans="1:1" x14ac:dyDescent="0.25">
      <c r="A89" t="s">
        <v>575</v>
      </c>
    </row>
    <row r="90" spans="1:1" x14ac:dyDescent="0.25">
      <c r="A90" t="s">
        <v>407</v>
      </c>
    </row>
    <row r="91" spans="1:1" x14ac:dyDescent="0.25">
      <c r="A91" t="s">
        <v>576</v>
      </c>
    </row>
    <row r="92" spans="1:1" x14ac:dyDescent="0.25">
      <c r="A92" t="s">
        <v>577</v>
      </c>
    </row>
    <row r="93" spans="1:1" x14ac:dyDescent="0.25">
      <c r="A93" t="s">
        <v>407</v>
      </c>
    </row>
    <row r="94" spans="1:1" x14ac:dyDescent="0.25">
      <c r="A94" t="s">
        <v>578</v>
      </c>
    </row>
    <row r="95" spans="1:1" x14ac:dyDescent="0.25">
      <c r="A95" t="s">
        <v>579</v>
      </c>
    </row>
    <row r="96" spans="1:1" x14ac:dyDescent="0.25">
      <c r="A96" t="s">
        <v>407</v>
      </c>
    </row>
    <row r="97" spans="1:1" x14ac:dyDescent="0.25">
      <c r="A97" t="s">
        <v>580</v>
      </c>
    </row>
    <row r="98" spans="1:1" x14ac:dyDescent="0.25">
      <c r="A98" t="s">
        <v>581</v>
      </c>
    </row>
    <row r="99" spans="1:1" x14ac:dyDescent="0.25">
      <c r="A99" t="s">
        <v>407</v>
      </c>
    </row>
    <row r="100" spans="1:1" x14ac:dyDescent="0.25">
      <c r="A100" t="s">
        <v>582</v>
      </c>
    </row>
    <row r="101" spans="1:1" x14ac:dyDescent="0.25">
      <c r="A101" t="s">
        <v>583</v>
      </c>
    </row>
    <row r="102" spans="1:1" x14ac:dyDescent="0.25">
      <c r="A102" t="s">
        <v>406</v>
      </c>
    </row>
    <row r="103" spans="1:1" x14ac:dyDescent="0.25">
      <c r="A103" t="s">
        <v>584</v>
      </c>
    </row>
    <row r="104" spans="1:1" x14ac:dyDescent="0.25">
      <c r="A104" t="s">
        <v>585</v>
      </c>
    </row>
    <row r="105" spans="1:1" x14ac:dyDescent="0.25">
      <c r="A105" t="s">
        <v>405</v>
      </c>
    </row>
    <row r="106" spans="1:1" x14ac:dyDescent="0.25">
      <c r="A106" t="s">
        <v>586</v>
      </c>
    </row>
    <row r="107" spans="1:1" x14ac:dyDescent="0.25">
      <c r="A107" t="s">
        <v>587</v>
      </c>
    </row>
    <row r="108" spans="1:1" x14ac:dyDescent="0.25">
      <c r="A108" t="s">
        <v>396</v>
      </c>
    </row>
    <row r="109" spans="1:1" x14ac:dyDescent="0.25">
      <c r="A109" t="s">
        <v>588</v>
      </c>
    </row>
    <row r="110" spans="1:1" x14ac:dyDescent="0.25">
      <c r="A110" t="s">
        <v>589</v>
      </c>
    </row>
    <row r="111" spans="1:1" x14ac:dyDescent="0.25">
      <c r="A111" t="s">
        <v>396</v>
      </c>
    </row>
    <row r="112" spans="1:1" x14ac:dyDescent="0.25">
      <c r="A112" t="s">
        <v>590</v>
      </c>
    </row>
    <row r="113" spans="1:1" x14ac:dyDescent="0.25">
      <c r="A113" t="s">
        <v>591</v>
      </c>
    </row>
    <row r="114" spans="1:1" x14ac:dyDescent="0.25">
      <c r="A114" t="s">
        <v>396</v>
      </c>
    </row>
    <row r="115" spans="1:1" x14ac:dyDescent="0.25">
      <c r="A115" t="s">
        <v>592</v>
      </c>
    </row>
    <row r="116" spans="1:1" x14ac:dyDescent="0.25">
      <c r="A116" t="s">
        <v>593</v>
      </c>
    </row>
    <row r="117" spans="1:1" x14ac:dyDescent="0.25">
      <c r="A117" t="s">
        <v>408</v>
      </c>
    </row>
    <row r="118" spans="1:1" x14ac:dyDescent="0.25">
      <c r="A118" t="s">
        <v>594</v>
      </c>
    </row>
    <row r="119" spans="1:1" x14ac:dyDescent="0.25">
      <c r="A119" t="s">
        <v>595</v>
      </c>
    </row>
    <row r="120" spans="1:1" x14ac:dyDescent="0.25">
      <c r="A120" t="s">
        <v>407</v>
      </c>
    </row>
    <row r="121" spans="1:1" x14ac:dyDescent="0.25">
      <c r="A121" t="s">
        <v>596</v>
      </c>
    </row>
    <row r="122" spans="1:1" x14ac:dyDescent="0.25">
      <c r="A122" t="s">
        <v>597</v>
      </c>
    </row>
    <row r="123" spans="1:1" x14ac:dyDescent="0.25">
      <c r="A123" t="s">
        <v>407</v>
      </c>
    </row>
    <row r="124" spans="1:1" x14ac:dyDescent="0.25">
      <c r="A124" t="s">
        <v>598</v>
      </c>
    </row>
    <row r="125" spans="1:1" x14ac:dyDescent="0.25">
      <c r="A125" t="s">
        <v>599</v>
      </c>
    </row>
    <row r="126" spans="1:1" x14ac:dyDescent="0.25">
      <c r="A126" t="s">
        <v>407</v>
      </c>
    </row>
    <row r="127" spans="1:1" x14ac:dyDescent="0.25">
      <c r="A127" t="s">
        <v>600</v>
      </c>
    </row>
    <row r="128" spans="1:1" x14ac:dyDescent="0.25">
      <c r="A128" t="s">
        <v>601</v>
      </c>
    </row>
    <row r="129" spans="1:1" x14ac:dyDescent="0.25">
      <c r="A129" t="s">
        <v>407</v>
      </c>
    </row>
    <row r="130" spans="1:1" x14ac:dyDescent="0.25">
      <c r="A130" t="s">
        <v>602</v>
      </c>
    </row>
    <row r="131" spans="1:1" x14ac:dyDescent="0.25">
      <c r="A131" t="s">
        <v>603</v>
      </c>
    </row>
    <row r="132" spans="1:1" x14ac:dyDescent="0.25">
      <c r="A132" t="s">
        <v>407</v>
      </c>
    </row>
    <row r="133" spans="1:1" x14ac:dyDescent="0.25">
      <c r="A133" t="s">
        <v>604</v>
      </c>
    </row>
    <row r="134" spans="1:1" x14ac:dyDescent="0.25">
      <c r="A134" t="s">
        <v>605</v>
      </c>
    </row>
    <row r="135" spans="1:1" x14ac:dyDescent="0.25">
      <c r="A135" t="s">
        <v>407</v>
      </c>
    </row>
    <row r="136" spans="1:1" x14ac:dyDescent="0.25">
      <c r="A136" t="s">
        <v>606</v>
      </c>
    </row>
    <row r="137" spans="1:1" x14ac:dyDescent="0.25">
      <c r="A137" t="s">
        <v>607</v>
      </c>
    </row>
    <row r="138" spans="1:1" x14ac:dyDescent="0.25">
      <c r="A138" t="s">
        <v>407</v>
      </c>
    </row>
    <row r="139" spans="1:1" x14ac:dyDescent="0.25">
      <c r="A139" t="s">
        <v>608</v>
      </c>
    </row>
    <row r="140" spans="1:1" x14ac:dyDescent="0.25">
      <c r="A140" t="s">
        <v>609</v>
      </c>
    </row>
    <row r="141" spans="1:1" x14ac:dyDescent="0.25">
      <c r="A141" t="s">
        <v>407</v>
      </c>
    </row>
    <row r="142" spans="1:1" x14ac:dyDescent="0.25">
      <c r="A142" t="s">
        <v>610</v>
      </c>
    </row>
    <row r="143" spans="1:1" x14ac:dyDescent="0.25">
      <c r="A143" t="s">
        <v>611</v>
      </c>
    </row>
    <row r="144" spans="1:1" x14ac:dyDescent="0.25">
      <c r="A144" t="s">
        <v>407</v>
      </c>
    </row>
    <row r="145" spans="1:1" x14ac:dyDescent="0.25">
      <c r="A145" t="s">
        <v>612</v>
      </c>
    </row>
    <row r="146" spans="1:1" x14ac:dyDescent="0.25">
      <c r="A146" t="s">
        <v>613</v>
      </c>
    </row>
    <row r="147" spans="1:1" x14ac:dyDescent="0.25">
      <c r="A147" t="s">
        <v>406</v>
      </c>
    </row>
    <row r="148" spans="1:1" x14ac:dyDescent="0.25">
      <c r="A148" t="s">
        <v>614</v>
      </c>
    </row>
    <row r="149" spans="1:1" x14ac:dyDescent="0.25">
      <c r="A149" t="s">
        <v>615</v>
      </c>
    </row>
    <row r="150" spans="1:1" x14ac:dyDescent="0.25">
      <c r="A150" t="s">
        <v>406</v>
      </c>
    </row>
    <row r="151" spans="1:1" x14ac:dyDescent="0.25">
      <c r="A151" t="s">
        <v>616</v>
      </c>
    </row>
    <row r="152" spans="1:1" x14ac:dyDescent="0.25">
      <c r="A152" t="s">
        <v>617</v>
      </c>
    </row>
    <row r="153" spans="1:1" x14ac:dyDescent="0.25">
      <c r="A153" t="s">
        <v>405</v>
      </c>
    </row>
    <row r="154" spans="1:1" x14ac:dyDescent="0.25">
      <c r="A154" t="s">
        <v>618</v>
      </c>
    </row>
    <row r="155" spans="1:1" x14ac:dyDescent="0.25">
      <c r="A155" t="s">
        <v>619</v>
      </c>
    </row>
    <row r="156" spans="1:1" x14ac:dyDescent="0.25">
      <c r="A156" t="s">
        <v>396</v>
      </c>
    </row>
    <row r="157" spans="1:1" x14ac:dyDescent="0.25">
      <c r="A157" t="s">
        <v>620</v>
      </c>
    </row>
    <row r="158" spans="1:1" x14ac:dyDescent="0.25">
      <c r="A158" t="s">
        <v>621</v>
      </c>
    </row>
    <row r="159" spans="1:1" x14ac:dyDescent="0.25">
      <c r="A159" t="s">
        <v>396</v>
      </c>
    </row>
    <row r="160" spans="1:1" x14ac:dyDescent="0.25">
      <c r="A160" t="s">
        <v>622</v>
      </c>
    </row>
    <row r="161" spans="1:1" x14ac:dyDescent="0.25">
      <c r="A161" t="s">
        <v>623</v>
      </c>
    </row>
    <row r="162" spans="1:1" x14ac:dyDescent="0.25">
      <c r="A162" t="s">
        <v>396</v>
      </c>
    </row>
    <row r="163" spans="1:1" x14ac:dyDescent="0.25">
      <c r="A163" t="s">
        <v>624</v>
      </c>
    </row>
    <row r="164" spans="1:1" x14ac:dyDescent="0.25">
      <c r="A164" t="s">
        <v>625</v>
      </c>
    </row>
    <row r="165" spans="1:1" x14ac:dyDescent="0.25">
      <c r="A165" t="s">
        <v>396</v>
      </c>
    </row>
    <row r="166" spans="1:1" x14ac:dyDescent="0.25">
      <c r="A166" t="s">
        <v>626</v>
      </c>
    </row>
    <row r="167" spans="1:1" x14ac:dyDescent="0.25">
      <c r="A167" t="s">
        <v>627</v>
      </c>
    </row>
    <row r="168" spans="1:1" x14ac:dyDescent="0.25">
      <c r="A168" t="s">
        <v>408</v>
      </c>
    </row>
    <row r="169" spans="1:1" x14ac:dyDescent="0.25">
      <c r="A169" t="s">
        <v>628</v>
      </c>
    </row>
    <row r="170" spans="1:1" x14ac:dyDescent="0.25">
      <c r="A170" t="s">
        <v>629</v>
      </c>
    </row>
    <row r="171" spans="1:1" x14ac:dyDescent="0.25">
      <c r="A171" t="s">
        <v>408</v>
      </c>
    </row>
    <row r="172" spans="1:1" x14ac:dyDescent="0.25">
      <c r="A172" t="s">
        <v>630</v>
      </c>
    </row>
    <row r="173" spans="1:1" x14ac:dyDescent="0.25">
      <c r="A173" t="s">
        <v>629</v>
      </c>
    </row>
    <row r="174" spans="1:1" x14ac:dyDescent="0.25">
      <c r="A174" t="s">
        <v>407</v>
      </c>
    </row>
    <row r="175" spans="1:1" x14ac:dyDescent="0.25">
      <c r="A175" t="s">
        <v>631</v>
      </c>
    </row>
    <row r="176" spans="1:1" x14ac:dyDescent="0.25">
      <c r="A176" t="s">
        <v>632</v>
      </c>
    </row>
    <row r="177" spans="1:1" x14ac:dyDescent="0.25">
      <c r="A177" t="s">
        <v>406</v>
      </c>
    </row>
    <row r="178" spans="1:1" x14ac:dyDescent="0.25">
      <c r="A178" t="s">
        <v>633</v>
      </c>
    </row>
    <row r="179" spans="1:1" x14ac:dyDescent="0.25">
      <c r="A179" t="s">
        <v>634</v>
      </c>
    </row>
    <row r="180" spans="1:1" x14ac:dyDescent="0.25">
      <c r="A180" t="s">
        <v>405</v>
      </c>
    </row>
    <row r="181" spans="1:1" x14ac:dyDescent="0.25">
      <c r="A181" t="s">
        <v>635</v>
      </c>
    </row>
    <row r="182" spans="1:1" x14ac:dyDescent="0.25">
      <c r="A182" t="s">
        <v>636</v>
      </c>
    </row>
    <row r="183" spans="1:1" x14ac:dyDescent="0.25">
      <c r="A183" t="s">
        <v>396</v>
      </c>
    </row>
    <row r="184" spans="1:1" x14ac:dyDescent="0.25">
      <c r="A184" t="s">
        <v>637</v>
      </c>
    </row>
    <row r="185" spans="1:1" x14ac:dyDescent="0.25">
      <c r="A185" t="s">
        <v>638</v>
      </c>
    </row>
    <row r="186" spans="1:1" x14ac:dyDescent="0.25">
      <c r="A186" t="s">
        <v>396</v>
      </c>
    </row>
    <row r="187" spans="1:1" x14ac:dyDescent="0.25">
      <c r="A187" t="s">
        <v>639</v>
      </c>
    </row>
    <row r="188" spans="1:1" x14ac:dyDescent="0.25">
      <c r="A188" t="s">
        <v>640</v>
      </c>
    </row>
    <row r="189" spans="1:1" x14ac:dyDescent="0.25">
      <c r="A189" t="s">
        <v>396</v>
      </c>
    </row>
    <row r="190" spans="1:1" x14ac:dyDescent="0.25">
      <c r="A190" t="s">
        <v>641</v>
      </c>
    </row>
    <row r="191" spans="1:1" x14ac:dyDescent="0.25">
      <c r="A191" t="s">
        <v>642</v>
      </c>
    </row>
    <row r="192" spans="1:1" x14ac:dyDescent="0.25">
      <c r="A192" t="s">
        <v>408</v>
      </c>
    </row>
    <row r="193" spans="1:1" x14ac:dyDescent="0.25">
      <c r="A193" t="s">
        <v>643</v>
      </c>
    </row>
    <row r="194" spans="1:1" x14ac:dyDescent="0.25">
      <c r="A194" t="s">
        <v>644</v>
      </c>
    </row>
    <row r="195" spans="1:1" x14ac:dyDescent="0.25">
      <c r="A195" t="s">
        <v>407</v>
      </c>
    </row>
    <row r="196" spans="1:1" x14ac:dyDescent="0.25">
      <c r="A196" t="s">
        <v>645</v>
      </c>
    </row>
    <row r="197" spans="1:1" x14ac:dyDescent="0.25">
      <c r="A197" t="s">
        <v>646</v>
      </c>
    </row>
    <row r="198" spans="1:1" x14ac:dyDescent="0.25">
      <c r="A198" t="s">
        <v>407</v>
      </c>
    </row>
    <row r="199" spans="1:1" x14ac:dyDescent="0.25">
      <c r="A199" t="s">
        <v>647</v>
      </c>
    </row>
    <row r="200" spans="1:1" x14ac:dyDescent="0.25">
      <c r="A200" t="s">
        <v>648</v>
      </c>
    </row>
    <row r="201" spans="1:1" x14ac:dyDescent="0.25">
      <c r="A201" t="s">
        <v>407</v>
      </c>
    </row>
    <row r="202" spans="1:1" x14ac:dyDescent="0.25">
      <c r="A202" t="s">
        <v>649</v>
      </c>
    </row>
    <row r="203" spans="1:1" x14ac:dyDescent="0.25">
      <c r="A203" t="s">
        <v>650</v>
      </c>
    </row>
    <row r="204" spans="1:1" x14ac:dyDescent="0.25">
      <c r="A204" t="s">
        <v>407</v>
      </c>
    </row>
    <row r="205" spans="1:1" x14ac:dyDescent="0.25">
      <c r="A205" t="s">
        <v>651</v>
      </c>
    </row>
    <row r="206" spans="1:1" x14ac:dyDescent="0.25">
      <c r="A206" t="s">
        <v>652</v>
      </c>
    </row>
    <row r="207" spans="1:1" x14ac:dyDescent="0.25">
      <c r="A207" t="s">
        <v>407</v>
      </c>
    </row>
    <row r="208" spans="1:1" x14ac:dyDescent="0.25">
      <c r="A208" t="s">
        <v>653</v>
      </c>
    </row>
    <row r="209" spans="1:1" x14ac:dyDescent="0.25">
      <c r="A209" t="s">
        <v>654</v>
      </c>
    </row>
    <row r="210" spans="1:1" x14ac:dyDescent="0.25">
      <c r="A210" t="s">
        <v>407</v>
      </c>
    </row>
    <row r="211" spans="1:1" x14ac:dyDescent="0.25">
      <c r="A211" t="s">
        <v>655</v>
      </c>
    </row>
    <row r="212" spans="1:1" x14ac:dyDescent="0.25">
      <c r="A212" t="s">
        <v>656</v>
      </c>
    </row>
    <row r="213" spans="1:1" x14ac:dyDescent="0.25">
      <c r="A213" t="s">
        <v>407</v>
      </c>
    </row>
    <row r="214" spans="1:1" x14ac:dyDescent="0.25">
      <c r="A214" t="s">
        <v>657</v>
      </c>
    </row>
    <row r="215" spans="1:1" x14ac:dyDescent="0.25">
      <c r="A215" t="s">
        <v>658</v>
      </c>
    </row>
    <row r="216" spans="1:1" x14ac:dyDescent="0.25">
      <c r="A216" t="s">
        <v>407</v>
      </c>
    </row>
    <row r="217" spans="1:1" x14ac:dyDescent="0.25">
      <c r="A217" t="s">
        <v>659</v>
      </c>
    </row>
    <row r="218" spans="1:1" x14ac:dyDescent="0.25">
      <c r="A218" t="s">
        <v>660</v>
      </c>
    </row>
    <row r="219" spans="1:1" x14ac:dyDescent="0.25">
      <c r="A219" t="s">
        <v>406</v>
      </c>
    </row>
    <row r="220" spans="1:1" x14ac:dyDescent="0.25">
      <c r="A220" t="s">
        <v>661</v>
      </c>
    </row>
    <row r="221" spans="1:1" x14ac:dyDescent="0.25">
      <c r="A221" t="s">
        <v>662</v>
      </c>
    </row>
    <row r="222" spans="1:1" x14ac:dyDescent="0.25">
      <c r="A222" t="s">
        <v>405</v>
      </c>
    </row>
    <row r="223" spans="1:1" x14ac:dyDescent="0.25">
      <c r="A223" t="s">
        <v>663</v>
      </c>
    </row>
    <row r="224" spans="1:1" x14ac:dyDescent="0.25">
      <c r="A224" t="s">
        <v>664</v>
      </c>
    </row>
    <row r="225" spans="1:1" x14ac:dyDescent="0.25">
      <c r="A225" t="s">
        <v>396</v>
      </c>
    </row>
    <row r="226" spans="1:1" x14ac:dyDescent="0.25">
      <c r="A226" t="s">
        <v>665</v>
      </c>
    </row>
    <row r="227" spans="1:1" x14ac:dyDescent="0.25">
      <c r="A227" t="s">
        <v>666</v>
      </c>
    </row>
    <row r="228" spans="1:1" x14ac:dyDescent="0.25">
      <c r="A228" t="s">
        <v>396</v>
      </c>
    </row>
    <row r="229" spans="1:1" x14ac:dyDescent="0.25">
      <c r="A229" t="s">
        <v>667</v>
      </c>
    </row>
    <row r="230" spans="1:1" x14ac:dyDescent="0.25">
      <c r="A230" t="s">
        <v>668</v>
      </c>
    </row>
    <row r="231" spans="1:1" x14ac:dyDescent="0.25">
      <c r="A231" t="s">
        <v>396</v>
      </c>
    </row>
    <row r="232" spans="1:1" x14ac:dyDescent="0.25">
      <c r="A232" t="s">
        <v>669</v>
      </c>
    </row>
    <row r="233" spans="1:1" x14ac:dyDescent="0.25">
      <c r="A233" t="s">
        <v>670</v>
      </c>
    </row>
    <row r="234" spans="1:1" x14ac:dyDescent="0.25">
      <c r="A234" t="s">
        <v>408</v>
      </c>
    </row>
    <row r="235" spans="1:1" x14ac:dyDescent="0.25">
      <c r="A235" t="s">
        <v>671</v>
      </c>
    </row>
    <row r="236" spans="1:1" x14ac:dyDescent="0.25">
      <c r="A236" t="s">
        <v>672</v>
      </c>
    </row>
    <row r="237" spans="1:1" x14ac:dyDescent="0.25">
      <c r="A237" t="s">
        <v>407</v>
      </c>
    </row>
    <row r="238" spans="1:1" x14ac:dyDescent="0.25">
      <c r="A238" t="s">
        <v>673</v>
      </c>
    </row>
    <row r="239" spans="1:1" x14ac:dyDescent="0.25">
      <c r="A239" t="s">
        <v>674</v>
      </c>
    </row>
    <row r="240" spans="1:1" x14ac:dyDescent="0.25">
      <c r="A240" t="s">
        <v>407</v>
      </c>
    </row>
    <row r="241" spans="1:1" x14ac:dyDescent="0.25">
      <c r="A241" t="s">
        <v>675</v>
      </c>
    </row>
    <row r="242" spans="1:1" x14ac:dyDescent="0.25">
      <c r="A242" t="s">
        <v>676</v>
      </c>
    </row>
    <row r="243" spans="1:1" x14ac:dyDescent="0.25">
      <c r="A243" t="s">
        <v>407</v>
      </c>
    </row>
    <row r="244" spans="1:1" x14ac:dyDescent="0.25">
      <c r="A244" t="s">
        <v>677</v>
      </c>
    </row>
    <row r="245" spans="1:1" x14ac:dyDescent="0.25">
      <c r="A245" t="s">
        <v>678</v>
      </c>
    </row>
    <row r="246" spans="1:1" x14ac:dyDescent="0.25">
      <c r="A246" t="s">
        <v>407</v>
      </c>
    </row>
    <row r="247" spans="1:1" x14ac:dyDescent="0.25">
      <c r="A247" t="s">
        <v>679</v>
      </c>
    </row>
    <row r="248" spans="1:1" x14ac:dyDescent="0.25">
      <c r="A248" t="s">
        <v>680</v>
      </c>
    </row>
    <row r="249" spans="1:1" x14ac:dyDescent="0.25">
      <c r="A249" t="s">
        <v>407</v>
      </c>
    </row>
    <row r="250" spans="1:1" x14ac:dyDescent="0.25">
      <c r="A250" t="s">
        <v>681</v>
      </c>
    </row>
    <row r="251" spans="1:1" x14ac:dyDescent="0.25">
      <c r="A251" t="s">
        <v>682</v>
      </c>
    </row>
    <row r="252" spans="1:1" x14ac:dyDescent="0.25">
      <c r="A252" t="s">
        <v>407</v>
      </c>
    </row>
    <row r="253" spans="1:1" x14ac:dyDescent="0.25">
      <c r="A253" t="s">
        <v>683</v>
      </c>
    </row>
    <row r="254" spans="1:1" x14ac:dyDescent="0.25">
      <c r="A254" t="s">
        <v>684</v>
      </c>
    </row>
    <row r="255" spans="1:1" x14ac:dyDescent="0.25">
      <c r="A255" t="s">
        <v>407</v>
      </c>
    </row>
    <row r="256" spans="1:1" x14ac:dyDescent="0.25">
      <c r="A256" t="s">
        <v>685</v>
      </c>
    </row>
    <row r="257" spans="1:1" x14ac:dyDescent="0.25">
      <c r="A257" t="s">
        <v>686</v>
      </c>
    </row>
    <row r="258" spans="1:1" x14ac:dyDescent="0.25">
      <c r="A258" t="s">
        <v>407</v>
      </c>
    </row>
    <row r="259" spans="1:1" x14ac:dyDescent="0.25">
      <c r="A259" t="s">
        <v>687</v>
      </c>
    </row>
    <row r="260" spans="1:1" x14ac:dyDescent="0.25">
      <c r="A260" t="s">
        <v>688</v>
      </c>
    </row>
    <row r="261" spans="1:1" x14ac:dyDescent="0.25">
      <c r="A261" t="s">
        <v>406</v>
      </c>
    </row>
    <row r="262" spans="1:1" x14ac:dyDescent="0.25">
      <c r="A262" t="s">
        <v>689</v>
      </c>
    </row>
    <row r="263" spans="1:1" x14ac:dyDescent="0.25">
      <c r="A263" t="s">
        <v>690</v>
      </c>
    </row>
    <row r="264" spans="1:1" x14ac:dyDescent="0.25">
      <c r="A264" t="s">
        <v>405</v>
      </c>
    </row>
    <row r="265" spans="1:1" x14ac:dyDescent="0.25">
      <c r="A265" t="s">
        <v>691</v>
      </c>
    </row>
    <row r="266" spans="1:1" x14ac:dyDescent="0.25">
      <c r="A266" t="s">
        <v>692</v>
      </c>
    </row>
    <row r="267" spans="1:1" x14ac:dyDescent="0.25">
      <c r="A267" t="s">
        <v>396</v>
      </c>
    </row>
    <row r="268" spans="1:1" x14ac:dyDescent="0.25">
      <c r="A268" t="s">
        <v>693</v>
      </c>
    </row>
    <row r="269" spans="1:1" x14ac:dyDescent="0.25">
      <c r="A269" t="s">
        <v>694</v>
      </c>
    </row>
    <row r="270" spans="1:1" x14ac:dyDescent="0.25">
      <c r="A270" t="s">
        <v>396</v>
      </c>
    </row>
    <row r="271" spans="1:1" x14ac:dyDescent="0.25">
      <c r="A271" t="s">
        <v>695</v>
      </c>
    </row>
    <row r="272" spans="1:1" x14ac:dyDescent="0.25">
      <c r="A272" t="s">
        <v>696</v>
      </c>
    </row>
    <row r="273" spans="1:1" x14ac:dyDescent="0.25">
      <c r="A273" t="s">
        <v>396</v>
      </c>
    </row>
    <row r="274" spans="1:1" x14ac:dyDescent="0.25">
      <c r="A274" t="s">
        <v>697</v>
      </c>
    </row>
    <row r="275" spans="1:1" x14ac:dyDescent="0.25">
      <c r="A275" t="s">
        <v>698</v>
      </c>
    </row>
    <row r="276" spans="1:1" x14ac:dyDescent="0.25">
      <c r="A276" t="s">
        <v>408</v>
      </c>
    </row>
    <row r="277" spans="1:1" x14ac:dyDescent="0.25">
      <c r="A277" t="s">
        <v>699</v>
      </c>
    </row>
    <row r="278" spans="1:1" x14ac:dyDescent="0.25">
      <c r="A278" t="s">
        <v>700</v>
      </c>
    </row>
    <row r="279" spans="1:1" x14ac:dyDescent="0.25">
      <c r="A279" t="s">
        <v>407</v>
      </c>
    </row>
    <row r="280" spans="1:1" x14ac:dyDescent="0.25">
      <c r="A280" t="s">
        <v>701</v>
      </c>
    </row>
    <row r="281" spans="1:1" x14ac:dyDescent="0.25">
      <c r="A281" t="s">
        <v>702</v>
      </c>
    </row>
    <row r="282" spans="1:1" x14ac:dyDescent="0.25">
      <c r="A282" t="s">
        <v>407</v>
      </c>
    </row>
    <row r="283" spans="1:1" x14ac:dyDescent="0.25">
      <c r="A283" t="s">
        <v>703</v>
      </c>
    </row>
    <row r="284" spans="1:1" x14ac:dyDescent="0.25">
      <c r="A284" t="s">
        <v>704</v>
      </c>
    </row>
    <row r="285" spans="1:1" x14ac:dyDescent="0.25">
      <c r="A285" t="s">
        <v>407</v>
      </c>
    </row>
    <row r="286" spans="1:1" x14ac:dyDescent="0.25">
      <c r="A286" t="s">
        <v>705</v>
      </c>
    </row>
    <row r="287" spans="1:1" x14ac:dyDescent="0.25">
      <c r="A287" t="s">
        <v>706</v>
      </c>
    </row>
    <row r="288" spans="1:1" x14ac:dyDescent="0.25">
      <c r="A288" t="s">
        <v>407</v>
      </c>
    </row>
    <row r="289" spans="1:1" x14ac:dyDescent="0.25">
      <c r="A289" t="s">
        <v>707</v>
      </c>
    </row>
    <row r="290" spans="1:1" x14ac:dyDescent="0.25">
      <c r="A290" t="s">
        <v>708</v>
      </c>
    </row>
    <row r="291" spans="1:1" x14ac:dyDescent="0.25">
      <c r="A291" t="s">
        <v>407</v>
      </c>
    </row>
    <row r="292" spans="1:1" x14ac:dyDescent="0.25">
      <c r="A292" t="s">
        <v>709</v>
      </c>
    </row>
    <row r="293" spans="1:1" x14ac:dyDescent="0.25">
      <c r="A293" t="s">
        <v>710</v>
      </c>
    </row>
    <row r="294" spans="1:1" x14ac:dyDescent="0.25">
      <c r="A294" t="s">
        <v>407</v>
      </c>
    </row>
    <row r="295" spans="1:1" x14ac:dyDescent="0.25">
      <c r="A295" t="s">
        <v>711</v>
      </c>
    </row>
    <row r="296" spans="1:1" x14ac:dyDescent="0.25">
      <c r="A296" t="s">
        <v>712</v>
      </c>
    </row>
    <row r="297" spans="1:1" x14ac:dyDescent="0.25">
      <c r="A297" t="s">
        <v>407</v>
      </c>
    </row>
    <row r="298" spans="1:1" x14ac:dyDescent="0.25">
      <c r="A298" t="s">
        <v>713</v>
      </c>
    </row>
    <row r="299" spans="1:1" x14ac:dyDescent="0.25">
      <c r="A299" t="s">
        <v>714</v>
      </c>
    </row>
    <row r="300" spans="1:1" x14ac:dyDescent="0.25">
      <c r="A300" t="s">
        <v>407</v>
      </c>
    </row>
    <row r="301" spans="1:1" x14ac:dyDescent="0.25">
      <c r="A301" t="s">
        <v>715</v>
      </c>
    </row>
    <row r="302" spans="1:1" x14ac:dyDescent="0.25">
      <c r="A302" t="s">
        <v>716</v>
      </c>
    </row>
    <row r="303" spans="1:1" x14ac:dyDescent="0.25">
      <c r="A303" t="s">
        <v>407</v>
      </c>
    </row>
    <row r="304" spans="1:1" x14ac:dyDescent="0.25">
      <c r="A304" t="s">
        <v>717</v>
      </c>
    </row>
    <row r="305" spans="1:1" x14ac:dyDescent="0.25">
      <c r="A305" t="s">
        <v>718</v>
      </c>
    </row>
    <row r="306" spans="1:1" x14ac:dyDescent="0.25">
      <c r="A306" t="s">
        <v>406</v>
      </c>
    </row>
    <row r="307" spans="1:1" x14ac:dyDescent="0.25">
      <c r="A307" t="s">
        <v>719</v>
      </c>
    </row>
    <row r="308" spans="1:1" x14ac:dyDescent="0.25">
      <c r="A308" t="s">
        <v>720</v>
      </c>
    </row>
    <row r="309" spans="1:1" x14ac:dyDescent="0.25">
      <c r="A309" t="s">
        <v>406</v>
      </c>
    </row>
    <row r="310" spans="1:1" x14ac:dyDescent="0.25">
      <c r="A310" t="s">
        <v>721</v>
      </c>
    </row>
    <row r="311" spans="1:1" x14ac:dyDescent="0.25">
      <c r="A311" t="s">
        <v>722</v>
      </c>
    </row>
    <row r="312" spans="1:1" x14ac:dyDescent="0.25">
      <c r="A312" t="s">
        <v>405</v>
      </c>
    </row>
    <row r="313" spans="1:1" x14ac:dyDescent="0.25">
      <c r="A313" t="s">
        <v>723</v>
      </c>
    </row>
    <row r="314" spans="1:1" x14ac:dyDescent="0.25">
      <c r="A314" t="s">
        <v>724</v>
      </c>
    </row>
    <row r="315" spans="1:1" x14ac:dyDescent="0.25">
      <c r="A315" t="s">
        <v>396</v>
      </c>
    </row>
    <row r="316" spans="1:1" x14ac:dyDescent="0.25">
      <c r="A316" t="s">
        <v>725</v>
      </c>
    </row>
    <row r="317" spans="1:1" x14ac:dyDescent="0.25">
      <c r="A317" t="s">
        <v>726</v>
      </c>
    </row>
    <row r="318" spans="1:1" x14ac:dyDescent="0.25">
      <c r="A318" t="s">
        <v>396</v>
      </c>
    </row>
    <row r="319" spans="1:1" x14ac:dyDescent="0.25">
      <c r="A319" t="s">
        <v>727</v>
      </c>
    </row>
    <row r="320" spans="1:1" x14ac:dyDescent="0.25">
      <c r="A320" t="s">
        <v>728</v>
      </c>
    </row>
    <row r="321" spans="1:1" x14ac:dyDescent="0.25">
      <c r="A321" t="s">
        <v>396</v>
      </c>
    </row>
    <row r="322" spans="1:1" x14ac:dyDescent="0.25">
      <c r="A322" t="s">
        <v>729</v>
      </c>
    </row>
    <row r="323" spans="1:1" x14ac:dyDescent="0.25">
      <c r="A323" t="s">
        <v>730</v>
      </c>
    </row>
    <row r="324" spans="1:1" x14ac:dyDescent="0.25">
      <c r="A324" t="s">
        <v>396</v>
      </c>
    </row>
    <row r="325" spans="1:1" x14ac:dyDescent="0.25">
      <c r="A325" t="s">
        <v>731</v>
      </c>
    </row>
    <row r="326" spans="1:1" x14ac:dyDescent="0.25">
      <c r="A326" t="s">
        <v>732</v>
      </c>
    </row>
    <row r="327" spans="1:1" x14ac:dyDescent="0.25">
      <c r="A327" t="s">
        <v>408</v>
      </c>
    </row>
    <row r="328" spans="1:1" x14ac:dyDescent="0.25">
      <c r="A328" t="s">
        <v>733</v>
      </c>
    </row>
    <row r="329" spans="1:1" x14ac:dyDescent="0.25">
      <c r="A329" t="s">
        <v>734</v>
      </c>
    </row>
    <row r="330" spans="1:1" x14ac:dyDescent="0.25">
      <c r="A330" t="s">
        <v>408</v>
      </c>
    </row>
    <row r="331" spans="1:1" x14ac:dyDescent="0.25">
      <c r="A331" t="s">
        <v>735</v>
      </c>
    </row>
    <row r="332" spans="1:1" x14ac:dyDescent="0.25">
      <c r="A332" t="s">
        <v>734</v>
      </c>
    </row>
    <row r="333" spans="1:1" x14ac:dyDescent="0.25">
      <c r="A333" t="s">
        <v>407</v>
      </c>
    </row>
    <row r="334" spans="1:1" x14ac:dyDescent="0.25">
      <c r="A334" t="s">
        <v>736</v>
      </c>
    </row>
    <row r="335" spans="1:1" x14ac:dyDescent="0.25">
      <c r="A335" t="s">
        <v>737</v>
      </c>
    </row>
    <row r="336" spans="1:1" x14ac:dyDescent="0.25">
      <c r="A336" t="s">
        <v>406</v>
      </c>
    </row>
    <row r="337" spans="1:1" x14ac:dyDescent="0.25">
      <c r="A337" t="s">
        <v>738</v>
      </c>
    </row>
    <row r="338" spans="1:1" x14ac:dyDescent="0.25">
      <c r="A338" t="s">
        <v>739</v>
      </c>
    </row>
    <row r="339" spans="1:1" x14ac:dyDescent="0.25">
      <c r="A339" t="s">
        <v>405</v>
      </c>
    </row>
    <row r="340" spans="1:1" x14ac:dyDescent="0.25">
      <c r="A340" t="s">
        <v>740</v>
      </c>
    </row>
    <row r="341" spans="1:1" x14ac:dyDescent="0.25">
      <c r="A341" t="s">
        <v>741</v>
      </c>
    </row>
    <row r="342" spans="1:1" x14ac:dyDescent="0.25">
      <c r="A342" t="s">
        <v>396</v>
      </c>
    </row>
    <row r="343" spans="1:1" x14ac:dyDescent="0.25">
      <c r="A343" t="s">
        <v>742</v>
      </c>
    </row>
    <row r="344" spans="1:1" x14ac:dyDescent="0.25">
      <c r="A344" t="s">
        <v>743</v>
      </c>
    </row>
    <row r="345" spans="1:1" x14ac:dyDescent="0.25">
      <c r="A345" t="s">
        <v>396</v>
      </c>
    </row>
    <row r="346" spans="1:1" x14ac:dyDescent="0.25">
      <c r="A346" t="s">
        <v>744</v>
      </c>
    </row>
    <row r="347" spans="1:1" x14ac:dyDescent="0.25">
      <c r="A347" t="s">
        <v>745</v>
      </c>
    </row>
    <row r="348" spans="1:1" x14ac:dyDescent="0.25">
      <c r="A348" t="s">
        <v>396</v>
      </c>
    </row>
    <row r="349" spans="1:1" x14ac:dyDescent="0.25">
      <c r="A349" t="s">
        <v>746</v>
      </c>
    </row>
    <row r="350" spans="1:1" x14ac:dyDescent="0.25">
      <c r="A350" t="s">
        <v>747</v>
      </c>
    </row>
    <row r="351" spans="1:1" x14ac:dyDescent="0.25">
      <c r="A351" t="s">
        <v>408</v>
      </c>
    </row>
    <row r="352" spans="1:1" x14ac:dyDescent="0.25">
      <c r="A352" t="s">
        <v>748</v>
      </c>
    </row>
    <row r="353" spans="1:1" x14ac:dyDescent="0.25">
      <c r="A353" t="s">
        <v>749</v>
      </c>
    </row>
    <row r="354" spans="1:1" x14ac:dyDescent="0.25">
      <c r="A354" t="s">
        <v>407</v>
      </c>
    </row>
    <row r="355" spans="1:1" x14ac:dyDescent="0.25">
      <c r="A355" t="s">
        <v>750</v>
      </c>
    </row>
    <row r="356" spans="1:1" x14ac:dyDescent="0.25">
      <c r="A356" t="s">
        <v>751</v>
      </c>
    </row>
    <row r="357" spans="1:1" x14ac:dyDescent="0.25">
      <c r="A357" t="s">
        <v>407</v>
      </c>
    </row>
    <row r="358" spans="1:1" x14ac:dyDescent="0.25">
      <c r="A358" t="s">
        <v>752</v>
      </c>
    </row>
    <row r="359" spans="1:1" x14ac:dyDescent="0.25">
      <c r="A359" t="s">
        <v>753</v>
      </c>
    </row>
    <row r="360" spans="1:1" x14ac:dyDescent="0.25">
      <c r="A360" t="s">
        <v>407</v>
      </c>
    </row>
    <row r="361" spans="1:1" x14ac:dyDescent="0.25">
      <c r="A361" t="s">
        <v>754</v>
      </c>
    </row>
    <row r="362" spans="1:1" x14ac:dyDescent="0.25">
      <c r="A362" t="s">
        <v>755</v>
      </c>
    </row>
    <row r="363" spans="1:1" x14ac:dyDescent="0.25">
      <c r="A363" t="s">
        <v>407</v>
      </c>
    </row>
    <row r="364" spans="1:1" x14ac:dyDescent="0.25">
      <c r="A364" t="s">
        <v>756</v>
      </c>
    </row>
    <row r="365" spans="1:1" x14ac:dyDescent="0.25">
      <c r="A365" t="s">
        <v>757</v>
      </c>
    </row>
    <row r="366" spans="1:1" x14ac:dyDescent="0.25">
      <c r="A366" t="s">
        <v>407</v>
      </c>
    </row>
    <row r="367" spans="1:1" x14ac:dyDescent="0.25">
      <c r="A367" t="s">
        <v>758</v>
      </c>
    </row>
    <row r="368" spans="1:1" x14ac:dyDescent="0.25">
      <c r="A368" t="s">
        <v>759</v>
      </c>
    </row>
    <row r="369" spans="1:1" x14ac:dyDescent="0.25">
      <c r="A369" t="s">
        <v>407</v>
      </c>
    </row>
    <row r="370" spans="1:1" x14ac:dyDescent="0.25">
      <c r="A370" t="s">
        <v>760</v>
      </c>
    </row>
    <row r="371" spans="1:1" x14ac:dyDescent="0.25">
      <c r="A371" t="s">
        <v>761</v>
      </c>
    </row>
    <row r="372" spans="1:1" x14ac:dyDescent="0.25">
      <c r="A372" t="s">
        <v>407</v>
      </c>
    </row>
    <row r="373" spans="1:1" x14ac:dyDescent="0.25">
      <c r="A373" t="s">
        <v>762</v>
      </c>
    </row>
    <row r="374" spans="1:1" x14ac:dyDescent="0.25">
      <c r="A374" t="s">
        <v>763</v>
      </c>
    </row>
    <row r="375" spans="1:1" x14ac:dyDescent="0.25">
      <c r="A375" t="s">
        <v>407</v>
      </c>
    </row>
    <row r="376" spans="1:1" x14ac:dyDescent="0.25">
      <c r="A376" t="s">
        <v>764</v>
      </c>
    </row>
    <row r="377" spans="1:1" x14ac:dyDescent="0.25">
      <c r="A377" t="s">
        <v>765</v>
      </c>
    </row>
    <row r="378" spans="1:1" x14ac:dyDescent="0.25">
      <c r="A378" t="s">
        <v>406</v>
      </c>
    </row>
    <row r="379" spans="1:1" x14ac:dyDescent="0.25">
      <c r="A379" t="s">
        <v>766</v>
      </c>
    </row>
    <row r="380" spans="1:1" x14ac:dyDescent="0.25">
      <c r="A380" t="s">
        <v>767</v>
      </c>
    </row>
    <row r="381" spans="1:1" x14ac:dyDescent="0.25">
      <c r="A381" t="s">
        <v>405</v>
      </c>
    </row>
    <row r="382" spans="1:1" x14ac:dyDescent="0.25">
      <c r="A382" t="s">
        <v>768</v>
      </c>
    </row>
    <row r="383" spans="1:1" x14ac:dyDescent="0.25">
      <c r="A383" t="s">
        <v>769</v>
      </c>
    </row>
    <row r="384" spans="1:1" x14ac:dyDescent="0.25">
      <c r="A384" t="s">
        <v>396</v>
      </c>
    </row>
    <row r="385" spans="1:1" x14ac:dyDescent="0.25">
      <c r="A385" t="s">
        <v>770</v>
      </c>
    </row>
    <row r="386" spans="1:1" x14ac:dyDescent="0.25">
      <c r="A386" t="s">
        <v>771</v>
      </c>
    </row>
    <row r="387" spans="1:1" x14ac:dyDescent="0.25">
      <c r="A387" t="s">
        <v>396</v>
      </c>
    </row>
    <row r="388" spans="1:1" x14ac:dyDescent="0.25">
      <c r="A388" t="s">
        <v>772</v>
      </c>
    </row>
    <row r="389" spans="1:1" x14ac:dyDescent="0.25">
      <c r="A389" t="s">
        <v>773</v>
      </c>
    </row>
    <row r="390" spans="1:1" x14ac:dyDescent="0.25">
      <c r="A390" t="s">
        <v>396</v>
      </c>
    </row>
    <row r="391" spans="1:1" x14ac:dyDescent="0.25">
      <c r="A391" t="s">
        <v>774</v>
      </c>
    </row>
    <row r="392" spans="1:1" x14ac:dyDescent="0.25">
      <c r="A392" t="s">
        <v>775</v>
      </c>
    </row>
    <row r="393" spans="1:1" x14ac:dyDescent="0.25">
      <c r="A393" t="s">
        <v>408</v>
      </c>
    </row>
    <row r="394" spans="1:1" x14ac:dyDescent="0.25">
      <c r="A394" t="s">
        <v>776</v>
      </c>
    </row>
    <row r="395" spans="1:1" x14ac:dyDescent="0.25">
      <c r="A395" t="s">
        <v>777</v>
      </c>
    </row>
    <row r="396" spans="1:1" x14ac:dyDescent="0.25">
      <c r="A396" t="s">
        <v>407</v>
      </c>
    </row>
    <row r="397" spans="1:1" x14ac:dyDescent="0.25">
      <c r="A397" t="s">
        <v>778</v>
      </c>
    </row>
    <row r="398" spans="1:1" x14ac:dyDescent="0.25">
      <c r="A398" t="s">
        <v>779</v>
      </c>
    </row>
    <row r="399" spans="1:1" x14ac:dyDescent="0.25">
      <c r="A399" t="s">
        <v>407</v>
      </c>
    </row>
    <row r="400" spans="1:1" x14ac:dyDescent="0.25">
      <c r="A400" t="s">
        <v>780</v>
      </c>
    </row>
    <row r="401" spans="1:1" x14ac:dyDescent="0.25">
      <c r="A401" t="s">
        <v>781</v>
      </c>
    </row>
    <row r="402" spans="1:1" x14ac:dyDescent="0.25">
      <c r="A402" t="s">
        <v>407</v>
      </c>
    </row>
    <row r="403" spans="1:1" x14ac:dyDescent="0.25">
      <c r="A403" t="s">
        <v>782</v>
      </c>
    </row>
    <row r="404" spans="1:1" x14ac:dyDescent="0.25">
      <c r="A404" t="s">
        <v>783</v>
      </c>
    </row>
    <row r="405" spans="1:1" x14ac:dyDescent="0.25">
      <c r="A405" t="s">
        <v>407</v>
      </c>
    </row>
    <row r="406" spans="1:1" x14ac:dyDescent="0.25">
      <c r="A406" t="s">
        <v>784</v>
      </c>
    </row>
    <row r="407" spans="1:1" x14ac:dyDescent="0.25">
      <c r="A407" t="s">
        <v>785</v>
      </c>
    </row>
    <row r="408" spans="1:1" x14ac:dyDescent="0.25">
      <c r="A408" t="s">
        <v>407</v>
      </c>
    </row>
    <row r="409" spans="1:1" x14ac:dyDescent="0.25">
      <c r="A409" t="s">
        <v>786</v>
      </c>
    </row>
    <row r="410" spans="1:1" x14ac:dyDescent="0.25">
      <c r="A410" t="s">
        <v>787</v>
      </c>
    </row>
    <row r="411" spans="1:1" x14ac:dyDescent="0.25">
      <c r="A411" t="s">
        <v>407</v>
      </c>
    </row>
    <row r="412" spans="1:1" x14ac:dyDescent="0.25">
      <c r="A412" t="s">
        <v>788</v>
      </c>
    </row>
    <row r="413" spans="1:1" x14ac:dyDescent="0.25">
      <c r="A413" t="s">
        <v>789</v>
      </c>
    </row>
    <row r="414" spans="1:1" x14ac:dyDescent="0.25">
      <c r="A414" t="s">
        <v>407</v>
      </c>
    </row>
    <row r="415" spans="1:1" x14ac:dyDescent="0.25">
      <c r="A415" t="s">
        <v>790</v>
      </c>
    </row>
    <row r="416" spans="1:1" x14ac:dyDescent="0.25">
      <c r="A416" t="s">
        <v>791</v>
      </c>
    </row>
    <row r="417" spans="1:1" x14ac:dyDescent="0.25">
      <c r="A417" t="s">
        <v>407</v>
      </c>
    </row>
    <row r="418" spans="1:1" x14ac:dyDescent="0.25">
      <c r="A418" t="s">
        <v>792</v>
      </c>
    </row>
    <row r="419" spans="1:1" x14ac:dyDescent="0.25">
      <c r="A419" t="s">
        <v>793</v>
      </c>
    </row>
    <row r="420" spans="1:1" x14ac:dyDescent="0.25">
      <c r="A420" t="s">
        <v>406</v>
      </c>
    </row>
    <row r="421" spans="1:1" x14ac:dyDescent="0.25">
      <c r="A421" t="s">
        <v>794</v>
      </c>
    </row>
    <row r="422" spans="1:1" x14ac:dyDescent="0.25">
      <c r="A422" t="s">
        <v>795</v>
      </c>
    </row>
    <row r="423" spans="1:1" x14ac:dyDescent="0.25">
      <c r="A423" t="s">
        <v>405</v>
      </c>
    </row>
    <row r="424" spans="1:1" x14ac:dyDescent="0.25">
      <c r="A424" t="s">
        <v>796</v>
      </c>
    </row>
    <row r="425" spans="1:1" x14ac:dyDescent="0.25">
      <c r="A425" t="s">
        <v>797</v>
      </c>
    </row>
    <row r="426" spans="1:1" x14ac:dyDescent="0.25">
      <c r="A426" t="s">
        <v>396</v>
      </c>
    </row>
    <row r="427" spans="1:1" x14ac:dyDescent="0.25">
      <c r="A427" t="s">
        <v>798</v>
      </c>
    </row>
    <row r="428" spans="1:1" x14ac:dyDescent="0.25">
      <c r="A428" t="s">
        <v>799</v>
      </c>
    </row>
    <row r="429" spans="1:1" x14ac:dyDescent="0.25">
      <c r="A429" t="s">
        <v>396</v>
      </c>
    </row>
    <row r="430" spans="1:1" x14ac:dyDescent="0.25">
      <c r="A430" t="s">
        <v>800</v>
      </c>
    </row>
    <row r="431" spans="1:1" x14ac:dyDescent="0.25">
      <c r="A431" t="s">
        <v>801</v>
      </c>
    </row>
    <row r="432" spans="1:1" x14ac:dyDescent="0.25">
      <c r="A432" t="s">
        <v>396</v>
      </c>
    </row>
    <row r="433" spans="1:1" x14ac:dyDescent="0.25">
      <c r="A433" t="s">
        <v>802</v>
      </c>
    </row>
    <row r="434" spans="1:1" x14ac:dyDescent="0.25">
      <c r="A434" t="s">
        <v>803</v>
      </c>
    </row>
    <row r="435" spans="1:1" x14ac:dyDescent="0.25">
      <c r="A435" t="s">
        <v>408</v>
      </c>
    </row>
    <row r="436" spans="1:1" x14ac:dyDescent="0.25">
      <c r="A436" t="s">
        <v>804</v>
      </c>
    </row>
    <row r="437" spans="1:1" x14ac:dyDescent="0.25">
      <c r="A437" t="s">
        <v>805</v>
      </c>
    </row>
    <row r="438" spans="1:1" x14ac:dyDescent="0.25">
      <c r="A438" t="s">
        <v>407</v>
      </c>
    </row>
    <row r="439" spans="1:1" x14ac:dyDescent="0.25">
      <c r="A439" t="s">
        <v>806</v>
      </c>
    </row>
    <row r="440" spans="1:1" x14ac:dyDescent="0.25">
      <c r="A440" t="s">
        <v>807</v>
      </c>
    </row>
    <row r="441" spans="1:1" x14ac:dyDescent="0.25">
      <c r="A441" t="s">
        <v>407</v>
      </c>
    </row>
    <row r="442" spans="1:1" x14ac:dyDescent="0.25">
      <c r="A442" t="s">
        <v>808</v>
      </c>
    </row>
    <row r="443" spans="1:1" x14ac:dyDescent="0.25">
      <c r="A443" t="s">
        <v>809</v>
      </c>
    </row>
    <row r="444" spans="1:1" x14ac:dyDescent="0.25">
      <c r="A444" t="s">
        <v>407</v>
      </c>
    </row>
    <row r="445" spans="1:1" x14ac:dyDescent="0.25">
      <c r="A445" t="s">
        <v>810</v>
      </c>
    </row>
    <row r="446" spans="1:1" x14ac:dyDescent="0.25">
      <c r="A446" t="s">
        <v>811</v>
      </c>
    </row>
    <row r="447" spans="1:1" x14ac:dyDescent="0.25">
      <c r="A447" t="s">
        <v>407</v>
      </c>
    </row>
    <row r="448" spans="1:1" x14ac:dyDescent="0.25">
      <c r="A448" t="s">
        <v>812</v>
      </c>
    </row>
    <row r="449" spans="1:1" x14ac:dyDescent="0.25">
      <c r="A449" t="s">
        <v>813</v>
      </c>
    </row>
    <row r="450" spans="1:1" x14ac:dyDescent="0.25">
      <c r="A450" t="s">
        <v>407</v>
      </c>
    </row>
    <row r="451" spans="1:1" x14ac:dyDescent="0.25">
      <c r="A451" t="s">
        <v>814</v>
      </c>
    </row>
    <row r="452" spans="1:1" x14ac:dyDescent="0.25">
      <c r="A452" t="s">
        <v>815</v>
      </c>
    </row>
    <row r="453" spans="1:1" x14ac:dyDescent="0.25">
      <c r="A453" t="s">
        <v>407</v>
      </c>
    </row>
    <row r="454" spans="1:1" x14ac:dyDescent="0.25">
      <c r="A454" t="s">
        <v>816</v>
      </c>
    </row>
    <row r="455" spans="1:1" x14ac:dyDescent="0.25">
      <c r="A455" t="s">
        <v>817</v>
      </c>
    </row>
    <row r="456" spans="1:1" x14ac:dyDescent="0.25">
      <c r="A456" t="s">
        <v>407</v>
      </c>
    </row>
    <row r="457" spans="1:1" x14ac:dyDescent="0.25">
      <c r="A457" t="s">
        <v>818</v>
      </c>
    </row>
    <row r="458" spans="1:1" x14ac:dyDescent="0.25">
      <c r="A458" t="s">
        <v>819</v>
      </c>
    </row>
    <row r="459" spans="1:1" x14ac:dyDescent="0.25">
      <c r="A459" t="s">
        <v>407</v>
      </c>
    </row>
    <row r="460" spans="1:1" x14ac:dyDescent="0.25">
      <c r="A460" t="s">
        <v>820</v>
      </c>
    </row>
    <row r="461" spans="1:1" x14ac:dyDescent="0.25">
      <c r="A461" t="s">
        <v>821</v>
      </c>
    </row>
    <row r="462" spans="1:1" x14ac:dyDescent="0.25">
      <c r="A462" t="s">
        <v>407</v>
      </c>
    </row>
    <row r="463" spans="1:1" x14ac:dyDescent="0.25">
      <c r="A463" t="s">
        <v>822</v>
      </c>
    </row>
    <row r="464" spans="1:1" x14ac:dyDescent="0.25">
      <c r="A464" t="s">
        <v>823</v>
      </c>
    </row>
    <row r="465" spans="1:1" x14ac:dyDescent="0.25">
      <c r="A465" t="s">
        <v>406</v>
      </c>
    </row>
    <row r="466" spans="1:1" x14ac:dyDescent="0.25">
      <c r="A466" t="s">
        <v>824</v>
      </c>
    </row>
    <row r="467" spans="1:1" x14ac:dyDescent="0.25">
      <c r="A467" t="s">
        <v>825</v>
      </c>
    </row>
    <row r="468" spans="1:1" x14ac:dyDescent="0.25">
      <c r="A468" t="s">
        <v>406</v>
      </c>
    </row>
    <row r="469" spans="1:1" x14ac:dyDescent="0.25">
      <c r="A469" t="s">
        <v>826</v>
      </c>
    </row>
    <row r="470" spans="1:1" x14ac:dyDescent="0.25">
      <c r="A470" t="s">
        <v>827</v>
      </c>
    </row>
    <row r="471" spans="1:1" x14ac:dyDescent="0.25">
      <c r="A471" t="s">
        <v>405</v>
      </c>
    </row>
    <row r="472" spans="1:1" x14ac:dyDescent="0.25">
      <c r="A472" t="s">
        <v>828</v>
      </c>
    </row>
    <row r="473" spans="1:1" x14ac:dyDescent="0.25">
      <c r="A473" t="s">
        <v>829</v>
      </c>
    </row>
    <row r="474" spans="1:1" x14ac:dyDescent="0.25">
      <c r="A474" t="s">
        <v>396</v>
      </c>
    </row>
    <row r="475" spans="1:1" x14ac:dyDescent="0.25">
      <c r="A475" t="s">
        <v>830</v>
      </c>
    </row>
    <row r="476" spans="1:1" x14ac:dyDescent="0.25">
      <c r="A476" t="s">
        <v>831</v>
      </c>
    </row>
    <row r="477" spans="1:1" x14ac:dyDescent="0.25">
      <c r="A477" t="s">
        <v>396</v>
      </c>
    </row>
    <row r="478" spans="1:1" x14ac:dyDescent="0.25">
      <c r="A478" t="s">
        <v>832</v>
      </c>
    </row>
    <row r="479" spans="1:1" x14ac:dyDescent="0.25">
      <c r="A479" t="s">
        <v>833</v>
      </c>
    </row>
    <row r="480" spans="1:1" x14ac:dyDescent="0.25">
      <c r="A480" t="s">
        <v>396</v>
      </c>
    </row>
    <row r="481" spans="1:1" x14ac:dyDescent="0.25">
      <c r="A481" t="s">
        <v>834</v>
      </c>
    </row>
    <row r="482" spans="1:1" x14ac:dyDescent="0.25">
      <c r="A482" t="s">
        <v>835</v>
      </c>
    </row>
    <row r="483" spans="1:1" x14ac:dyDescent="0.25">
      <c r="A483" t="s">
        <v>396</v>
      </c>
    </row>
    <row r="484" spans="1:1" x14ac:dyDescent="0.25">
      <c r="A484" t="s">
        <v>836</v>
      </c>
    </row>
    <row r="485" spans="1:1" x14ac:dyDescent="0.25">
      <c r="A485" t="s">
        <v>837</v>
      </c>
    </row>
    <row r="486" spans="1:1" x14ac:dyDescent="0.25">
      <c r="A486" t="s">
        <v>408</v>
      </c>
    </row>
    <row r="487" spans="1:1" x14ac:dyDescent="0.25">
      <c r="A487" t="s">
        <v>838</v>
      </c>
    </row>
    <row r="488" spans="1:1" x14ac:dyDescent="0.25">
      <c r="A488" t="s">
        <v>839</v>
      </c>
    </row>
    <row r="489" spans="1:1" x14ac:dyDescent="0.25">
      <c r="A489" t="s">
        <v>408</v>
      </c>
    </row>
    <row r="490" spans="1:1" x14ac:dyDescent="0.25">
      <c r="A490" t="s">
        <v>840</v>
      </c>
    </row>
    <row r="491" spans="1:1" x14ac:dyDescent="0.25">
      <c r="A491" t="s">
        <v>839</v>
      </c>
    </row>
    <row r="492" spans="1:1" x14ac:dyDescent="0.25">
      <c r="A492" t="s">
        <v>407</v>
      </c>
    </row>
    <row r="493" spans="1:1" x14ac:dyDescent="0.25">
      <c r="A493" t="s">
        <v>841</v>
      </c>
    </row>
    <row r="494" spans="1:1" x14ac:dyDescent="0.25">
      <c r="A494" t="s">
        <v>842</v>
      </c>
    </row>
    <row r="495" spans="1:1" x14ac:dyDescent="0.25">
      <c r="A495" t="s">
        <v>406</v>
      </c>
    </row>
    <row r="496" spans="1:1" x14ac:dyDescent="0.25">
      <c r="A496" t="s">
        <v>843</v>
      </c>
    </row>
    <row r="497" spans="1:1" x14ac:dyDescent="0.25">
      <c r="A497" t="s">
        <v>844</v>
      </c>
    </row>
    <row r="498" spans="1:1" x14ac:dyDescent="0.25">
      <c r="A498" t="s">
        <v>405</v>
      </c>
    </row>
    <row r="499" spans="1:1" x14ac:dyDescent="0.25">
      <c r="A499" t="s">
        <v>845</v>
      </c>
    </row>
    <row r="500" spans="1:1" x14ac:dyDescent="0.25">
      <c r="A500" t="s">
        <v>846</v>
      </c>
    </row>
    <row r="501" spans="1:1" x14ac:dyDescent="0.25">
      <c r="A501" t="s">
        <v>396</v>
      </c>
    </row>
    <row r="502" spans="1:1" x14ac:dyDescent="0.25">
      <c r="A502" t="s">
        <v>847</v>
      </c>
    </row>
    <row r="503" spans="1:1" x14ac:dyDescent="0.25">
      <c r="A503" t="s">
        <v>848</v>
      </c>
    </row>
    <row r="504" spans="1:1" x14ac:dyDescent="0.25">
      <c r="A504" t="s">
        <v>396</v>
      </c>
    </row>
    <row r="505" spans="1:1" x14ac:dyDescent="0.25">
      <c r="A505" t="s">
        <v>849</v>
      </c>
    </row>
    <row r="506" spans="1:1" x14ac:dyDescent="0.25">
      <c r="A506" t="s">
        <v>850</v>
      </c>
    </row>
    <row r="507" spans="1:1" x14ac:dyDescent="0.25">
      <c r="A507" t="s">
        <v>396</v>
      </c>
    </row>
    <row r="508" spans="1:1" x14ac:dyDescent="0.25">
      <c r="A508" t="s">
        <v>851</v>
      </c>
    </row>
    <row r="509" spans="1:1" x14ac:dyDescent="0.25">
      <c r="A509" t="s">
        <v>852</v>
      </c>
    </row>
    <row r="510" spans="1:1" x14ac:dyDescent="0.25">
      <c r="A510" t="s">
        <v>408</v>
      </c>
    </row>
    <row r="511" spans="1:1" x14ac:dyDescent="0.25">
      <c r="A511" t="s">
        <v>853</v>
      </c>
    </row>
    <row r="512" spans="1:1" x14ac:dyDescent="0.25">
      <c r="A512" t="s">
        <v>854</v>
      </c>
    </row>
    <row r="513" spans="1:1" x14ac:dyDescent="0.25">
      <c r="A513" t="s">
        <v>407</v>
      </c>
    </row>
    <row r="514" spans="1:1" x14ac:dyDescent="0.25">
      <c r="A514" t="s">
        <v>855</v>
      </c>
    </row>
    <row r="515" spans="1:1" x14ac:dyDescent="0.25">
      <c r="A515" t="s">
        <v>856</v>
      </c>
    </row>
    <row r="516" spans="1:1" x14ac:dyDescent="0.25">
      <c r="A516" t="s">
        <v>407</v>
      </c>
    </row>
    <row r="517" spans="1:1" x14ac:dyDescent="0.25">
      <c r="A517" t="s">
        <v>857</v>
      </c>
    </row>
    <row r="518" spans="1:1" x14ac:dyDescent="0.25">
      <c r="A518" t="s">
        <v>858</v>
      </c>
    </row>
    <row r="519" spans="1:1" x14ac:dyDescent="0.25">
      <c r="A519" t="s">
        <v>407</v>
      </c>
    </row>
    <row r="520" spans="1:1" x14ac:dyDescent="0.25">
      <c r="A520" t="s">
        <v>859</v>
      </c>
    </row>
    <row r="521" spans="1:1" x14ac:dyDescent="0.25">
      <c r="A521" t="s">
        <v>860</v>
      </c>
    </row>
    <row r="522" spans="1:1" x14ac:dyDescent="0.25">
      <c r="A522" t="s">
        <v>407</v>
      </c>
    </row>
    <row r="523" spans="1:1" x14ac:dyDescent="0.25">
      <c r="A523" t="s">
        <v>861</v>
      </c>
    </row>
    <row r="524" spans="1:1" x14ac:dyDescent="0.25">
      <c r="A524" t="s">
        <v>862</v>
      </c>
    </row>
    <row r="525" spans="1:1" x14ac:dyDescent="0.25">
      <c r="A525" t="s">
        <v>407</v>
      </c>
    </row>
    <row r="526" spans="1:1" x14ac:dyDescent="0.25">
      <c r="A526" t="s">
        <v>863</v>
      </c>
    </row>
    <row r="527" spans="1:1" x14ac:dyDescent="0.25">
      <c r="A527" t="s">
        <v>864</v>
      </c>
    </row>
    <row r="528" spans="1:1" x14ac:dyDescent="0.25">
      <c r="A528" t="s">
        <v>407</v>
      </c>
    </row>
    <row r="529" spans="1:1" x14ac:dyDescent="0.25">
      <c r="A529" t="s">
        <v>865</v>
      </c>
    </row>
    <row r="530" spans="1:1" x14ac:dyDescent="0.25">
      <c r="A530" t="s">
        <v>866</v>
      </c>
    </row>
    <row r="531" spans="1:1" x14ac:dyDescent="0.25">
      <c r="A531" t="s">
        <v>407</v>
      </c>
    </row>
    <row r="532" spans="1:1" x14ac:dyDescent="0.25">
      <c r="A532" t="s">
        <v>867</v>
      </c>
    </row>
    <row r="533" spans="1:1" x14ac:dyDescent="0.25">
      <c r="A533" t="s">
        <v>868</v>
      </c>
    </row>
    <row r="534" spans="1:1" x14ac:dyDescent="0.25">
      <c r="A534" t="s">
        <v>407</v>
      </c>
    </row>
    <row r="535" spans="1:1" x14ac:dyDescent="0.25">
      <c r="A535" t="s">
        <v>869</v>
      </c>
    </row>
    <row r="536" spans="1:1" x14ac:dyDescent="0.25">
      <c r="A536" t="s">
        <v>870</v>
      </c>
    </row>
    <row r="537" spans="1:1" x14ac:dyDescent="0.25">
      <c r="A537" t="s">
        <v>406</v>
      </c>
    </row>
    <row r="538" spans="1:1" x14ac:dyDescent="0.25">
      <c r="A538" t="s">
        <v>871</v>
      </c>
    </row>
    <row r="539" spans="1:1" x14ac:dyDescent="0.25">
      <c r="A539" t="s">
        <v>872</v>
      </c>
    </row>
    <row r="540" spans="1:1" x14ac:dyDescent="0.25">
      <c r="A540" t="s">
        <v>405</v>
      </c>
    </row>
    <row r="541" spans="1:1" x14ac:dyDescent="0.25">
      <c r="A541" t="s">
        <v>873</v>
      </c>
    </row>
    <row r="542" spans="1:1" x14ac:dyDescent="0.25">
      <c r="A542" t="s">
        <v>874</v>
      </c>
    </row>
    <row r="543" spans="1:1" x14ac:dyDescent="0.25">
      <c r="A543" t="s">
        <v>396</v>
      </c>
    </row>
    <row r="544" spans="1:1" x14ac:dyDescent="0.25">
      <c r="A544" t="s">
        <v>875</v>
      </c>
    </row>
    <row r="545" spans="1:1" x14ac:dyDescent="0.25">
      <c r="A545" t="s">
        <v>876</v>
      </c>
    </row>
    <row r="546" spans="1:1" x14ac:dyDescent="0.25">
      <c r="A546" t="s">
        <v>396</v>
      </c>
    </row>
    <row r="547" spans="1:1" x14ac:dyDescent="0.25">
      <c r="A547" t="s">
        <v>877</v>
      </c>
    </row>
    <row r="548" spans="1:1" x14ac:dyDescent="0.25">
      <c r="A548" t="s">
        <v>878</v>
      </c>
    </row>
    <row r="549" spans="1:1" x14ac:dyDescent="0.25">
      <c r="A549" t="s">
        <v>396</v>
      </c>
    </row>
    <row r="550" spans="1:1" x14ac:dyDescent="0.25">
      <c r="A550" t="s">
        <v>879</v>
      </c>
    </row>
    <row r="551" spans="1:1" x14ac:dyDescent="0.25">
      <c r="A551" t="s">
        <v>880</v>
      </c>
    </row>
    <row r="552" spans="1:1" x14ac:dyDescent="0.25">
      <c r="A552" t="s">
        <v>408</v>
      </c>
    </row>
    <row r="553" spans="1:1" x14ac:dyDescent="0.25">
      <c r="A553" t="s">
        <v>881</v>
      </c>
    </row>
    <row r="554" spans="1:1" x14ac:dyDescent="0.25">
      <c r="A554" t="s">
        <v>882</v>
      </c>
    </row>
    <row r="555" spans="1:1" x14ac:dyDescent="0.25">
      <c r="A555" t="s">
        <v>407</v>
      </c>
    </row>
    <row r="556" spans="1:1" x14ac:dyDescent="0.25">
      <c r="A556" t="s">
        <v>883</v>
      </c>
    </row>
    <row r="557" spans="1:1" x14ac:dyDescent="0.25">
      <c r="A557" t="s">
        <v>884</v>
      </c>
    </row>
    <row r="558" spans="1:1" x14ac:dyDescent="0.25">
      <c r="A558" t="s">
        <v>407</v>
      </c>
    </row>
    <row r="559" spans="1:1" x14ac:dyDescent="0.25">
      <c r="A559" t="s">
        <v>885</v>
      </c>
    </row>
    <row r="560" spans="1:1" x14ac:dyDescent="0.25">
      <c r="A560" t="s">
        <v>886</v>
      </c>
    </row>
    <row r="561" spans="1:1" x14ac:dyDescent="0.25">
      <c r="A561" t="s">
        <v>407</v>
      </c>
    </row>
    <row r="562" spans="1:1" x14ac:dyDescent="0.25">
      <c r="A562" t="s">
        <v>887</v>
      </c>
    </row>
    <row r="563" spans="1:1" x14ac:dyDescent="0.25">
      <c r="A563" t="s">
        <v>888</v>
      </c>
    </row>
    <row r="564" spans="1:1" x14ac:dyDescent="0.25">
      <c r="A564" t="s">
        <v>407</v>
      </c>
    </row>
    <row r="565" spans="1:1" x14ac:dyDescent="0.25">
      <c r="A565" t="s">
        <v>889</v>
      </c>
    </row>
    <row r="566" spans="1:1" x14ac:dyDescent="0.25">
      <c r="A566" t="s">
        <v>890</v>
      </c>
    </row>
    <row r="567" spans="1:1" x14ac:dyDescent="0.25">
      <c r="A567" t="s">
        <v>407</v>
      </c>
    </row>
    <row r="568" spans="1:1" x14ac:dyDescent="0.25">
      <c r="A568" t="s">
        <v>891</v>
      </c>
    </row>
    <row r="569" spans="1:1" x14ac:dyDescent="0.25">
      <c r="A569" t="s">
        <v>892</v>
      </c>
    </row>
    <row r="570" spans="1:1" x14ac:dyDescent="0.25">
      <c r="A570" t="s">
        <v>407</v>
      </c>
    </row>
    <row r="571" spans="1:1" x14ac:dyDescent="0.25">
      <c r="A571" t="s">
        <v>893</v>
      </c>
    </row>
    <row r="572" spans="1:1" x14ac:dyDescent="0.25">
      <c r="A572" t="s">
        <v>894</v>
      </c>
    </row>
    <row r="573" spans="1:1" x14ac:dyDescent="0.25">
      <c r="A573" t="s">
        <v>407</v>
      </c>
    </row>
    <row r="574" spans="1:1" x14ac:dyDescent="0.25">
      <c r="A574" t="s">
        <v>895</v>
      </c>
    </row>
    <row r="575" spans="1:1" x14ac:dyDescent="0.25">
      <c r="A575" t="s">
        <v>896</v>
      </c>
    </row>
    <row r="576" spans="1:1" x14ac:dyDescent="0.25">
      <c r="A576" t="s">
        <v>407</v>
      </c>
    </row>
    <row r="577" spans="1:1" x14ac:dyDescent="0.25">
      <c r="A577" t="s">
        <v>897</v>
      </c>
    </row>
    <row r="578" spans="1:1" x14ac:dyDescent="0.25">
      <c r="A578" t="s">
        <v>898</v>
      </c>
    </row>
    <row r="579" spans="1:1" x14ac:dyDescent="0.25">
      <c r="A579" t="s">
        <v>406</v>
      </c>
    </row>
    <row r="580" spans="1:1" x14ac:dyDescent="0.25">
      <c r="A580" t="s">
        <v>899</v>
      </c>
    </row>
    <row r="581" spans="1:1" x14ac:dyDescent="0.25">
      <c r="A581" t="s">
        <v>900</v>
      </c>
    </row>
    <row r="582" spans="1:1" x14ac:dyDescent="0.25">
      <c r="A582" t="s">
        <v>405</v>
      </c>
    </row>
    <row r="583" spans="1:1" x14ac:dyDescent="0.25">
      <c r="A583" t="s">
        <v>901</v>
      </c>
    </row>
    <row r="584" spans="1:1" x14ac:dyDescent="0.25">
      <c r="A584" t="s">
        <v>902</v>
      </c>
    </row>
    <row r="585" spans="1:1" x14ac:dyDescent="0.25">
      <c r="A585" t="s">
        <v>396</v>
      </c>
    </row>
    <row r="586" spans="1:1" x14ac:dyDescent="0.25">
      <c r="A586" t="s">
        <v>903</v>
      </c>
    </row>
    <row r="587" spans="1:1" x14ac:dyDescent="0.25">
      <c r="A587" t="s">
        <v>904</v>
      </c>
    </row>
    <row r="588" spans="1:1" x14ac:dyDescent="0.25">
      <c r="A588" t="s">
        <v>396</v>
      </c>
    </row>
    <row r="589" spans="1:1" x14ac:dyDescent="0.25">
      <c r="A589" t="s">
        <v>905</v>
      </c>
    </row>
    <row r="590" spans="1:1" x14ac:dyDescent="0.25">
      <c r="A590" t="s">
        <v>906</v>
      </c>
    </row>
    <row r="591" spans="1:1" x14ac:dyDescent="0.25">
      <c r="A591" t="s">
        <v>396</v>
      </c>
    </row>
    <row r="592" spans="1:1" x14ac:dyDescent="0.25">
      <c r="A592" t="s">
        <v>907</v>
      </c>
    </row>
    <row r="593" spans="1:1" x14ac:dyDescent="0.25">
      <c r="A593" t="s">
        <v>908</v>
      </c>
    </row>
    <row r="594" spans="1:1" x14ac:dyDescent="0.25">
      <c r="A594" t="s">
        <v>408</v>
      </c>
    </row>
    <row r="595" spans="1:1" x14ac:dyDescent="0.25">
      <c r="A595" t="s">
        <v>909</v>
      </c>
    </row>
    <row r="596" spans="1:1" x14ac:dyDescent="0.25">
      <c r="A596" t="s">
        <v>910</v>
      </c>
    </row>
    <row r="597" spans="1:1" x14ac:dyDescent="0.25">
      <c r="A597" t="s">
        <v>407</v>
      </c>
    </row>
    <row r="598" spans="1:1" x14ac:dyDescent="0.25">
      <c r="A598" t="s">
        <v>911</v>
      </c>
    </row>
    <row r="599" spans="1:1" x14ac:dyDescent="0.25">
      <c r="A599" t="s">
        <v>912</v>
      </c>
    </row>
    <row r="600" spans="1:1" x14ac:dyDescent="0.25">
      <c r="A600" t="s">
        <v>407</v>
      </c>
    </row>
    <row r="601" spans="1:1" x14ac:dyDescent="0.25">
      <c r="A601" t="s">
        <v>913</v>
      </c>
    </row>
    <row r="602" spans="1:1" x14ac:dyDescent="0.25">
      <c r="A602" t="s">
        <v>914</v>
      </c>
    </row>
    <row r="603" spans="1:1" x14ac:dyDescent="0.25">
      <c r="A603" t="s">
        <v>407</v>
      </c>
    </row>
    <row r="604" spans="1:1" x14ac:dyDescent="0.25">
      <c r="A604" t="s">
        <v>915</v>
      </c>
    </row>
    <row r="605" spans="1:1" x14ac:dyDescent="0.25">
      <c r="A605" t="s">
        <v>916</v>
      </c>
    </row>
    <row r="606" spans="1:1" x14ac:dyDescent="0.25">
      <c r="A606" t="s">
        <v>407</v>
      </c>
    </row>
    <row r="607" spans="1:1" x14ac:dyDescent="0.25">
      <c r="A607" t="s">
        <v>917</v>
      </c>
    </row>
    <row r="608" spans="1:1" x14ac:dyDescent="0.25">
      <c r="A608" t="s">
        <v>918</v>
      </c>
    </row>
    <row r="609" spans="1:1" x14ac:dyDescent="0.25">
      <c r="A609" t="s">
        <v>407</v>
      </c>
    </row>
    <row r="610" spans="1:1" x14ac:dyDescent="0.25">
      <c r="A610" t="s">
        <v>919</v>
      </c>
    </row>
    <row r="611" spans="1:1" x14ac:dyDescent="0.25">
      <c r="A611" t="s">
        <v>920</v>
      </c>
    </row>
    <row r="612" spans="1:1" x14ac:dyDescent="0.25">
      <c r="A612" t="s">
        <v>407</v>
      </c>
    </row>
    <row r="613" spans="1:1" x14ac:dyDescent="0.25">
      <c r="A613" t="s">
        <v>921</v>
      </c>
    </row>
    <row r="614" spans="1:1" x14ac:dyDescent="0.25">
      <c r="A614" t="s">
        <v>922</v>
      </c>
    </row>
    <row r="615" spans="1:1" x14ac:dyDescent="0.25">
      <c r="A615" t="s">
        <v>407</v>
      </c>
    </row>
    <row r="616" spans="1:1" x14ac:dyDescent="0.25">
      <c r="A616" t="s">
        <v>923</v>
      </c>
    </row>
    <row r="617" spans="1:1" x14ac:dyDescent="0.25">
      <c r="A617" t="s">
        <v>924</v>
      </c>
    </row>
    <row r="618" spans="1:1" x14ac:dyDescent="0.25">
      <c r="A618" t="s">
        <v>407</v>
      </c>
    </row>
    <row r="619" spans="1:1" x14ac:dyDescent="0.25">
      <c r="A619" t="s">
        <v>925</v>
      </c>
    </row>
    <row r="620" spans="1:1" x14ac:dyDescent="0.25">
      <c r="A620" t="s">
        <v>926</v>
      </c>
    </row>
    <row r="621" spans="1:1" x14ac:dyDescent="0.25">
      <c r="A621" t="s">
        <v>407</v>
      </c>
    </row>
    <row r="622" spans="1:1" x14ac:dyDescent="0.25">
      <c r="A622" t="s">
        <v>927</v>
      </c>
    </row>
    <row r="623" spans="1:1" x14ac:dyDescent="0.25">
      <c r="A623" t="s">
        <v>928</v>
      </c>
    </row>
    <row r="624" spans="1:1" x14ac:dyDescent="0.25">
      <c r="A624" t="s">
        <v>406</v>
      </c>
    </row>
    <row r="625" spans="1:1" x14ac:dyDescent="0.25">
      <c r="A625" t="s">
        <v>929</v>
      </c>
    </row>
    <row r="626" spans="1:1" x14ac:dyDescent="0.25">
      <c r="A626" t="s">
        <v>930</v>
      </c>
    </row>
    <row r="627" spans="1:1" x14ac:dyDescent="0.25">
      <c r="A627" t="s">
        <v>406</v>
      </c>
    </row>
    <row r="628" spans="1:1" x14ac:dyDescent="0.25">
      <c r="A628" t="s">
        <v>931</v>
      </c>
    </row>
    <row r="629" spans="1:1" x14ac:dyDescent="0.25">
      <c r="A629" t="s">
        <v>932</v>
      </c>
    </row>
    <row r="630" spans="1:1" x14ac:dyDescent="0.25">
      <c r="A630" t="s">
        <v>405</v>
      </c>
    </row>
    <row r="631" spans="1:1" x14ac:dyDescent="0.25">
      <c r="A631" t="s">
        <v>933</v>
      </c>
    </row>
    <row r="632" spans="1:1" x14ac:dyDescent="0.25">
      <c r="A632" t="s">
        <v>934</v>
      </c>
    </row>
    <row r="633" spans="1:1" x14ac:dyDescent="0.25">
      <c r="A633" t="s">
        <v>396</v>
      </c>
    </row>
    <row r="634" spans="1:1" x14ac:dyDescent="0.25">
      <c r="A634" t="s">
        <v>935</v>
      </c>
    </row>
    <row r="635" spans="1:1" x14ac:dyDescent="0.25">
      <c r="A635" t="s">
        <v>936</v>
      </c>
    </row>
    <row r="636" spans="1:1" x14ac:dyDescent="0.25">
      <c r="A636" t="s">
        <v>396</v>
      </c>
    </row>
    <row r="637" spans="1:1" x14ac:dyDescent="0.25">
      <c r="A637" t="s">
        <v>937</v>
      </c>
    </row>
    <row r="638" spans="1:1" x14ac:dyDescent="0.25">
      <c r="A638" t="s">
        <v>938</v>
      </c>
    </row>
    <row r="639" spans="1:1" x14ac:dyDescent="0.25">
      <c r="A639" t="s">
        <v>396</v>
      </c>
    </row>
    <row r="640" spans="1:1" x14ac:dyDescent="0.25">
      <c r="A640" t="s">
        <v>404</v>
      </c>
    </row>
    <row r="641" spans="1:1" x14ac:dyDescent="0.25">
      <c r="A641" t="s">
        <v>403</v>
      </c>
    </row>
    <row r="642" spans="1:1" x14ac:dyDescent="0.25">
      <c r="A642" t="s">
        <v>396</v>
      </c>
    </row>
    <row r="643" spans="1:1" x14ac:dyDescent="0.25">
      <c r="A643" t="s">
        <v>402</v>
      </c>
    </row>
    <row r="644" spans="1:1" x14ac:dyDescent="0.25">
      <c r="A644" t="s">
        <v>401</v>
      </c>
    </row>
    <row r="645" spans="1:1" x14ac:dyDescent="0.25">
      <c r="A645" t="s">
        <v>396</v>
      </c>
    </row>
    <row r="646" spans="1:1" x14ac:dyDescent="0.25">
      <c r="A646" t="s">
        <v>400</v>
      </c>
    </row>
    <row r="647" spans="1:1" x14ac:dyDescent="0.25">
      <c r="A647" t="s">
        <v>399</v>
      </c>
    </row>
    <row r="648" spans="1:1" x14ac:dyDescent="0.25">
      <c r="A648" t="s">
        <v>396</v>
      </c>
    </row>
    <row r="649" spans="1:1" x14ac:dyDescent="0.25">
      <c r="A649" t="s">
        <v>398</v>
      </c>
    </row>
    <row r="650" spans="1:1" x14ac:dyDescent="0.25">
      <c r="A650" t="s">
        <v>397</v>
      </c>
    </row>
    <row r="651" spans="1:1" x14ac:dyDescent="0.25">
      <c r="A651" t="s">
        <v>396</v>
      </c>
    </row>
    <row r="652" spans="1:1" x14ac:dyDescent="0.25">
      <c r="A652" t="s">
        <v>939</v>
      </c>
    </row>
    <row r="653" spans="1:1" x14ac:dyDescent="0.25">
      <c r="A653" t="s">
        <v>395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0"/>
  <dimension ref="A1:AD1000"/>
  <sheetViews>
    <sheetView workbookViewId="0"/>
  </sheetViews>
  <sheetFormatPr defaultRowHeight="15" x14ac:dyDescent="0.25"/>
  <cols>
    <col min="7" max="11" width="9.140625" customWidth="1"/>
    <col min="15" max="18" width="9.140625" customWidth="1"/>
    <col min="19" max="19" width="22.7109375" customWidth="1"/>
    <col min="20" max="20" width="15.5703125" customWidth="1"/>
    <col min="21" max="21" width="34.42578125" style="540" customWidth="1"/>
    <col min="22" max="22" width="12.7109375" bestFit="1" customWidth="1"/>
    <col min="26" max="26" width="16.42578125" customWidth="1"/>
  </cols>
  <sheetData>
    <row r="1" spans="1:3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AB1">
        <v>28</v>
      </c>
      <c r="AC1">
        <v>29</v>
      </c>
      <c r="AD1">
        <v>30</v>
      </c>
    </row>
    <row r="2" spans="1:30" x14ac:dyDescent="0.25">
      <c r="C2" t="s">
        <v>430</v>
      </c>
      <c r="D2" t="s">
        <v>323</v>
      </c>
      <c r="E2" t="s">
        <v>321</v>
      </c>
      <c r="F2" t="s">
        <v>429</v>
      </c>
      <c r="G2" t="s">
        <v>424</v>
      </c>
      <c r="H2" t="s">
        <v>423</v>
      </c>
      <c r="L2" t="s">
        <v>419</v>
      </c>
      <c r="M2" t="s">
        <v>418</v>
      </c>
      <c r="N2" t="s">
        <v>417</v>
      </c>
      <c r="O2" t="s">
        <v>323</v>
      </c>
      <c r="P2" t="s">
        <v>321</v>
      </c>
      <c r="Q2" t="s">
        <v>429</v>
      </c>
      <c r="R2" t="s">
        <v>424</v>
      </c>
      <c r="S2" t="s">
        <v>423</v>
      </c>
      <c r="W2" t="s">
        <v>419</v>
      </c>
      <c r="X2" t="s">
        <v>418</v>
      </c>
      <c r="Y2" t="s">
        <v>417</v>
      </c>
    </row>
    <row r="3" spans="1:30" x14ac:dyDescent="0.25">
      <c r="C3" t="s">
        <v>428</v>
      </c>
      <c r="D3" t="s">
        <v>427</v>
      </c>
      <c r="E3" t="s">
        <v>426</v>
      </c>
      <c r="F3" t="s">
        <v>425</v>
      </c>
      <c r="G3" t="s">
        <v>424</v>
      </c>
      <c r="H3" t="s">
        <v>423</v>
      </c>
      <c r="I3" t="s">
        <v>422</v>
      </c>
      <c r="J3" t="s">
        <v>421</v>
      </c>
      <c r="K3" t="s">
        <v>420</v>
      </c>
      <c r="L3" t="s">
        <v>419</v>
      </c>
      <c r="M3" t="s">
        <v>418</v>
      </c>
      <c r="N3" t="s">
        <v>417</v>
      </c>
      <c r="O3" t="s">
        <v>427</v>
      </c>
      <c r="P3" t="s">
        <v>426</v>
      </c>
      <c r="Q3" t="s">
        <v>425</v>
      </c>
      <c r="R3" t="s">
        <v>424</v>
      </c>
      <c r="S3" t="s">
        <v>423</v>
      </c>
      <c r="T3" t="s">
        <v>422</v>
      </c>
      <c r="U3" t="s">
        <v>421</v>
      </c>
      <c r="V3" t="s">
        <v>420</v>
      </c>
      <c r="W3" t="s">
        <v>419</v>
      </c>
      <c r="X3" t="s">
        <v>418</v>
      </c>
      <c r="Y3" t="s">
        <v>417</v>
      </c>
    </row>
    <row r="4" spans="1:30" x14ac:dyDescent="0.25">
      <c r="A4" t="s">
        <v>416</v>
      </c>
      <c r="B4" t="s">
        <v>415</v>
      </c>
      <c r="C4" t="s">
        <v>414</v>
      </c>
      <c r="D4" s="13" t="s">
        <v>413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 t="s">
        <v>412</v>
      </c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30" x14ac:dyDescent="0.25">
      <c r="A5">
        <v>1</v>
      </c>
      <c r="B5">
        <v>0</v>
      </c>
      <c r="C5">
        <v>1</v>
      </c>
      <c r="D5">
        <v>5.2699999999999997E-2</v>
      </c>
      <c r="E5">
        <v>2.2700000000000001E-2</v>
      </c>
      <c r="F5">
        <v>9.5500000000000002E-2</v>
      </c>
      <c r="G5">
        <v>0</v>
      </c>
      <c r="H5">
        <v>0</v>
      </c>
      <c r="L5">
        <v>0</v>
      </c>
      <c r="M5">
        <v>0</v>
      </c>
      <c r="N5">
        <v>1</v>
      </c>
      <c r="O5">
        <v>5.2699999999999997E-2</v>
      </c>
      <c r="P5">
        <v>2.2700000000000001E-2</v>
      </c>
      <c r="Q5">
        <v>-2.9438</v>
      </c>
      <c r="R5">
        <v>0</v>
      </c>
      <c r="S5">
        <v>0</v>
      </c>
      <c r="U5"/>
      <c r="W5">
        <v>0</v>
      </c>
      <c r="X5">
        <v>0</v>
      </c>
      <c r="Y5">
        <v>1</v>
      </c>
    </row>
    <row r="6" spans="1:30" x14ac:dyDescent="0.25">
      <c r="A6">
        <v>2</v>
      </c>
      <c r="B6">
        <v>0</v>
      </c>
      <c r="C6">
        <v>0</v>
      </c>
      <c r="D6">
        <v>16.2316</v>
      </c>
      <c r="E6">
        <v>2.8254000000000001</v>
      </c>
      <c r="F6">
        <v>0.62280000000000002</v>
      </c>
      <c r="G6">
        <v>0</v>
      </c>
      <c r="H6">
        <v>0</v>
      </c>
      <c r="L6">
        <v>0</v>
      </c>
      <c r="M6">
        <v>0</v>
      </c>
      <c r="N6">
        <v>1</v>
      </c>
      <c r="O6">
        <v>16.2316</v>
      </c>
      <c r="P6">
        <v>2.8254000000000001</v>
      </c>
      <c r="Q6">
        <v>-2.4165000000000001</v>
      </c>
      <c r="R6">
        <v>0</v>
      </c>
      <c r="S6">
        <v>0</v>
      </c>
      <c r="U6"/>
      <c r="W6">
        <v>0</v>
      </c>
      <c r="X6">
        <v>0</v>
      </c>
      <c r="Y6">
        <v>1</v>
      </c>
    </row>
    <row r="7" spans="1:30" x14ac:dyDescent="0.25">
      <c r="A7">
        <v>3</v>
      </c>
      <c r="B7">
        <v>1</v>
      </c>
      <c r="C7">
        <v>-1</v>
      </c>
      <c r="D7">
        <v>16.2316</v>
      </c>
      <c r="E7">
        <v>2.8254000000000001</v>
      </c>
      <c r="F7">
        <v>0.111</v>
      </c>
      <c r="G7">
        <v>0</v>
      </c>
      <c r="H7">
        <v>60</v>
      </c>
      <c r="L7">
        <v>0</v>
      </c>
      <c r="M7">
        <v>0</v>
      </c>
      <c r="N7">
        <v>1</v>
      </c>
      <c r="O7">
        <v>16.2316</v>
      </c>
      <c r="P7">
        <v>2.8254000000000001</v>
      </c>
      <c r="Q7">
        <v>-2.9283000000000001</v>
      </c>
      <c r="R7">
        <v>0</v>
      </c>
      <c r="S7">
        <v>60</v>
      </c>
      <c r="U7"/>
      <c r="W7">
        <v>0</v>
      </c>
      <c r="X7">
        <v>0</v>
      </c>
      <c r="Y7">
        <v>1</v>
      </c>
    </row>
    <row r="8" spans="1:30" x14ac:dyDescent="0.25">
      <c r="A8">
        <v>4</v>
      </c>
      <c r="B8">
        <v>1</v>
      </c>
      <c r="C8">
        <v>-1</v>
      </c>
      <c r="D8">
        <v>16.2316</v>
      </c>
      <c r="E8">
        <v>2.9434999999999998</v>
      </c>
      <c r="F8">
        <v>0.111</v>
      </c>
      <c r="G8">
        <v>0</v>
      </c>
      <c r="H8">
        <v>60</v>
      </c>
      <c r="L8">
        <v>0</v>
      </c>
      <c r="M8">
        <v>0</v>
      </c>
      <c r="N8">
        <v>1</v>
      </c>
      <c r="O8">
        <v>16.2316</v>
      </c>
      <c r="P8">
        <v>2.8254000000000001</v>
      </c>
      <c r="Q8">
        <v>-2.9283000000000001</v>
      </c>
      <c r="R8">
        <v>0</v>
      </c>
      <c r="S8">
        <v>60</v>
      </c>
      <c r="U8"/>
      <c r="W8">
        <v>0</v>
      </c>
      <c r="X8">
        <v>0</v>
      </c>
      <c r="Y8">
        <v>1</v>
      </c>
    </row>
    <row r="9" spans="1:30" x14ac:dyDescent="0.25">
      <c r="A9">
        <v>5</v>
      </c>
      <c r="B9">
        <v>1</v>
      </c>
      <c r="C9">
        <v>2</v>
      </c>
      <c r="D9">
        <v>16.2316</v>
      </c>
      <c r="E9">
        <v>3.0222000000000002</v>
      </c>
      <c r="F9">
        <v>0.111</v>
      </c>
      <c r="G9">
        <v>0</v>
      </c>
      <c r="H9">
        <v>60</v>
      </c>
      <c r="L9">
        <v>0</v>
      </c>
      <c r="M9">
        <v>0</v>
      </c>
      <c r="N9">
        <v>1</v>
      </c>
      <c r="O9">
        <v>16.2316</v>
      </c>
      <c r="P9">
        <v>2.9041000000000001</v>
      </c>
      <c r="Q9">
        <v>-2.9283000000000001</v>
      </c>
      <c r="R9">
        <v>0</v>
      </c>
      <c r="S9">
        <v>60</v>
      </c>
      <c r="U9"/>
      <c r="W9">
        <v>0</v>
      </c>
      <c r="X9">
        <v>0</v>
      </c>
      <c r="Y9">
        <v>1</v>
      </c>
    </row>
    <row r="10" spans="1:30" x14ac:dyDescent="0.25">
      <c r="A10">
        <v>6</v>
      </c>
      <c r="B10">
        <v>1</v>
      </c>
      <c r="C10">
        <v>1</v>
      </c>
      <c r="D10">
        <v>16.2316</v>
      </c>
      <c r="E10">
        <v>6.0251000000000001</v>
      </c>
      <c r="F10">
        <v>0.111</v>
      </c>
      <c r="G10">
        <v>0</v>
      </c>
      <c r="H10">
        <v>60</v>
      </c>
      <c r="L10">
        <v>0</v>
      </c>
      <c r="M10">
        <v>0</v>
      </c>
      <c r="N10">
        <v>1</v>
      </c>
      <c r="O10">
        <v>16.2316</v>
      </c>
      <c r="P10">
        <v>6.5872000000000002</v>
      </c>
      <c r="Q10">
        <v>-2.9283000000000001</v>
      </c>
      <c r="R10">
        <v>0</v>
      </c>
      <c r="S10">
        <v>60</v>
      </c>
      <c r="U10"/>
      <c r="W10">
        <v>0</v>
      </c>
      <c r="X10">
        <v>0</v>
      </c>
      <c r="Y10">
        <v>1</v>
      </c>
    </row>
    <row r="11" spans="1:30" x14ac:dyDescent="0.25">
      <c r="A11">
        <v>7</v>
      </c>
      <c r="B11">
        <v>0</v>
      </c>
      <c r="C11">
        <v>1</v>
      </c>
      <c r="D11">
        <v>16.2316</v>
      </c>
      <c r="E11">
        <v>6.0289999999999999</v>
      </c>
      <c r="F11">
        <v>0.111</v>
      </c>
      <c r="G11">
        <v>0</v>
      </c>
      <c r="H11">
        <v>0</v>
      </c>
      <c r="L11">
        <v>0</v>
      </c>
      <c r="M11">
        <v>0</v>
      </c>
      <c r="N11">
        <v>1</v>
      </c>
      <c r="O11">
        <v>16.2316</v>
      </c>
      <c r="P11">
        <v>6.5911</v>
      </c>
      <c r="Q11">
        <v>-2.9283000000000001</v>
      </c>
      <c r="R11">
        <v>0</v>
      </c>
      <c r="S11">
        <v>0</v>
      </c>
      <c r="U11"/>
      <c r="W11">
        <v>0</v>
      </c>
      <c r="X11">
        <v>0</v>
      </c>
      <c r="Y11">
        <v>1</v>
      </c>
    </row>
    <row r="12" spans="1:30" x14ac:dyDescent="0.25">
      <c r="A12">
        <v>8</v>
      </c>
      <c r="B12">
        <v>0</v>
      </c>
      <c r="C12">
        <v>0</v>
      </c>
      <c r="D12">
        <v>16.2316</v>
      </c>
      <c r="E12">
        <v>6.0289999999999999</v>
      </c>
      <c r="F12">
        <v>0.62280000000000002</v>
      </c>
      <c r="G12">
        <v>0</v>
      </c>
      <c r="H12">
        <v>0</v>
      </c>
      <c r="L12">
        <v>0</v>
      </c>
      <c r="M12">
        <v>0</v>
      </c>
      <c r="N12">
        <v>1</v>
      </c>
      <c r="O12">
        <v>16.2316</v>
      </c>
      <c r="P12">
        <v>6.5911</v>
      </c>
      <c r="Q12">
        <v>-2.4165000000000001</v>
      </c>
      <c r="R12">
        <v>0</v>
      </c>
      <c r="S12">
        <v>0</v>
      </c>
      <c r="U12"/>
      <c r="W12">
        <v>0</v>
      </c>
      <c r="X12">
        <v>0</v>
      </c>
      <c r="Y12">
        <v>1</v>
      </c>
    </row>
    <row r="13" spans="1:30" x14ac:dyDescent="0.25">
      <c r="A13">
        <v>9</v>
      </c>
      <c r="B13">
        <v>0</v>
      </c>
      <c r="C13">
        <v>0</v>
      </c>
      <c r="D13">
        <v>16.285</v>
      </c>
      <c r="E13">
        <v>8.9953000000000003</v>
      </c>
      <c r="F13">
        <v>0.67410000000000003</v>
      </c>
      <c r="G13">
        <v>0</v>
      </c>
      <c r="H13">
        <v>0</v>
      </c>
      <c r="L13">
        <v>0</v>
      </c>
      <c r="M13">
        <v>0</v>
      </c>
      <c r="N13">
        <v>1</v>
      </c>
      <c r="O13">
        <v>16.285</v>
      </c>
      <c r="P13">
        <v>9.5573999999999995</v>
      </c>
      <c r="Q13">
        <v>-2.3652000000000002</v>
      </c>
      <c r="R13">
        <v>0</v>
      </c>
      <c r="S13">
        <v>0</v>
      </c>
      <c r="U13"/>
      <c r="W13">
        <v>0</v>
      </c>
      <c r="X13">
        <v>0</v>
      </c>
      <c r="Y13">
        <v>1</v>
      </c>
    </row>
    <row r="14" spans="1:30" x14ac:dyDescent="0.25">
      <c r="A14">
        <v>10</v>
      </c>
      <c r="B14">
        <v>0</v>
      </c>
      <c r="C14">
        <v>0</v>
      </c>
      <c r="D14">
        <v>7.8456999999999999</v>
      </c>
      <c r="E14">
        <v>17.137599999999999</v>
      </c>
      <c r="F14">
        <v>0.51659999999999995</v>
      </c>
      <c r="G14">
        <v>0</v>
      </c>
      <c r="H14">
        <v>0</v>
      </c>
      <c r="L14">
        <v>0</v>
      </c>
      <c r="M14">
        <v>0</v>
      </c>
      <c r="N14">
        <v>1</v>
      </c>
      <c r="O14">
        <v>7.7670000000000003</v>
      </c>
      <c r="P14">
        <v>16.8706</v>
      </c>
      <c r="Q14">
        <v>-2.5346000000000002</v>
      </c>
      <c r="R14">
        <v>0</v>
      </c>
      <c r="S14">
        <v>0</v>
      </c>
      <c r="U14"/>
      <c r="W14">
        <v>0</v>
      </c>
      <c r="X14">
        <v>0</v>
      </c>
      <c r="Y14">
        <v>1</v>
      </c>
    </row>
    <row r="15" spans="1:30" x14ac:dyDescent="0.25">
      <c r="A15">
        <v>11</v>
      </c>
      <c r="B15">
        <v>1</v>
      </c>
      <c r="C15">
        <v>-1</v>
      </c>
      <c r="D15">
        <v>7.8456999999999999</v>
      </c>
      <c r="E15">
        <v>17.137599999999999</v>
      </c>
      <c r="F15">
        <v>4.7999999999999996E-3</v>
      </c>
      <c r="G15">
        <v>0</v>
      </c>
      <c r="H15">
        <v>60</v>
      </c>
      <c r="L15">
        <v>0</v>
      </c>
      <c r="M15">
        <v>0</v>
      </c>
      <c r="N15">
        <v>1</v>
      </c>
      <c r="O15">
        <v>7.7670000000000003</v>
      </c>
      <c r="P15">
        <v>16.8706</v>
      </c>
      <c r="Q15">
        <v>-3.0464000000000002</v>
      </c>
      <c r="R15">
        <v>0</v>
      </c>
      <c r="S15">
        <v>60</v>
      </c>
      <c r="U15"/>
      <c r="W15">
        <v>0</v>
      </c>
      <c r="X15">
        <v>0</v>
      </c>
      <c r="Y15">
        <v>1</v>
      </c>
    </row>
    <row r="16" spans="1:30" x14ac:dyDescent="0.25">
      <c r="A16">
        <v>12</v>
      </c>
      <c r="B16">
        <v>1</v>
      </c>
      <c r="C16">
        <v>2</v>
      </c>
      <c r="D16">
        <v>8.0031999999999996</v>
      </c>
      <c r="E16">
        <v>17.137198999999999</v>
      </c>
      <c r="F16">
        <v>4.7999999999999996E-3</v>
      </c>
      <c r="G16">
        <v>0</v>
      </c>
      <c r="H16">
        <v>60</v>
      </c>
      <c r="L16">
        <v>0</v>
      </c>
      <c r="M16">
        <v>0</v>
      </c>
      <c r="N16">
        <v>1</v>
      </c>
      <c r="O16">
        <v>7.9245000000000001</v>
      </c>
      <c r="P16">
        <v>16.8703</v>
      </c>
      <c r="Q16">
        <v>-3.0464000000000002</v>
      </c>
      <c r="R16">
        <v>0</v>
      </c>
      <c r="S16">
        <v>60</v>
      </c>
      <c r="U16"/>
      <c r="W16">
        <v>0</v>
      </c>
      <c r="X16">
        <v>0</v>
      </c>
      <c r="Y16">
        <v>1</v>
      </c>
    </row>
    <row r="17" spans="1:25" x14ac:dyDescent="0.25">
      <c r="A17">
        <v>13</v>
      </c>
      <c r="B17">
        <v>1</v>
      </c>
      <c r="C17">
        <v>2</v>
      </c>
      <c r="D17">
        <v>9.6292000000000009</v>
      </c>
      <c r="E17">
        <v>17.137198999999999</v>
      </c>
      <c r="F17">
        <v>4.7999999999999996E-3</v>
      </c>
      <c r="G17">
        <v>0</v>
      </c>
      <c r="H17">
        <v>40</v>
      </c>
      <c r="L17">
        <v>0</v>
      </c>
      <c r="M17">
        <v>0</v>
      </c>
      <c r="N17">
        <v>1</v>
      </c>
      <c r="O17">
        <v>9.6292000000000009</v>
      </c>
      <c r="P17">
        <v>16.8703</v>
      </c>
      <c r="Q17">
        <v>-3.0464000000000002</v>
      </c>
      <c r="R17">
        <v>0</v>
      </c>
      <c r="S17">
        <v>40</v>
      </c>
      <c r="U17"/>
      <c r="W17">
        <v>0</v>
      </c>
      <c r="X17">
        <v>0</v>
      </c>
      <c r="Y17">
        <v>1</v>
      </c>
    </row>
    <row r="18" spans="1:25" x14ac:dyDescent="0.25">
      <c r="A18">
        <v>14</v>
      </c>
      <c r="B18">
        <v>1</v>
      </c>
      <c r="C18">
        <v>2</v>
      </c>
      <c r="D18">
        <v>9.6292000000000009</v>
      </c>
      <c r="E18">
        <v>17.561501</v>
      </c>
      <c r="F18">
        <v>4.7999999999999996E-3</v>
      </c>
      <c r="G18">
        <v>1</v>
      </c>
      <c r="H18">
        <v>40</v>
      </c>
      <c r="I18">
        <v>9.6690000000000005</v>
      </c>
      <c r="J18">
        <v>17.561899</v>
      </c>
      <c r="K18">
        <v>4.7999999999999996E-3</v>
      </c>
      <c r="L18">
        <v>0</v>
      </c>
      <c r="M18">
        <v>0</v>
      </c>
      <c r="N18">
        <v>-1</v>
      </c>
      <c r="O18">
        <v>9.6292000000000009</v>
      </c>
      <c r="P18">
        <v>16.951899999999998</v>
      </c>
      <c r="Q18">
        <v>-3.0464000000000002</v>
      </c>
      <c r="R18">
        <v>1</v>
      </c>
      <c r="S18">
        <v>40</v>
      </c>
      <c r="T18">
        <v>9.6690000000000005</v>
      </c>
      <c r="U18">
        <v>16.952200000000001</v>
      </c>
      <c r="V18">
        <v>-3.0464000000000002</v>
      </c>
      <c r="W18">
        <v>0</v>
      </c>
      <c r="X18">
        <v>0</v>
      </c>
      <c r="Y18">
        <v>-1</v>
      </c>
    </row>
    <row r="19" spans="1:25" x14ac:dyDescent="0.25">
      <c r="A19">
        <v>15</v>
      </c>
      <c r="B19">
        <v>1</v>
      </c>
      <c r="C19">
        <v>2</v>
      </c>
      <c r="D19">
        <v>9.6685999999999996</v>
      </c>
      <c r="E19">
        <v>17.601700000000001</v>
      </c>
      <c r="F19">
        <v>4.7999999999999996E-3</v>
      </c>
      <c r="G19">
        <v>0</v>
      </c>
      <c r="H19">
        <v>40</v>
      </c>
      <c r="L19">
        <v>0</v>
      </c>
      <c r="M19">
        <v>0</v>
      </c>
      <c r="N19">
        <v>1</v>
      </c>
      <c r="O19">
        <v>9.6685999999999996</v>
      </c>
      <c r="P19">
        <v>16.992000999999998</v>
      </c>
      <c r="Q19">
        <v>-3.0464000000000002</v>
      </c>
      <c r="R19">
        <v>0</v>
      </c>
      <c r="S19">
        <v>40</v>
      </c>
      <c r="U19"/>
      <c r="W19">
        <v>0</v>
      </c>
      <c r="X19">
        <v>0</v>
      </c>
      <c r="Y19">
        <v>1</v>
      </c>
    </row>
    <row r="20" spans="1:25" x14ac:dyDescent="0.25">
      <c r="A20">
        <v>16</v>
      </c>
      <c r="B20">
        <v>1</v>
      </c>
      <c r="C20">
        <v>2</v>
      </c>
      <c r="D20">
        <v>10.141</v>
      </c>
      <c r="E20">
        <v>17.601700000000001</v>
      </c>
      <c r="F20">
        <v>4.7999999999999996E-3</v>
      </c>
      <c r="G20">
        <v>0</v>
      </c>
      <c r="H20">
        <v>75</v>
      </c>
      <c r="L20">
        <v>0</v>
      </c>
      <c r="M20">
        <v>0</v>
      </c>
      <c r="N20">
        <v>1</v>
      </c>
      <c r="O20">
        <v>10.141</v>
      </c>
      <c r="P20">
        <v>16.992000999999998</v>
      </c>
      <c r="Q20">
        <v>-3.0464000000000002</v>
      </c>
      <c r="R20">
        <v>0</v>
      </c>
      <c r="S20">
        <v>75</v>
      </c>
      <c r="U20"/>
      <c r="W20">
        <v>0</v>
      </c>
      <c r="X20">
        <v>0</v>
      </c>
      <c r="Y20">
        <v>1</v>
      </c>
    </row>
    <row r="21" spans="1:25" x14ac:dyDescent="0.25">
      <c r="A21">
        <v>17</v>
      </c>
      <c r="B21">
        <v>1</v>
      </c>
      <c r="C21">
        <v>2</v>
      </c>
      <c r="D21">
        <v>14.9757</v>
      </c>
      <c r="E21">
        <v>17.992201000000001</v>
      </c>
      <c r="F21">
        <v>4.7999999999999996E-3</v>
      </c>
      <c r="G21">
        <v>0</v>
      </c>
      <c r="H21">
        <v>40</v>
      </c>
      <c r="L21">
        <v>0</v>
      </c>
      <c r="M21">
        <v>0</v>
      </c>
      <c r="N21">
        <v>1</v>
      </c>
      <c r="O21">
        <v>14.9757</v>
      </c>
      <c r="P21">
        <v>16.921800999999999</v>
      </c>
      <c r="Q21">
        <v>-3.0464000000000002</v>
      </c>
      <c r="R21">
        <v>0</v>
      </c>
      <c r="S21">
        <v>40</v>
      </c>
      <c r="U21"/>
      <c r="W21">
        <v>0</v>
      </c>
      <c r="X21">
        <v>0</v>
      </c>
      <c r="Y21">
        <v>1</v>
      </c>
    </row>
    <row r="22" spans="1:25" x14ac:dyDescent="0.25">
      <c r="A22">
        <v>18</v>
      </c>
      <c r="B22">
        <v>1</v>
      </c>
      <c r="C22">
        <v>2</v>
      </c>
      <c r="D22">
        <v>15.723699999999999</v>
      </c>
      <c r="E22">
        <v>17.992201000000001</v>
      </c>
      <c r="F22">
        <v>4.7999999999999996E-3</v>
      </c>
      <c r="G22">
        <v>1</v>
      </c>
      <c r="H22">
        <v>40</v>
      </c>
      <c r="I22">
        <v>15.7225</v>
      </c>
      <c r="J22">
        <v>17.951599000000002</v>
      </c>
      <c r="K22">
        <v>4.7999999999999996E-3</v>
      </c>
      <c r="L22">
        <v>0</v>
      </c>
      <c r="M22">
        <v>0</v>
      </c>
      <c r="N22">
        <v>-1</v>
      </c>
      <c r="O22">
        <v>15.723699999999999</v>
      </c>
      <c r="P22">
        <v>16.921800999999999</v>
      </c>
      <c r="Q22">
        <v>-3.0464000000000002</v>
      </c>
      <c r="R22">
        <v>1</v>
      </c>
      <c r="S22">
        <v>40</v>
      </c>
      <c r="T22">
        <v>15.7225</v>
      </c>
      <c r="U22">
        <v>16.8813</v>
      </c>
      <c r="V22">
        <v>-3.0464000000000002</v>
      </c>
      <c r="W22">
        <v>0</v>
      </c>
      <c r="X22">
        <v>0</v>
      </c>
      <c r="Y22">
        <v>-1</v>
      </c>
    </row>
    <row r="23" spans="1:25" x14ac:dyDescent="0.25">
      <c r="A23">
        <v>19</v>
      </c>
      <c r="B23">
        <v>1</v>
      </c>
      <c r="C23">
        <v>2</v>
      </c>
      <c r="D23">
        <v>15.7631</v>
      </c>
      <c r="E23">
        <v>17.950500000000002</v>
      </c>
      <c r="F23">
        <v>4.7999999999999996E-3</v>
      </c>
      <c r="G23">
        <v>0</v>
      </c>
      <c r="H23">
        <v>40</v>
      </c>
      <c r="L23">
        <v>0</v>
      </c>
      <c r="M23">
        <v>0</v>
      </c>
      <c r="N23">
        <v>1</v>
      </c>
      <c r="O23">
        <v>15.7631</v>
      </c>
      <c r="P23">
        <v>16.880099999999999</v>
      </c>
      <c r="Q23">
        <v>-3.0464000000000002</v>
      </c>
      <c r="R23">
        <v>0</v>
      </c>
      <c r="S23">
        <v>40</v>
      </c>
      <c r="U23"/>
      <c r="W23">
        <v>0</v>
      </c>
      <c r="X23">
        <v>0</v>
      </c>
      <c r="Y23">
        <v>1</v>
      </c>
    </row>
    <row r="24" spans="1:25" x14ac:dyDescent="0.25">
      <c r="A24">
        <v>20</v>
      </c>
      <c r="B24">
        <v>1</v>
      </c>
      <c r="C24">
        <v>1</v>
      </c>
      <c r="D24">
        <v>15.7631</v>
      </c>
      <c r="E24">
        <v>16.461300000000001</v>
      </c>
      <c r="F24">
        <v>4.7999999999999996E-3</v>
      </c>
      <c r="G24">
        <v>0</v>
      </c>
      <c r="H24">
        <v>60</v>
      </c>
      <c r="L24">
        <v>0</v>
      </c>
      <c r="M24">
        <v>0</v>
      </c>
      <c r="N24">
        <v>1</v>
      </c>
      <c r="O24">
        <v>15.7631</v>
      </c>
      <c r="P24">
        <v>15.3909</v>
      </c>
      <c r="Q24">
        <v>-3.0464000000000002</v>
      </c>
      <c r="R24">
        <v>0</v>
      </c>
      <c r="S24">
        <v>60</v>
      </c>
      <c r="U24"/>
      <c r="W24">
        <v>0</v>
      </c>
      <c r="X24">
        <v>0</v>
      </c>
      <c r="Y24">
        <v>1</v>
      </c>
    </row>
    <row r="25" spans="1:25" x14ac:dyDescent="0.25">
      <c r="A25">
        <v>21</v>
      </c>
      <c r="B25">
        <v>0</v>
      </c>
      <c r="C25">
        <v>1</v>
      </c>
      <c r="D25">
        <v>15.7631</v>
      </c>
      <c r="E25">
        <v>16.457398999999999</v>
      </c>
      <c r="F25">
        <v>4.7999999999999996E-3</v>
      </c>
      <c r="G25">
        <v>0</v>
      </c>
      <c r="H25">
        <v>0</v>
      </c>
      <c r="L25">
        <v>0</v>
      </c>
      <c r="M25">
        <v>0</v>
      </c>
      <c r="N25">
        <v>1</v>
      </c>
      <c r="O25">
        <v>15.7631</v>
      </c>
      <c r="P25">
        <v>15.387</v>
      </c>
      <c r="Q25">
        <v>-3.0464000000000002</v>
      </c>
      <c r="R25">
        <v>0</v>
      </c>
      <c r="S25">
        <v>0</v>
      </c>
      <c r="U25"/>
      <c r="W25">
        <v>0</v>
      </c>
      <c r="X25">
        <v>0</v>
      </c>
      <c r="Y25">
        <v>1</v>
      </c>
    </row>
    <row r="26" spans="1:25" x14ac:dyDescent="0.25">
      <c r="A26">
        <v>22</v>
      </c>
      <c r="B26">
        <v>0</v>
      </c>
      <c r="C26">
        <v>0</v>
      </c>
      <c r="D26">
        <v>15.7631</v>
      </c>
      <c r="E26">
        <v>16.457398999999999</v>
      </c>
      <c r="F26">
        <v>0.51659999999999995</v>
      </c>
      <c r="G26">
        <v>0</v>
      </c>
      <c r="H26">
        <v>0</v>
      </c>
      <c r="L26">
        <v>0</v>
      </c>
      <c r="M26">
        <v>0</v>
      </c>
      <c r="N26">
        <v>1</v>
      </c>
      <c r="O26">
        <v>15.7631</v>
      </c>
      <c r="P26">
        <v>15.387</v>
      </c>
      <c r="Q26">
        <v>-2.5346000000000002</v>
      </c>
      <c r="R26">
        <v>0</v>
      </c>
      <c r="S26">
        <v>0</v>
      </c>
      <c r="U26"/>
      <c r="W26">
        <v>0</v>
      </c>
      <c r="X26">
        <v>0</v>
      </c>
      <c r="Y26">
        <v>1</v>
      </c>
    </row>
    <row r="27" spans="1:25" x14ac:dyDescent="0.25">
      <c r="A27">
        <v>23</v>
      </c>
      <c r="B27">
        <v>0</v>
      </c>
      <c r="C27">
        <v>0</v>
      </c>
      <c r="D27">
        <v>14.6449</v>
      </c>
      <c r="E27">
        <v>19.125298999999998</v>
      </c>
      <c r="F27">
        <v>0.51659999999999995</v>
      </c>
      <c r="G27">
        <v>0</v>
      </c>
      <c r="H27">
        <v>0</v>
      </c>
      <c r="L27">
        <v>0</v>
      </c>
      <c r="M27">
        <v>0</v>
      </c>
      <c r="N27">
        <v>1</v>
      </c>
      <c r="O27">
        <v>14.6449</v>
      </c>
      <c r="P27">
        <v>18.054898999999999</v>
      </c>
      <c r="Q27">
        <v>-2.5346000000000002</v>
      </c>
      <c r="R27">
        <v>0</v>
      </c>
      <c r="S27">
        <v>0</v>
      </c>
      <c r="U27"/>
      <c r="W27">
        <v>0</v>
      </c>
      <c r="X27">
        <v>0</v>
      </c>
      <c r="Y27">
        <v>1</v>
      </c>
    </row>
    <row r="28" spans="1:25" x14ac:dyDescent="0.25">
      <c r="A28">
        <v>24</v>
      </c>
      <c r="B28">
        <v>0</v>
      </c>
      <c r="C28">
        <v>0</v>
      </c>
      <c r="D28">
        <v>16.4284</v>
      </c>
      <c r="E28">
        <v>19.1845</v>
      </c>
      <c r="F28">
        <v>0.51659999999999995</v>
      </c>
      <c r="G28">
        <v>0</v>
      </c>
      <c r="H28">
        <v>0</v>
      </c>
      <c r="L28">
        <v>0</v>
      </c>
      <c r="M28">
        <v>0</v>
      </c>
      <c r="N28">
        <v>1</v>
      </c>
      <c r="O28">
        <v>16.4284</v>
      </c>
      <c r="P28">
        <v>19.451499999999999</v>
      </c>
      <c r="Q28">
        <v>-2.5346000000000002</v>
      </c>
      <c r="R28">
        <v>0</v>
      </c>
      <c r="S28">
        <v>0</v>
      </c>
      <c r="U28"/>
      <c r="W28">
        <v>0</v>
      </c>
      <c r="X28">
        <v>0</v>
      </c>
      <c r="Y28">
        <v>1</v>
      </c>
    </row>
    <row r="29" spans="1:25" x14ac:dyDescent="0.25">
      <c r="A29">
        <v>25</v>
      </c>
      <c r="B29">
        <v>1</v>
      </c>
      <c r="C29">
        <v>-1</v>
      </c>
      <c r="D29">
        <v>16.4284</v>
      </c>
      <c r="E29">
        <v>19.1845</v>
      </c>
      <c r="F29">
        <v>4.7999999999999996E-3</v>
      </c>
      <c r="G29">
        <v>0</v>
      </c>
      <c r="H29">
        <v>60</v>
      </c>
      <c r="L29">
        <v>0</v>
      </c>
      <c r="M29">
        <v>0</v>
      </c>
      <c r="N29">
        <v>1</v>
      </c>
      <c r="O29">
        <v>16.4284</v>
      </c>
      <c r="P29">
        <v>19.451499999999999</v>
      </c>
      <c r="Q29">
        <v>-3.0464000000000002</v>
      </c>
      <c r="R29">
        <v>0</v>
      </c>
      <c r="S29">
        <v>60</v>
      </c>
      <c r="U29"/>
      <c r="W29">
        <v>0</v>
      </c>
      <c r="X29">
        <v>0</v>
      </c>
      <c r="Y29">
        <v>1</v>
      </c>
    </row>
    <row r="30" spans="1:25" x14ac:dyDescent="0.25">
      <c r="A30">
        <v>26</v>
      </c>
      <c r="B30">
        <v>1</v>
      </c>
      <c r="C30">
        <v>2</v>
      </c>
      <c r="D30">
        <v>16.270900999999999</v>
      </c>
      <c r="E30">
        <v>19.1845</v>
      </c>
      <c r="F30">
        <v>4.7999999999999996E-3</v>
      </c>
      <c r="G30">
        <v>0</v>
      </c>
      <c r="H30">
        <v>60</v>
      </c>
      <c r="L30">
        <v>0</v>
      </c>
      <c r="M30">
        <v>0</v>
      </c>
      <c r="N30">
        <v>1</v>
      </c>
      <c r="O30">
        <v>16.270900999999999</v>
      </c>
      <c r="P30">
        <v>19.451499999999999</v>
      </c>
      <c r="Q30">
        <v>-3.0464000000000002</v>
      </c>
      <c r="R30">
        <v>0</v>
      </c>
      <c r="S30">
        <v>60</v>
      </c>
      <c r="U30"/>
      <c r="W30">
        <v>0</v>
      </c>
      <c r="X30">
        <v>0</v>
      </c>
      <c r="Y30">
        <v>1</v>
      </c>
    </row>
    <row r="31" spans="1:25" x14ac:dyDescent="0.25">
      <c r="A31">
        <v>27</v>
      </c>
      <c r="B31">
        <v>1</v>
      </c>
      <c r="C31">
        <v>2</v>
      </c>
      <c r="D31">
        <v>14.6449</v>
      </c>
      <c r="E31">
        <v>19.1845</v>
      </c>
      <c r="F31">
        <v>4.7999999999999996E-3</v>
      </c>
      <c r="G31">
        <v>0</v>
      </c>
      <c r="H31">
        <v>40</v>
      </c>
      <c r="L31">
        <v>0</v>
      </c>
      <c r="M31">
        <v>0</v>
      </c>
      <c r="N31">
        <v>1</v>
      </c>
      <c r="O31">
        <v>14.6449</v>
      </c>
      <c r="P31">
        <v>19.451499999999999</v>
      </c>
      <c r="Q31">
        <v>-3.0464000000000002</v>
      </c>
      <c r="R31">
        <v>0</v>
      </c>
      <c r="S31">
        <v>40</v>
      </c>
      <c r="U31"/>
      <c r="W31">
        <v>0</v>
      </c>
      <c r="X31">
        <v>0</v>
      </c>
      <c r="Y31">
        <v>1</v>
      </c>
    </row>
    <row r="32" spans="1:25" x14ac:dyDescent="0.25">
      <c r="A32">
        <v>28</v>
      </c>
      <c r="B32">
        <v>1</v>
      </c>
      <c r="C32">
        <v>2</v>
      </c>
      <c r="D32">
        <v>14.6449</v>
      </c>
      <c r="E32">
        <v>18.760200999999999</v>
      </c>
      <c r="F32">
        <v>4.7999999999999996E-3</v>
      </c>
      <c r="G32">
        <v>1</v>
      </c>
      <c r="H32">
        <v>40</v>
      </c>
      <c r="I32">
        <v>14.6052</v>
      </c>
      <c r="J32">
        <v>18.759799999999998</v>
      </c>
      <c r="K32">
        <v>4.7999999999999996E-3</v>
      </c>
      <c r="L32">
        <v>0</v>
      </c>
      <c r="M32">
        <v>0</v>
      </c>
      <c r="N32">
        <v>-1</v>
      </c>
      <c r="O32">
        <v>14.6449</v>
      </c>
      <c r="P32">
        <v>19.369900000000001</v>
      </c>
      <c r="Q32">
        <v>-3.0464000000000002</v>
      </c>
      <c r="R32">
        <v>1</v>
      </c>
      <c r="S32">
        <v>40</v>
      </c>
      <c r="T32">
        <v>14.6052</v>
      </c>
      <c r="U32">
        <v>19.369499000000001</v>
      </c>
      <c r="V32">
        <v>-3.0464000000000002</v>
      </c>
      <c r="W32">
        <v>0</v>
      </c>
      <c r="X32">
        <v>0</v>
      </c>
      <c r="Y32">
        <v>-1</v>
      </c>
    </row>
    <row r="33" spans="1:25" x14ac:dyDescent="0.25">
      <c r="A33">
        <v>29</v>
      </c>
      <c r="B33">
        <v>1</v>
      </c>
      <c r="C33">
        <v>2</v>
      </c>
      <c r="D33">
        <v>14.605600000000001</v>
      </c>
      <c r="E33">
        <v>18.720099999999999</v>
      </c>
      <c r="F33">
        <v>4.7999999999999996E-3</v>
      </c>
      <c r="G33">
        <v>0</v>
      </c>
      <c r="H33">
        <v>40</v>
      </c>
      <c r="L33">
        <v>0</v>
      </c>
      <c r="M33">
        <v>0</v>
      </c>
      <c r="N33">
        <v>1</v>
      </c>
      <c r="O33">
        <v>14.605600000000001</v>
      </c>
      <c r="P33">
        <v>19.329799999999999</v>
      </c>
      <c r="Q33">
        <v>-3.0464000000000002</v>
      </c>
      <c r="R33">
        <v>0</v>
      </c>
      <c r="S33">
        <v>40</v>
      </c>
      <c r="U33"/>
      <c r="W33">
        <v>0</v>
      </c>
      <c r="X33">
        <v>0</v>
      </c>
      <c r="Y33">
        <v>1</v>
      </c>
    </row>
    <row r="34" spans="1:25" x14ac:dyDescent="0.25">
      <c r="A34">
        <v>30</v>
      </c>
      <c r="B34">
        <v>1</v>
      </c>
      <c r="C34">
        <v>2</v>
      </c>
      <c r="D34">
        <v>14.133100000000001</v>
      </c>
      <c r="E34">
        <v>18.720099999999999</v>
      </c>
      <c r="F34">
        <v>4.7999999999999996E-3</v>
      </c>
      <c r="G34">
        <v>0</v>
      </c>
      <c r="H34">
        <v>75</v>
      </c>
      <c r="L34">
        <v>0</v>
      </c>
      <c r="M34">
        <v>0</v>
      </c>
      <c r="N34">
        <v>1</v>
      </c>
      <c r="O34">
        <v>14.133100000000001</v>
      </c>
      <c r="P34">
        <v>19.329799999999999</v>
      </c>
      <c r="Q34">
        <v>-3.0464000000000002</v>
      </c>
      <c r="R34">
        <v>0</v>
      </c>
      <c r="S34">
        <v>75</v>
      </c>
      <c r="U34"/>
      <c r="W34">
        <v>0</v>
      </c>
      <c r="X34">
        <v>0</v>
      </c>
      <c r="Y34">
        <v>1</v>
      </c>
    </row>
    <row r="35" spans="1:25" x14ac:dyDescent="0.25">
      <c r="A35">
        <v>31</v>
      </c>
      <c r="B35">
        <v>1</v>
      </c>
      <c r="C35">
        <v>2</v>
      </c>
      <c r="D35">
        <v>9.2985000000000007</v>
      </c>
      <c r="E35">
        <v>18.329599000000002</v>
      </c>
      <c r="F35">
        <v>4.7999999999999996E-3</v>
      </c>
      <c r="G35">
        <v>0</v>
      </c>
      <c r="H35">
        <v>40</v>
      </c>
      <c r="L35">
        <v>0</v>
      </c>
      <c r="M35">
        <v>0</v>
      </c>
      <c r="N35">
        <v>1</v>
      </c>
      <c r="O35">
        <v>9.2985000000000007</v>
      </c>
      <c r="P35">
        <v>19.399899999999999</v>
      </c>
      <c r="Q35">
        <v>-3.0464000000000002</v>
      </c>
      <c r="R35">
        <v>0</v>
      </c>
      <c r="S35">
        <v>40</v>
      </c>
      <c r="U35"/>
      <c r="W35">
        <v>0</v>
      </c>
      <c r="X35">
        <v>0</v>
      </c>
      <c r="Y35">
        <v>1</v>
      </c>
    </row>
    <row r="36" spans="1:25" x14ac:dyDescent="0.25">
      <c r="A36">
        <v>32</v>
      </c>
      <c r="B36">
        <v>1</v>
      </c>
      <c r="C36">
        <v>2</v>
      </c>
      <c r="D36">
        <v>8.5504999999999995</v>
      </c>
      <c r="E36">
        <v>18.329599000000002</v>
      </c>
      <c r="F36">
        <v>4.7999999999999996E-3</v>
      </c>
      <c r="G36">
        <v>1</v>
      </c>
      <c r="H36">
        <v>40</v>
      </c>
      <c r="I36">
        <v>8.5517000000000003</v>
      </c>
      <c r="J36">
        <v>18.370100000000001</v>
      </c>
      <c r="K36">
        <v>4.7999999999999996E-3</v>
      </c>
      <c r="L36">
        <v>0</v>
      </c>
      <c r="M36">
        <v>0</v>
      </c>
      <c r="N36">
        <v>-1</v>
      </c>
      <c r="O36">
        <v>8.5504999999999995</v>
      </c>
      <c r="P36">
        <v>19.399899999999999</v>
      </c>
      <c r="Q36">
        <v>-3.0464000000000002</v>
      </c>
      <c r="R36">
        <v>1</v>
      </c>
      <c r="S36">
        <v>40</v>
      </c>
      <c r="T36">
        <v>8.5517000000000003</v>
      </c>
      <c r="U36">
        <v>19.4405</v>
      </c>
      <c r="V36">
        <v>-3.0464000000000002</v>
      </c>
      <c r="W36">
        <v>0</v>
      </c>
      <c r="X36">
        <v>0</v>
      </c>
      <c r="Y36">
        <v>-1</v>
      </c>
    </row>
    <row r="37" spans="1:25" x14ac:dyDescent="0.25">
      <c r="A37">
        <v>33</v>
      </c>
      <c r="B37">
        <v>1</v>
      </c>
      <c r="C37">
        <v>2</v>
      </c>
      <c r="D37">
        <v>8.5111000000000008</v>
      </c>
      <c r="E37">
        <v>18.371300000000002</v>
      </c>
      <c r="F37">
        <v>4.7999999999999996E-3</v>
      </c>
      <c r="G37">
        <v>0</v>
      </c>
      <c r="H37">
        <v>40</v>
      </c>
      <c r="L37">
        <v>0</v>
      </c>
      <c r="M37">
        <v>0</v>
      </c>
      <c r="N37">
        <v>1</v>
      </c>
      <c r="O37">
        <v>8.5111000000000008</v>
      </c>
      <c r="P37">
        <v>19.441600999999999</v>
      </c>
      <c r="Q37">
        <v>-3.0464000000000002</v>
      </c>
      <c r="R37">
        <v>0</v>
      </c>
      <c r="S37">
        <v>40</v>
      </c>
      <c r="U37"/>
      <c r="W37">
        <v>0</v>
      </c>
      <c r="X37">
        <v>0</v>
      </c>
      <c r="Y37">
        <v>1</v>
      </c>
    </row>
    <row r="38" spans="1:25" x14ac:dyDescent="0.25">
      <c r="A38">
        <v>34</v>
      </c>
      <c r="B38">
        <v>1</v>
      </c>
      <c r="C38">
        <v>1</v>
      </c>
      <c r="D38">
        <v>8.5111000000000008</v>
      </c>
      <c r="E38">
        <v>19.466298999999999</v>
      </c>
      <c r="F38">
        <v>4.7999999999999996E-3</v>
      </c>
      <c r="G38">
        <v>0</v>
      </c>
      <c r="H38">
        <v>60</v>
      </c>
      <c r="L38">
        <v>0</v>
      </c>
      <c r="M38">
        <v>0</v>
      </c>
      <c r="N38">
        <v>1</v>
      </c>
      <c r="O38">
        <v>8.5111000000000008</v>
      </c>
      <c r="P38">
        <v>20.536698999999999</v>
      </c>
      <c r="Q38">
        <v>-3.0464000000000002</v>
      </c>
      <c r="R38">
        <v>0</v>
      </c>
      <c r="S38">
        <v>60</v>
      </c>
      <c r="U38"/>
      <c r="W38">
        <v>0</v>
      </c>
      <c r="X38">
        <v>0</v>
      </c>
      <c r="Y38">
        <v>1</v>
      </c>
    </row>
    <row r="39" spans="1:25" x14ac:dyDescent="0.25">
      <c r="A39">
        <v>35</v>
      </c>
      <c r="B39">
        <v>0</v>
      </c>
      <c r="C39">
        <v>1</v>
      </c>
      <c r="D39">
        <v>8.5111000000000008</v>
      </c>
      <c r="E39">
        <v>19.470199999999998</v>
      </c>
      <c r="F39">
        <v>4.7999999999999996E-3</v>
      </c>
      <c r="G39">
        <v>0</v>
      </c>
      <c r="H39">
        <v>0</v>
      </c>
      <c r="L39">
        <v>0</v>
      </c>
      <c r="M39">
        <v>0</v>
      </c>
      <c r="N39">
        <v>1</v>
      </c>
      <c r="O39">
        <v>8.5111000000000008</v>
      </c>
      <c r="P39">
        <v>20.540600000000001</v>
      </c>
      <c r="Q39">
        <v>-3.0464000000000002</v>
      </c>
      <c r="R39">
        <v>0</v>
      </c>
      <c r="S39">
        <v>0</v>
      </c>
      <c r="U39"/>
      <c r="W39">
        <v>0</v>
      </c>
      <c r="X39">
        <v>0</v>
      </c>
      <c r="Y39">
        <v>1</v>
      </c>
    </row>
    <row r="40" spans="1:25" x14ac:dyDescent="0.25">
      <c r="A40">
        <v>36</v>
      </c>
      <c r="B40">
        <v>0</v>
      </c>
      <c r="C40">
        <v>0</v>
      </c>
      <c r="D40">
        <v>8.5111000000000008</v>
      </c>
      <c r="E40">
        <v>19.470199999999998</v>
      </c>
      <c r="F40">
        <v>0.51659999999999995</v>
      </c>
      <c r="G40">
        <v>0</v>
      </c>
      <c r="H40">
        <v>0</v>
      </c>
      <c r="L40">
        <v>0</v>
      </c>
      <c r="M40">
        <v>0</v>
      </c>
      <c r="N40">
        <v>1</v>
      </c>
      <c r="O40">
        <v>8.5111000000000008</v>
      </c>
      <c r="P40">
        <v>20.540600000000001</v>
      </c>
      <c r="Q40">
        <v>-2.5346000000000002</v>
      </c>
      <c r="R40">
        <v>0</v>
      </c>
      <c r="S40">
        <v>0</v>
      </c>
      <c r="U40"/>
      <c r="W40">
        <v>0</v>
      </c>
      <c r="X40">
        <v>0</v>
      </c>
      <c r="Y40">
        <v>1</v>
      </c>
    </row>
    <row r="41" spans="1:25" x14ac:dyDescent="0.25">
      <c r="A41">
        <v>37</v>
      </c>
      <c r="B41">
        <v>0</v>
      </c>
      <c r="C41">
        <v>0</v>
      </c>
      <c r="D41">
        <v>9.6292000000000009</v>
      </c>
      <c r="E41">
        <v>17.196501000000001</v>
      </c>
      <c r="F41">
        <v>0.51659999999999995</v>
      </c>
      <c r="G41">
        <v>0</v>
      </c>
      <c r="H41">
        <v>0</v>
      </c>
      <c r="L41">
        <v>0</v>
      </c>
      <c r="M41">
        <v>0</v>
      </c>
      <c r="N41">
        <v>1</v>
      </c>
      <c r="O41">
        <v>9.6292000000000009</v>
      </c>
      <c r="P41">
        <v>18.266898999999999</v>
      </c>
      <c r="Q41">
        <v>-2.5346000000000002</v>
      </c>
      <c r="R41">
        <v>0</v>
      </c>
      <c r="S41">
        <v>0</v>
      </c>
      <c r="U41"/>
      <c r="W41">
        <v>0</v>
      </c>
      <c r="X41">
        <v>0</v>
      </c>
      <c r="Y41">
        <v>1</v>
      </c>
    </row>
    <row r="42" spans="1:25" x14ac:dyDescent="0.25">
      <c r="A42">
        <v>38</v>
      </c>
      <c r="B42">
        <v>0</v>
      </c>
      <c r="C42">
        <v>0</v>
      </c>
      <c r="D42">
        <v>7.9245000000000001</v>
      </c>
      <c r="E42">
        <v>17.5014</v>
      </c>
      <c r="F42">
        <v>0.51659999999999995</v>
      </c>
      <c r="G42">
        <v>0</v>
      </c>
      <c r="H42">
        <v>0</v>
      </c>
      <c r="L42">
        <v>0</v>
      </c>
      <c r="M42">
        <v>0</v>
      </c>
      <c r="N42">
        <v>1</v>
      </c>
      <c r="O42">
        <v>7.9245000000000001</v>
      </c>
      <c r="P42">
        <v>17.5014</v>
      </c>
      <c r="Q42">
        <v>-2.5346000000000002</v>
      </c>
      <c r="R42">
        <v>0</v>
      </c>
      <c r="S42">
        <v>0</v>
      </c>
      <c r="U42"/>
      <c r="W42">
        <v>0</v>
      </c>
      <c r="X42">
        <v>0</v>
      </c>
      <c r="Y42">
        <v>1</v>
      </c>
    </row>
    <row r="43" spans="1:25" x14ac:dyDescent="0.25">
      <c r="A43">
        <v>39</v>
      </c>
      <c r="B43">
        <v>1</v>
      </c>
      <c r="C43">
        <v>-1</v>
      </c>
      <c r="D43">
        <v>7.9245000000000001</v>
      </c>
      <c r="E43">
        <v>17.5014</v>
      </c>
      <c r="F43">
        <v>4.7999999999999996E-3</v>
      </c>
      <c r="G43">
        <v>0</v>
      </c>
      <c r="H43">
        <v>60</v>
      </c>
      <c r="L43">
        <v>0</v>
      </c>
      <c r="M43">
        <v>0</v>
      </c>
      <c r="N43">
        <v>1</v>
      </c>
      <c r="O43">
        <v>7.9245000000000001</v>
      </c>
      <c r="P43">
        <v>17.5014</v>
      </c>
      <c r="Q43">
        <v>-3.0464000000000002</v>
      </c>
      <c r="R43">
        <v>0</v>
      </c>
      <c r="S43">
        <v>60</v>
      </c>
      <c r="U43"/>
      <c r="W43">
        <v>0</v>
      </c>
      <c r="X43">
        <v>0</v>
      </c>
      <c r="Y43">
        <v>1</v>
      </c>
    </row>
    <row r="44" spans="1:25" x14ac:dyDescent="0.25">
      <c r="A44">
        <v>40</v>
      </c>
      <c r="B44">
        <v>1</v>
      </c>
      <c r="C44">
        <v>2</v>
      </c>
      <c r="D44">
        <v>8.0031999999999996</v>
      </c>
      <c r="E44">
        <v>17.5014</v>
      </c>
      <c r="F44">
        <v>4.7999999999999996E-3</v>
      </c>
      <c r="G44">
        <v>0</v>
      </c>
      <c r="H44">
        <v>30</v>
      </c>
      <c r="L44">
        <v>0</v>
      </c>
      <c r="M44">
        <v>0</v>
      </c>
      <c r="N44">
        <v>1</v>
      </c>
      <c r="O44">
        <v>8.0031999999999996</v>
      </c>
      <c r="P44">
        <v>17.5014</v>
      </c>
      <c r="Q44">
        <v>-3.0464000000000002</v>
      </c>
      <c r="R44">
        <v>0</v>
      </c>
      <c r="S44">
        <v>30</v>
      </c>
      <c r="U44"/>
      <c r="W44">
        <v>0</v>
      </c>
      <c r="X44">
        <v>0</v>
      </c>
      <c r="Y44">
        <v>1</v>
      </c>
    </row>
    <row r="45" spans="1:25" x14ac:dyDescent="0.25">
      <c r="A45">
        <v>41</v>
      </c>
      <c r="B45">
        <v>1</v>
      </c>
      <c r="C45">
        <v>2</v>
      </c>
      <c r="D45">
        <v>8.4323999999999995</v>
      </c>
      <c r="E45">
        <v>17.5014</v>
      </c>
      <c r="F45">
        <v>4.7999999999999996E-3</v>
      </c>
      <c r="G45">
        <v>1</v>
      </c>
      <c r="H45">
        <v>40</v>
      </c>
      <c r="I45">
        <v>8.4323999999999995</v>
      </c>
      <c r="J45">
        <v>17.580200000000001</v>
      </c>
      <c r="K45">
        <v>4.7999999999999996E-3</v>
      </c>
      <c r="L45">
        <v>0</v>
      </c>
      <c r="M45">
        <v>0</v>
      </c>
      <c r="N45">
        <v>1</v>
      </c>
      <c r="O45">
        <v>8.4323999999999995</v>
      </c>
      <c r="P45">
        <v>17.5014</v>
      </c>
      <c r="Q45">
        <v>-3.0464000000000002</v>
      </c>
      <c r="R45">
        <v>1</v>
      </c>
      <c r="S45">
        <v>40</v>
      </c>
      <c r="T45">
        <v>8.4323999999999995</v>
      </c>
      <c r="U45">
        <v>17.580200000000001</v>
      </c>
      <c r="V45">
        <v>-3.0464000000000002</v>
      </c>
      <c r="W45">
        <v>0</v>
      </c>
      <c r="X45">
        <v>0</v>
      </c>
      <c r="Y45">
        <v>1</v>
      </c>
    </row>
    <row r="46" spans="1:25" x14ac:dyDescent="0.25">
      <c r="A46">
        <v>42</v>
      </c>
      <c r="B46">
        <v>1</v>
      </c>
      <c r="C46">
        <v>2</v>
      </c>
      <c r="D46">
        <v>8.5111000000000008</v>
      </c>
      <c r="E46">
        <v>17.580200000000001</v>
      </c>
      <c r="F46">
        <v>4.7999999999999996E-3</v>
      </c>
      <c r="G46">
        <v>0</v>
      </c>
      <c r="H46">
        <v>40</v>
      </c>
      <c r="L46">
        <v>0</v>
      </c>
      <c r="M46">
        <v>0</v>
      </c>
      <c r="N46">
        <v>1</v>
      </c>
      <c r="O46">
        <v>8.5111000000000008</v>
      </c>
      <c r="P46">
        <v>17.580200000000001</v>
      </c>
      <c r="Q46">
        <v>-3.0464000000000002</v>
      </c>
      <c r="R46">
        <v>0</v>
      </c>
      <c r="S46">
        <v>40</v>
      </c>
      <c r="U46"/>
      <c r="W46">
        <v>0</v>
      </c>
      <c r="X46">
        <v>0</v>
      </c>
      <c r="Y46">
        <v>1</v>
      </c>
    </row>
    <row r="47" spans="1:25" x14ac:dyDescent="0.25">
      <c r="A47">
        <v>43</v>
      </c>
      <c r="B47">
        <v>1</v>
      </c>
      <c r="C47">
        <v>2</v>
      </c>
      <c r="D47">
        <v>8.5111000000000008</v>
      </c>
      <c r="E47">
        <v>18.101800999999998</v>
      </c>
      <c r="F47">
        <v>4.7999999999999996E-3</v>
      </c>
      <c r="G47">
        <v>1</v>
      </c>
      <c r="H47">
        <v>40</v>
      </c>
      <c r="I47">
        <v>8.5898000000000003</v>
      </c>
      <c r="J47">
        <v>18.101800999999998</v>
      </c>
      <c r="K47">
        <v>4.7999999999999996E-3</v>
      </c>
      <c r="L47">
        <v>0</v>
      </c>
      <c r="M47">
        <v>0</v>
      </c>
      <c r="N47">
        <v>-1</v>
      </c>
      <c r="O47">
        <v>8.5111000000000008</v>
      </c>
      <c r="P47">
        <v>18.101800999999998</v>
      </c>
      <c r="Q47">
        <v>-3.0464000000000002</v>
      </c>
      <c r="R47">
        <v>1</v>
      </c>
      <c r="S47">
        <v>40</v>
      </c>
      <c r="T47">
        <v>8.5898000000000003</v>
      </c>
      <c r="U47">
        <v>18.101800999999998</v>
      </c>
      <c r="V47">
        <v>-3.0464000000000002</v>
      </c>
      <c r="W47">
        <v>0</v>
      </c>
      <c r="X47">
        <v>0</v>
      </c>
      <c r="Y47">
        <v>-1</v>
      </c>
    </row>
    <row r="48" spans="1:25" x14ac:dyDescent="0.25">
      <c r="A48">
        <v>44</v>
      </c>
      <c r="B48">
        <v>1</v>
      </c>
      <c r="C48">
        <v>2</v>
      </c>
      <c r="D48">
        <v>8.5898000000000003</v>
      </c>
      <c r="E48">
        <v>18.180599000000001</v>
      </c>
      <c r="F48">
        <v>4.7999999999999996E-3</v>
      </c>
      <c r="G48">
        <v>0</v>
      </c>
      <c r="H48">
        <v>70</v>
      </c>
      <c r="L48">
        <v>0</v>
      </c>
      <c r="M48">
        <v>0</v>
      </c>
      <c r="N48">
        <v>1</v>
      </c>
      <c r="O48">
        <v>8.5898000000000003</v>
      </c>
      <c r="P48">
        <v>18.180599000000001</v>
      </c>
      <c r="Q48">
        <v>-3.0464000000000002</v>
      </c>
      <c r="R48">
        <v>0</v>
      </c>
      <c r="S48">
        <v>70</v>
      </c>
      <c r="U48"/>
      <c r="W48">
        <v>0</v>
      </c>
      <c r="X48">
        <v>0</v>
      </c>
      <c r="Y48">
        <v>1</v>
      </c>
    </row>
    <row r="49" spans="1:25" x14ac:dyDescent="0.25">
      <c r="A49">
        <v>45</v>
      </c>
      <c r="B49">
        <v>1</v>
      </c>
      <c r="C49">
        <v>2</v>
      </c>
      <c r="D49">
        <v>15.6449</v>
      </c>
      <c r="E49">
        <v>18.180599000000001</v>
      </c>
      <c r="F49">
        <v>4.7999999999999996E-3</v>
      </c>
      <c r="G49">
        <v>1</v>
      </c>
      <c r="H49">
        <v>40</v>
      </c>
      <c r="I49">
        <v>15.6449</v>
      </c>
      <c r="J49">
        <v>18.2593</v>
      </c>
      <c r="K49">
        <v>4.7999999999999996E-3</v>
      </c>
      <c r="L49">
        <v>0</v>
      </c>
      <c r="M49">
        <v>0</v>
      </c>
      <c r="N49">
        <v>1</v>
      </c>
      <c r="O49">
        <v>15.6449</v>
      </c>
      <c r="P49">
        <v>18.180599000000001</v>
      </c>
      <c r="Q49">
        <v>-3.0464000000000002</v>
      </c>
      <c r="R49">
        <v>1</v>
      </c>
      <c r="S49">
        <v>40</v>
      </c>
      <c r="T49">
        <v>15.6449</v>
      </c>
      <c r="U49">
        <v>18.2593</v>
      </c>
      <c r="V49">
        <v>-3.0464000000000002</v>
      </c>
      <c r="W49">
        <v>0</v>
      </c>
      <c r="X49">
        <v>0</v>
      </c>
      <c r="Y49">
        <v>1</v>
      </c>
    </row>
    <row r="50" spans="1:25" x14ac:dyDescent="0.25">
      <c r="A50">
        <v>46</v>
      </c>
      <c r="B50">
        <v>1</v>
      </c>
      <c r="C50">
        <v>2</v>
      </c>
      <c r="D50">
        <v>15.723699999999999</v>
      </c>
      <c r="E50">
        <v>18.2593</v>
      </c>
      <c r="F50">
        <v>4.7999999999999996E-3</v>
      </c>
      <c r="G50">
        <v>0</v>
      </c>
      <c r="H50">
        <v>40</v>
      </c>
      <c r="L50">
        <v>0</v>
      </c>
      <c r="M50">
        <v>0</v>
      </c>
      <c r="N50">
        <v>1</v>
      </c>
      <c r="O50">
        <v>15.723699999999999</v>
      </c>
      <c r="P50">
        <v>18.2593</v>
      </c>
      <c r="Q50">
        <v>-3.0464000000000002</v>
      </c>
      <c r="R50">
        <v>0</v>
      </c>
      <c r="S50">
        <v>40</v>
      </c>
      <c r="U50"/>
      <c r="W50">
        <v>0</v>
      </c>
      <c r="X50">
        <v>0</v>
      </c>
      <c r="Y50">
        <v>1</v>
      </c>
    </row>
    <row r="51" spans="1:25" x14ac:dyDescent="0.25">
      <c r="A51">
        <v>47</v>
      </c>
      <c r="B51">
        <v>1</v>
      </c>
      <c r="C51">
        <v>2</v>
      </c>
      <c r="D51">
        <v>15.723699999999999</v>
      </c>
      <c r="E51">
        <v>18.780999999999999</v>
      </c>
      <c r="F51">
        <v>4.7999999999999996E-3</v>
      </c>
      <c r="G51">
        <v>1</v>
      </c>
      <c r="H51">
        <v>40</v>
      </c>
      <c r="I51">
        <v>15.8024</v>
      </c>
      <c r="J51">
        <v>18.780999999999999</v>
      </c>
      <c r="K51">
        <v>4.7999999999999996E-3</v>
      </c>
      <c r="L51">
        <v>0</v>
      </c>
      <c r="M51">
        <v>0</v>
      </c>
      <c r="N51">
        <v>-1</v>
      </c>
      <c r="O51">
        <v>15.723699999999999</v>
      </c>
      <c r="P51">
        <v>18.780999999999999</v>
      </c>
      <c r="Q51">
        <v>-3.0464000000000002</v>
      </c>
      <c r="R51">
        <v>1</v>
      </c>
      <c r="S51">
        <v>40</v>
      </c>
      <c r="T51">
        <v>15.8024</v>
      </c>
      <c r="U51">
        <v>18.780999999999999</v>
      </c>
      <c r="V51">
        <v>-3.0464000000000002</v>
      </c>
      <c r="W51">
        <v>0</v>
      </c>
      <c r="X51">
        <v>0</v>
      </c>
      <c r="Y51">
        <v>-1</v>
      </c>
    </row>
    <row r="52" spans="1:25" x14ac:dyDescent="0.25">
      <c r="A52">
        <v>48</v>
      </c>
      <c r="B52">
        <v>1</v>
      </c>
      <c r="C52">
        <v>2</v>
      </c>
      <c r="D52">
        <v>15.8024</v>
      </c>
      <c r="E52">
        <v>18.859698999999999</v>
      </c>
      <c r="F52">
        <v>4.7999999999999996E-3</v>
      </c>
      <c r="G52">
        <v>0</v>
      </c>
      <c r="H52">
        <v>30</v>
      </c>
      <c r="L52">
        <v>0</v>
      </c>
      <c r="M52">
        <v>0</v>
      </c>
      <c r="N52">
        <v>1</v>
      </c>
      <c r="O52">
        <v>15.8024</v>
      </c>
      <c r="P52">
        <v>18.859698999999999</v>
      </c>
      <c r="Q52">
        <v>-3.0464000000000002</v>
      </c>
      <c r="R52">
        <v>0</v>
      </c>
      <c r="S52">
        <v>30</v>
      </c>
      <c r="U52"/>
      <c r="W52">
        <v>0</v>
      </c>
      <c r="X52">
        <v>0</v>
      </c>
      <c r="Y52">
        <v>1</v>
      </c>
    </row>
    <row r="53" spans="1:25" x14ac:dyDescent="0.25">
      <c r="A53">
        <v>49</v>
      </c>
      <c r="B53">
        <v>1</v>
      </c>
      <c r="C53">
        <v>1</v>
      </c>
      <c r="D53">
        <v>16.270900999999999</v>
      </c>
      <c r="E53">
        <v>18.859698999999999</v>
      </c>
      <c r="F53">
        <v>4.7999999999999996E-3</v>
      </c>
      <c r="G53">
        <v>0</v>
      </c>
      <c r="H53">
        <v>60</v>
      </c>
      <c r="L53">
        <v>0</v>
      </c>
      <c r="M53">
        <v>0</v>
      </c>
      <c r="N53">
        <v>1</v>
      </c>
      <c r="O53">
        <v>16.585899000000001</v>
      </c>
      <c r="P53">
        <v>18.859698999999999</v>
      </c>
      <c r="Q53">
        <v>-3.0464000000000002</v>
      </c>
      <c r="R53">
        <v>0</v>
      </c>
      <c r="S53">
        <v>60</v>
      </c>
      <c r="U53"/>
      <c r="W53">
        <v>0</v>
      </c>
      <c r="X53">
        <v>0</v>
      </c>
      <c r="Y53">
        <v>1</v>
      </c>
    </row>
    <row r="54" spans="1:25" x14ac:dyDescent="0.25">
      <c r="A54">
        <v>50</v>
      </c>
      <c r="B54">
        <v>1</v>
      </c>
      <c r="C54">
        <v>1</v>
      </c>
      <c r="D54">
        <v>16.274899999999999</v>
      </c>
      <c r="E54">
        <v>18.859698999999999</v>
      </c>
      <c r="F54">
        <v>4.7999999999999996E-3</v>
      </c>
      <c r="G54">
        <v>0</v>
      </c>
      <c r="H54">
        <v>60</v>
      </c>
      <c r="L54">
        <v>0</v>
      </c>
      <c r="M54">
        <v>0</v>
      </c>
      <c r="N54">
        <v>1</v>
      </c>
      <c r="O54">
        <v>16.5898</v>
      </c>
      <c r="P54">
        <v>18.859698999999999</v>
      </c>
      <c r="Q54">
        <v>-3.0464000000000002</v>
      </c>
      <c r="R54">
        <v>0</v>
      </c>
      <c r="S54">
        <v>60</v>
      </c>
      <c r="U54"/>
      <c r="W54">
        <v>0</v>
      </c>
      <c r="X54">
        <v>0</v>
      </c>
      <c r="Y54">
        <v>1</v>
      </c>
    </row>
    <row r="55" spans="1:25" x14ac:dyDescent="0.25">
      <c r="A55">
        <v>51</v>
      </c>
      <c r="B55">
        <v>0</v>
      </c>
      <c r="C55">
        <v>1</v>
      </c>
      <c r="D55">
        <v>16.5898</v>
      </c>
      <c r="E55">
        <v>18.859698999999999</v>
      </c>
      <c r="F55">
        <v>4.7999999999999996E-3</v>
      </c>
      <c r="G55">
        <v>0</v>
      </c>
      <c r="H55">
        <v>0</v>
      </c>
      <c r="L55">
        <v>0</v>
      </c>
      <c r="M55">
        <v>0</v>
      </c>
      <c r="N55">
        <v>1</v>
      </c>
      <c r="O55">
        <v>16.5898</v>
      </c>
      <c r="P55">
        <v>18.859698999999999</v>
      </c>
      <c r="Q55">
        <v>-3.0464000000000002</v>
      </c>
      <c r="R55">
        <v>0</v>
      </c>
      <c r="S55">
        <v>0</v>
      </c>
      <c r="U55"/>
      <c r="W55">
        <v>0</v>
      </c>
      <c r="X55">
        <v>0</v>
      </c>
      <c r="Y55">
        <v>1</v>
      </c>
    </row>
    <row r="56" spans="1:25" x14ac:dyDescent="0.25">
      <c r="A56">
        <v>52</v>
      </c>
      <c r="B56">
        <v>0</v>
      </c>
      <c r="C56">
        <v>0</v>
      </c>
      <c r="D56">
        <v>16.5898</v>
      </c>
      <c r="E56">
        <v>18.859698999999999</v>
      </c>
      <c r="F56">
        <v>0.51659999999999995</v>
      </c>
      <c r="G56">
        <v>0</v>
      </c>
      <c r="H56">
        <v>0</v>
      </c>
      <c r="L56">
        <v>0</v>
      </c>
      <c r="M56">
        <v>0</v>
      </c>
      <c r="N56">
        <v>1</v>
      </c>
      <c r="O56">
        <v>16.5898</v>
      </c>
      <c r="P56">
        <v>18.859698999999999</v>
      </c>
      <c r="Q56">
        <v>-2.5346000000000002</v>
      </c>
      <c r="R56">
        <v>0</v>
      </c>
      <c r="S56">
        <v>0</v>
      </c>
      <c r="U56"/>
      <c r="W56">
        <v>0</v>
      </c>
      <c r="X56">
        <v>0</v>
      </c>
      <c r="Y56">
        <v>1</v>
      </c>
    </row>
    <row r="57" spans="1:25" x14ac:dyDescent="0.25">
      <c r="A57">
        <v>53</v>
      </c>
      <c r="B57">
        <v>0</v>
      </c>
      <c r="C57">
        <v>0</v>
      </c>
      <c r="D57">
        <v>20.127300000000002</v>
      </c>
      <c r="E57">
        <v>19.758499</v>
      </c>
      <c r="F57">
        <v>0.63780000000000003</v>
      </c>
      <c r="G57">
        <v>0</v>
      </c>
      <c r="H57">
        <v>0</v>
      </c>
      <c r="L57">
        <v>0</v>
      </c>
      <c r="M57">
        <v>0</v>
      </c>
      <c r="N57">
        <v>1</v>
      </c>
      <c r="O57">
        <v>20.127300000000002</v>
      </c>
      <c r="P57">
        <v>19.758499</v>
      </c>
      <c r="Q57">
        <v>-2.4134000000000002</v>
      </c>
      <c r="R57">
        <v>0</v>
      </c>
      <c r="S57">
        <v>0</v>
      </c>
      <c r="U57"/>
      <c r="W57">
        <v>0</v>
      </c>
      <c r="X57">
        <v>0</v>
      </c>
      <c r="Y57">
        <v>1</v>
      </c>
    </row>
    <row r="58" spans="1:25" x14ac:dyDescent="0.25">
      <c r="A58">
        <v>54</v>
      </c>
      <c r="B58">
        <v>0</v>
      </c>
      <c r="C58">
        <v>0</v>
      </c>
      <c r="D58">
        <v>20.171399999999998</v>
      </c>
      <c r="E58">
        <v>0.3886</v>
      </c>
      <c r="F58">
        <v>0.63780000000000003</v>
      </c>
      <c r="G58">
        <v>0</v>
      </c>
      <c r="H58">
        <v>0</v>
      </c>
      <c r="L58">
        <v>0</v>
      </c>
      <c r="M58">
        <v>0</v>
      </c>
      <c r="N58">
        <v>1</v>
      </c>
      <c r="O58">
        <v>20.171399999999998</v>
      </c>
      <c r="P58">
        <v>0.3886</v>
      </c>
      <c r="Q58">
        <v>-2.4134000000000002</v>
      </c>
      <c r="R58">
        <v>0</v>
      </c>
      <c r="S58">
        <v>0</v>
      </c>
      <c r="U58"/>
      <c r="W58">
        <v>0</v>
      </c>
      <c r="X58">
        <v>0</v>
      </c>
      <c r="Y58">
        <v>1</v>
      </c>
    </row>
    <row r="59" spans="1:25" x14ac:dyDescent="0.25">
      <c r="A59">
        <v>55</v>
      </c>
      <c r="B59">
        <v>0</v>
      </c>
      <c r="C59">
        <v>0</v>
      </c>
      <c r="D59">
        <v>32.373299000000003</v>
      </c>
      <c r="E59">
        <v>2.8254000000000001</v>
      </c>
      <c r="F59">
        <v>0.62280000000000002</v>
      </c>
      <c r="G59">
        <v>0</v>
      </c>
      <c r="H59">
        <v>0</v>
      </c>
      <c r="L59">
        <v>0</v>
      </c>
      <c r="M59">
        <v>0</v>
      </c>
      <c r="N59">
        <v>1</v>
      </c>
      <c r="O59">
        <v>32.373299000000003</v>
      </c>
      <c r="P59">
        <v>2.8254000000000001</v>
      </c>
      <c r="Q59">
        <v>-2.4165000000000001</v>
      </c>
      <c r="R59">
        <v>0</v>
      </c>
      <c r="S59">
        <v>0</v>
      </c>
      <c r="U59"/>
      <c r="W59">
        <v>0</v>
      </c>
      <c r="X59">
        <v>0</v>
      </c>
      <c r="Y59">
        <v>1</v>
      </c>
    </row>
    <row r="60" spans="1:25" x14ac:dyDescent="0.25">
      <c r="A60">
        <v>56</v>
      </c>
      <c r="B60">
        <v>1</v>
      </c>
      <c r="C60">
        <v>-1</v>
      </c>
      <c r="D60">
        <v>32.373299000000003</v>
      </c>
      <c r="E60">
        <v>2.8254000000000001</v>
      </c>
      <c r="F60">
        <v>0.111</v>
      </c>
      <c r="G60">
        <v>0</v>
      </c>
      <c r="H60">
        <v>60</v>
      </c>
      <c r="L60">
        <v>0</v>
      </c>
      <c r="M60">
        <v>0</v>
      </c>
      <c r="N60">
        <v>1</v>
      </c>
      <c r="O60">
        <v>32.373299000000003</v>
      </c>
      <c r="P60">
        <v>2.8254000000000001</v>
      </c>
      <c r="Q60">
        <v>-2.9283000000000001</v>
      </c>
      <c r="R60">
        <v>0</v>
      </c>
      <c r="S60">
        <v>60</v>
      </c>
      <c r="U60"/>
      <c r="W60">
        <v>0</v>
      </c>
      <c r="X60">
        <v>0</v>
      </c>
      <c r="Y60">
        <v>1</v>
      </c>
    </row>
    <row r="61" spans="1:25" x14ac:dyDescent="0.25">
      <c r="A61">
        <v>57</v>
      </c>
      <c r="B61">
        <v>1</v>
      </c>
      <c r="C61">
        <v>-1</v>
      </c>
      <c r="D61">
        <v>32.373299000000003</v>
      </c>
      <c r="E61">
        <v>2.9434999999999998</v>
      </c>
      <c r="F61">
        <v>0.111</v>
      </c>
      <c r="G61">
        <v>0</v>
      </c>
      <c r="H61">
        <v>60</v>
      </c>
      <c r="L61">
        <v>0</v>
      </c>
      <c r="M61">
        <v>0</v>
      </c>
      <c r="N61">
        <v>1</v>
      </c>
      <c r="O61">
        <v>32.373299000000003</v>
      </c>
      <c r="P61">
        <v>2.8254000000000001</v>
      </c>
      <c r="Q61">
        <v>-2.9283000000000001</v>
      </c>
      <c r="R61">
        <v>0</v>
      </c>
      <c r="S61">
        <v>60</v>
      </c>
      <c r="U61"/>
      <c r="W61">
        <v>0</v>
      </c>
      <c r="X61">
        <v>0</v>
      </c>
      <c r="Y61">
        <v>1</v>
      </c>
    </row>
    <row r="62" spans="1:25" x14ac:dyDescent="0.25">
      <c r="A62">
        <v>58</v>
      </c>
      <c r="B62">
        <v>1</v>
      </c>
      <c r="C62">
        <v>2</v>
      </c>
      <c r="D62">
        <v>32.373299000000003</v>
      </c>
      <c r="E62">
        <v>3.0222000000000002</v>
      </c>
      <c r="F62">
        <v>0.111</v>
      </c>
      <c r="G62">
        <v>0</v>
      </c>
      <c r="H62">
        <v>60</v>
      </c>
      <c r="L62">
        <v>0</v>
      </c>
      <c r="M62">
        <v>0</v>
      </c>
      <c r="N62">
        <v>1</v>
      </c>
      <c r="O62">
        <v>32.373299000000003</v>
      </c>
      <c r="P62">
        <v>2.9041000000000001</v>
      </c>
      <c r="Q62">
        <v>-2.9283000000000001</v>
      </c>
      <c r="R62">
        <v>0</v>
      </c>
      <c r="S62">
        <v>60</v>
      </c>
      <c r="U62"/>
      <c r="W62">
        <v>0</v>
      </c>
      <c r="X62">
        <v>0</v>
      </c>
      <c r="Y62">
        <v>1</v>
      </c>
    </row>
    <row r="63" spans="1:25" x14ac:dyDescent="0.25">
      <c r="A63">
        <v>59</v>
      </c>
      <c r="B63">
        <v>1</v>
      </c>
      <c r="C63">
        <v>1</v>
      </c>
      <c r="D63">
        <v>32.373299000000003</v>
      </c>
      <c r="E63">
        <v>6.0251000000000001</v>
      </c>
      <c r="F63">
        <v>0.111</v>
      </c>
      <c r="G63">
        <v>0</v>
      </c>
      <c r="H63">
        <v>60</v>
      </c>
      <c r="L63">
        <v>0</v>
      </c>
      <c r="M63">
        <v>0</v>
      </c>
      <c r="N63">
        <v>1</v>
      </c>
      <c r="O63">
        <v>32.373299000000003</v>
      </c>
      <c r="P63">
        <v>6.5872000000000002</v>
      </c>
      <c r="Q63">
        <v>-2.9283000000000001</v>
      </c>
      <c r="R63">
        <v>0</v>
      </c>
      <c r="S63">
        <v>60</v>
      </c>
      <c r="U63"/>
      <c r="W63">
        <v>0</v>
      </c>
      <c r="X63">
        <v>0</v>
      </c>
      <c r="Y63">
        <v>1</v>
      </c>
    </row>
    <row r="64" spans="1:25" x14ac:dyDescent="0.25">
      <c r="A64">
        <v>60</v>
      </c>
      <c r="B64">
        <v>0</v>
      </c>
      <c r="C64">
        <v>1</v>
      </c>
      <c r="D64">
        <v>32.373299000000003</v>
      </c>
      <c r="E64">
        <v>6.0289999999999999</v>
      </c>
      <c r="F64">
        <v>0.111</v>
      </c>
      <c r="G64">
        <v>0</v>
      </c>
      <c r="H64">
        <v>0</v>
      </c>
      <c r="L64">
        <v>0</v>
      </c>
      <c r="M64">
        <v>0</v>
      </c>
      <c r="N64">
        <v>1</v>
      </c>
      <c r="O64">
        <v>32.373299000000003</v>
      </c>
      <c r="P64">
        <v>6.5911</v>
      </c>
      <c r="Q64">
        <v>-2.9283000000000001</v>
      </c>
      <c r="R64">
        <v>0</v>
      </c>
      <c r="S64">
        <v>0</v>
      </c>
      <c r="U64"/>
      <c r="W64">
        <v>0</v>
      </c>
      <c r="X64">
        <v>0</v>
      </c>
      <c r="Y64">
        <v>1</v>
      </c>
    </row>
    <row r="65" spans="1:25" x14ac:dyDescent="0.25">
      <c r="A65">
        <v>61</v>
      </c>
      <c r="B65">
        <v>0</v>
      </c>
      <c r="C65">
        <v>0</v>
      </c>
      <c r="D65">
        <v>32.373299000000003</v>
      </c>
      <c r="E65">
        <v>6.0289999999999999</v>
      </c>
      <c r="F65">
        <v>0.62280000000000002</v>
      </c>
      <c r="G65">
        <v>0</v>
      </c>
      <c r="H65">
        <v>0</v>
      </c>
      <c r="L65">
        <v>0</v>
      </c>
      <c r="M65">
        <v>0</v>
      </c>
      <c r="N65">
        <v>1</v>
      </c>
      <c r="O65">
        <v>32.373299000000003</v>
      </c>
      <c r="P65">
        <v>6.5911</v>
      </c>
      <c r="Q65">
        <v>-2.4165000000000001</v>
      </c>
      <c r="R65">
        <v>0</v>
      </c>
      <c r="S65">
        <v>0</v>
      </c>
      <c r="U65"/>
      <c r="W65">
        <v>0</v>
      </c>
      <c r="X65">
        <v>0</v>
      </c>
      <c r="Y65">
        <v>1</v>
      </c>
    </row>
    <row r="66" spans="1:25" x14ac:dyDescent="0.25">
      <c r="A66">
        <v>62</v>
      </c>
      <c r="B66">
        <v>0</v>
      </c>
      <c r="C66">
        <v>0</v>
      </c>
      <c r="D66">
        <v>32.416901000000003</v>
      </c>
      <c r="E66">
        <v>8.9953000000000003</v>
      </c>
      <c r="F66">
        <v>0.67410000000000003</v>
      </c>
      <c r="G66">
        <v>0</v>
      </c>
      <c r="H66">
        <v>0</v>
      </c>
      <c r="L66">
        <v>0</v>
      </c>
      <c r="M66">
        <v>0</v>
      </c>
      <c r="N66">
        <v>1</v>
      </c>
      <c r="O66">
        <v>32.416901000000003</v>
      </c>
      <c r="P66">
        <v>9.5573999999999995</v>
      </c>
      <c r="Q66">
        <v>-2.3652000000000002</v>
      </c>
      <c r="R66">
        <v>0</v>
      </c>
      <c r="S66">
        <v>0</v>
      </c>
      <c r="U66"/>
      <c r="W66">
        <v>0</v>
      </c>
      <c r="X66">
        <v>0</v>
      </c>
      <c r="Y66">
        <v>1</v>
      </c>
    </row>
    <row r="67" spans="1:25" x14ac:dyDescent="0.25">
      <c r="A67">
        <v>63</v>
      </c>
      <c r="B67">
        <v>0</v>
      </c>
      <c r="C67">
        <v>0</v>
      </c>
      <c r="D67">
        <v>23.987499</v>
      </c>
      <c r="E67">
        <v>17.137599999999999</v>
      </c>
      <c r="F67">
        <v>0.51659999999999995</v>
      </c>
      <c r="G67">
        <v>0</v>
      </c>
      <c r="H67">
        <v>0</v>
      </c>
      <c r="L67">
        <v>0</v>
      </c>
      <c r="M67">
        <v>0</v>
      </c>
      <c r="N67">
        <v>1</v>
      </c>
      <c r="O67">
        <v>23.908701000000001</v>
      </c>
      <c r="P67">
        <v>16.8706</v>
      </c>
      <c r="Q67">
        <v>-2.5346000000000002</v>
      </c>
      <c r="R67">
        <v>0</v>
      </c>
      <c r="S67">
        <v>0</v>
      </c>
      <c r="U67"/>
      <c r="W67">
        <v>0</v>
      </c>
      <c r="X67">
        <v>0</v>
      </c>
      <c r="Y67">
        <v>1</v>
      </c>
    </row>
    <row r="68" spans="1:25" x14ac:dyDescent="0.25">
      <c r="A68">
        <v>64</v>
      </c>
      <c r="B68">
        <v>1</v>
      </c>
      <c r="C68">
        <v>-1</v>
      </c>
      <c r="D68">
        <v>23.987499</v>
      </c>
      <c r="E68">
        <v>17.137599999999999</v>
      </c>
      <c r="F68">
        <v>4.7999999999999996E-3</v>
      </c>
      <c r="G68">
        <v>0</v>
      </c>
      <c r="H68">
        <v>60</v>
      </c>
      <c r="L68">
        <v>0</v>
      </c>
      <c r="M68">
        <v>0</v>
      </c>
      <c r="N68">
        <v>1</v>
      </c>
      <c r="O68">
        <v>23.908701000000001</v>
      </c>
      <c r="P68">
        <v>16.8706</v>
      </c>
      <c r="Q68">
        <v>-3.0464000000000002</v>
      </c>
      <c r="R68">
        <v>0</v>
      </c>
      <c r="S68">
        <v>60</v>
      </c>
      <c r="U68"/>
      <c r="W68">
        <v>0</v>
      </c>
      <c r="X68">
        <v>0</v>
      </c>
      <c r="Y68">
        <v>1</v>
      </c>
    </row>
    <row r="69" spans="1:25" x14ac:dyDescent="0.25">
      <c r="A69">
        <v>65</v>
      </c>
      <c r="B69">
        <v>1</v>
      </c>
      <c r="C69">
        <v>2</v>
      </c>
      <c r="D69">
        <v>24.144898999999999</v>
      </c>
      <c r="E69">
        <v>17.137198999999999</v>
      </c>
      <c r="F69">
        <v>4.7999999999999996E-3</v>
      </c>
      <c r="G69">
        <v>0</v>
      </c>
      <c r="H69">
        <v>60</v>
      </c>
      <c r="L69">
        <v>0</v>
      </c>
      <c r="M69">
        <v>0</v>
      </c>
      <c r="N69">
        <v>1</v>
      </c>
      <c r="O69">
        <v>24.066199999999998</v>
      </c>
      <c r="P69">
        <v>16.8703</v>
      </c>
      <c r="Q69">
        <v>-3.0464000000000002</v>
      </c>
      <c r="R69">
        <v>0</v>
      </c>
      <c r="S69">
        <v>60</v>
      </c>
      <c r="U69"/>
      <c r="W69">
        <v>0</v>
      </c>
      <c r="X69">
        <v>0</v>
      </c>
      <c r="Y69">
        <v>1</v>
      </c>
    </row>
    <row r="70" spans="1:25" x14ac:dyDescent="0.25">
      <c r="A70">
        <v>66</v>
      </c>
      <c r="B70">
        <v>1</v>
      </c>
      <c r="C70">
        <v>2</v>
      </c>
      <c r="D70">
        <v>25.770900999999999</v>
      </c>
      <c r="E70">
        <v>17.137198999999999</v>
      </c>
      <c r="F70">
        <v>4.7999999999999996E-3</v>
      </c>
      <c r="G70">
        <v>0</v>
      </c>
      <c r="H70">
        <v>40</v>
      </c>
      <c r="L70">
        <v>0</v>
      </c>
      <c r="M70">
        <v>0</v>
      </c>
      <c r="N70">
        <v>1</v>
      </c>
      <c r="O70">
        <v>25.770900999999999</v>
      </c>
      <c r="P70">
        <v>16.8703</v>
      </c>
      <c r="Q70">
        <v>-3.0464000000000002</v>
      </c>
      <c r="R70">
        <v>0</v>
      </c>
      <c r="S70">
        <v>40</v>
      </c>
      <c r="U70"/>
      <c r="W70">
        <v>0</v>
      </c>
      <c r="X70">
        <v>0</v>
      </c>
      <c r="Y70">
        <v>1</v>
      </c>
    </row>
    <row r="71" spans="1:25" x14ac:dyDescent="0.25">
      <c r="A71">
        <v>67</v>
      </c>
      <c r="B71">
        <v>1</v>
      </c>
      <c r="C71">
        <v>2</v>
      </c>
      <c r="D71">
        <v>25.770900999999999</v>
      </c>
      <c r="E71">
        <v>17.561501</v>
      </c>
      <c r="F71">
        <v>4.7999999999999996E-3</v>
      </c>
      <c r="G71">
        <v>1</v>
      </c>
      <c r="H71">
        <v>40</v>
      </c>
      <c r="I71">
        <v>25.810699</v>
      </c>
      <c r="J71">
        <v>17.561899</v>
      </c>
      <c r="K71">
        <v>4.7999999999999996E-3</v>
      </c>
      <c r="L71">
        <v>0</v>
      </c>
      <c r="M71">
        <v>0</v>
      </c>
      <c r="N71">
        <v>-1</v>
      </c>
      <c r="O71">
        <v>25.770900999999999</v>
      </c>
      <c r="P71">
        <v>16.951899999999998</v>
      </c>
      <c r="Q71">
        <v>-3.0464000000000002</v>
      </c>
      <c r="R71">
        <v>1</v>
      </c>
      <c r="S71">
        <v>40</v>
      </c>
      <c r="T71">
        <v>25.810699</v>
      </c>
      <c r="U71">
        <v>16.952200000000001</v>
      </c>
      <c r="V71">
        <v>-3.0464000000000002</v>
      </c>
      <c r="W71">
        <v>0</v>
      </c>
      <c r="X71">
        <v>0</v>
      </c>
      <c r="Y71">
        <v>-1</v>
      </c>
    </row>
    <row r="72" spans="1:25" x14ac:dyDescent="0.25">
      <c r="A72">
        <v>68</v>
      </c>
      <c r="B72">
        <v>1</v>
      </c>
      <c r="C72">
        <v>2</v>
      </c>
      <c r="D72">
        <v>25.810300999999999</v>
      </c>
      <c r="E72">
        <v>17.601700000000001</v>
      </c>
      <c r="F72">
        <v>4.7999999999999996E-3</v>
      </c>
      <c r="G72">
        <v>0</v>
      </c>
      <c r="H72">
        <v>40</v>
      </c>
      <c r="L72">
        <v>0</v>
      </c>
      <c r="M72">
        <v>0</v>
      </c>
      <c r="N72">
        <v>1</v>
      </c>
      <c r="O72">
        <v>25.810300999999999</v>
      </c>
      <c r="P72">
        <v>16.992000999999998</v>
      </c>
      <c r="Q72">
        <v>-3.0464000000000002</v>
      </c>
      <c r="R72">
        <v>0</v>
      </c>
      <c r="S72">
        <v>40</v>
      </c>
      <c r="U72"/>
      <c r="W72">
        <v>0</v>
      </c>
      <c r="X72">
        <v>0</v>
      </c>
      <c r="Y72">
        <v>1</v>
      </c>
    </row>
    <row r="73" spans="1:25" x14ac:dyDescent="0.25">
      <c r="A73">
        <v>69</v>
      </c>
      <c r="B73">
        <v>1</v>
      </c>
      <c r="C73">
        <v>2</v>
      </c>
      <c r="D73">
        <v>26.282699999999998</v>
      </c>
      <c r="E73">
        <v>17.601700000000001</v>
      </c>
      <c r="F73">
        <v>4.7999999999999996E-3</v>
      </c>
      <c r="G73">
        <v>0</v>
      </c>
      <c r="H73">
        <v>75</v>
      </c>
      <c r="L73">
        <v>0</v>
      </c>
      <c r="M73">
        <v>0</v>
      </c>
      <c r="N73">
        <v>1</v>
      </c>
      <c r="O73">
        <v>26.282699999999998</v>
      </c>
      <c r="P73">
        <v>16.992000999999998</v>
      </c>
      <c r="Q73">
        <v>-3.0464000000000002</v>
      </c>
      <c r="R73">
        <v>0</v>
      </c>
      <c r="S73">
        <v>75</v>
      </c>
      <c r="U73"/>
      <c r="W73">
        <v>0</v>
      </c>
      <c r="X73">
        <v>0</v>
      </c>
      <c r="Y73">
        <v>1</v>
      </c>
    </row>
    <row r="74" spans="1:25" x14ac:dyDescent="0.25">
      <c r="A74">
        <v>70</v>
      </c>
      <c r="B74">
        <v>1</v>
      </c>
      <c r="C74">
        <v>2</v>
      </c>
      <c r="D74">
        <v>31.117398999999999</v>
      </c>
      <c r="E74">
        <v>17.992201000000001</v>
      </c>
      <c r="F74">
        <v>4.7999999999999996E-3</v>
      </c>
      <c r="G74">
        <v>0</v>
      </c>
      <c r="H74">
        <v>40</v>
      </c>
      <c r="L74">
        <v>0</v>
      </c>
      <c r="M74">
        <v>0</v>
      </c>
      <c r="N74">
        <v>1</v>
      </c>
      <c r="O74">
        <v>31.117398999999999</v>
      </c>
      <c r="P74">
        <v>16.921800999999999</v>
      </c>
      <c r="Q74">
        <v>-3.0464000000000002</v>
      </c>
      <c r="R74">
        <v>0</v>
      </c>
      <c r="S74">
        <v>40</v>
      </c>
      <c r="U74"/>
      <c r="W74">
        <v>0</v>
      </c>
      <c r="X74">
        <v>0</v>
      </c>
      <c r="Y74">
        <v>1</v>
      </c>
    </row>
    <row r="75" spans="1:25" x14ac:dyDescent="0.25">
      <c r="A75">
        <v>71</v>
      </c>
      <c r="B75">
        <v>1</v>
      </c>
      <c r="C75">
        <v>2</v>
      </c>
      <c r="D75">
        <v>31.865400000000001</v>
      </c>
      <c r="E75">
        <v>17.992201000000001</v>
      </c>
      <c r="F75">
        <v>4.7999999999999996E-3</v>
      </c>
      <c r="G75">
        <v>1</v>
      </c>
      <c r="H75">
        <v>40</v>
      </c>
      <c r="I75">
        <v>31.864201000000001</v>
      </c>
      <c r="J75">
        <v>17.951599000000002</v>
      </c>
      <c r="K75">
        <v>4.7999999999999996E-3</v>
      </c>
      <c r="L75">
        <v>0</v>
      </c>
      <c r="M75">
        <v>0</v>
      </c>
      <c r="N75">
        <v>-1</v>
      </c>
      <c r="O75">
        <v>31.865400000000001</v>
      </c>
      <c r="P75">
        <v>16.921800999999999</v>
      </c>
      <c r="Q75">
        <v>-3.0464000000000002</v>
      </c>
      <c r="R75">
        <v>1</v>
      </c>
      <c r="S75">
        <v>40</v>
      </c>
      <c r="T75">
        <v>31.864201000000001</v>
      </c>
      <c r="U75">
        <v>16.8813</v>
      </c>
      <c r="V75">
        <v>-3.0464000000000002</v>
      </c>
      <c r="W75">
        <v>0</v>
      </c>
      <c r="X75">
        <v>0</v>
      </c>
      <c r="Y75">
        <v>-1</v>
      </c>
    </row>
    <row r="76" spans="1:25" x14ac:dyDescent="0.25">
      <c r="A76">
        <v>72</v>
      </c>
      <c r="B76">
        <v>1</v>
      </c>
      <c r="C76">
        <v>2</v>
      </c>
      <c r="D76">
        <v>31.904800000000002</v>
      </c>
      <c r="E76">
        <v>17.950500000000002</v>
      </c>
      <c r="F76">
        <v>4.7999999999999996E-3</v>
      </c>
      <c r="G76">
        <v>0</v>
      </c>
      <c r="H76">
        <v>40</v>
      </c>
      <c r="L76">
        <v>0</v>
      </c>
      <c r="M76">
        <v>0</v>
      </c>
      <c r="N76">
        <v>1</v>
      </c>
      <c r="O76">
        <v>31.904800000000002</v>
      </c>
      <c r="P76">
        <v>16.880099999999999</v>
      </c>
      <c r="Q76">
        <v>-3.0464000000000002</v>
      </c>
      <c r="R76">
        <v>0</v>
      </c>
      <c r="S76">
        <v>40</v>
      </c>
      <c r="U76"/>
      <c r="W76">
        <v>0</v>
      </c>
      <c r="X76">
        <v>0</v>
      </c>
      <c r="Y76">
        <v>1</v>
      </c>
    </row>
    <row r="77" spans="1:25" x14ac:dyDescent="0.25">
      <c r="A77">
        <v>73</v>
      </c>
      <c r="B77">
        <v>1</v>
      </c>
      <c r="C77">
        <v>1</v>
      </c>
      <c r="D77">
        <v>31.904800000000002</v>
      </c>
      <c r="E77">
        <v>16.461300000000001</v>
      </c>
      <c r="F77">
        <v>4.7999999999999996E-3</v>
      </c>
      <c r="G77">
        <v>0</v>
      </c>
      <c r="H77">
        <v>60</v>
      </c>
      <c r="L77">
        <v>0</v>
      </c>
      <c r="M77">
        <v>0</v>
      </c>
      <c r="N77">
        <v>1</v>
      </c>
      <c r="O77">
        <v>31.904800000000002</v>
      </c>
      <c r="P77">
        <v>15.3909</v>
      </c>
      <c r="Q77">
        <v>-3.0464000000000002</v>
      </c>
      <c r="R77">
        <v>0</v>
      </c>
      <c r="S77">
        <v>60</v>
      </c>
      <c r="U77"/>
      <c r="W77">
        <v>0</v>
      </c>
      <c r="X77">
        <v>0</v>
      </c>
      <c r="Y77">
        <v>1</v>
      </c>
    </row>
    <row r="78" spans="1:25" x14ac:dyDescent="0.25">
      <c r="A78">
        <v>74</v>
      </c>
      <c r="B78">
        <v>0</v>
      </c>
      <c r="C78">
        <v>1</v>
      </c>
      <c r="D78">
        <v>31.904800000000002</v>
      </c>
      <c r="E78">
        <v>16.457398999999999</v>
      </c>
      <c r="F78">
        <v>4.7999999999999996E-3</v>
      </c>
      <c r="G78">
        <v>0</v>
      </c>
      <c r="H78">
        <v>0</v>
      </c>
      <c r="L78">
        <v>0</v>
      </c>
      <c r="M78">
        <v>0</v>
      </c>
      <c r="N78">
        <v>1</v>
      </c>
      <c r="O78">
        <v>31.904800000000002</v>
      </c>
      <c r="P78">
        <v>15.387</v>
      </c>
      <c r="Q78">
        <v>-3.0464000000000002</v>
      </c>
      <c r="R78">
        <v>0</v>
      </c>
      <c r="S78">
        <v>0</v>
      </c>
      <c r="U78"/>
      <c r="W78">
        <v>0</v>
      </c>
      <c r="X78">
        <v>0</v>
      </c>
      <c r="Y78">
        <v>1</v>
      </c>
    </row>
    <row r="79" spans="1:25" x14ac:dyDescent="0.25">
      <c r="A79">
        <v>75</v>
      </c>
      <c r="B79">
        <v>0</v>
      </c>
      <c r="C79">
        <v>0</v>
      </c>
      <c r="D79">
        <v>31.904800000000002</v>
      </c>
      <c r="E79">
        <v>16.457398999999999</v>
      </c>
      <c r="F79">
        <v>0.51659999999999995</v>
      </c>
      <c r="G79">
        <v>0</v>
      </c>
      <c r="H79">
        <v>0</v>
      </c>
      <c r="L79">
        <v>0</v>
      </c>
      <c r="M79">
        <v>0</v>
      </c>
      <c r="N79">
        <v>1</v>
      </c>
      <c r="O79">
        <v>31.904800000000002</v>
      </c>
      <c r="P79">
        <v>15.387</v>
      </c>
      <c r="Q79">
        <v>-2.5346000000000002</v>
      </c>
      <c r="R79">
        <v>0</v>
      </c>
      <c r="S79">
        <v>0</v>
      </c>
      <c r="U79"/>
      <c r="W79">
        <v>0</v>
      </c>
      <c r="X79">
        <v>0</v>
      </c>
      <c r="Y79">
        <v>1</v>
      </c>
    </row>
    <row r="80" spans="1:25" x14ac:dyDescent="0.25">
      <c r="A80">
        <v>76</v>
      </c>
      <c r="B80">
        <v>0</v>
      </c>
      <c r="C80">
        <v>0</v>
      </c>
      <c r="D80">
        <v>30.786698999999999</v>
      </c>
      <c r="E80">
        <v>19.125298999999998</v>
      </c>
      <c r="F80">
        <v>0.51659999999999995</v>
      </c>
      <c r="G80">
        <v>0</v>
      </c>
      <c r="H80">
        <v>0</v>
      </c>
      <c r="L80">
        <v>0</v>
      </c>
      <c r="M80">
        <v>0</v>
      </c>
      <c r="N80">
        <v>1</v>
      </c>
      <c r="O80">
        <v>30.786698999999999</v>
      </c>
      <c r="P80">
        <v>18.054898999999999</v>
      </c>
      <c r="Q80">
        <v>-2.5346000000000002</v>
      </c>
      <c r="R80">
        <v>0</v>
      </c>
      <c r="S80">
        <v>0</v>
      </c>
      <c r="U80"/>
      <c r="W80">
        <v>0</v>
      </c>
      <c r="X80">
        <v>0</v>
      </c>
      <c r="Y80">
        <v>1</v>
      </c>
    </row>
    <row r="81" spans="1:25" x14ac:dyDescent="0.25">
      <c r="A81">
        <v>77</v>
      </c>
      <c r="B81">
        <v>0</v>
      </c>
      <c r="C81">
        <v>0</v>
      </c>
      <c r="D81">
        <v>32.570098999999999</v>
      </c>
      <c r="E81">
        <v>19.184200000000001</v>
      </c>
      <c r="F81">
        <v>0.51659999999999995</v>
      </c>
      <c r="G81">
        <v>0</v>
      </c>
      <c r="H81">
        <v>0</v>
      </c>
      <c r="L81">
        <v>0</v>
      </c>
      <c r="M81">
        <v>0</v>
      </c>
      <c r="N81">
        <v>1</v>
      </c>
      <c r="O81">
        <v>32.648899</v>
      </c>
      <c r="P81">
        <v>19.451098999999999</v>
      </c>
      <c r="Q81">
        <v>-2.5346000000000002</v>
      </c>
      <c r="R81">
        <v>0</v>
      </c>
      <c r="S81">
        <v>0</v>
      </c>
      <c r="U81"/>
      <c r="W81">
        <v>0</v>
      </c>
      <c r="X81">
        <v>0</v>
      </c>
      <c r="Y81">
        <v>1</v>
      </c>
    </row>
    <row r="82" spans="1:25" x14ac:dyDescent="0.25">
      <c r="A82">
        <v>78</v>
      </c>
      <c r="B82">
        <v>1</v>
      </c>
      <c r="C82">
        <v>-1</v>
      </c>
      <c r="D82">
        <v>32.570098999999999</v>
      </c>
      <c r="E82">
        <v>19.184200000000001</v>
      </c>
      <c r="F82">
        <v>4.7999999999999996E-3</v>
      </c>
      <c r="G82">
        <v>0</v>
      </c>
      <c r="H82">
        <v>60</v>
      </c>
      <c r="L82">
        <v>0</v>
      </c>
      <c r="M82">
        <v>0</v>
      </c>
      <c r="N82">
        <v>1</v>
      </c>
      <c r="O82">
        <v>32.648899</v>
      </c>
      <c r="P82">
        <v>19.451098999999999</v>
      </c>
      <c r="Q82">
        <v>-3.0464000000000002</v>
      </c>
      <c r="R82">
        <v>0</v>
      </c>
      <c r="S82">
        <v>60</v>
      </c>
      <c r="U82"/>
      <c r="W82">
        <v>0</v>
      </c>
      <c r="X82">
        <v>0</v>
      </c>
      <c r="Y82">
        <v>1</v>
      </c>
    </row>
    <row r="83" spans="1:25" x14ac:dyDescent="0.25">
      <c r="A83">
        <v>79</v>
      </c>
      <c r="B83">
        <v>1</v>
      </c>
      <c r="C83">
        <v>2</v>
      </c>
      <c r="D83">
        <v>32.412700999999998</v>
      </c>
      <c r="E83">
        <v>19.1845</v>
      </c>
      <c r="F83">
        <v>4.7999999999999996E-3</v>
      </c>
      <c r="G83">
        <v>0</v>
      </c>
      <c r="H83">
        <v>60</v>
      </c>
      <c r="L83">
        <v>0</v>
      </c>
      <c r="M83">
        <v>0</v>
      </c>
      <c r="N83">
        <v>1</v>
      </c>
      <c r="O83">
        <v>32.491402000000001</v>
      </c>
      <c r="P83">
        <v>19.451499999999999</v>
      </c>
      <c r="Q83">
        <v>-3.0464000000000002</v>
      </c>
      <c r="R83">
        <v>0</v>
      </c>
      <c r="S83">
        <v>60</v>
      </c>
      <c r="U83"/>
      <c r="W83">
        <v>0</v>
      </c>
      <c r="X83">
        <v>0</v>
      </c>
      <c r="Y83">
        <v>1</v>
      </c>
    </row>
    <row r="84" spans="1:25" x14ac:dyDescent="0.25">
      <c r="A84">
        <v>80</v>
      </c>
      <c r="B84">
        <v>1</v>
      </c>
      <c r="C84">
        <v>2</v>
      </c>
      <c r="D84">
        <v>30.786698999999999</v>
      </c>
      <c r="E84">
        <v>19.1845</v>
      </c>
      <c r="F84">
        <v>4.7999999999999996E-3</v>
      </c>
      <c r="G84">
        <v>0</v>
      </c>
      <c r="H84">
        <v>40</v>
      </c>
      <c r="L84">
        <v>0</v>
      </c>
      <c r="M84">
        <v>0</v>
      </c>
      <c r="N84">
        <v>1</v>
      </c>
      <c r="O84">
        <v>30.786698999999999</v>
      </c>
      <c r="P84">
        <v>19.451499999999999</v>
      </c>
      <c r="Q84">
        <v>-3.0464000000000002</v>
      </c>
      <c r="R84">
        <v>0</v>
      </c>
      <c r="S84">
        <v>40</v>
      </c>
      <c r="U84"/>
      <c r="W84">
        <v>0</v>
      </c>
      <c r="X84">
        <v>0</v>
      </c>
      <c r="Y84">
        <v>1</v>
      </c>
    </row>
    <row r="85" spans="1:25" x14ac:dyDescent="0.25">
      <c r="A85">
        <v>81</v>
      </c>
      <c r="B85">
        <v>1</v>
      </c>
      <c r="C85">
        <v>2</v>
      </c>
      <c r="D85">
        <v>30.786698999999999</v>
      </c>
      <c r="E85">
        <v>18.760200999999999</v>
      </c>
      <c r="F85">
        <v>4.7999999999999996E-3</v>
      </c>
      <c r="G85">
        <v>1</v>
      </c>
      <c r="H85">
        <v>40</v>
      </c>
      <c r="I85">
        <v>30.746901000000001</v>
      </c>
      <c r="J85">
        <v>18.759799999999998</v>
      </c>
      <c r="K85">
        <v>4.7999999999999996E-3</v>
      </c>
      <c r="L85">
        <v>0</v>
      </c>
      <c r="M85">
        <v>0</v>
      </c>
      <c r="N85">
        <v>-1</v>
      </c>
      <c r="O85">
        <v>30.786698999999999</v>
      </c>
      <c r="P85">
        <v>19.369900000000001</v>
      </c>
      <c r="Q85">
        <v>-3.0464000000000002</v>
      </c>
      <c r="R85">
        <v>1</v>
      </c>
      <c r="S85">
        <v>40</v>
      </c>
      <c r="T85">
        <v>30.746901000000001</v>
      </c>
      <c r="U85">
        <v>19.369499000000001</v>
      </c>
      <c r="V85">
        <v>-3.0464000000000002</v>
      </c>
      <c r="W85">
        <v>0</v>
      </c>
      <c r="X85">
        <v>0</v>
      </c>
      <c r="Y85">
        <v>-1</v>
      </c>
    </row>
    <row r="86" spans="1:25" x14ac:dyDescent="0.25">
      <c r="A86">
        <v>82</v>
      </c>
      <c r="B86">
        <v>1</v>
      </c>
      <c r="C86">
        <v>2</v>
      </c>
      <c r="D86">
        <v>30.747299000000002</v>
      </c>
      <c r="E86">
        <v>18.720099999999999</v>
      </c>
      <c r="F86">
        <v>4.7999999999999996E-3</v>
      </c>
      <c r="G86">
        <v>0</v>
      </c>
      <c r="H86">
        <v>40</v>
      </c>
      <c r="L86">
        <v>0</v>
      </c>
      <c r="M86">
        <v>0</v>
      </c>
      <c r="N86">
        <v>1</v>
      </c>
      <c r="O86">
        <v>30.747299000000002</v>
      </c>
      <c r="P86">
        <v>19.329799999999999</v>
      </c>
      <c r="Q86">
        <v>-3.0464000000000002</v>
      </c>
      <c r="R86">
        <v>0</v>
      </c>
      <c r="S86">
        <v>40</v>
      </c>
      <c r="U86"/>
      <c r="W86">
        <v>0</v>
      </c>
      <c r="X86">
        <v>0</v>
      </c>
      <c r="Y86">
        <v>1</v>
      </c>
    </row>
    <row r="87" spans="1:25" x14ac:dyDescent="0.25">
      <c r="A87">
        <v>83</v>
      </c>
      <c r="B87">
        <v>1</v>
      </c>
      <c r="C87">
        <v>2</v>
      </c>
      <c r="D87">
        <v>30.274899999999999</v>
      </c>
      <c r="E87">
        <v>18.720099999999999</v>
      </c>
      <c r="F87">
        <v>4.7999999999999996E-3</v>
      </c>
      <c r="G87">
        <v>0</v>
      </c>
      <c r="H87">
        <v>75</v>
      </c>
      <c r="L87">
        <v>0</v>
      </c>
      <c r="M87">
        <v>0</v>
      </c>
      <c r="N87">
        <v>1</v>
      </c>
      <c r="O87">
        <v>30.274899999999999</v>
      </c>
      <c r="P87">
        <v>19.329799999999999</v>
      </c>
      <c r="Q87">
        <v>-3.0464000000000002</v>
      </c>
      <c r="R87">
        <v>0</v>
      </c>
      <c r="S87">
        <v>75</v>
      </c>
      <c r="U87"/>
      <c r="W87">
        <v>0</v>
      </c>
      <c r="X87">
        <v>0</v>
      </c>
      <c r="Y87">
        <v>1</v>
      </c>
    </row>
    <row r="88" spans="1:25" x14ac:dyDescent="0.25">
      <c r="A88">
        <v>84</v>
      </c>
      <c r="B88">
        <v>1</v>
      </c>
      <c r="C88">
        <v>2</v>
      </c>
      <c r="D88">
        <v>25.440200999999998</v>
      </c>
      <c r="E88">
        <v>18.329599000000002</v>
      </c>
      <c r="F88">
        <v>4.7999999999999996E-3</v>
      </c>
      <c r="G88">
        <v>0</v>
      </c>
      <c r="H88">
        <v>40</v>
      </c>
      <c r="L88">
        <v>0</v>
      </c>
      <c r="M88">
        <v>0</v>
      </c>
      <c r="N88">
        <v>1</v>
      </c>
      <c r="O88">
        <v>25.440200999999998</v>
      </c>
      <c r="P88">
        <v>19.399899999999999</v>
      </c>
      <c r="Q88">
        <v>-3.0464000000000002</v>
      </c>
      <c r="R88">
        <v>0</v>
      </c>
      <c r="S88">
        <v>40</v>
      </c>
      <c r="U88"/>
      <c r="W88">
        <v>0</v>
      </c>
      <c r="X88">
        <v>0</v>
      </c>
      <c r="Y88">
        <v>1</v>
      </c>
    </row>
    <row r="89" spans="1:25" x14ac:dyDescent="0.25">
      <c r="A89">
        <v>85</v>
      </c>
      <c r="B89">
        <v>1</v>
      </c>
      <c r="C89">
        <v>2</v>
      </c>
      <c r="D89">
        <v>24.6922</v>
      </c>
      <c r="E89">
        <v>18.329599000000002</v>
      </c>
      <c r="F89">
        <v>4.7999999999999996E-3</v>
      </c>
      <c r="G89">
        <v>1</v>
      </c>
      <c r="H89">
        <v>40</v>
      </c>
      <c r="I89">
        <v>24.693398999999999</v>
      </c>
      <c r="J89">
        <v>18.370100000000001</v>
      </c>
      <c r="K89">
        <v>4.7999999999999996E-3</v>
      </c>
      <c r="L89">
        <v>0</v>
      </c>
      <c r="M89">
        <v>0</v>
      </c>
      <c r="N89">
        <v>-1</v>
      </c>
      <c r="O89">
        <v>24.6922</v>
      </c>
      <c r="P89">
        <v>19.399899999999999</v>
      </c>
      <c r="Q89">
        <v>-3.0464000000000002</v>
      </c>
      <c r="R89">
        <v>1</v>
      </c>
      <c r="S89">
        <v>40</v>
      </c>
      <c r="T89">
        <v>24.693398999999999</v>
      </c>
      <c r="U89">
        <v>19.4405</v>
      </c>
      <c r="V89">
        <v>-3.0464000000000002</v>
      </c>
      <c r="W89">
        <v>0</v>
      </c>
      <c r="X89">
        <v>0</v>
      </c>
      <c r="Y89">
        <v>-1</v>
      </c>
    </row>
    <row r="90" spans="1:25" x14ac:dyDescent="0.25">
      <c r="A90">
        <v>86</v>
      </c>
      <c r="B90">
        <v>1</v>
      </c>
      <c r="C90">
        <v>2</v>
      </c>
      <c r="D90">
        <v>24.652799999999999</v>
      </c>
      <c r="E90">
        <v>18.371300000000002</v>
      </c>
      <c r="F90">
        <v>4.7999999999999996E-3</v>
      </c>
      <c r="G90">
        <v>0</v>
      </c>
      <c r="H90">
        <v>40</v>
      </c>
      <c r="L90">
        <v>0</v>
      </c>
      <c r="M90">
        <v>0</v>
      </c>
      <c r="N90">
        <v>1</v>
      </c>
      <c r="O90">
        <v>24.652799999999999</v>
      </c>
      <c r="P90">
        <v>19.441600999999999</v>
      </c>
      <c r="Q90">
        <v>-3.0464000000000002</v>
      </c>
      <c r="R90">
        <v>0</v>
      </c>
      <c r="S90">
        <v>40</v>
      </c>
      <c r="U90"/>
      <c r="W90">
        <v>0</v>
      </c>
      <c r="X90">
        <v>0</v>
      </c>
      <c r="Y90">
        <v>1</v>
      </c>
    </row>
    <row r="91" spans="1:25" x14ac:dyDescent="0.25">
      <c r="A91">
        <v>87</v>
      </c>
      <c r="B91">
        <v>1</v>
      </c>
      <c r="C91">
        <v>1</v>
      </c>
      <c r="D91">
        <v>24.652799999999999</v>
      </c>
      <c r="E91">
        <v>19.466298999999999</v>
      </c>
      <c r="F91">
        <v>4.7999999999999996E-3</v>
      </c>
      <c r="G91">
        <v>0</v>
      </c>
      <c r="H91">
        <v>60</v>
      </c>
      <c r="L91">
        <v>0</v>
      </c>
      <c r="M91">
        <v>0</v>
      </c>
      <c r="N91">
        <v>1</v>
      </c>
      <c r="O91">
        <v>24.652799999999999</v>
      </c>
      <c r="P91">
        <v>20.536698999999999</v>
      </c>
      <c r="Q91">
        <v>-3.0464000000000002</v>
      </c>
      <c r="R91">
        <v>0</v>
      </c>
      <c r="S91">
        <v>60</v>
      </c>
      <c r="U91"/>
      <c r="W91">
        <v>0</v>
      </c>
      <c r="X91">
        <v>0</v>
      </c>
      <c r="Y91">
        <v>1</v>
      </c>
    </row>
    <row r="92" spans="1:25" x14ac:dyDescent="0.25">
      <c r="A92">
        <v>88</v>
      </c>
      <c r="B92">
        <v>0</v>
      </c>
      <c r="C92">
        <v>1</v>
      </c>
      <c r="D92">
        <v>24.652799999999999</v>
      </c>
      <c r="E92">
        <v>19.470199999999998</v>
      </c>
      <c r="F92">
        <v>4.7999999999999996E-3</v>
      </c>
      <c r="G92">
        <v>0</v>
      </c>
      <c r="H92">
        <v>0</v>
      </c>
      <c r="L92">
        <v>0</v>
      </c>
      <c r="M92">
        <v>0</v>
      </c>
      <c r="N92">
        <v>1</v>
      </c>
      <c r="O92">
        <v>24.652799999999999</v>
      </c>
      <c r="P92">
        <v>20.540600000000001</v>
      </c>
      <c r="Q92">
        <v>-3.0464000000000002</v>
      </c>
      <c r="R92">
        <v>0</v>
      </c>
      <c r="S92">
        <v>0</v>
      </c>
      <c r="U92"/>
      <c r="W92">
        <v>0</v>
      </c>
      <c r="X92">
        <v>0</v>
      </c>
      <c r="Y92">
        <v>1</v>
      </c>
    </row>
    <row r="93" spans="1:25" x14ac:dyDescent="0.25">
      <c r="A93">
        <v>89</v>
      </c>
      <c r="B93">
        <v>0</v>
      </c>
      <c r="C93">
        <v>0</v>
      </c>
      <c r="D93">
        <v>24.652799999999999</v>
      </c>
      <c r="E93">
        <v>19.470199999999998</v>
      </c>
      <c r="F93">
        <v>0.51659999999999995</v>
      </c>
      <c r="G93">
        <v>0</v>
      </c>
      <c r="H93">
        <v>0</v>
      </c>
      <c r="L93">
        <v>0</v>
      </c>
      <c r="M93">
        <v>0</v>
      </c>
      <c r="N93">
        <v>1</v>
      </c>
      <c r="O93">
        <v>24.652799999999999</v>
      </c>
      <c r="P93">
        <v>20.540600000000001</v>
      </c>
      <c r="Q93">
        <v>-2.5346000000000002</v>
      </c>
      <c r="R93">
        <v>0</v>
      </c>
      <c r="S93">
        <v>0</v>
      </c>
      <c r="U93"/>
      <c r="W93">
        <v>0</v>
      </c>
      <c r="X93">
        <v>0</v>
      </c>
      <c r="Y93">
        <v>1</v>
      </c>
    </row>
    <row r="94" spans="1:25" x14ac:dyDescent="0.25">
      <c r="A94">
        <v>90</v>
      </c>
      <c r="B94">
        <v>0</v>
      </c>
      <c r="C94">
        <v>0</v>
      </c>
      <c r="D94">
        <v>25.770900999999999</v>
      </c>
      <c r="E94">
        <v>17.196501000000001</v>
      </c>
      <c r="F94">
        <v>0.51659999999999995</v>
      </c>
      <c r="G94">
        <v>0</v>
      </c>
      <c r="H94">
        <v>0</v>
      </c>
      <c r="L94">
        <v>0</v>
      </c>
      <c r="M94">
        <v>0</v>
      </c>
      <c r="N94">
        <v>1</v>
      </c>
      <c r="O94">
        <v>25.770900999999999</v>
      </c>
      <c r="P94">
        <v>18.266898999999999</v>
      </c>
      <c r="Q94">
        <v>-2.5346000000000002</v>
      </c>
      <c r="R94">
        <v>0</v>
      </c>
      <c r="S94">
        <v>0</v>
      </c>
      <c r="U94"/>
      <c r="W94">
        <v>0</v>
      </c>
      <c r="X94">
        <v>0</v>
      </c>
      <c r="Y94">
        <v>1</v>
      </c>
    </row>
    <row r="95" spans="1:25" x14ac:dyDescent="0.25">
      <c r="A95">
        <v>91</v>
      </c>
      <c r="B95">
        <v>0</v>
      </c>
      <c r="C95">
        <v>0</v>
      </c>
      <c r="D95">
        <v>24.066199999999998</v>
      </c>
      <c r="E95">
        <v>17.5014</v>
      </c>
      <c r="F95">
        <v>0.51659999999999995</v>
      </c>
      <c r="G95">
        <v>0</v>
      </c>
      <c r="H95">
        <v>0</v>
      </c>
      <c r="L95">
        <v>0</v>
      </c>
      <c r="M95">
        <v>0</v>
      </c>
      <c r="N95">
        <v>1</v>
      </c>
      <c r="O95">
        <v>24.066199999999998</v>
      </c>
      <c r="P95">
        <v>17.5014</v>
      </c>
      <c r="Q95">
        <v>-2.5346000000000002</v>
      </c>
      <c r="R95">
        <v>0</v>
      </c>
      <c r="S95">
        <v>0</v>
      </c>
      <c r="U95"/>
      <c r="W95">
        <v>0</v>
      </c>
      <c r="X95">
        <v>0</v>
      </c>
      <c r="Y95">
        <v>1</v>
      </c>
    </row>
    <row r="96" spans="1:25" x14ac:dyDescent="0.25">
      <c r="A96">
        <v>92</v>
      </c>
      <c r="B96">
        <v>1</v>
      </c>
      <c r="C96">
        <v>-1</v>
      </c>
      <c r="D96">
        <v>24.066199999999998</v>
      </c>
      <c r="E96">
        <v>17.5014</v>
      </c>
      <c r="F96">
        <v>4.7999999999999996E-3</v>
      </c>
      <c r="G96">
        <v>0</v>
      </c>
      <c r="H96">
        <v>60</v>
      </c>
      <c r="L96">
        <v>0</v>
      </c>
      <c r="M96">
        <v>0</v>
      </c>
      <c r="N96">
        <v>1</v>
      </c>
      <c r="O96">
        <v>24.066199999999998</v>
      </c>
      <c r="P96">
        <v>17.5014</v>
      </c>
      <c r="Q96">
        <v>-3.0464000000000002</v>
      </c>
      <c r="R96">
        <v>0</v>
      </c>
      <c r="S96">
        <v>60</v>
      </c>
      <c r="U96"/>
      <c r="W96">
        <v>0</v>
      </c>
      <c r="X96">
        <v>0</v>
      </c>
      <c r="Y96">
        <v>1</v>
      </c>
    </row>
    <row r="97" spans="1:25" x14ac:dyDescent="0.25">
      <c r="A97">
        <v>93</v>
      </c>
      <c r="B97">
        <v>1</v>
      </c>
      <c r="C97">
        <v>2</v>
      </c>
      <c r="D97">
        <v>24.144898999999999</v>
      </c>
      <c r="E97">
        <v>17.5014</v>
      </c>
      <c r="F97">
        <v>4.7999999999999996E-3</v>
      </c>
      <c r="G97">
        <v>0</v>
      </c>
      <c r="H97">
        <v>30</v>
      </c>
      <c r="L97">
        <v>0</v>
      </c>
      <c r="M97">
        <v>0</v>
      </c>
      <c r="N97">
        <v>1</v>
      </c>
      <c r="O97">
        <v>24.144898999999999</v>
      </c>
      <c r="P97">
        <v>17.5014</v>
      </c>
      <c r="Q97">
        <v>-3.0464000000000002</v>
      </c>
      <c r="R97">
        <v>0</v>
      </c>
      <c r="S97">
        <v>30</v>
      </c>
      <c r="U97"/>
      <c r="W97">
        <v>0</v>
      </c>
      <c r="X97">
        <v>0</v>
      </c>
      <c r="Y97">
        <v>1</v>
      </c>
    </row>
    <row r="98" spans="1:25" x14ac:dyDescent="0.25">
      <c r="A98">
        <v>94</v>
      </c>
      <c r="B98">
        <v>1</v>
      </c>
      <c r="C98">
        <v>2</v>
      </c>
      <c r="D98">
        <v>24.574100000000001</v>
      </c>
      <c r="E98">
        <v>17.5014</v>
      </c>
      <c r="F98">
        <v>4.7999999999999996E-3</v>
      </c>
      <c r="G98">
        <v>1</v>
      </c>
      <c r="H98">
        <v>40</v>
      </c>
      <c r="I98">
        <v>24.574100000000001</v>
      </c>
      <c r="J98">
        <v>17.580200000000001</v>
      </c>
      <c r="K98">
        <v>4.7999999999999996E-3</v>
      </c>
      <c r="L98">
        <v>0</v>
      </c>
      <c r="M98">
        <v>0</v>
      </c>
      <c r="N98">
        <v>1</v>
      </c>
      <c r="O98">
        <v>24.574100000000001</v>
      </c>
      <c r="P98">
        <v>17.5014</v>
      </c>
      <c r="Q98">
        <v>-3.0464000000000002</v>
      </c>
      <c r="R98">
        <v>1</v>
      </c>
      <c r="S98">
        <v>40</v>
      </c>
      <c r="T98">
        <v>24.574100000000001</v>
      </c>
      <c r="U98">
        <v>17.580200000000001</v>
      </c>
      <c r="V98">
        <v>-3.0464000000000002</v>
      </c>
      <c r="W98">
        <v>0</v>
      </c>
      <c r="X98">
        <v>0</v>
      </c>
      <c r="Y98">
        <v>1</v>
      </c>
    </row>
    <row r="99" spans="1:25" x14ac:dyDescent="0.25">
      <c r="A99">
        <v>95</v>
      </c>
      <c r="B99">
        <v>1</v>
      </c>
      <c r="C99">
        <v>2</v>
      </c>
      <c r="D99">
        <v>24.652799999999999</v>
      </c>
      <c r="E99">
        <v>17.580200000000001</v>
      </c>
      <c r="F99">
        <v>4.7999999999999996E-3</v>
      </c>
      <c r="G99">
        <v>0</v>
      </c>
      <c r="H99">
        <v>40</v>
      </c>
      <c r="L99">
        <v>0</v>
      </c>
      <c r="M99">
        <v>0</v>
      </c>
      <c r="N99">
        <v>1</v>
      </c>
      <c r="O99">
        <v>24.652799999999999</v>
      </c>
      <c r="P99">
        <v>17.580200000000001</v>
      </c>
      <c r="Q99">
        <v>-3.0464000000000002</v>
      </c>
      <c r="R99">
        <v>0</v>
      </c>
      <c r="S99">
        <v>40</v>
      </c>
      <c r="U99"/>
      <c r="W99">
        <v>0</v>
      </c>
      <c r="X99">
        <v>0</v>
      </c>
      <c r="Y99">
        <v>1</v>
      </c>
    </row>
    <row r="100" spans="1:25" x14ac:dyDescent="0.25">
      <c r="A100">
        <v>96</v>
      </c>
      <c r="B100">
        <v>1</v>
      </c>
      <c r="C100">
        <v>2</v>
      </c>
      <c r="D100">
        <v>24.652799999999999</v>
      </c>
      <c r="E100">
        <v>18.101800999999998</v>
      </c>
      <c r="F100">
        <v>4.7999999999999996E-3</v>
      </c>
      <c r="G100">
        <v>1</v>
      </c>
      <c r="H100">
        <v>40</v>
      </c>
      <c r="I100">
        <v>24.7316</v>
      </c>
      <c r="J100">
        <v>18.101800999999998</v>
      </c>
      <c r="K100">
        <v>4.7999999999999996E-3</v>
      </c>
      <c r="L100">
        <v>0</v>
      </c>
      <c r="M100">
        <v>0</v>
      </c>
      <c r="N100">
        <v>-1</v>
      </c>
      <c r="O100">
        <v>24.652799999999999</v>
      </c>
      <c r="P100">
        <v>18.101800999999998</v>
      </c>
      <c r="Q100">
        <v>-3.0464000000000002</v>
      </c>
      <c r="R100">
        <v>1</v>
      </c>
      <c r="S100">
        <v>40</v>
      </c>
      <c r="T100">
        <v>24.7316</v>
      </c>
      <c r="U100">
        <v>18.101800999999998</v>
      </c>
      <c r="V100">
        <v>-3.0464000000000002</v>
      </c>
      <c r="W100">
        <v>0</v>
      </c>
      <c r="X100">
        <v>0</v>
      </c>
      <c r="Y100">
        <v>-1</v>
      </c>
    </row>
    <row r="101" spans="1:25" x14ac:dyDescent="0.25">
      <c r="A101">
        <v>97</v>
      </c>
      <c r="B101">
        <v>1</v>
      </c>
      <c r="C101">
        <v>2</v>
      </c>
      <c r="D101">
        <v>24.7316</v>
      </c>
      <c r="E101">
        <v>18.180599000000001</v>
      </c>
      <c r="F101">
        <v>4.7999999999999996E-3</v>
      </c>
      <c r="G101">
        <v>0</v>
      </c>
      <c r="H101">
        <v>70</v>
      </c>
      <c r="L101">
        <v>0</v>
      </c>
      <c r="M101">
        <v>0</v>
      </c>
      <c r="N101">
        <v>1</v>
      </c>
      <c r="O101">
        <v>24.7316</v>
      </c>
      <c r="P101">
        <v>18.180599000000001</v>
      </c>
      <c r="Q101">
        <v>-3.0464000000000002</v>
      </c>
      <c r="R101">
        <v>0</v>
      </c>
      <c r="S101">
        <v>70</v>
      </c>
      <c r="U101"/>
      <c r="W101">
        <v>0</v>
      </c>
      <c r="X101">
        <v>0</v>
      </c>
      <c r="Y101">
        <v>1</v>
      </c>
    </row>
    <row r="102" spans="1:25" x14ac:dyDescent="0.25">
      <c r="A102">
        <v>98</v>
      </c>
      <c r="B102">
        <v>1</v>
      </c>
      <c r="C102">
        <v>2</v>
      </c>
      <c r="D102">
        <v>31.786698999999999</v>
      </c>
      <c r="E102">
        <v>18.180599000000001</v>
      </c>
      <c r="F102">
        <v>4.7999999999999996E-3</v>
      </c>
      <c r="G102">
        <v>1</v>
      </c>
      <c r="H102">
        <v>40</v>
      </c>
      <c r="I102">
        <v>31.786698999999999</v>
      </c>
      <c r="J102">
        <v>18.2593</v>
      </c>
      <c r="K102">
        <v>4.7999999999999996E-3</v>
      </c>
      <c r="L102">
        <v>0</v>
      </c>
      <c r="M102">
        <v>0</v>
      </c>
      <c r="N102">
        <v>1</v>
      </c>
      <c r="O102">
        <v>31.786698999999999</v>
      </c>
      <c r="P102">
        <v>18.180599000000001</v>
      </c>
      <c r="Q102">
        <v>-3.0464000000000002</v>
      </c>
      <c r="R102">
        <v>1</v>
      </c>
      <c r="S102">
        <v>40</v>
      </c>
      <c r="T102">
        <v>31.786698999999999</v>
      </c>
      <c r="U102">
        <v>18.2593</v>
      </c>
      <c r="V102">
        <v>-3.0464000000000002</v>
      </c>
      <c r="W102">
        <v>0</v>
      </c>
      <c r="X102">
        <v>0</v>
      </c>
      <c r="Y102">
        <v>1</v>
      </c>
    </row>
    <row r="103" spans="1:25" x14ac:dyDescent="0.25">
      <c r="A103">
        <v>99</v>
      </c>
      <c r="B103">
        <v>1</v>
      </c>
      <c r="C103">
        <v>2</v>
      </c>
      <c r="D103">
        <v>31.865400000000001</v>
      </c>
      <c r="E103">
        <v>18.2593</v>
      </c>
      <c r="F103">
        <v>4.7999999999999996E-3</v>
      </c>
      <c r="G103">
        <v>0</v>
      </c>
      <c r="H103">
        <v>40</v>
      </c>
      <c r="L103">
        <v>0</v>
      </c>
      <c r="M103">
        <v>0</v>
      </c>
      <c r="N103">
        <v>1</v>
      </c>
      <c r="O103">
        <v>31.865400000000001</v>
      </c>
      <c r="P103">
        <v>18.2593</v>
      </c>
      <c r="Q103">
        <v>-3.0464000000000002</v>
      </c>
      <c r="R103">
        <v>0</v>
      </c>
      <c r="S103">
        <v>40</v>
      </c>
      <c r="U103"/>
      <c r="W103">
        <v>0</v>
      </c>
      <c r="X103">
        <v>0</v>
      </c>
      <c r="Y103">
        <v>1</v>
      </c>
    </row>
    <row r="104" spans="1:25" x14ac:dyDescent="0.25">
      <c r="A104">
        <v>100</v>
      </c>
      <c r="B104">
        <v>1</v>
      </c>
      <c r="C104">
        <v>2</v>
      </c>
      <c r="D104">
        <v>31.865400000000001</v>
      </c>
      <c r="E104">
        <v>18.780999999999999</v>
      </c>
      <c r="F104">
        <v>4.7999999999999996E-3</v>
      </c>
      <c r="G104">
        <v>1</v>
      </c>
      <c r="H104">
        <v>40</v>
      </c>
      <c r="I104">
        <v>31.944201</v>
      </c>
      <c r="J104">
        <v>18.780999999999999</v>
      </c>
      <c r="K104">
        <v>4.7999999999999996E-3</v>
      </c>
      <c r="L104">
        <v>0</v>
      </c>
      <c r="M104">
        <v>0</v>
      </c>
      <c r="N104">
        <v>-1</v>
      </c>
      <c r="O104">
        <v>31.865400000000001</v>
      </c>
      <c r="P104">
        <v>18.780999999999999</v>
      </c>
      <c r="Q104">
        <v>-3.0464000000000002</v>
      </c>
      <c r="R104">
        <v>1</v>
      </c>
      <c r="S104">
        <v>40</v>
      </c>
      <c r="T104">
        <v>31.944201</v>
      </c>
      <c r="U104">
        <v>18.780999999999999</v>
      </c>
      <c r="V104">
        <v>-3.0464000000000002</v>
      </c>
      <c r="W104">
        <v>0</v>
      </c>
      <c r="X104">
        <v>0</v>
      </c>
      <c r="Y104">
        <v>-1</v>
      </c>
    </row>
    <row r="105" spans="1:25" x14ac:dyDescent="0.25">
      <c r="A105">
        <v>101</v>
      </c>
      <c r="B105">
        <v>1</v>
      </c>
      <c r="C105">
        <v>2</v>
      </c>
      <c r="D105">
        <v>31.944201</v>
      </c>
      <c r="E105">
        <v>18.859698999999999</v>
      </c>
      <c r="F105">
        <v>4.7999999999999996E-3</v>
      </c>
      <c r="G105">
        <v>0</v>
      </c>
      <c r="H105">
        <v>30</v>
      </c>
      <c r="L105">
        <v>0</v>
      </c>
      <c r="M105">
        <v>0</v>
      </c>
      <c r="N105">
        <v>1</v>
      </c>
      <c r="O105">
        <v>31.944201</v>
      </c>
      <c r="P105">
        <v>18.859698999999999</v>
      </c>
      <c r="Q105">
        <v>-3.0464000000000002</v>
      </c>
      <c r="R105">
        <v>0</v>
      </c>
      <c r="S105">
        <v>30</v>
      </c>
      <c r="U105"/>
      <c r="W105">
        <v>0</v>
      </c>
      <c r="X105">
        <v>0</v>
      </c>
      <c r="Y105">
        <v>1</v>
      </c>
    </row>
    <row r="106" spans="1:25" x14ac:dyDescent="0.25">
      <c r="A106">
        <v>102</v>
      </c>
      <c r="B106">
        <v>1</v>
      </c>
      <c r="C106">
        <v>1</v>
      </c>
      <c r="D106">
        <v>32.412700999999998</v>
      </c>
      <c r="E106">
        <v>18.859698999999999</v>
      </c>
      <c r="F106">
        <v>4.7999999999999996E-3</v>
      </c>
      <c r="G106">
        <v>0</v>
      </c>
      <c r="H106">
        <v>60</v>
      </c>
      <c r="L106">
        <v>0</v>
      </c>
      <c r="M106">
        <v>0</v>
      </c>
      <c r="N106">
        <v>1</v>
      </c>
      <c r="O106">
        <v>32.727600000000002</v>
      </c>
      <c r="P106">
        <v>18.859698999999999</v>
      </c>
      <c r="Q106">
        <v>-3.0464000000000002</v>
      </c>
      <c r="R106">
        <v>0</v>
      </c>
      <c r="S106">
        <v>60</v>
      </c>
      <c r="U106"/>
      <c r="W106">
        <v>0</v>
      </c>
      <c r="X106">
        <v>0</v>
      </c>
      <c r="Y106">
        <v>1</v>
      </c>
    </row>
    <row r="107" spans="1:25" x14ac:dyDescent="0.25">
      <c r="A107">
        <v>103</v>
      </c>
      <c r="B107">
        <v>1</v>
      </c>
      <c r="C107">
        <v>1</v>
      </c>
      <c r="D107">
        <v>32.416598999999998</v>
      </c>
      <c r="E107">
        <v>18.859698999999999</v>
      </c>
      <c r="F107">
        <v>4.7999999999999996E-3</v>
      </c>
      <c r="G107">
        <v>0</v>
      </c>
      <c r="H107">
        <v>60</v>
      </c>
      <c r="L107">
        <v>0</v>
      </c>
      <c r="M107">
        <v>0</v>
      </c>
      <c r="N107">
        <v>1</v>
      </c>
      <c r="O107">
        <v>32.731602000000002</v>
      </c>
      <c r="P107">
        <v>18.859698999999999</v>
      </c>
      <c r="Q107">
        <v>-3.0464000000000002</v>
      </c>
      <c r="R107">
        <v>0</v>
      </c>
      <c r="S107">
        <v>60</v>
      </c>
      <c r="U107"/>
      <c r="W107">
        <v>0</v>
      </c>
      <c r="X107">
        <v>0</v>
      </c>
      <c r="Y107">
        <v>1</v>
      </c>
    </row>
    <row r="108" spans="1:25" x14ac:dyDescent="0.25">
      <c r="A108">
        <v>104</v>
      </c>
      <c r="B108">
        <v>0</v>
      </c>
      <c r="C108">
        <v>1</v>
      </c>
      <c r="D108">
        <v>32.731602000000002</v>
      </c>
      <c r="E108">
        <v>18.859698999999999</v>
      </c>
      <c r="F108">
        <v>4.7999999999999996E-3</v>
      </c>
      <c r="G108">
        <v>0</v>
      </c>
      <c r="H108">
        <v>0</v>
      </c>
      <c r="L108">
        <v>0</v>
      </c>
      <c r="M108">
        <v>0</v>
      </c>
      <c r="N108">
        <v>1</v>
      </c>
      <c r="O108">
        <v>32.731602000000002</v>
      </c>
      <c r="P108">
        <v>18.859698999999999</v>
      </c>
      <c r="Q108">
        <v>-3.0464000000000002</v>
      </c>
      <c r="R108">
        <v>0</v>
      </c>
      <c r="S108">
        <v>0</v>
      </c>
      <c r="U108"/>
      <c r="W108">
        <v>0</v>
      </c>
      <c r="X108">
        <v>0</v>
      </c>
      <c r="Y108">
        <v>1</v>
      </c>
    </row>
    <row r="109" spans="1:25" x14ac:dyDescent="0.25">
      <c r="A109">
        <v>105</v>
      </c>
      <c r="B109">
        <v>0</v>
      </c>
      <c r="C109">
        <v>0</v>
      </c>
      <c r="D109">
        <v>32.731602000000002</v>
      </c>
      <c r="E109">
        <v>18.859698999999999</v>
      </c>
      <c r="F109">
        <v>0.51659999999999995</v>
      </c>
      <c r="G109">
        <v>0</v>
      </c>
      <c r="H109">
        <v>0</v>
      </c>
      <c r="L109">
        <v>0</v>
      </c>
      <c r="M109">
        <v>0</v>
      </c>
      <c r="N109">
        <v>1</v>
      </c>
      <c r="O109">
        <v>32.731602000000002</v>
      </c>
      <c r="P109">
        <v>18.859698999999999</v>
      </c>
      <c r="Q109">
        <v>-2.5346000000000002</v>
      </c>
      <c r="R109">
        <v>0</v>
      </c>
      <c r="S109">
        <v>0</v>
      </c>
      <c r="U109"/>
      <c r="W109">
        <v>0</v>
      </c>
      <c r="X109">
        <v>0</v>
      </c>
      <c r="Y109">
        <v>1</v>
      </c>
    </row>
    <row r="110" spans="1:25" x14ac:dyDescent="0.25">
      <c r="A110">
        <v>106</v>
      </c>
      <c r="B110">
        <v>0</v>
      </c>
      <c r="C110">
        <v>0</v>
      </c>
      <c r="D110">
        <v>42.428398000000001</v>
      </c>
      <c r="E110">
        <v>19.809298999999999</v>
      </c>
      <c r="F110">
        <v>0.63780000000000003</v>
      </c>
      <c r="G110">
        <v>0</v>
      </c>
      <c r="H110">
        <v>0</v>
      </c>
      <c r="L110">
        <v>0</v>
      </c>
      <c r="M110">
        <v>0</v>
      </c>
      <c r="N110">
        <v>1</v>
      </c>
      <c r="O110">
        <v>42.428398000000001</v>
      </c>
      <c r="P110">
        <v>19.809298999999999</v>
      </c>
      <c r="Q110">
        <v>-2.4134000000000002</v>
      </c>
      <c r="R110">
        <v>0</v>
      </c>
      <c r="S110">
        <v>0</v>
      </c>
      <c r="U110"/>
      <c r="W110">
        <v>0</v>
      </c>
      <c r="X110">
        <v>0</v>
      </c>
      <c r="Y110">
        <v>1</v>
      </c>
    </row>
    <row r="111" spans="1:25" x14ac:dyDescent="0.25">
      <c r="A111">
        <v>107</v>
      </c>
      <c r="B111">
        <v>0</v>
      </c>
      <c r="C111">
        <v>0</v>
      </c>
      <c r="D111">
        <v>42.472499999999997</v>
      </c>
      <c r="E111">
        <v>0.43940000000000001</v>
      </c>
      <c r="F111">
        <v>0.63780000000000003</v>
      </c>
      <c r="G111">
        <v>0</v>
      </c>
      <c r="H111">
        <v>0</v>
      </c>
      <c r="L111">
        <v>0</v>
      </c>
      <c r="M111">
        <v>0</v>
      </c>
      <c r="N111">
        <v>1</v>
      </c>
      <c r="O111">
        <v>42.472499999999997</v>
      </c>
      <c r="P111">
        <v>0.43940000000000001</v>
      </c>
      <c r="Q111">
        <v>-2.4134000000000002</v>
      </c>
      <c r="R111">
        <v>0</v>
      </c>
      <c r="S111">
        <v>0</v>
      </c>
      <c r="U111"/>
      <c r="W111">
        <v>0</v>
      </c>
      <c r="X111">
        <v>0</v>
      </c>
      <c r="Y111">
        <v>1</v>
      </c>
    </row>
    <row r="112" spans="1:25" x14ac:dyDescent="0.25">
      <c r="A112">
        <v>108</v>
      </c>
      <c r="B112">
        <v>0</v>
      </c>
      <c r="C112">
        <v>0</v>
      </c>
      <c r="D112">
        <v>60.5229</v>
      </c>
      <c r="E112">
        <v>2.8254000000000001</v>
      </c>
      <c r="F112">
        <v>0.62280000000000002</v>
      </c>
      <c r="G112">
        <v>0</v>
      </c>
      <c r="H112">
        <v>0</v>
      </c>
      <c r="L112">
        <v>0</v>
      </c>
      <c r="M112">
        <v>0</v>
      </c>
      <c r="N112">
        <v>1</v>
      </c>
      <c r="O112">
        <v>60.5229</v>
      </c>
      <c r="P112">
        <v>2.8254000000000001</v>
      </c>
      <c r="Q112">
        <v>-2.4165000000000001</v>
      </c>
      <c r="R112">
        <v>0</v>
      </c>
      <c r="S112">
        <v>0</v>
      </c>
      <c r="U112"/>
      <c r="W112">
        <v>0</v>
      </c>
      <c r="X112">
        <v>0</v>
      </c>
      <c r="Y112">
        <v>1</v>
      </c>
    </row>
    <row r="113" spans="1:25" x14ac:dyDescent="0.25">
      <c r="A113">
        <v>109</v>
      </c>
      <c r="B113">
        <v>1</v>
      </c>
      <c r="C113">
        <v>-1</v>
      </c>
      <c r="D113">
        <v>60.5229</v>
      </c>
      <c r="E113">
        <v>2.8254000000000001</v>
      </c>
      <c r="F113">
        <v>0.111</v>
      </c>
      <c r="G113">
        <v>0</v>
      </c>
      <c r="H113">
        <v>60</v>
      </c>
      <c r="L113">
        <v>0</v>
      </c>
      <c r="M113">
        <v>0</v>
      </c>
      <c r="N113">
        <v>1</v>
      </c>
      <c r="O113">
        <v>60.5229</v>
      </c>
      <c r="P113">
        <v>2.8254000000000001</v>
      </c>
      <c r="Q113">
        <v>-2.9283000000000001</v>
      </c>
      <c r="R113">
        <v>0</v>
      </c>
      <c r="S113">
        <v>60</v>
      </c>
      <c r="U113"/>
      <c r="W113">
        <v>0</v>
      </c>
      <c r="X113">
        <v>0</v>
      </c>
      <c r="Y113">
        <v>1</v>
      </c>
    </row>
    <row r="114" spans="1:25" x14ac:dyDescent="0.25">
      <c r="A114">
        <v>110</v>
      </c>
      <c r="B114">
        <v>1</v>
      </c>
      <c r="C114">
        <v>-1</v>
      </c>
      <c r="D114">
        <v>60.5229</v>
      </c>
      <c r="E114">
        <v>2.9434999999999998</v>
      </c>
      <c r="F114">
        <v>0.111</v>
      </c>
      <c r="G114">
        <v>0</v>
      </c>
      <c r="H114">
        <v>60</v>
      </c>
      <c r="L114">
        <v>0</v>
      </c>
      <c r="M114">
        <v>0</v>
      </c>
      <c r="N114">
        <v>1</v>
      </c>
      <c r="O114">
        <v>60.5229</v>
      </c>
      <c r="P114">
        <v>2.8254000000000001</v>
      </c>
      <c r="Q114">
        <v>-2.9283000000000001</v>
      </c>
      <c r="R114">
        <v>0</v>
      </c>
      <c r="S114">
        <v>60</v>
      </c>
      <c r="U114"/>
      <c r="W114">
        <v>0</v>
      </c>
      <c r="X114">
        <v>0</v>
      </c>
      <c r="Y114">
        <v>1</v>
      </c>
    </row>
    <row r="115" spans="1:25" x14ac:dyDescent="0.25">
      <c r="A115">
        <v>111</v>
      </c>
      <c r="B115">
        <v>1</v>
      </c>
      <c r="C115">
        <v>2</v>
      </c>
      <c r="D115">
        <v>60.5229</v>
      </c>
      <c r="E115">
        <v>3.0222000000000002</v>
      </c>
      <c r="F115">
        <v>0.111</v>
      </c>
      <c r="G115">
        <v>0</v>
      </c>
      <c r="H115">
        <v>60</v>
      </c>
      <c r="L115">
        <v>0</v>
      </c>
      <c r="M115">
        <v>0</v>
      </c>
      <c r="N115">
        <v>1</v>
      </c>
      <c r="O115">
        <v>60.5229</v>
      </c>
      <c r="P115">
        <v>2.9041000000000001</v>
      </c>
      <c r="Q115">
        <v>-2.9283000000000001</v>
      </c>
      <c r="R115">
        <v>0</v>
      </c>
      <c r="S115">
        <v>60</v>
      </c>
      <c r="U115"/>
      <c r="W115">
        <v>0</v>
      </c>
      <c r="X115">
        <v>0</v>
      </c>
      <c r="Y115">
        <v>1</v>
      </c>
    </row>
    <row r="116" spans="1:25" x14ac:dyDescent="0.25">
      <c r="A116">
        <v>112</v>
      </c>
      <c r="B116">
        <v>1</v>
      </c>
      <c r="C116">
        <v>1</v>
      </c>
      <c r="D116">
        <v>60.5229</v>
      </c>
      <c r="E116">
        <v>6.0251000000000001</v>
      </c>
      <c r="F116">
        <v>0.111</v>
      </c>
      <c r="G116">
        <v>0</v>
      </c>
      <c r="H116">
        <v>60</v>
      </c>
      <c r="L116">
        <v>0</v>
      </c>
      <c r="M116">
        <v>0</v>
      </c>
      <c r="N116">
        <v>1</v>
      </c>
      <c r="O116">
        <v>60.5229</v>
      </c>
      <c r="P116">
        <v>6.5872000000000002</v>
      </c>
      <c r="Q116">
        <v>-2.9283000000000001</v>
      </c>
      <c r="R116">
        <v>0</v>
      </c>
      <c r="S116">
        <v>60</v>
      </c>
      <c r="U116"/>
      <c r="W116">
        <v>0</v>
      </c>
      <c r="X116">
        <v>0</v>
      </c>
      <c r="Y116">
        <v>1</v>
      </c>
    </row>
    <row r="117" spans="1:25" x14ac:dyDescent="0.25">
      <c r="A117">
        <v>113</v>
      </c>
      <c r="B117">
        <v>0</v>
      </c>
      <c r="C117">
        <v>1</v>
      </c>
      <c r="D117">
        <v>60.5229</v>
      </c>
      <c r="E117">
        <v>6.0289999999999999</v>
      </c>
      <c r="F117">
        <v>0.111</v>
      </c>
      <c r="G117">
        <v>0</v>
      </c>
      <c r="H117">
        <v>0</v>
      </c>
      <c r="L117">
        <v>0</v>
      </c>
      <c r="M117">
        <v>0</v>
      </c>
      <c r="N117">
        <v>1</v>
      </c>
      <c r="O117">
        <v>60.5229</v>
      </c>
      <c r="P117">
        <v>6.5911</v>
      </c>
      <c r="Q117">
        <v>-2.9283000000000001</v>
      </c>
      <c r="R117">
        <v>0</v>
      </c>
      <c r="S117">
        <v>0</v>
      </c>
      <c r="U117"/>
      <c r="W117">
        <v>0</v>
      </c>
      <c r="X117">
        <v>0</v>
      </c>
      <c r="Y117">
        <v>1</v>
      </c>
    </row>
    <row r="118" spans="1:25" x14ac:dyDescent="0.25">
      <c r="A118">
        <v>114</v>
      </c>
      <c r="B118">
        <v>0</v>
      </c>
      <c r="C118">
        <v>0</v>
      </c>
      <c r="D118">
        <v>60.5229</v>
      </c>
      <c r="E118">
        <v>6.0289999999999999</v>
      </c>
      <c r="F118">
        <v>0.62280000000000002</v>
      </c>
      <c r="G118">
        <v>0</v>
      </c>
      <c r="H118">
        <v>0</v>
      </c>
      <c r="L118">
        <v>0</v>
      </c>
      <c r="M118">
        <v>0</v>
      </c>
      <c r="N118">
        <v>1</v>
      </c>
      <c r="O118">
        <v>60.5229</v>
      </c>
      <c r="P118">
        <v>6.5911</v>
      </c>
      <c r="Q118">
        <v>-2.4165000000000001</v>
      </c>
      <c r="R118">
        <v>0</v>
      </c>
      <c r="S118">
        <v>0</v>
      </c>
      <c r="U118"/>
      <c r="W118">
        <v>0</v>
      </c>
      <c r="X118">
        <v>0</v>
      </c>
      <c r="Y118">
        <v>1</v>
      </c>
    </row>
    <row r="119" spans="1:25" x14ac:dyDescent="0.25">
      <c r="A119">
        <v>115</v>
      </c>
      <c r="B119">
        <v>0</v>
      </c>
      <c r="C119">
        <v>0</v>
      </c>
      <c r="D119">
        <v>60.540000999999997</v>
      </c>
      <c r="E119">
        <v>8.6193000000000008</v>
      </c>
      <c r="F119">
        <v>0.62860000000000005</v>
      </c>
      <c r="G119">
        <v>0</v>
      </c>
      <c r="H119">
        <v>0</v>
      </c>
      <c r="L119">
        <v>0</v>
      </c>
      <c r="M119">
        <v>0</v>
      </c>
      <c r="N119">
        <v>1</v>
      </c>
      <c r="O119">
        <v>60.540000999999997</v>
      </c>
      <c r="P119">
        <v>9.1814999999999998</v>
      </c>
      <c r="Q119">
        <v>-2.4106999999999998</v>
      </c>
      <c r="R119">
        <v>0</v>
      </c>
      <c r="S119">
        <v>0</v>
      </c>
      <c r="U119"/>
      <c r="W119">
        <v>0</v>
      </c>
      <c r="X119">
        <v>0</v>
      </c>
      <c r="Y119">
        <v>1</v>
      </c>
    </row>
    <row r="120" spans="1:25" x14ac:dyDescent="0.25">
      <c r="A120">
        <v>116</v>
      </c>
      <c r="B120">
        <v>0</v>
      </c>
      <c r="C120">
        <v>0</v>
      </c>
      <c r="D120">
        <v>52.137099999999997</v>
      </c>
      <c r="E120">
        <v>17.137599999999999</v>
      </c>
      <c r="F120">
        <v>0.51659999999999995</v>
      </c>
      <c r="G120">
        <v>0</v>
      </c>
      <c r="H120">
        <v>0</v>
      </c>
      <c r="L120">
        <v>0</v>
      </c>
      <c r="M120">
        <v>0</v>
      </c>
      <c r="N120">
        <v>1</v>
      </c>
      <c r="O120">
        <v>52.058300000000003</v>
      </c>
      <c r="P120">
        <v>16.8706</v>
      </c>
      <c r="Q120">
        <v>-2.5346000000000002</v>
      </c>
      <c r="R120">
        <v>0</v>
      </c>
      <c r="S120">
        <v>0</v>
      </c>
      <c r="U120"/>
      <c r="W120">
        <v>0</v>
      </c>
      <c r="X120">
        <v>0</v>
      </c>
      <c r="Y120">
        <v>1</v>
      </c>
    </row>
    <row r="121" spans="1:25" x14ac:dyDescent="0.25">
      <c r="A121">
        <v>117</v>
      </c>
      <c r="B121">
        <v>1</v>
      </c>
      <c r="C121">
        <v>-1</v>
      </c>
      <c r="D121">
        <v>52.137099999999997</v>
      </c>
      <c r="E121">
        <v>17.137599999999999</v>
      </c>
      <c r="F121">
        <v>4.7999999999999996E-3</v>
      </c>
      <c r="G121">
        <v>0</v>
      </c>
      <c r="H121">
        <v>60</v>
      </c>
      <c r="L121">
        <v>0</v>
      </c>
      <c r="M121">
        <v>0</v>
      </c>
      <c r="N121">
        <v>1</v>
      </c>
      <c r="O121">
        <v>52.058300000000003</v>
      </c>
      <c r="P121">
        <v>16.8706</v>
      </c>
      <c r="Q121">
        <v>-3.0464000000000002</v>
      </c>
      <c r="R121">
        <v>0</v>
      </c>
      <c r="S121">
        <v>60</v>
      </c>
      <c r="U121"/>
      <c r="W121">
        <v>0</v>
      </c>
      <c r="X121">
        <v>0</v>
      </c>
      <c r="Y121">
        <v>1</v>
      </c>
    </row>
    <row r="122" spans="1:25" x14ac:dyDescent="0.25">
      <c r="A122">
        <v>118</v>
      </c>
      <c r="B122">
        <v>1</v>
      </c>
      <c r="C122">
        <v>2</v>
      </c>
      <c r="D122">
        <v>52.294601</v>
      </c>
      <c r="E122">
        <v>17.137198999999999</v>
      </c>
      <c r="F122">
        <v>4.7999999999999996E-3</v>
      </c>
      <c r="G122">
        <v>0</v>
      </c>
      <c r="H122">
        <v>60</v>
      </c>
      <c r="L122">
        <v>0</v>
      </c>
      <c r="M122">
        <v>0</v>
      </c>
      <c r="N122">
        <v>1</v>
      </c>
      <c r="O122">
        <v>52.215800999999999</v>
      </c>
      <c r="P122">
        <v>16.8703</v>
      </c>
      <c r="Q122">
        <v>-3.0464000000000002</v>
      </c>
      <c r="R122">
        <v>0</v>
      </c>
      <c r="S122">
        <v>60</v>
      </c>
      <c r="U122"/>
      <c r="W122">
        <v>0</v>
      </c>
      <c r="X122">
        <v>0</v>
      </c>
      <c r="Y122">
        <v>1</v>
      </c>
    </row>
    <row r="123" spans="1:25" x14ac:dyDescent="0.25">
      <c r="A123">
        <v>119</v>
      </c>
      <c r="B123">
        <v>1</v>
      </c>
      <c r="C123">
        <v>2</v>
      </c>
      <c r="D123">
        <v>53.920501999999999</v>
      </c>
      <c r="E123">
        <v>17.137198999999999</v>
      </c>
      <c r="F123">
        <v>4.7999999999999996E-3</v>
      </c>
      <c r="G123">
        <v>0</v>
      </c>
      <c r="H123">
        <v>40</v>
      </c>
      <c r="L123">
        <v>0</v>
      </c>
      <c r="M123">
        <v>0</v>
      </c>
      <c r="N123">
        <v>1</v>
      </c>
      <c r="O123">
        <v>53.920501999999999</v>
      </c>
      <c r="P123">
        <v>16.8703</v>
      </c>
      <c r="Q123">
        <v>-3.0464000000000002</v>
      </c>
      <c r="R123">
        <v>0</v>
      </c>
      <c r="S123">
        <v>40</v>
      </c>
      <c r="U123"/>
      <c r="W123">
        <v>0</v>
      </c>
      <c r="X123">
        <v>0</v>
      </c>
      <c r="Y123">
        <v>1</v>
      </c>
    </row>
    <row r="124" spans="1:25" x14ac:dyDescent="0.25">
      <c r="A124">
        <v>120</v>
      </c>
      <c r="B124">
        <v>1</v>
      </c>
      <c r="C124">
        <v>2</v>
      </c>
      <c r="D124">
        <v>53.920501999999999</v>
      </c>
      <c r="E124">
        <v>17.561501</v>
      </c>
      <c r="F124">
        <v>4.7999999999999996E-3</v>
      </c>
      <c r="G124">
        <v>1</v>
      </c>
      <c r="H124">
        <v>40</v>
      </c>
      <c r="I124">
        <v>53.960299999999997</v>
      </c>
      <c r="J124">
        <v>17.561899</v>
      </c>
      <c r="K124">
        <v>4.7999999999999996E-3</v>
      </c>
      <c r="L124">
        <v>0</v>
      </c>
      <c r="M124">
        <v>0</v>
      </c>
      <c r="N124">
        <v>-1</v>
      </c>
      <c r="O124">
        <v>53.920501999999999</v>
      </c>
      <c r="P124">
        <v>16.951899999999998</v>
      </c>
      <c r="Q124">
        <v>-3.0464000000000002</v>
      </c>
      <c r="R124">
        <v>1</v>
      </c>
      <c r="S124">
        <v>40</v>
      </c>
      <c r="T124">
        <v>53.960299999999997</v>
      </c>
      <c r="U124">
        <v>16.952200000000001</v>
      </c>
      <c r="V124">
        <v>-3.0464000000000002</v>
      </c>
      <c r="W124">
        <v>0</v>
      </c>
      <c r="X124">
        <v>0</v>
      </c>
      <c r="Y124">
        <v>-1</v>
      </c>
    </row>
    <row r="125" spans="1:25" x14ac:dyDescent="0.25">
      <c r="A125">
        <v>121</v>
      </c>
      <c r="B125">
        <v>1</v>
      </c>
      <c r="C125">
        <v>2</v>
      </c>
      <c r="D125">
        <v>53.959899999999998</v>
      </c>
      <c r="E125">
        <v>17.601700000000001</v>
      </c>
      <c r="F125">
        <v>4.7999999999999996E-3</v>
      </c>
      <c r="G125">
        <v>0</v>
      </c>
      <c r="H125">
        <v>40</v>
      </c>
      <c r="L125">
        <v>0</v>
      </c>
      <c r="M125">
        <v>0</v>
      </c>
      <c r="N125">
        <v>1</v>
      </c>
      <c r="O125">
        <v>53.959899999999998</v>
      </c>
      <c r="P125">
        <v>16.992000999999998</v>
      </c>
      <c r="Q125">
        <v>-3.0464000000000002</v>
      </c>
      <c r="R125">
        <v>0</v>
      </c>
      <c r="S125">
        <v>40</v>
      </c>
      <c r="U125"/>
      <c r="W125">
        <v>0</v>
      </c>
      <c r="X125">
        <v>0</v>
      </c>
      <c r="Y125">
        <v>1</v>
      </c>
    </row>
    <row r="126" spans="1:25" x14ac:dyDescent="0.25">
      <c r="A126">
        <v>122</v>
      </c>
      <c r="B126">
        <v>1</v>
      </c>
      <c r="C126">
        <v>2</v>
      </c>
      <c r="D126">
        <v>54.432400000000001</v>
      </c>
      <c r="E126">
        <v>17.601700000000001</v>
      </c>
      <c r="F126">
        <v>4.7999999999999996E-3</v>
      </c>
      <c r="G126">
        <v>0</v>
      </c>
      <c r="H126">
        <v>75</v>
      </c>
      <c r="L126">
        <v>0</v>
      </c>
      <c r="M126">
        <v>0</v>
      </c>
      <c r="N126">
        <v>1</v>
      </c>
      <c r="O126">
        <v>54.432400000000001</v>
      </c>
      <c r="P126">
        <v>16.992000999999998</v>
      </c>
      <c r="Q126">
        <v>-3.0464000000000002</v>
      </c>
      <c r="R126">
        <v>0</v>
      </c>
      <c r="S126">
        <v>75</v>
      </c>
      <c r="U126"/>
      <c r="W126">
        <v>0</v>
      </c>
      <c r="X126">
        <v>0</v>
      </c>
      <c r="Y126">
        <v>1</v>
      </c>
    </row>
    <row r="127" spans="1:25" x14ac:dyDescent="0.25">
      <c r="A127">
        <v>123</v>
      </c>
      <c r="B127">
        <v>1</v>
      </c>
      <c r="C127">
        <v>2</v>
      </c>
      <c r="D127">
        <v>59.266998000000001</v>
      </c>
      <c r="E127">
        <v>17.992201000000001</v>
      </c>
      <c r="F127">
        <v>4.7999999999999996E-3</v>
      </c>
      <c r="G127">
        <v>0</v>
      </c>
      <c r="H127">
        <v>40</v>
      </c>
      <c r="L127">
        <v>0</v>
      </c>
      <c r="M127">
        <v>0</v>
      </c>
      <c r="N127">
        <v>1</v>
      </c>
      <c r="O127">
        <v>59.266998000000001</v>
      </c>
      <c r="P127">
        <v>16.921800999999999</v>
      </c>
      <c r="Q127">
        <v>-3.0464000000000002</v>
      </c>
      <c r="R127">
        <v>0</v>
      </c>
      <c r="S127">
        <v>40</v>
      </c>
      <c r="U127"/>
      <c r="W127">
        <v>0</v>
      </c>
      <c r="X127">
        <v>0</v>
      </c>
      <c r="Y127">
        <v>1</v>
      </c>
    </row>
    <row r="128" spans="1:25" x14ac:dyDescent="0.25">
      <c r="A128">
        <v>124</v>
      </c>
      <c r="B128">
        <v>1</v>
      </c>
      <c r="C128">
        <v>2</v>
      </c>
      <c r="D128">
        <v>60.014999000000003</v>
      </c>
      <c r="E128">
        <v>17.992201000000001</v>
      </c>
      <c r="F128">
        <v>4.7999999999999996E-3</v>
      </c>
      <c r="G128">
        <v>1</v>
      </c>
      <c r="H128">
        <v>40</v>
      </c>
      <c r="I128">
        <v>60.013801999999998</v>
      </c>
      <c r="J128">
        <v>17.951599000000002</v>
      </c>
      <c r="K128">
        <v>4.7999999999999996E-3</v>
      </c>
      <c r="L128">
        <v>0</v>
      </c>
      <c r="M128">
        <v>0</v>
      </c>
      <c r="N128">
        <v>-1</v>
      </c>
      <c r="O128">
        <v>60.014999000000003</v>
      </c>
      <c r="P128">
        <v>16.921800999999999</v>
      </c>
      <c r="Q128">
        <v>-3.0464000000000002</v>
      </c>
      <c r="R128">
        <v>1</v>
      </c>
      <c r="S128">
        <v>40</v>
      </c>
      <c r="T128">
        <v>60.013801999999998</v>
      </c>
      <c r="U128">
        <v>16.8813</v>
      </c>
      <c r="V128">
        <v>-3.0464000000000002</v>
      </c>
      <c r="W128">
        <v>0</v>
      </c>
      <c r="X128">
        <v>0</v>
      </c>
      <c r="Y128">
        <v>-1</v>
      </c>
    </row>
    <row r="129" spans="1:25" x14ac:dyDescent="0.25">
      <c r="A129">
        <v>125</v>
      </c>
      <c r="B129">
        <v>1</v>
      </c>
      <c r="C129">
        <v>2</v>
      </c>
      <c r="D129">
        <v>60.054400999999999</v>
      </c>
      <c r="E129">
        <v>17.950500000000002</v>
      </c>
      <c r="F129">
        <v>4.7999999999999996E-3</v>
      </c>
      <c r="G129">
        <v>0</v>
      </c>
      <c r="H129">
        <v>40</v>
      </c>
      <c r="L129">
        <v>0</v>
      </c>
      <c r="M129">
        <v>0</v>
      </c>
      <c r="N129">
        <v>1</v>
      </c>
      <c r="O129">
        <v>60.054400999999999</v>
      </c>
      <c r="P129">
        <v>16.880099999999999</v>
      </c>
      <c r="Q129">
        <v>-3.0464000000000002</v>
      </c>
      <c r="R129">
        <v>0</v>
      </c>
      <c r="S129">
        <v>40</v>
      </c>
      <c r="U129"/>
      <c r="W129">
        <v>0</v>
      </c>
      <c r="X129">
        <v>0</v>
      </c>
      <c r="Y129">
        <v>1</v>
      </c>
    </row>
    <row r="130" spans="1:25" x14ac:dyDescent="0.25">
      <c r="A130">
        <v>126</v>
      </c>
      <c r="B130">
        <v>1</v>
      </c>
      <c r="C130">
        <v>1</v>
      </c>
      <c r="D130">
        <v>60.054400999999999</v>
      </c>
      <c r="E130">
        <v>16.461300000000001</v>
      </c>
      <c r="F130">
        <v>4.7999999999999996E-3</v>
      </c>
      <c r="G130">
        <v>0</v>
      </c>
      <c r="H130">
        <v>60</v>
      </c>
      <c r="L130">
        <v>0</v>
      </c>
      <c r="M130">
        <v>0</v>
      </c>
      <c r="N130">
        <v>1</v>
      </c>
      <c r="O130">
        <v>60.054400999999999</v>
      </c>
      <c r="P130">
        <v>15.3909</v>
      </c>
      <c r="Q130">
        <v>-3.0464000000000002</v>
      </c>
      <c r="R130">
        <v>0</v>
      </c>
      <c r="S130">
        <v>60</v>
      </c>
      <c r="U130"/>
      <c r="W130">
        <v>0</v>
      </c>
      <c r="X130">
        <v>0</v>
      </c>
      <c r="Y130">
        <v>1</v>
      </c>
    </row>
    <row r="131" spans="1:25" x14ac:dyDescent="0.25">
      <c r="A131">
        <v>127</v>
      </c>
      <c r="B131">
        <v>0</v>
      </c>
      <c r="C131">
        <v>1</v>
      </c>
      <c r="D131">
        <v>60.054400999999999</v>
      </c>
      <c r="E131">
        <v>16.457398999999999</v>
      </c>
      <c r="F131">
        <v>4.7999999999999996E-3</v>
      </c>
      <c r="G131">
        <v>0</v>
      </c>
      <c r="H131">
        <v>0</v>
      </c>
      <c r="L131">
        <v>0</v>
      </c>
      <c r="M131">
        <v>0</v>
      </c>
      <c r="N131">
        <v>1</v>
      </c>
      <c r="O131">
        <v>60.054400999999999</v>
      </c>
      <c r="P131">
        <v>15.387</v>
      </c>
      <c r="Q131">
        <v>-3.0464000000000002</v>
      </c>
      <c r="R131">
        <v>0</v>
      </c>
      <c r="S131">
        <v>0</v>
      </c>
      <c r="U131"/>
      <c r="W131">
        <v>0</v>
      </c>
      <c r="X131">
        <v>0</v>
      </c>
      <c r="Y131">
        <v>1</v>
      </c>
    </row>
    <row r="132" spans="1:25" x14ac:dyDescent="0.25">
      <c r="A132">
        <v>128</v>
      </c>
      <c r="B132">
        <v>0</v>
      </c>
      <c r="C132">
        <v>0</v>
      </c>
      <c r="D132">
        <v>60.054400999999999</v>
      </c>
      <c r="E132">
        <v>16.457398999999999</v>
      </c>
      <c r="F132">
        <v>0.51659999999999995</v>
      </c>
      <c r="G132">
        <v>0</v>
      </c>
      <c r="H132">
        <v>0</v>
      </c>
      <c r="L132">
        <v>0</v>
      </c>
      <c r="M132">
        <v>0</v>
      </c>
      <c r="N132">
        <v>1</v>
      </c>
      <c r="O132">
        <v>60.054400999999999</v>
      </c>
      <c r="P132">
        <v>15.387</v>
      </c>
      <c r="Q132">
        <v>-2.5346000000000002</v>
      </c>
      <c r="R132">
        <v>0</v>
      </c>
      <c r="S132">
        <v>0</v>
      </c>
      <c r="U132"/>
      <c r="W132">
        <v>0</v>
      </c>
      <c r="X132">
        <v>0</v>
      </c>
      <c r="Y132">
        <v>1</v>
      </c>
    </row>
    <row r="133" spans="1:25" x14ac:dyDescent="0.25">
      <c r="A133">
        <v>129</v>
      </c>
      <c r="B133">
        <v>0</v>
      </c>
      <c r="C133">
        <v>0</v>
      </c>
      <c r="D133">
        <v>58.936298000000001</v>
      </c>
      <c r="E133">
        <v>19.125298999999998</v>
      </c>
      <c r="F133">
        <v>0.51659999999999995</v>
      </c>
      <c r="G133">
        <v>0</v>
      </c>
      <c r="H133">
        <v>0</v>
      </c>
      <c r="L133">
        <v>0</v>
      </c>
      <c r="M133">
        <v>0</v>
      </c>
      <c r="N133">
        <v>1</v>
      </c>
      <c r="O133">
        <v>58.936298000000001</v>
      </c>
      <c r="P133">
        <v>18.054898999999999</v>
      </c>
      <c r="Q133">
        <v>-2.5346000000000002</v>
      </c>
      <c r="R133">
        <v>0</v>
      </c>
      <c r="S133">
        <v>0</v>
      </c>
      <c r="U133"/>
      <c r="W133">
        <v>0</v>
      </c>
      <c r="X133">
        <v>0</v>
      </c>
      <c r="Y133">
        <v>1</v>
      </c>
    </row>
    <row r="134" spans="1:25" x14ac:dyDescent="0.25">
      <c r="A134">
        <v>130</v>
      </c>
      <c r="B134">
        <v>0</v>
      </c>
      <c r="C134">
        <v>0</v>
      </c>
      <c r="D134">
        <v>60.719799000000002</v>
      </c>
      <c r="E134">
        <v>19.184200000000001</v>
      </c>
      <c r="F134">
        <v>0.51659999999999995</v>
      </c>
      <c r="G134">
        <v>0</v>
      </c>
      <c r="H134">
        <v>0</v>
      </c>
      <c r="L134">
        <v>0</v>
      </c>
      <c r="M134">
        <v>0</v>
      </c>
      <c r="N134">
        <v>1</v>
      </c>
      <c r="O134">
        <v>60.798499999999997</v>
      </c>
      <c r="P134">
        <v>19.451098999999999</v>
      </c>
      <c r="Q134">
        <v>-2.5346000000000002</v>
      </c>
      <c r="R134">
        <v>0</v>
      </c>
      <c r="S134">
        <v>0</v>
      </c>
      <c r="U134"/>
      <c r="W134">
        <v>0</v>
      </c>
      <c r="X134">
        <v>0</v>
      </c>
      <c r="Y134">
        <v>1</v>
      </c>
    </row>
    <row r="135" spans="1:25" x14ac:dyDescent="0.25">
      <c r="A135">
        <v>131</v>
      </c>
      <c r="B135">
        <v>1</v>
      </c>
      <c r="C135">
        <v>-1</v>
      </c>
      <c r="D135">
        <v>60.719799000000002</v>
      </c>
      <c r="E135">
        <v>19.184200000000001</v>
      </c>
      <c r="F135">
        <v>4.7999999999999996E-3</v>
      </c>
      <c r="G135">
        <v>0</v>
      </c>
      <c r="H135">
        <v>60</v>
      </c>
      <c r="L135">
        <v>0</v>
      </c>
      <c r="M135">
        <v>0</v>
      </c>
      <c r="N135">
        <v>1</v>
      </c>
      <c r="O135">
        <v>60.798499999999997</v>
      </c>
      <c r="P135">
        <v>19.451098999999999</v>
      </c>
      <c r="Q135">
        <v>-3.0464000000000002</v>
      </c>
      <c r="R135">
        <v>0</v>
      </c>
      <c r="S135">
        <v>60</v>
      </c>
      <c r="U135"/>
      <c r="W135">
        <v>0</v>
      </c>
      <c r="X135">
        <v>0</v>
      </c>
      <c r="Y135">
        <v>1</v>
      </c>
    </row>
    <row r="136" spans="1:25" x14ac:dyDescent="0.25">
      <c r="A136">
        <v>132</v>
      </c>
      <c r="B136">
        <v>1</v>
      </c>
      <c r="C136">
        <v>2</v>
      </c>
      <c r="D136">
        <v>60.562302000000003</v>
      </c>
      <c r="E136">
        <v>19.1845</v>
      </c>
      <c r="F136">
        <v>4.7999999999999996E-3</v>
      </c>
      <c r="G136">
        <v>0</v>
      </c>
      <c r="H136">
        <v>60</v>
      </c>
      <c r="L136">
        <v>0</v>
      </c>
      <c r="M136">
        <v>0</v>
      </c>
      <c r="N136">
        <v>1</v>
      </c>
      <c r="O136">
        <v>60.640999000000001</v>
      </c>
      <c r="P136">
        <v>19.451499999999999</v>
      </c>
      <c r="Q136">
        <v>-3.0464000000000002</v>
      </c>
      <c r="R136">
        <v>0</v>
      </c>
      <c r="S136">
        <v>60</v>
      </c>
      <c r="U136"/>
      <c r="W136">
        <v>0</v>
      </c>
      <c r="X136">
        <v>0</v>
      </c>
      <c r="Y136">
        <v>1</v>
      </c>
    </row>
    <row r="137" spans="1:25" x14ac:dyDescent="0.25">
      <c r="A137">
        <v>133</v>
      </c>
      <c r="B137">
        <v>1</v>
      </c>
      <c r="C137">
        <v>2</v>
      </c>
      <c r="D137">
        <v>58.936298000000001</v>
      </c>
      <c r="E137">
        <v>19.1845</v>
      </c>
      <c r="F137">
        <v>4.7999999999999996E-3</v>
      </c>
      <c r="G137">
        <v>0</v>
      </c>
      <c r="H137">
        <v>40</v>
      </c>
      <c r="L137">
        <v>0</v>
      </c>
      <c r="M137">
        <v>0</v>
      </c>
      <c r="N137">
        <v>1</v>
      </c>
      <c r="O137">
        <v>58.936298000000001</v>
      </c>
      <c r="P137">
        <v>19.451499999999999</v>
      </c>
      <c r="Q137">
        <v>-3.0464000000000002</v>
      </c>
      <c r="R137">
        <v>0</v>
      </c>
      <c r="S137">
        <v>40</v>
      </c>
      <c r="U137"/>
      <c r="W137">
        <v>0</v>
      </c>
      <c r="X137">
        <v>0</v>
      </c>
      <c r="Y137">
        <v>1</v>
      </c>
    </row>
    <row r="138" spans="1:25" x14ac:dyDescent="0.25">
      <c r="A138">
        <v>134</v>
      </c>
      <c r="B138">
        <v>1</v>
      </c>
      <c r="C138">
        <v>2</v>
      </c>
      <c r="D138">
        <v>58.936298000000001</v>
      </c>
      <c r="E138">
        <v>18.760200999999999</v>
      </c>
      <c r="F138">
        <v>4.7999999999999996E-3</v>
      </c>
      <c r="G138">
        <v>1</v>
      </c>
      <c r="H138">
        <v>40</v>
      </c>
      <c r="I138">
        <v>58.896500000000003</v>
      </c>
      <c r="J138">
        <v>18.759799999999998</v>
      </c>
      <c r="K138">
        <v>4.7999999999999996E-3</v>
      </c>
      <c r="L138">
        <v>0</v>
      </c>
      <c r="M138">
        <v>0</v>
      </c>
      <c r="N138">
        <v>-1</v>
      </c>
      <c r="O138">
        <v>58.936298000000001</v>
      </c>
      <c r="P138">
        <v>19.369900000000001</v>
      </c>
      <c r="Q138">
        <v>-3.0464000000000002</v>
      </c>
      <c r="R138">
        <v>1</v>
      </c>
      <c r="S138">
        <v>40</v>
      </c>
      <c r="T138">
        <v>58.896500000000003</v>
      </c>
      <c r="U138">
        <v>19.369499000000001</v>
      </c>
      <c r="V138">
        <v>-3.0464000000000002</v>
      </c>
      <c r="W138">
        <v>0</v>
      </c>
      <c r="X138">
        <v>0</v>
      </c>
      <c r="Y138">
        <v>-1</v>
      </c>
    </row>
    <row r="139" spans="1:25" x14ac:dyDescent="0.25">
      <c r="A139">
        <v>135</v>
      </c>
      <c r="B139">
        <v>1</v>
      </c>
      <c r="C139">
        <v>2</v>
      </c>
      <c r="D139">
        <v>58.896900000000002</v>
      </c>
      <c r="E139">
        <v>18.720099999999999</v>
      </c>
      <c r="F139">
        <v>4.7999999999999996E-3</v>
      </c>
      <c r="G139">
        <v>0</v>
      </c>
      <c r="H139">
        <v>40</v>
      </c>
      <c r="L139">
        <v>0</v>
      </c>
      <c r="M139">
        <v>0</v>
      </c>
      <c r="N139">
        <v>1</v>
      </c>
      <c r="O139">
        <v>58.896900000000002</v>
      </c>
      <c r="P139">
        <v>19.329799999999999</v>
      </c>
      <c r="Q139">
        <v>-3.0464000000000002</v>
      </c>
      <c r="R139">
        <v>0</v>
      </c>
      <c r="S139">
        <v>40</v>
      </c>
      <c r="U139"/>
      <c r="W139">
        <v>0</v>
      </c>
      <c r="X139">
        <v>0</v>
      </c>
      <c r="Y139">
        <v>1</v>
      </c>
    </row>
    <row r="140" spans="1:25" x14ac:dyDescent="0.25">
      <c r="A140">
        <v>136</v>
      </c>
      <c r="B140">
        <v>1</v>
      </c>
      <c r="C140">
        <v>2</v>
      </c>
      <c r="D140">
        <v>58.424500000000002</v>
      </c>
      <c r="E140">
        <v>18.720099999999999</v>
      </c>
      <c r="F140">
        <v>4.7999999999999996E-3</v>
      </c>
      <c r="G140">
        <v>0</v>
      </c>
      <c r="H140">
        <v>75</v>
      </c>
      <c r="L140">
        <v>0</v>
      </c>
      <c r="M140">
        <v>0</v>
      </c>
      <c r="N140">
        <v>1</v>
      </c>
      <c r="O140">
        <v>58.424500000000002</v>
      </c>
      <c r="P140">
        <v>19.329799999999999</v>
      </c>
      <c r="Q140">
        <v>-3.0464000000000002</v>
      </c>
      <c r="R140">
        <v>0</v>
      </c>
      <c r="S140">
        <v>75</v>
      </c>
      <c r="U140"/>
      <c r="W140">
        <v>0</v>
      </c>
      <c r="X140">
        <v>0</v>
      </c>
      <c r="Y140">
        <v>1</v>
      </c>
    </row>
    <row r="141" spans="1:25" x14ac:dyDescent="0.25">
      <c r="A141">
        <v>137</v>
      </c>
      <c r="B141">
        <v>1</v>
      </c>
      <c r="C141">
        <v>2</v>
      </c>
      <c r="D141">
        <v>53.589801999999999</v>
      </c>
      <c r="E141">
        <v>18.329599000000002</v>
      </c>
      <c r="F141">
        <v>4.7999999999999996E-3</v>
      </c>
      <c r="G141">
        <v>0</v>
      </c>
      <c r="H141">
        <v>40</v>
      </c>
      <c r="L141">
        <v>0</v>
      </c>
      <c r="M141">
        <v>0</v>
      </c>
      <c r="N141">
        <v>1</v>
      </c>
      <c r="O141">
        <v>53.589801999999999</v>
      </c>
      <c r="P141">
        <v>19.399899999999999</v>
      </c>
      <c r="Q141">
        <v>-3.0464000000000002</v>
      </c>
      <c r="R141">
        <v>0</v>
      </c>
      <c r="S141">
        <v>40</v>
      </c>
      <c r="U141"/>
      <c r="W141">
        <v>0</v>
      </c>
      <c r="X141">
        <v>0</v>
      </c>
      <c r="Y141">
        <v>1</v>
      </c>
    </row>
    <row r="142" spans="1:25" x14ac:dyDescent="0.25">
      <c r="A142">
        <v>138</v>
      </c>
      <c r="B142">
        <v>1</v>
      </c>
      <c r="C142">
        <v>2</v>
      </c>
      <c r="D142">
        <v>52.841800999999997</v>
      </c>
      <c r="E142">
        <v>18.329599000000002</v>
      </c>
      <c r="F142">
        <v>4.7999999999999996E-3</v>
      </c>
      <c r="G142">
        <v>1</v>
      </c>
      <c r="H142">
        <v>40</v>
      </c>
      <c r="I142">
        <v>52.842998999999999</v>
      </c>
      <c r="J142">
        <v>18.370100000000001</v>
      </c>
      <c r="K142">
        <v>4.7999999999999996E-3</v>
      </c>
      <c r="L142">
        <v>0</v>
      </c>
      <c r="M142">
        <v>0</v>
      </c>
      <c r="N142">
        <v>-1</v>
      </c>
      <c r="O142">
        <v>52.841800999999997</v>
      </c>
      <c r="P142">
        <v>19.399899999999999</v>
      </c>
      <c r="Q142">
        <v>-3.0464000000000002</v>
      </c>
      <c r="R142">
        <v>1</v>
      </c>
      <c r="S142">
        <v>40</v>
      </c>
      <c r="T142">
        <v>52.842998999999999</v>
      </c>
      <c r="U142">
        <v>19.4405</v>
      </c>
      <c r="V142">
        <v>-3.0464000000000002</v>
      </c>
      <c r="W142">
        <v>0</v>
      </c>
      <c r="X142">
        <v>0</v>
      </c>
      <c r="Y142">
        <v>-1</v>
      </c>
    </row>
    <row r="143" spans="1:25" x14ac:dyDescent="0.25">
      <c r="A143">
        <v>139</v>
      </c>
      <c r="B143">
        <v>1</v>
      </c>
      <c r="C143">
        <v>2</v>
      </c>
      <c r="D143">
        <v>52.802399000000001</v>
      </c>
      <c r="E143">
        <v>18.371300000000002</v>
      </c>
      <c r="F143">
        <v>4.7999999999999996E-3</v>
      </c>
      <c r="G143">
        <v>0</v>
      </c>
      <c r="H143">
        <v>40</v>
      </c>
      <c r="L143">
        <v>0</v>
      </c>
      <c r="M143">
        <v>0</v>
      </c>
      <c r="N143">
        <v>1</v>
      </c>
      <c r="O143">
        <v>52.802399000000001</v>
      </c>
      <c r="P143">
        <v>19.441600999999999</v>
      </c>
      <c r="Q143">
        <v>-3.0464000000000002</v>
      </c>
      <c r="R143">
        <v>0</v>
      </c>
      <c r="S143">
        <v>40</v>
      </c>
      <c r="U143"/>
      <c r="W143">
        <v>0</v>
      </c>
      <c r="X143">
        <v>0</v>
      </c>
      <c r="Y143">
        <v>1</v>
      </c>
    </row>
    <row r="144" spans="1:25" x14ac:dyDescent="0.25">
      <c r="A144">
        <v>140</v>
      </c>
      <c r="B144">
        <v>1</v>
      </c>
      <c r="C144">
        <v>1</v>
      </c>
      <c r="D144">
        <v>52.802399000000001</v>
      </c>
      <c r="E144">
        <v>19.466298999999999</v>
      </c>
      <c r="F144">
        <v>4.7999999999999996E-3</v>
      </c>
      <c r="G144">
        <v>0</v>
      </c>
      <c r="H144">
        <v>60</v>
      </c>
      <c r="L144">
        <v>0</v>
      </c>
      <c r="M144">
        <v>0</v>
      </c>
      <c r="N144">
        <v>1</v>
      </c>
      <c r="O144">
        <v>52.802399000000001</v>
      </c>
      <c r="P144">
        <v>20.536698999999999</v>
      </c>
      <c r="Q144">
        <v>-3.0464000000000002</v>
      </c>
      <c r="R144">
        <v>0</v>
      </c>
      <c r="S144">
        <v>60</v>
      </c>
      <c r="U144"/>
      <c r="W144">
        <v>0</v>
      </c>
      <c r="X144">
        <v>0</v>
      </c>
      <c r="Y144">
        <v>1</v>
      </c>
    </row>
    <row r="145" spans="1:25" x14ac:dyDescent="0.25">
      <c r="A145">
        <v>141</v>
      </c>
      <c r="B145">
        <v>0</v>
      </c>
      <c r="C145">
        <v>1</v>
      </c>
      <c r="D145">
        <v>52.802399000000001</v>
      </c>
      <c r="E145">
        <v>19.470199999999998</v>
      </c>
      <c r="F145">
        <v>4.7999999999999996E-3</v>
      </c>
      <c r="G145">
        <v>0</v>
      </c>
      <c r="H145">
        <v>0</v>
      </c>
      <c r="L145">
        <v>0</v>
      </c>
      <c r="M145">
        <v>0</v>
      </c>
      <c r="N145">
        <v>1</v>
      </c>
      <c r="O145">
        <v>52.802399000000001</v>
      </c>
      <c r="P145">
        <v>20.540600000000001</v>
      </c>
      <c r="Q145">
        <v>-3.0464000000000002</v>
      </c>
      <c r="R145">
        <v>0</v>
      </c>
      <c r="S145">
        <v>0</v>
      </c>
      <c r="U145"/>
      <c r="W145">
        <v>0</v>
      </c>
      <c r="X145">
        <v>0</v>
      </c>
      <c r="Y145">
        <v>1</v>
      </c>
    </row>
    <row r="146" spans="1:25" x14ac:dyDescent="0.25">
      <c r="A146">
        <v>142</v>
      </c>
      <c r="B146">
        <v>0</v>
      </c>
      <c r="C146">
        <v>0</v>
      </c>
      <c r="D146">
        <v>52.802399000000001</v>
      </c>
      <c r="E146">
        <v>19.470199999999998</v>
      </c>
      <c r="F146">
        <v>0.51659999999999995</v>
      </c>
      <c r="G146">
        <v>0</v>
      </c>
      <c r="H146">
        <v>0</v>
      </c>
      <c r="L146">
        <v>0</v>
      </c>
      <c r="M146">
        <v>0</v>
      </c>
      <c r="N146">
        <v>1</v>
      </c>
      <c r="O146">
        <v>52.802399000000001</v>
      </c>
      <c r="P146">
        <v>20.540600000000001</v>
      </c>
      <c r="Q146">
        <v>-2.5346000000000002</v>
      </c>
      <c r="R146">
        <v>0</v>
      </c>
      <c r="S146">
        <v>0</v>
      </c>
      <c r="U146"/>
      <c r="W146">
        <v>0</v>
      </c>
      <c r="X146">
        <v>0</v>
      </c>
      <c r="Y146">
        <v>1</v>
      </c>
    </row>
    <row r="147" spans="1:25" x14ac:dyDescent="0.25">
      <c r="A147">
        <v>143</v>
      </c>
      <c r="B147">
        <v>0</v>
      </c>
      <c r="C147">
        <v>0</v>
      </c>
      <c r="D147">
        <v>53.920501999999999</v>
      </c>
      <c r="E147">
        <v>17.196501000000001</v>
      </c>
      <c r="F147">
        <v>0.51659999999999995</v>
      </c>
      <c r="G147">
        <v>0</v>
      </c>
      <c r="H147">
        <v>0</v>
      </c>
      <c r="L147">
        <v>0</v>
      </c>
      <c r="M147">
        <v>0</v>
      </c>
      <c r="N147">
        <v>1</v>
      </c>
      <c r="O147">
        <v>53.920501999999999</v>
      </c>
      <c r="P147">
        <v>18.266898999999999</v>
      </c>
      <c r="Q147">
        <v>-2.5346000000000002</v>
      </c>
      <c r="R147">
        <v>0</v>
      </c>
      <c r="S147">
        <v>0</v>
      </c>
      <c r="U147"/>
      <c r="W147">
        <v>0</v>
      </c>
      <c r="X147">
        <v>0</v>
      </c>
      <c r="Y147">
        <v>1</v>
      </c>
    </row>
    <row r="148" spans="1:25" x14ac:dyDescent="0.25">
      <c r="A148">
        <v>144</v>
      </c>
      <c r="B148">
        <v>0</v>
      </c>
      <c r="C148">
        <v>0</v>
      </c>
      <c r="D148">
        <v>52.215800999999999</v>
      </c>
      <c r="E148">
        <v>17.5014</v>
      </c>
      <c r="F148">
        <v>0.51659999999999995</v>
      </c>
      <c r="G148">
        <v>0</v>
      </c>
      <c r="H148">
        <v>0</v>
      </c>
      <c r="L148">
        <v>0</v>
      </c>
      <c r="M148">
        <v>0</v>
      </c>
      <c r="N148">
        <v>1</v>
      </c>
      <c r="O148">
        <v>52.215800999999999</v>
      </c>
      <c r="P148">
        <v>17.5014</v>
      </c>
      <c r="Q148">
        <v>-2.5346000000000002</v>
      </c>
      <c r="R148">
        <v>0</v>
      </c>
      <c r="S148">
        <v>0</v>
      </c>
      <c r="U148"/>
      <c r="W148">
        <v>0</v>
      </c>
      <c r="X148">
        <v>0</v>
      </c>
      <c r="Y148">
        <v>1</v>
      </c>
    </row>
    <row r="149" spans="1:25" x14ac:dyDescent="0.25">
      <c r="A149">
        <v>145</v>
      </c>
      <c r="B149">
        <v>1</v>
      </c>
      <c r="C149">
        <v>-1</v>
      </c>
      <c r="D149">
        <v>52.215800999999999</v>
      </c>
      <c r="E149">
        <v>17.5014</v>
      </c>
      <c r="F149">
        <v>4.7999999999999996E-3</v>
      </c>
      <c r="G149">
        <v>0</v>
      </c>
      <c r="H149">
        <v>60</v>
      </c>
      <c r="L149">
        <v>0</v>
      </c>
      <c r="M149">
        <v>0</v>
      </c>
      <c r="N149">
        <v>1</v>
      </c>
      <c r="O149">
        <v>52.215800999999999</v>
      </c>
      <c r="P149">
        <v>17.5014</v>
      </c>
      <c r="Q149">
        <v>-3.0464000000000002</v>
      </c>
      <c r="R149">
        <v>0</v>
      </c>
      <c r="S149">
        <v>60</v>
      </c>
      <c r="U149"/>
      <c r="W149">
        <v>0</v>
      </c>
      <c r="X149">
        <v>0</v>
      </c>
      <c r="Y149">
        <v>1</v>
      </c>
    </row>
    <row r="150" spans="1:25" x14ac:dyDescent="0.25">
      <c r="A150">
        <v>146</v>
      </c>
      <c r="B150">
        <v>1</v>
      </c>
      <c r="C150">
        <v>2</v>
      </c>
      <c r="D150">
        <v>52.294601</v>
      </c>
      <c r="E150">
        <v>17.5014</v>
      </c>
      <c r="F150">
        <v>4.7999999999999996E-3</v>
      </c>
      <c r="G150">
        <v>0</v>
      </c>
      <c r="H150">
        <v>30</v>
      </c>
      <c r="L150">
        <v>0</v>
      </c>
      <c r="M150">
        <v>0</v>
      </c>
      <c r="N150">
        <v>1</v>
      </c>
      <c r="O150">
        <v>52.294601</v>
      </c>
      <c r="P150">
        <v>17.5014</v>
      </c>
      <c r="Q150">
        <v>-3.0464000000000002</v>
      </c>
      <c r="R150">
        <v>0</v>
      </c>
      <c r="S150">
        <v>30</v>
      </c>
      <c r="U150"/>
      <c r="W150">
        <v>0</v>
      </c>
      <c r="X150">
        <v>0</v>
      </c>
      <c r="Y150">
        <v>1</v>
      </c>
    </row>
    <row r="151" spans="1:25" x14ac:dyDescent="0.25">
      <c r="A151">
        <v>147</v>
      </c>
      <c r="B151">
        <v>1</v>
      </c>
      <c r="C151">
        <v>2</v>
      </c>
      <c r="D151">
        <v>52.723700999999998</v>
      </c>
      <c r="E151">
        <v>17.5014</v>
      </c>
      <c r="F151">
        <v>4.7999999999999996E-3</v>
      </c>
      <c r="G151">
        <v>1</v>
      </c>
      <c r="H151">
        <v>40</v>
      </c>
      <c r="I151">
        <v>52.723700999999998</v>
      </c>
      <c r="J151">
        <v>17.580200000000001</v>
      </c>
      <c r="K151">
        <v>4.7999999999999996E-3</v>
      </c>
      <c r="L151">
        <v>0</v>
      </c>
      <c r="M151">
        <v>0</v>
      </c>
      <c r="N151">
        <v>1</v>
      </c>
      <c r="O151">
        <v>52.723700999999998</v>
      </c>
      <c r="P151">
        <v>17.5014</v>
      </c>
      <c r="Q151">
        <v>-3.0464000000000002</v>
      </c>
      <c r="R151">
        <v>1</v>
      </c>
      <c r="S151">
        <v>40</v>
      </c>
      <c r="T151">
        <v>52.723700999999998</v>
      </c>
      <c r="U151">
        <v>17.580200000000001</v>
      </c>
      <c r="V151">
        <v>-3.0464000000000002</v>
      </c>
      <c r="W151">
        <v>0</v>
      </c>
      <c r="X151">
        <v>0</v>
      </c>
      <c r="Y151">
        <v>1</v>
      </c>
    </row>
    <row r="152" spans="1:25" x14ac:dyDescent="0.25">
      <c r="A152">
        <v>148</v>
      </c>
      <c r="B152">
        <v>1</v>
      </c>
      <c r="C152">
        <v>2</v>
      </c>
      <c r="D152">
        <v>52.802399000000001</v>
      </c>
      <c r="E152">
        <v>17.580200000000001</v>
      </c>
      <c r="F152">
        <v>4.7999999999999996E-3</v>
      </c>
      <c r="G152">
        <v>0</v>
      </c>
      <c r="H152">
        <v>40</v>
      </c>
      <c r="L152">
        <v>0</v>
      </c>
      <c r="M152">
        <v>0</v>
      </c>
      <c r="N152">
        <v>1</v>
      </c>
      <c r="O152">
        <v>52.802399000000001</v>
      </c>
      <c r="P152">
        <v>17.580200000000001</v>
      </c>
      <c r="Q152">
        <v>-3.0464000000000002</v>
      </c>
      <c r="R152">
        <v>0</v>
      </c>
      <c r="S152">
        <v>40</v>
      </c>
      <c r="U152"/>
      <c r="W152">
        <v>0</v>
      </c>
      <c r="X152">
        <v>0</v>
      </c>
      <c r="Y152">
        <v>1</v>
      </c>
    </row>
    <row r="153" spans="1:25" x14ac:dyDescent="0.25">
      <c r="A153">
        <v>149</v>
      </c>
      <c r="B153">
        <v>1</v>
      </c>
      <c r="C153">
        <v>2</v>
      </c>
      <c r="D153">
        <v>52.802399000000001</v>
      </c>
      <c r="E153">
        <v>18.101800999999998</v>
      </c>
      <c r="F153">
        <v>4.7999999999999996E-3</v>
      </c>
      <c r="G153">
        <v>1</v>
      </c>
      <c r="H153">
        <v>40</v>
      </c>
      <c r="I153">
        <v>52.881199000000002</v>
      </c>
      <c r="J153">
        <v>18.101800999999998</v>
      </c>
      <c r="K153">
        <v>4.7999999999999996E-3</v>
      </c>
      <c r="L153">
        <v>0</v>
      </c>
      <c r="M153">
        <v>0</v>
      </c>
      <c r="N153">
        <v>-1</v>
      </c>
      <c r="O153">
        <v>52.802399000000001</v>
      </c>
      <c r="P153">
        <v>18.101800999999998</v>
      </c>
      <c r="Q153">
        <v>-3.0464000000000002</v>
      </c>
      <c r="R153">
        <v>1</v>
      </c>
      <c r="S153">
        <v>40</v>
      </c>
      <c r="T153">
        <v>52.881199000000002</v>
      </c>
      <c r="U153">
        <v>18.101800999999998</v>
      </c>
      <c r="V153">
        <v>-3.0464000000000002</v>
      </c>
      <c r="W153">
        <v>0</v>
      </c>
      <c r="X153">
        <v>0</v>
      </c>
      <c r="Y153">
        <v>-1</v>
      </c>
    </row>
    <row r="154" spans="1:25" x14ac:dyDescent="0.25">
      <c r="A154">
        <v>150</v>
      </c>
      <c r="B154">
        <v>1</v>
      </c>
      <c r="C154">
        <v>2</v>
      </c>
      <c r="D154">
        <v>52.881199000000002</v>
      </c>
      <c r="E154">
        <v>18.180599000000001</v>
      </c>
      <c r="F154">
        <v>4.7999999999999996E-3</v>
      </c>
      <c r="G154">
        <v>0</v>
      </c>
      <c r="H154">
        <v>70</v>
      </c>
      <c r="L154">
        <v>0</v>
      </c>
      <c r="M154">
        <v>0</v>
      </c>
      <c r="N154">
        <v>1</v>
      </c>
      <c r="O154">
        <v>52.881199000000002</v>
      </c>
      <c r="P154">
        <v>18.180599000000001</v>
      </c>
      <c r="Q154">
        <v>-3.0464000000000002</v>
      </c>
      <c r="R154">
        <v>0</v>
      </c>
      <c r="S154">
        <v>70</v>
      </c>
      <c r="U154"/>
      <c r="W154">
        <v>0</v>
      </c>
      <c r="X154">
        <v>0</v>
      </c>
      <c r="Y154">
        <v>1</v>
      </c>
    </row>
    <row r="155" spans="1:25" x14ac:dyDescent="0.25">
      <c r="A155">
        <v>151</v>
      </c>
      <c r="B155">
        <v>1</v>
      </c>
      <c r="C155">
        <v>2</v>
      </c>
      <c r="D155">
        <v>59.936298000000001</v>
      </c>
      <c r="E155">
        <v>18.180599000000001</v>
      </c>
      <c r="F155">
        <v>4.7999999999999996E-3</v>
      </c>
      <c r="G155">
        <v>1</v>
      </c>
      <c r="H155">
        <v>40</v>
      </c>
      <c r="I155">
        <v>59.936298000000001</v>
      </c>
      <c r="J155">
        <v>18.2593</v>
      </c>
      <c r="K155">
        <v>4.7999999999999996E-3</v>
      </c>
      <c r="L155">
        <v>0</v>
      </c>
      <c r="M155">
        <v>0</v>
      </c>
      <c r="N155">
        <v>1</v>
      </c>
      <c r="O155">
        <v>59.936298000000001</v>
      </c>
      <c r="P155">
        <v>18.180599000000001</v>
      </c>
      <c r="Q155">
        <v>-3.0464000000000002</v>
      </c>
      <c r="R155">
        <v>1</v>
      </c>
      <c r="S155">
        <v>40</v>
      </c>
      <c r="T155">
        <v>59.936298000000001</v>
      </c>
      <c r="U155">
        <v>18.2593</v>
      </c>
      <c r="V155">
        <v>-3.0464000000000002</v>
      </c>
      <c r="W155">
        <v>0</v>
      </c>
      <c r="X155">
        <v>0</v>
      </c>
      <c r="Y155">
        <v>1</v>
      </c>
    </row>
    <row r="156" spans="1:25" x14ac:dyDescent="0.25">
      <c r="A156">
        <v>152</v>
      </c>
      <c r="B156">
        <v>1</v>
      </c>
      <c r="C156">
        <v>2</v>
      </c>
      <c r="D156">
        <v>60.014999000000003</v>
      </c>
      <c r="E156">
        <v>18.2593</v>
      </c>
      <c r="F156">
        <v>4.7999999999999996E-3</v>
      </c>
      <c r="G156">
        <v>0</v>
      </c>
      <c r="H156">
        <v>40</v>
      </c>
      <c r="L156">
        <v>0</v>
      </c>
      <c r="M156">
        <v>0</v>
      </c>
      <c r="N156">
        <v>1</v>
      </c>
      <c r="O156">
        <v>60.014999000000003</v>
      </c>
      <c r="P156">
        <v>18.2593</v>
      </c>
      <c r="Q156">
        <v>-3.0464000000000002</v>
      </c>
      <c r="R156">
        <v>0</v>
      </c>
      <c r="S156">
        <v>40</v>
      </c>
      <c r="U156"/>
      <c r="W156">
        <v>0</v>
      </c>
      <c r="X156">
        <v>0</v>
      </c>
      <c r="Y156">
        <v>1</v>
      </c>
    </row>
    <row r="157" spans="1:25" x14ac:dyDescent="0.25">
      <c r="A157">
        <v>153</v>
      </c>
      <c r="B157">
        <v>1</v>
      </c>
      <c r="C157">
        <v>2</v>
      </c>
      <c r="D157">
        <v>60.014999000000003</v>
      </c>
      <c r="E157">
        <v>18.780999999999999</v>
      </c>
      <c r="F157">
        <v>4.7999999999999996E-3</v>
      </c>
      <c r="G157">
        <v>1</v>
      </c>
      <c r="H157">
        <v>40</v>
      </c>
      <c r="I157">
        <v>60.093800000000002</v>
      </c>
      <c r="J157">
        <v>18.780999999999999</v>
      </c>
      <c r="K157">
        <v>4.7999999999999996E-3</v>
      </c>
      <c r="L157">
        <v>0</v>
      </c>
      <c r="M157">
        <v>0</v>
      </c>
      <c r="N157">
        <v>-1</v>
      </c>
      <c r="O157">
        <v>60.014999000000003</v>
      </c>
      <c r="P157">
        <v>18.780999999999999</v>
      </c>
      <c r="Q157">
        <v>-3.0464000000000002</v>
      </c>
      <c r="R157">
        <v>1</v>
      </c>
      <c r="S157">
        <v>40</v>
      </c>
      <c r="T157">
        <v>60.093800000000002</v>
      </c>
      <c r="U157">
        <v>18.780999999999999</v>
      </c>
      <c r="V157">
        <v>-3.0464000000000002</v>
      </c>
      <c r="W157">
        <v>0</v>
      </c>
      <c r="X157">
        <v>0</v>
      </c>
      <c r="Y157">
        <v>-1</v>
      </c>
    </row>
    <row r="158" spans="1:25" x14ac:dyDescent="0.25">
      <c r="A158">
        <v>154</v>
      </c>
      <c r="B158">
        <v>1</v>
      </c>
      <c r="C158">
        <v>2</v>
      </c>
      <c r="D158">
        <v>60.093800000000002</v>
      </c>
      <c r="E158">
        <v>18.859698999999999</v>
      </c>
      <c r="F158">
        <v>4.7999999999999996E-3</v>
      </c>
      <c r="G158">
        <v>0</v>
      </c>
      <c r="H158">
        <v>30</v>
      </c>
      <c r="L158">
        <v>0</v>
      </c>
      <c r="M158">
        <v>0</v>
      </c>
      <c r="N158">
        <v>1</v>
      </c>
      <c r="O158">
        <v>60.093800000000002</v>
      </c>
      <c r="P158">
        <v>18.859698999999999</v>
      </c>
      <c r="Q158">
        <v>-3.0464000000000002</v>
      </c>
      <c r="R158">
        <v>0</v>
      </c>
      <c r="S158">
        <v>30</v>
      </c>
      <c r="U158"/>
      <c r="W158">
        <v>0</v>
      </c>
      <c r="X158">
        <v>0</v>
      </c>
      <c r="Y158">
        <v>1</v>
      </c>
    </row>
    <row r="159" spans="1:25" x14ac:dyDescent="0.25">
      <c r="A159">
        <v>155</v>
      </c>
      <c r="B159">
        <v>1</v>
      </c>
      <c r="C159">
        <v>1</v>
      </c>
      <c r="D159">
        <v>60.562302000000003</v>
      </c>
      <c r="E159">
        <v>18.859698999999999</v>
      </c>
      <c r="F159">
        <v>4.7999999999999996E-3</v>
      </c>
      <c r="G159">
        <v>0</v>
      </c>
      <c r="H159">
        <v>60</v>
      </c>
      <c r="L159">
        <v>0</v>
      </c>
      <c r="M159">
        <v>0</v>
      </c>
      <c r="N159">
        <v>1</v>
      </c>
      <c r="O159">
        <v>60.877200999999999</v>
      </c>
      <c r="P159">
        <v>18.859698999999999</v>
      </c>
      <c r="Q159">
        <v>-3.0464000000000002</v>
      </c>
      <c r="R159">
        <v>0</v>
      </c>
      <c r="S159">
        <v>60</v>
      </c>
      <c r="U159"/>
      <c r="W159">
        <v>0</v>
      </c>
      <c r="X159">
        <v>0</v>
      </c>
      <c r="Y159">
        <v>1</v>
      </c>
    </row>
    <row r="160" spans="1:25" x14ac:dyDescent="0.25">
      <c r="A160">
        <v>156</v>
      </c>
      <c r="B160">
        <v>1</v>
      </c>
      <c r="C160">
        <v>1</v>
      </c>
      <c r="D160">
        <v>60.566200000000002</v>
      </c>
      <c r="E160">
        <v>18.859698999999999</v>
      </c>
      <c r="F160">
        <v>4.7999999999999996E-3</v>
      </c>
      <c r="G160">
        <v>0</v>
      </c>
      <c r="H160">
        <v>60</v>
      </c>
      <c r="L160">
        <v>0</v>
      </c>
      <c r="M160">
        <v>0</v>
      </c>
      <c r="N160">
        <v>1</v>
      </c>
      <c r="O160">
        <v>60.881199000000002</v>
      </c>
      <c r="P160">
        <v>18.859698999999999</v>
      </c>
      <c r="Q160">
        <v>-3.0464000000000002</v>
      </c>
      <c r="R160">
        <v>0</v>
      </c>
      <c r="S160">
        <v>60</v>
      </c>
      <c r="U160"/>
      <c r="W160">
        <v>0</v>
      </c>
      <c r="X160">
        <v>0</v>
      </c>
      <c r="Y160">
        <v>1</v>
      </c>
    </row>
    <row r="161" spans="1:25" x14ac:dyDescent="0.25">
      <c r="A161">
        <v>157</v>
      </c>
      <c r="B161">
        <v>0</v>
      </c>
      <c r="C161">
        <v>1</v>
      </c>
      <c r="D161">
        <v>60.881199000000002</v>
      </c>
      <c r="E161">
        <v>18.859698999999999</v>
      </c>
      <c r="F161">
        <v>4.7999999999999996E-3</v>
      </c>
      <c r="G161">
        <v>0</v>
      </c>
      <c r="H161">
        <v>0</v>
      </c>
      <c r="L161">
        <v>0</v>
      </c>
      <c r="M161">
        <v>0</v>
      </c>
      <c r="N161">
        <v>1</v>
      </c>
      <c r="O161">
        <v>60.881199000000002</v>
      </c>
      <c r="P161">
        <v>18.859698999999999</v>
      </c>
      <c r="Q161">
        <v>-3.0464000000000002</v>
      </c>
      <c r="R161">
        <v>0</v>
      </c>
      <c r="S161">
        <v>0</v>
      </c>
      <c r="U161"/>
      <c r="W161">
        <v>0</v>
      </c>
      <c r="X161">
        <v>0</v>
      </c>
      <c r="Y161">
        <v>1</v>
      </c>
    </row>
    <row r="162" spans="1:25" x14ac:dyDescent="0.25">
      <c r="A162">
        <v>158</v>
      </c>
      <c r="B162">
        <v>0</v>
      </c>
      <c r="C162">
        <v>0</v>
      </c>
      <c r="D162">
        <v>60.881199000000002</v>
      </c>
      <c r="E162">
        <v>18.859698999999999</v>
      </c>
      <c r="F162">
        <v>0.51659999999999995</v>
      </c>
      <c r="G162">
        <v>0</v>
      </c>
      <c r="H162">
        <v>0</v>
      </c>
      <c r="L162">
        <v>0</v>
      </c>
      <c r="M162">
        <v>0</v>
      </c>
      <c r="N162">
        <v>1</v>
      </c>
      <c r="O162">
        <v>60.881199000000002</v>
      </c>
      <c r="P162">
        <v>18.859698999999999</v>
      </c>
      <c r="Q162">
        <v>-2.5346000000000002</v>
      </c>
      <c r="R162">
        <v>0</v>
      </c>
      <c r="S162">
        <v>0</v>
      </c>
      <c r="U162"/>
      <c r="W162">
        <v>0</v>
      </c>
      <c r="X162">
        <v>0</v>
      </c>
      <c r="Y162">
        <v>1</v>
      </c>
    </row>
    <row r="163" spans="1:25" x14ac:dyDescent="0.25">
      <c r="A163">
        <v>159</v>
      </c>
      <c r="B163">
        <v>0</v>
      </c>
      <c r="C163">
        <v>0</v>
      </c>
      <c r="D163">
        <v>64.403296999999995</v>
      </c>
      <c r="E163">
        <v>19.662800000000001</v>
      </c>
      <c r="F163">
        <v>0.62860000000000005</v>
      </c>
      <c r="G163">
        <v>0</v>
      </c>
      <c r="H163">
        <v>0</v>
      </c>
      <c r="L163">
        <v>0</v>
      </c>
      <c r="M163">
        <v>0</v>
      </c>
      <c r="N163">
        <v>1</v>
      </c>
      <c r="O163">
        <v>64.403296999999995</v>
      </c>
      <c r="P163">
        <v>19.662800000000001</v>
      </c>
      <c r="Q163">
        <v>-2.4226000000000001</v>
      </c>
      <c r="R163">
        <v>0</v>
      </c>
      <c r="S163">
        <v>0</v>
      </c>
      <c r="U163"/>
      <c r="W163">
        <v>0</v>
      </c>
      <c r="X163">
        <v>0</v>
      </c>
      <c r="Y163">
        <v>1</v>
      </c>
    </row>
    <row r="164" spans="1:25" x14ac:dyDescent="0.25">
      <c r="A164">
        <v>160</v>
      </c>
      <c r="B164">
        <v>0</v>
      </c>
      <c r="C164">
        <v>0</v>
      </c>
      <c r="D164">
        <v>64.446999000000005</v>
      </c>
      <c r="E164">
        <v>0.46929999999999999</v>
      </c>
      <c r="F164">
        <v>0.62860000000000005</v>
      </c>
      <c r="G164">
        <v>0</v>
      </c>
      <c r="H164">
        <v>0</v>
      </c>
      <c r="L164">
        <v>0</v>
      </c>
      <c r="M164">
        <v>0</v>
      </c>
      <c r="N164">
        <v>1</v>
      </c>
      <c r="O164">
        <v>64.446999000000005</v>
      </c>
      <c r="P164">
        <v>0.46929999999999999</v>
      </c>
      <c r="Q164">
        <v>-2.4226000000000001</v>
      </c>
      <c r="R164">
        <v>0</v>
      </c>
      <c r="S164">
        <v>0</v>
      </c>
      <c r="U164"/>
      <c r="W164">
        <v>0</v>
      </c>
      <c r="X164">
        <v>0</v>
      </c>
      <c r="Y164">
        <v>1</v>
      </c>
    </row>
    <row r="165" spans="1:25" x14ac:dyDescent="0.25">
      <c r="A165">
        <v>161</v>
      </c>
      <c r="B165">
        <v>0</v>
      </c>
      <c r="C165">
        <v>0</v>
      </c>
      <c r="D165">
        <v>76.664597000000001</v>
      </c>
      <c r="E165">
        <v>2.8254000000000001</v>
      </c>
      <c r="F165">
        <v>0.62280000000000002</v>
      </c>
      <c r="G165">
        <v>0</v>
      </c>
      <c r="H165">
        <v>0</v>
      </c>
      <c r="L165">
        <v>0</v>
      </c>
      <c r="M165">
        <v>0</v>
      </c>
      <c r="N165">
        <v>1</v>
      </c>
      <c r="O165">
        <v>76.664597000000001</v>
      </c>
      <c r="P165">
        <v>2.8254000000000001</v>
      </c>
      <c r="Q165">
        <v>-2.4165000000000001</v>
      </c>
      <c r="R165">
        <v>0</v>
      </c>
      <c r="S165">
        <v>0</v>
      </c>
      <c r="U165"/>
      <c r="W165">
        <v>0</v>
      </c>
      <c r="X165">
        <v>0</v>
      </c>
      <c r="Y165">
        <v>1</v>
      </c>
    </row>
    <row r="166" spans="1:25" x14ac:dyDescent="0.25">
      <c r="A166">
        <v>162</v>
      </c>
      <c r="B166">
        <v>1</v>
      </c>
      <c r="C166">
        <v>-1</v>
      </c>
      <c r="D166">
        <v>76.664597000000001</v>
      </c>
      <c r="E166">
        <v>2.8254000000000001</v>
      </c>
      <c r="F166">
        <v>0.111</v>
      </c>
      <c r="G166">
        <v>0</v>
      </c>
      <c r="H166">
        <v>60</v>
      </c>
      <c r="L166">
        <v>0</v>
      </c>
      <c r="M166">
        <v>0</v>
      </c>
      <c r="N166">
        <v>1</v>
      </c>
      <c r="O166">
        <v>76.664597000000001</v>
      </c>
      <c r="P166">
        <v>2.8254000000000001</v>
      </c>
      <c r="Q166">
        <v>-2.9283000000000001</v>
      </c>
      <c r="R166">
        <v>0</v>
      </c>
      <c r="S166">
        <v>60</v>
      </c>
      <c r="U166"/>
      <c r="W166">
        <v>0</v>
      </c>
      <c r="X166">
        <v>0</v>
      </c>
      <c r="Y166">
        <v>1</v>
      </c>
    </row>
    <row r="167" spans="1:25" x14ac:dyDescent="0.25">
      <c r="A167">
        <v>163</v>
      </c>
      <c r="B167">
        <v>1</v>
      </c>
      <c r="C167">
        <v>-1</v>
      </c>
      <c r="D167">
        <v>76.664597000000001</v>
      </c>
      <c r="E167">
        <v>2.9434999999999998</v>
      </c>
      <c r="F167">
        <v>0.111</v>
      </c>
      <c r="G167">
        <v>0</v>
      </c>
      <c r="H167">
        <v>60</v>
      </c>
      <c r="L167">
        <v>0</v>
      </c>
      <c r="M167">
        <v>0</v>
      </c>
      <c r="N167">
        <v>1</v>
      </c>
      <c r="O167">
        <v>76.664597000000001</v>
      </c>
      <c r="P167">
        <v>2.8254000000000001</v>
      </c>
      <c r="Q167">
        <v>-2.9283000000000001</v>
      </c>
      <c r="R167">
        <v>0</v>
      </c>
      <c r="S167">
        <v>60</v>
      </c>
      <c r="U167"/>
      <c r="W167">
        <v>0</v>
      </c>
      <c r="X167">
        <v>0</v>
      </c>
      <c r="Y167">
        <v>1</v>
      </c>
    </row>
    <row r="168" spans="1:25" x14ac:dyDescent="0.25">
      <c r="A168">
        <v>164</v>
      </c>
      <c r="B168">
        <v>1</v>
      </c>
      <c r="C168">
        <v>2</v>
      </c>
      <c r="D168">
        <v>76.664597000000001</v>
      </c>
      <c r="E168">
        <v>3.0222000000000002</v>
      </c>
      <c r="F168">
        <v>0.111</v>
      </c>
      <c r="G168">
        <v>0</v>
      </c>
      <c r="H168">
        <v>60</v>
      </c>
      <c r="L168">
        <v>0</v>
      </c>
      <c r="M168">
        <v>0</v>
      </c>
      <c r="N168">
        <v>1</v>
      </c>
      <c r="O168">
        <v>76.664597000000001</v>
      </c>
      <c r="P168">
        <v>2.9041000000000001</v>
      </c>
      <c r="Q168">
        <v>-2.9283000000000001</v>
      </c>
      <c r="R168">
        <v>0</v>
      </c>
      <c r="S168">
        <v>60</v>
      </c>
      <c r="U168"/>
      <c r="W168">
        <v>0</v>
      </c>
      <c r="X168">
        <v>0</v>
      </c>
      <c r="Y168">
        <v>1</v>
      </c>
    </row>
    <row r="169" spans="1:25" x14ac:dyDescent="0.25">
      <c r="A169">
        <v>165</v>
      </c>
      <c r="B169">
        <v>1</v>
      </c>
      <c r="C169">
        <v>1</v>
      </c>
      <c r="D169">
        <v>76.664597000000001</v>
      </c>
      <c r="E169">
        <v>6.0251000000000001</v>
      </c>
      <c r="F169">
        <v>0.111</v>
      </c>
      <c r="G169">
        <v>0</v>
      </c>
      <c r="H169">
        <v>60</v>
      </c>
      <c r="L169">
        <v>0</v>
      </c>
      <c r="M169">
        <v>0</v>
      </c>
      <c r="N169">
        <v>1</v>
      </c>
      <c r="O169">
        <v>76.664597000000001</v>
      </c>
      <c r="P169">
        <v>6.5872000000000002</v>
      </c>
      <c r="Q169">
        <v>-2.9283000000000001</v>
      </c>
      <c r="R169">
        <v>0</v>
      </c>
      <c r="S169">
        <v>60</v>
      </c>
      <c r="U169"/>
      <c r="W169">
        <v>0</v>
      </c>
      <c r="X169">
        <v>0</v>
      </c>
      <c r="Y169">
        <v>1</v>
      </c>
    </row>
    <row r="170" spans="1:25" x14ac:dyDescent="0.25">
      <c r="A170">
        <v>166</v>
      </c>
      <c r="B170">
        <v>0</v>
      </c>
      <c r="C170">
        <v>1</v>
      </c>
      <c r="D170">
        <v>76.664597000000001</v>
      </c>
      <c r="E170">
        <v>6.0289999999999999</v>
      </c>
      <c r="F170">
        <v>0.111</v>
      </c>
      <c r="G170">
        <v>0</v>
      </c>
      <c r="H170">
        <v>0</v>
      </c>
      <c r="L170">
        <v>0</v>
      </c>
      <c r="M170">
        <v>0</v>
      </c>
      <c r="N170">
        <v>1</v>
      </c>
      <c r="O170">
        <v>76.664597000000001</v>
      </c>
      <c r="P170">
        <v>6.5911</v>
      </c>
      <c r="Q170">
        <v>-2.9283000000000001</v>
      </c>
      <c r="R170">
        <v>0</v>
      </c>
      <c r="S170">
        <v>0</v>
      </c>
      <c r="U170"/>
      <c r="W170">
        <v>0</v>
      </c>
      <c r="X170">
        <v>0</v>
      </c>
      <c r="Y170">
        <v>1</v>
      </c>
    </row>
    <row r="171" spans="1:25" x14ac:dyDescent="0.25">
      <c r="A171">
        <v>167</v>
      </c>
      <c r="B171">
        <v>0</v>
      </c>
      <c r="C171">
        <v>0</v>
      </c>
      <c r="D171">
        <v>76.664597000000001</v>
      </c>
      <c r="E171">
        <v>6.0289999999999999</v>
      </c>
      <c r="F171">
        <v>0.62280000000000002</v>
      </c>
      <c r="G171">
        <v>0</v>
      </c>
      <c r="H171">
        <v>0</v>
      </c>
      <c r="L171">
        <v>0</v>
      </c>
      <c r="M171">
        <v>0</v>
      </c>
      <c r="N171">
        <v>1</v>
      </c>
      <c r="O171">
        <v>76.664597000000001</v>
      </c>
      <c r="P171">
        <v>6.5911</v>
      </c>
      <c r="Q171">
        <v>-2.4165000000000001</v>
      </c>
      <c r="R171">
        <v>0</v>
      </c>
      <c r="S171">
        <v>0</v>
      </c>
      <c r="U171"/>
      <c r="W171">
        <v>0</v>
      </c>
      <c r="X171">
        <v>0</v>
      </c>
      <c r="Y171">
        <v>1</v>
      </c>
    </row>
    <row r="172" spans="1:25" x14ac:dyDescent="0.25">
      <c r="A172">
        <v>168</v>
      </c>
      <c r="B172">
        <v>0</v>
      </c>
      <c r="C172">
        <v>0</v>
      </c>
      <c r="D172">
        <v>76.624199000000004</v>
      </c>
      <c r="E172">
        <v>8.6193000000000008</v>
      </c>
      <c r="F172">
        <v>0.62860000000000005</v>
      </c>
      <c r="G172">
        <v>0</v>
      </c>
      <c r="H172">
        <v>0</v>
      </c>
      <c r="L172">
        <v>0</v>
      </c>
      <c r="M172">
        <v>0</v>
      </c>
      <c r="N172">
        <v>1</v>
      </c>
      <c r="O172">
        <v>76.624199000000004</v>
      </c>
      <c r="P172">
        <v>9.1814999999999998</v>
      </c>
      <c r="Q172">
        <v>-2.4106999999999998</v>
      </c>
      <c r="R172">
        <v>0</v>
      </c>
      <c r="S172">
        <v>0</v>
      </c>
      <c r="U172"/>
      <c r="W172">
        <v>0</v>
      </c>
      <c r="X172">
        <v>0</v>
      </c>
      <c r="Y172">
        <v>1</v>
      </c>
    </row>
    <row r="173" spans="1:25" x14ac:dyDescent="0.25">
      <c r="A173">
        <v>169</v>
      </c>
      <c r="B173">
        <v>0</v>
      </c>
      <c r="C173">
        <v>0</v>
      </c>
      <c r="D173">
        <v>68.278801000000001</v>
      </c>
      <c r="E173">
        <v>17.137599999999999</v>
      </c>
      <c r="F173">
        <v>0.51659999999999995</v>
      </c>
      <c r="G173">
        <v>0</v>
      </c>
      <c r="H173">
        <v>0</v>
      </c>
      <c r="L173">
        <v>0</v>
      </c>
      <c r="M173">
        <v>0</v>
      </c>
      <c r="N173">
        <v>1</v>
      </c>
      <c r="O173">
        <v>68.200103999999996</v>
      </c>
      <c r="P173">
        <v>16.8706</v>
      </c>
      <c r="Q173">
        <v>-2.5346000000000002</v>
      </c>
      <c r="R173">
        <v>0</v>
      </c>
      <c r="S173">
        <v>0</v>
      </c>
      <c r="U173"/>
      <c r="W173">
        <v>0</v>
      </c>
      <c r="X173">
        <v>0</v>
      </c>
      <c r="Y173">
        <v>1</v>
      </c>
    </row>
    <row r="174" spans="1:25" x14ac:dyDescent="0.25">
      <c r="A174">
        <v>170</v>
      </c>
      <c r="B174">
        <v>1</v>
      </c>
      <c r="C174">
        <v>-1</v>
      </c>
      <c r="D174">
        <v>68.278801000000001</v>
      </c>
      <c r="E174">
        <v>17.137599999999999</v>
      </c>
      <c r="F174">
        <v>4.7999999999999996E-3</v>
      </c>
      <c r="G174">
        <v>0</v>
      </c>
      <c r="H174">
        <v>60</v>
      </c>
      <c r="L174">
        <v>0</v>
      </c>
      <c r="M174">
        <v>0</v>
      </c>
      <c r="N174">
        <v>1</v>
      </c>
      <c r="O174">
        <v>68.200103999999996</v>
      </c>
      <c r="P174">
        <v>16.8706</v>
      </c>
      <c r="Q174">
        <v>-3.0464000000000002</v>
      </c>
      <c r="R174">
        <v>0</v>
      </c>
      <c r="S174">
        <v>60</v>
      </c>
      <c r="U174"/>
      <c r="W174">
        <v>0</v>
      </c>
      <c r="X174">
        <v>0</v>
      </c>
      <c r="Y174">
        <v>1</v>
      </c>
    </row>
    <row r="175" spans="1:25" x14ac:dyDescent="0.25">
      <c r="A175">
        <v>171</v>
      </c>
      <c r="B175">
        <v>1</v>
      </c>
      <c r="C175">
        <v>2</v>
      </c>
      <c r="D175">
        <v>68.436301999999998</v>
      </c>
      <c r="E175">
        <v>17.137198999999999</v>
      </c>
      <c r="F175">
        <v>4.7999999999999996E-3</v>
      </c>
      <c r="G175">
        <v>0</v>
      </c>
      <c r="H175">
        <v>60</v>
      </c>
      <c r="L175">
        <v>0</v>
      </c>
      <c r="M175">
        <v>0</v>
      </c>
      <c r="N175">
        <v>1</v>
      </c>
      <c r="O175">
        <v>68.357498000000007</v>
      </c>
      <c r="P175">
        <v>16.8703</v>
      </c>
      <c r="Q175">
        <v>-3.0464000000000002</v>
      </c>
      <c r="R175">
        <v>0</v>
      </c>
      <c r="S175">
        <v>60</v>
      </c>
      <c r="U175"/>
      <c r="W175">
        <v>0</v>
      </c>
      <c r="X175">
        <v>0</v>
      </c>
      <c r="Y175">
        <v>1</v>
      </c>
    </row>
    <row r="176" spans="1:25" x14ac:dyDescent="0.25">
      <c r="A176">
        <v>172</v>
      </c>
      <c r="B176">
        <v>1</v>
      </c>
      <c r="C176">
        <v>2</v>
      </c>
      <c r="D176">
        <v>70.062302000000003</v>
      </c>
      <c r="E176">
        <v>17.137198999999999</v>
      </c>
      <c r="F176">
        <v>4.7999999999999996E-3</v>
      </c>
      <c r="G176">
        <v>0</v>
      </c>
      <c r="H176">
        <v>40</v>
      </c>
      <c r="L176">
        <v>0</v>
      </c>
      <c r="M176">
        <v>0</v>
      </c>
      <c r="N176">
        <v>1</v>
      </c>
      <c r="O176">
        <v>70.062302000000003</v>
      </c>
      <c r="P176">
        <v>16.8703</v>
      </c>
      <c r="Q176">
        <v>-3.0464000000000002</v>
      </c>
      <c r="R176">
        <v>0</v>
      </c>
      <c r="S176">
        <v>40</v>
      </c>
      <c r="U176"/>
      <c r="W176">
        <v>0</v>
      </c>
      <c r="X176">
        <v>0</v>
      </c>
      <c r="Y176">
        <v>1</v>
      </c>
    </row>
    <row r="177" spans="1:25" x14ac:dyDescent="0.25">
      <c r="A177">
        <v>173</v>
      </c>
      <c r="B177">
        <v>1</v>
      </c>
      <c r="C177">
        <v>2</v>
      </c>
      <c r="D177">
        <v>70.062302000000003</v>
      </c>
      <c r="E177">
        <v>17.561501</v>
      </c>
      <c r="F177">
        <v>4.7999999999999996E-3</v>
      </c>
      <c r="G177">
        <v>1</v>
      </c>
      <c r="H177">
        <v>40</v>
      </c>
      <c r="I177">
        <v>70.101996999999997</v>
      </c>
      <c r="J177">
        <v>17.561899</v>
      </c>
      <c r="K177">
        <v>4.7999999999999996E-3</v>
      </c>
      <c r="L177">
        <v>0</v>
      </c>
      <c r="M177">
        <v>0</v>
      </c>
      <c r="N177">
        <v>-1</v>
      </c>
      <c r="O177">
        <v>70.062302000000003</v>
      </c>
      <c r="P177">
        <v>16.951899999999998</v>
      </c>
      <c r="Q177">
        <v>-3.0464000000000002</v>
      </c>
      <c r="R177">
        <v>1</v>
      </c>
      <c r="S177">
        <v>40</v>
      </c>
      <c r="T177">
        <v>70.101996999999997</v>
      </c>
      <c r="U177">
        <v>16.952200000000001</v>
      </c>
      <c r="V177">
        <v>-3.0464000000000002</v>
      </c>
      <c r="W177">
        <v>0</v>
      </c>
      <c r="X177">
        <v>0</v>
      </c>
      <c r="Y177">
        <v>-1</v>
      </c>
    </row>
    <row r="178" spans="1:25" x14ac:dyDescent="0.25">
      <c r="A178">
        <v>174</v>
      </c>
      <c r="B178">
        <v>1</v>
      </c>
      <c r="C178">
        <v>2</v>
      </c>
      <c r="D178">
        <v>70.101601000000002</v>
      </c>
      <c r="E178">
        <v>17.601700000000001</v>
      </c>
      <c r="F178">
        <v>4.7999999999999996E-3</v>
      </c>
      <c r="G178">
        <v>0</v>
      </c>
      <c r="H178">
        <v>40</v>
      </c>
      <c r="L178">
        <v>0</v>
      </c>
      <c r="M178">
        <v>0</v>
      </c>
      <c r="N178">
        <v>1</v>
      </c>
      <c r="O178">
        <v>70.101601000000002</v>
      </c>
      <c r="P178">
        <v>16.992000999999998</v>
      </c>
      <c r="Q178">
        <v>-3.0464000000000002</v>
      </c>
      <c r="R178">
        <v>0</v>
      </c>
      <c r="S178">
        <v>40</v>
      </c>
      <c r="U178"/>
      <c r="W178">
        <v>0</v>
      </c>
      <c r="X178">
        <v>0</v>
      </c>
      <c r="Y178">
        <v>1</v>
      </c>
    </row>
    <row r="179" spans="1:25" x14ac:dyDescent="0.25">
      <c r="A179">
        <v>175</v>
      </c>
      <c r="B179">
        <v>1</v>
      </c>
      <c r="C179">
        <v>2</v>
      </c>
      <c r="D179">
        <v>70.574096999999995</v>
      </c>
      <c r="E179">
        <v>17.601700000000001</v>
      </c>
      <c r="F179">
        <v>4.7999999999999996E-3</v>
      </c>
      <c r="G179">
        <v>0</v>
      </c>
      <c r="H179">
        <v>75</v>
      </c>
      <c r="L179">
        <v>0</v>
      </c>
      <c r="M179">
        <v>0</v>
      </c>
      <c r="N179">
        <v>1</v>
      </c>
      <c r="O179">
        <v>70.574096999999995</v>
      </c>
      <c r="P179">
        <v>16.992000999999998</v>
      </c>
      <c r="Q179">
        <v>-3.0464000000000002</v>
      </c>
      <c r="R179">
        <v>0</v>
      </c>
      <c r="S179">
        <v>75</v>
      </c>
      <c r="U179"/>
      <c r="W179">
        <v>0</v>
      </c>
      <c r="X179">
        <v>0</v>
      </c>
      <c r="Y179">
        <v>1</v>
      </c>
    </row>
    <row r="180" spans="1:25" x14ac:dyDescent="0.25">
      <c r="A180">
        <v>176</v>
      </c>
      <c r="B180">
        <v>1</v>
      </c>
      <c r="C180">
        <v>2</v>
      </c>
      <c r="D180">
        <v>75.408698999999999</v>
      </c>
      <c r="E180">
        <v>17.992201000000001</v>
      </c>
      <c r="F180">
        <v>4.7999999999999996E-3</v>
      </c>
      <c r="G180">
        <v>0</v>
      </c>
      <c r="H180">
        <v>40</v>
      </c>
      <c r="L180">
        <v>0</v>
      </c>
      <c r="M180">
        <v>0</v>
      </c>
      <c r="N180">
        <v>1</v>
      </c>
      <c r="O180">
        <v>75.408698999999999</v>
      </c>
      <c r="P180">
        <v>16.921800999999999</v>
      </c>
      <c r="Q180">
        <v>-3.0464000000000002</v>
      </c>
      <c r="R180">
        <v>0</v>
      </c>
      <c r="S180">
        <v>40</v>
      </c>
      <c r="U180"/>
      <c r="W180">
        <v>0</v>
      </c>
      <c r="X180">
        <v>0</v>
      </c>
      <c r="Y180">
        <v>1</v>
      </c>
    </row>
    <row r="181" spans="1:25" x14ac:dyDescent="0.25">
      <c r="A181">
        <v>177</v>
      </c>
      <c r="B181">
        <v>1</v>
      </c>
      <c r="C181">
        <v>2</v>
      </c>
      <c r="D181">
        <v>76.156799000000007</v>
      </c>
      <c r="E181">
        <v>17.992201000000001</v>
      </c>
      <c r="F181">
        <v>4.7999999999999996E-3</v>
      </c>
      <c r="G181">
        <v>1</v>
      </c>
      <c r="H181">
        <v>40</v>
      </c>
      <c r="I181">
        <v>76.155501999999998</v>
      </c>
      <c r="J181">
        <v>17.951599000000002</v>
      </c>
      <c r="K181">
        <v>4.7999999999999996E-3</v>
      </c>
      <c r="L181">
        <v>0</v>
      </c>
      <c r="M181">
        <v>0</v>
      </c>
      <c r="N181">
        <v>-1</v>
      </c>
      <c r="O181">
        <v>76.156799000000007</v>
      </c>
      <c r="P181">
        <v>16.921800999999999</v>
      </c>
      <c r="Q181">
        <v>-3.0464000000000002</v>
      </c>
      <c r="R181">
        <v>1</v>
      </c>
      <c r="S181">
        <v>40</v>
      </c>
      <c r="T181">
        <v>76.155501999999998</v>
      </c>
      <c r="U181">
        <v>16.8813</v>
      </c>
      <c r="V181">
        <v>-3.0464000000000002</v>
      </c>
      <c r="W181">
        <v>0</v>
      </c>
      <c r="X181">
        <v>0</v>
      </c>
      <c r="Y181">
        <v>-1</v>
      </c>
    </row>
    <row r="182" spans="1:25" x14ac:dyDescent="0.25">
      <c r="A182">
        <v>178</v>
      </c>
      <c r="B182">
        <v>1</v>
      </c>
      <c r="C182">
        <v>2</v>
      </c>
      <c r="D182">
        <v>76.196098000000006</v>
      </c>
      <c r="E182">
        <v>17.950500000000002</v>
      </c>
      <c r="F182">
        <v>4.7999999999999996E-3</v>
      </c>
      <c r="G182">
        <v>0</v>
      </c>
      <c r="H182">
        <v>40</v>
      </c>
      <c r="L182">
        <v>0</v>
      </c>
      <c r="M182">
        <v>0</v>
      </c>
      <c r="N182">
        <v>1</v>
      </c>
      <c r="O182">
        <v>76.196098000000006</v>
      </c>
      <c r="P182">
        <v>16.880099999999999</v>
      </c>
      <c r="Q182">
        <v>-3.0464000000000002</v>
      </c>
      <c r="R182">
        <v>0</v>
      </c>
      <c r="S182">
        <v>40</v>
      </c>
      <c r="U182"/>
      <c r="W182">
        <v>0</v>
      </c>
      <c r="X182">
        <v>0</v>
      </c>
      <c r="Y182">
        <v>1</v>
      </c>
    </row>
    <row r="183" spans="1:25" x14ac:dyDescent="0.25">
      <c r="A183">
        <v>179</v>
      </c>
      <c r="B183">
        <v>1</v>
      </c>
      <c r="C183">
        <v>1</v>
      </c>
      <c r="D183">
        <v>76.196098000000006</v>
      </c>
      <c r="E183">
        <v>16.461300000000001</v>
      </c>
      <c r="F183">
        <v>4.7999999999999996E-3</v>
      </c>
      <c r="G183">
        <v>0</v>
      </c>
      <c r="H183">
        <v>60</v>
      </c>
      <c r="L183">
        <v>0</v>
      </c>
      <c r="M183">
        <v>0</v>
      </c>
      <c r="N183">
        <v>1</v>
      </c>
      <c r="O183">
        <v>76.196098000000006</v>
      </c>
      <c r="P183">
        <v>15.3909</v>
      </c>
      <c r="Q183">
        <v>-3.0464000000000002</v>
      </c>
      <c r="R183">
        <v>0</v>
      </c>
      <c r="S183">
        <v>60</v>
      </c>
      <c r="U183"/>
      <c r="W183">
        <v>0</v>
      </c>
      <c r="X183">
        <v>0</v>
      </c>
      <c r="Y183">
        <v>1</v>
      </c>
    </row>
    <row r="184" spans="1:25" x14ac:dyDescent="0.25">
      <c r="A184">
        <v>180</v>
      </c>
      <c r="B184">
        <v>0</v>
      </c>
      <c r="C184">
        <v>1</v>
      </c>
      <c r="D184">
        <v>76.196098000000006</v>
      </c>
      <c r="E184">
        <v>16.457398999999999</v>
      </c>
      <c r="F184">
        <v>4.7999999999999996E-3</v>
      </c>
      <c r="G184">
        <v>0</v>
      </c>
      <c r="H184">
        <v>0</v>
      </c>
      <c r="L184">
        <v>0</v>
      </c>
      <c r="M184">
        <v>0</v>
      </c>
      <c r="N184">
        <v>1</v>
      </c>
      <c r="O184">
        <v>76.196098000000006</v>
      </c>
      <c r="P184">
        <v>15.387</v>
      </c>
      <c r="Q184">
        <v>-3.0464000000000002</v>
      </c>
      <c r="R184">
        <v>0</v>
      </c>
      <c r="S184">
        <v>0</v>
      </c>
      <c r="U184"/>
      <c r="W184">
        <v>0</v>
      </c>
      <c r="X184">
        <v>0</v>
      </c>
      <c r="Y184">
        <v>1</v>
      </c>
    </row>
    <row r="185" spans="1:25" x14ac:dyDescent="0.25">
      <c r="A185">
        <v>181</v>
      </c>
      <c r="B185">
        <v>0</v>
      </c>
      <c r="C185">
        <v>0</v>
      </c>
      <c r="D185">
        <v>76.196098000000006</v>
      </c>
      <c r="E185">
        <v>16.457398999999999</v>
      </c>
      <c r="F185">
        <v>0.51659999999999995</v>
      </c>
      <c r="G185">
        <v>0</v>
      </c>
      <c r="H185">
        <v>0</v>
      </c>
      <c r="L185">
        <v>0</v>
      </c>
      <c r="M185">
        <v>0</v>
      </c>
      <c r="N185">
        <v>1</v>
      </c>
      <c r="O185">
        <v>76.196098000000006</v>
      </c>
      <c r="P185">
        <v>15.387</v>
      </c>
      <c r="Q185">
        <v>-2.5346000000000002</v>
      </c>
      <c r="R185">
        <v>0</v>
      </c>
      <c r="S185">
        <v>0</v>
      </c>
      <c r="U185"/>
      <c r="W185">
        <v>0</v>
      </c>
      <c r="X185">
        <v>0</v>
      </c>
      <c r="Y185">
        <v>1</v>
      </c>
    </row>
    <row r="186" spans="1:25" x14ac:dyDescent="0.25">
      <c r="A186">
        <v>182</v>
      </c>
      <c r="B186">
        <v>0</v>
      </c>
      <c r="C186">
        <v>0</v>
      </c>
      <c r="D186">
        <v>75.078002999999995</v>
      </c>
      <c r="E186">
        <v>19.125298999999998</v>
      </c>
      <c r="F186">
        <v>0.51659999999999995</v>
      </c>
      <c r="G186">
        <v>0</v>
      </c>
      <c r="H186">
        <v>0</v>
      </c>
      <c r="L186">
        <v>0</v>
      </c>
      <c r="M186">
        <v>0</v>
      </c>
      <c r="N186">
        <v>1</v>
      </c>
      <c r="O186">
        <v>75.078002999999995</v>
      </c>
      <c r="P186">
        <v>18.054898999999999</v>
      </c>
      <c r="Q186">
        <v>-2.5346000000000002</v>
      </c>
      <c r="R186">
        <v>0</v>
      </c>
      <c r="S186">
        <v>0</v>
      </c>
      <c r="U186"/>
      <c r="W186">
        <v>0</v>
      </c>
      <c r="X186">
        <v>0</v>
      </c>
      <c r="Y186">
        <v>1</v>
      </c>
    </row>
    <row r="187" spans="1:25" x14ac:dyDescent="0.25">
      <c r="A187">
        <v>183</v>
      </c>
      <c r="B187">
        <v>0</v>
      </c>
      <c r="C187">
        <v>0</v>
      </c>
      <c r="D187">
        <v>76.861503999999996</v>
      </c>
      <c r="E187">
        <v>19.184200000000001</v>
      </c>
      <c r="F187">
        <v>0.51659999999999995</v>
      </c>
      <c r="G187">
        <v>0</v>
      </c>
      <c r="H187">
        <v>0</v>
      </c>
      <c r="L187">
        <v>0</v>
      </c>
      <c r="M187">
        <v>0</v>
      </c>
      <c r="N187">
        <v>1</v>
      </c>
      <c r="O187">
        <v>76.940201000000002</v>
      </c>
      <c r="P187">
        <v>19.451098999999999</v>
      </c>
      <c r="Q187">
        <v>-2.5346000000000002</v>
      </c>
      <c r="R187">
        <v>0</v>
      </c>
      <c r="S187">
        <v>0</v>
      </c>
      <c r="U187"/>
      <c r="W187">
        <v>0</v>
      </c>
      <c r="X187">
        <v>0</v>
      </c>
      <c r="Y187">
        <v>1</v>
      </c>
    </row>
    <row r="188" spans="1:25" x14ac:dyDescent="0.25">
      <c r="A188">
        <v>184</v>
      </c>
      <c r="B188">
        <v>1</v>
      </c>
      <c r="C188">
        <v>-1</v>
      </c>
      <c r="D188">
        <v>76.861503999999996</v>
      </c>
      <c r="E188">
        <v>19.184200000000001</v>
      </c>
      <c r="F188">
        <v>4.7999999999999996E-3</v>
      </c>
      <c r="G188">
        <v>0</v>
      </c>
      <c r="H188">
        <v>60</v>
      </c>
      <c r="L188">
        <v>0</v>
      </c>
      <c r="M188">
        <v>0</v>
      </c>
      <c r="N188">
        <v>1</v>
      </c>
      <c r="O188">
        <v>76.940201000000002</v>
      </c>
      <c r="P188">
        <v>19.451098999999999</v>
      </c>
      <c r="Q188">
        <v>-3.0464000000000002</v>
      </c>
      <c r="R188">
        <v>0</v>
      </c>
      <c r="S188">
        <v>60</v>
      </c>
      <c r="U188"/>
      <c r="W188">
        <v>0</v>
      </c>
      <c r="X188">
        <v>0</v>
      </c>
      <c r="Y188">
        <v>1</v>
      </c>
    </row>
    <row r="189" spans="1:25" x14ac:dyDescent="0.25">
      <c r="A189">
        <v>185</v>
      </c>
      <c r="B189">
        <v>1</v>
      </c>
      <c r="C189">
        <v>2</v>
      </c>
      <c r="D189">
        <v>76.704002000000003</v>
      </c>
      <c r="E189">
        <v>19.1845</v>
      </c>
      <c r="F189">
        <v>4.7999999999999996E-3</v>
      </c>
      <c r="G189">
        <v>0</v>
      </c>
      <c r="H189">
        <v>60</v>
      </c>
      <c r="L189">
        <v>0</v>
      </c>
      <c r="M189">
        <v>0</v>
      </c>
      <c r="N189">
        <v>1</v>
      </c>
      <c r="O189">
        <v>76.782700000000006</v>
      </c>
      <c r="P189">
        <v>19.451499999999999</v>
      </c>
      <c r="Q189">
        <v>-3.0464000000000002</v>
      </c>
      <c r="R189">
        <v>0</v>
      </c>
      <c r="S189">
        <v>60</v>
      </c>
      <c r="U189"/>
      <c r="W189">
        <v>0</v>
      </c>
      <c r="X189">
        <v>0</v>
      </c>
      <c r="Y189">
        <v>1</v>
      </c>
    </row>
    <row r="190" spans="1:25" x14ac:dyDescent="0.25">
      <c r="A190">
        <v>186</v>
      </c>
      <c r="B190">
        <v>1</v>
      </c>
      <c r="C190">
        <v>2</v>
      </c>
      <c r="D190">
        <v>75.078002999999995</v>
      </c>
      <c r="E190">
        <v>19.1845</v>
      </c>
      <c r="F190">
        <v>4.7999999999999996E-3</v>
      </c>
      <c r="G190">
        <v>0</v>
      </c>
      <c r="H190">
        <v>40</v>
      </c>
      <c r="L190">
        <v>0</v>
      </c>
      <c r="M190">
        <v>0</v>
      </c>
      <c r="N190">
        <v>1</v>
      </c>
      <c r="O190">
        <v>75.078002999999995</v>
      </c>
      <c r="P190">
        <v>19.451499999999999</v>
      </c>
      <c r="Q190">
        <v>-3.0464000000000002</v>
      </c>
      <c r="R190">
        <v>0</v>
      </c>
      <c r="S190">
        <v>40</v>
      </c>
      <c r="U190"/>
      <c r="W190">
        <v>0</v>
      </c>
      <c r="X190">
        <v>0</v>
      </c>
      <c r="Y190">
        <v>1</v>
      </c>
    </row>
    <row r="191" spans="1:25" x14ac:dyDescent="0.25">
      <c r="A191">
        <v>187</v>
      </c>
      <c r="B191">
        <v>1</v>
      </c>
      <c r="C191">
        <v>2</v>
      </c>
      <c r="D191">
        <v>75.078002999999995</v>
      </c>
      <c r="E191">
        <v>18.760200999999999</v>
      </c>
      <c r="F191">
        <v>4.7999999999999996E-3</v>
      </c>
      <c r="G191">
        <v>1</v>
      </c>
      <c r="H191">
        <v>40</v>
      </c>
      <c r="I191">
        <v>75.038300000000007</v>
      </c>
      <c r="J191">
        <v>18.759799999999998</v>
      </c>
      <c r="K191">
        <v>4.7999999999999996E-3</v>
      </c>
      <c r="L191">
        <v>0</v>
      </c>
      <c r="M191">
        <v>0</v>
      </c>
      <c r="N191">
        <v>-1</v>
      </c>
      <c r="O191">
        <v>75.078002999999995</v>
      </c>
      <c r="P191">
        <v>19.369900000000001</v>
      </c>
      <c r="Q191">
        <v>-3.0464000000000002</v>
      </c>
      <c r="R191">
        <v>1</v>
      </c>
      <c r="S191">
        <v>40</v>
      </c>
      <c r="T191">
        <v>75.038300000000007</v>
      </c>
      <c r="U191">
        <v>19.369499000000001</v>
      </c>
      <c r="V191">
        <v>-3.0464000000000002</v>
      </c>
      <c r="W191">
        <v>0</v>
      </c>
      <c r="X191">
        <v>0</v>
      </c>
      <c r="Y191">
        <v>-1</v>
      </c>
    </row>
    <row r="192" spans="1:25" x14ac:dyDescent="0.25">
      <c r="A192">
        <v>188</v>
      </c>
      <c r="B192">
        <v>1</v>
      </c>
      <c r="C192">
        <v>2</v>
      </c>
      <c r="D192">
        <v>75.038596999999996</v>
      </c>
      <c r="E192">
        <v>18.720099999999999</v>
      </c>
      <c r="F192">
        <v>4.7999999999999996E-3</v>
      </c>
      <c r="G192">
        <v>0</v>
      </c>
      <c r="H192">
        <v>40</v>
      </c>
      <c r="L192">
        <v>0</v>
      </c>
      <c r="M192">
        <v>0</v>
      </c>
      <c r="N192">
        <v>1</v>
      </c>
      <c r="O192">
        <v>75.038596999999996</v>
      </c>
      <c r="P192">
        <v>19.329799999999999</v>
      </c>
      <c r="Q192">
        <v>-3.0464000000000002</v>
      </c>
      <c r="R192">
        <v>0</v>
      </c>
      <c r="S192">
        <v>40</v>
      </c>
      <c r="U192"/>
      <c r="W192">
        <v>0</v>
      </c>
      <c r="X192">
        <v>0</v>
      </c>
      <c r="Y192">
        <v>1</v>
      </c>
    </row>
    <row r="193" spans="1:25" x14ac:dyDescent="0.25">
      <c r="A193">
        <v>189</v>
      </c>
      <c r="B193">
        <v>1</v>
      </c>
      <c r="C193">
        <v>2</v>
      </c>
      <c r="D193">
        <v>74.566199999999995</v>
      </c>
      <c r="E193">
        <v>18.720099999999999</v>
      </c>
      <c r="F193">
        <v>4.7999999999999996E-3</v>
      </c>
      <c r="G193">
        <v>0</v>
      </c>
      <c r="H193">
        <v>75</v>
      </c>
      <c r="L193">
        <v>0</v>
      </c>
      <c r="M193">
        <v>0</v>
      </c>
      <c r="N193">
        <v>1</v>
      </c>
      <c r="O193">
        <v>74.566199999999995</v>
      </c>
      <c r="P193">
        <v>19.329799999999999</v>
      </c>
      <c r="Q193">
        <v>-3.0464000000000002</v>
      </c>
      <c r="R193">
        <v>0</v>
      </c>
      <c r="S193">
        <v>75</v>
      </c>
      <c r="U193"/>
      <c r="W193">
        <v>0</v>
      </c>
      <c r="X193">
        <v>0</v>
      </c>
      <c r="Y193">
        <v>1</v>
      </c>
    </row>
    <row r="194" spans="1:25" x14ac:dyDescent="0.25">
      <c r="A194">
        <v>190</v>
      </c>
      <c r="B194">
        <v>1</v>
      </c>
      <c r="C194">
        <v>2</v>
      </c>
      <c r="D194">
        <v>69.731598000000005</v>
      </c>
      <c r="E194">
        <v>18.329599000000002</v>
      </c>
      <c r="F194">
        <v>4.7999999999999996E-3</v>
      </c>
      <c r="G194">
        <v>0</v>
      </c>
      <c r="H194">
        <v>40</v>
      </c>
      <c r="L194">
        <v>0</v>
      </c>
      <c r="M194">
        <v>0</v>
      </c>
      <c r="N194">
        <v>1</v>
      </c>
      <c r="O194">
        <v>69.731598000000005</v>
      </c>
      <c r="P194">
        <v>19.399899999999999</v>
      </c>
      <c r="Q194">
        <v>-3.0464000000000002</v>
      </c>
      <c r="R194">
        <v>0</v>
      </c>
      <c r="S194">
        <v>40</v>
      </c>
      <c r="U194"/>
      <c r="W194">
        <v>0</v>
      </c>
      <c r="X194">
        <v>0</v>
      </c>
      <c r="Y194">
        <v>1</v>
      </c>
    </row>
    <row r="195" spans="1:25" x14ac:dyDescent="0.25">
      <c r="A195">
        <v>191</v>
      </c>
      <c r="B195">
        <v>1</v>
      </c>
      <c r="C195">
        <v>2</v>
      </c>
      <c r="D195">
        <v>68.983497999999997</v>
      </c>
      <c r="E195">
        <v>18.329599000000002</v>
      </c>
      <c r="F195">
        <v>4.7999999999999996E-3</v>
      </c>
      <c r="G195">
        <v>1</v>
      </c>
      <c r="H195">
        <v>40</v>
      </c>
      <c r="I195">
        <v>68.984702999999996</v>
      </c>
      <c r="J195">
        <v>18.370100000000001</v>
      </c>
      <c r="K195">
        <v>4.7999999999999996E-3</v>
      </c>
      <c r="L195">
        <v>0</v>
      </c>
      <c r="M195">
        <v>0</v>
      </c>
      <c r="N195">
        <v>-1</v>
      </c>
      <c r="O195">
        <v>68.983497999999997</v>
      </c>
      <c r="P195">
        <v>19.399899999999999</v>
      </c>
      <c r="Q195">
        <v>-3.0464000000000002</v>
      </c>
      <c r="R195">
        <v>1</v>
      </c>
      <c r="S195">
        <v>40</v>
      </c>
      <c r="T195">
        <v>68.984702999999996</v>
      </c>
      <c r="U195">
        <v>19.4405</v>
      </c>
      <c r="V195">
        <v>-3.0464000000000002</v>
      </c>
      <c r="W195">
        <v>0</v>
      </c>
      <c r="X195">
        <v>0</v>
      </c>
      <c r="Y195">
        <v>-1</v>
      </c>
    </row>
    <row r="196" spans="1:25" x14ac:dyDescent="0.25">
      <c r="A196">
        <v>192</v>
      </c>
      <c r="B196">
        <v>1</v>
      </c>
      <c r="C196">
        <v>2</v>
      </c>
      <c r="D196">
        <v>68.944198999999998</v>
      </c>
      <c r="E196">
        <v>18.371300000000002</v>
      </c>
      <c r="F196">
        <v>4.7999999999999996E-3</v>
      </c>
      <c r="G196">
        <v>0</v>
      </c>
      <c r="H196">
        <v>40</v>
      </c>
      <c r="L196">
        <v>0</v>
      </c>
      <c r="M196">
        <v>0</v>
      </c>
      <c r="N196">
        <v>1</v>
      </c>
      <c r="O196">
        <v>68.944198999999998</v>
      </c>
      <c r="P196">
        <v>19.441600999999999</v>
      </c>
      <c r="Q196">
        <v>-3.0464000000000002</v>
      </c>
      <c r="R196">
        <v>0</v>
      </c>
      <c r="S196">
        <v>40</v>
      </c>
      <c r="U196"/>
      <c r="W196">
        <v>0</v>
      </c>
      <c r="X196">
        <v>0</v>
      </c>
      <c r="Y196">
        <v>1</v>
      </c>
    </row>
    <row r="197" spans="1:25" x14ac:dyDescent="0.25">
      <c r="A197">
        <v>193</v>
      </c>
      <c r="B197">
        <v>1</v>
      </c>
      <c r="C197">
        <v>1</v>
      </c>
      <c r="D197">
        <v>68.944198999999998</v>
      </c>
      <c r="E197">
        <v>19.466298999999999</v>
      </c>
      <c r="F197">
        <v>4.7999999999999996E-3</v>
      </c>
      <c r="G197">
        <v>0</v>
      </c>
      <c r="H197">
        <v>60</v>
      </c>
      <c r="L197">
        <v>0</v>
      </c>
      <c r="M197">
        <v>0</v>
      </c>
      <c r="N197">
        <v>1</v>
      </c>
      <c r="O197">
        <v>68.944198999999998</v>
      </c>
      <c r="P197">
        <v>20.536698999999999</v>
      </c>
      <c r="Q197">
        <v>-3.0464000000000002</v>
      </c>
      <c r="R197">
        <v>0</v>
      </c>
      <c r="S197">
        <v>60</v>
      </c>
      <c r="U197"/>
      <c r="W197">
        <v>0</v>
      </c>
      <c r="X197">
        <v>0</v>
      </c>
      <c r="Y197">
        <v>1</v>
      </c>
    </row>
    <row r="198" spans="1:25" x14ac:dyDescent="0.25">
      <c r="A198">
        <v>194</v>
      </c>
      <c r="B198">
        <v>0</v>
      </c>
      <c r="C198">
        <v>1</v>
      </c>
      <c r="D198">
        <v>68.944198999999998</v>
      </c>
      <c r="E198">
        <v>19.470199999999998</v>
      </c>
      <c r="F198">
        <v>4.7999999999999996E-3</v>
      </c>
      <c r="G198">
        <v>0</v>
      </c>
      <c r="H198">
        <v>0</v>
      </c>
      <c r="L198">
        <v>0</v>
      </c>
      <c r="M198">
        <v>0</v>
      </c>
      <c r="N198">
        <v>1</v>
      </c>
      <c r="O198">
        <v>68.944198999999998</v>
      </c>
      <c r="P198">
        <v>20.540600000000001</v>
      </c>
      <c r="Q198">
        <v>-3.0464000000000002</v>
      </c>
      <c r="R198">
        <v>0</v>
      </c>
      <c r="S198">
        <v>0</v>
      </c>
      <c r="U198"/>
      <c r="W198">
        <v>0</v>
      </c>
      <c r="X198">
        <v>0</v>
      </c>
      <c r="Y198">
        <v>1</v>
      </c>
    </row>
    <row r="199" spans="1:25" x14ac:dyDescent="0.25">
      <c r="A199">
        <v>195</v>
      </c>
      <c r="B199">
        <v>0</v>
      </c>
      <c r="C199">
        <v>0</v>
      </c>
      <c r="D199">
        <v>68.944198999999998</v>
      </c>
      <c r="E199">
        <v>19.470199999999998</v>
      </c>
      <c r="F199">
        <v>0.51659999999999995</v>
      </c>
      <c r="G199">
        <v>0</v>
      </c>
      <c r="H199">
        <v>0</v>
      </c>
      <c r="L199">
        <v>0</v>
      </c>
      <c r="M199">
        <v>0</v>
      </c>
      <c r="N199">
        <v>1</v>
      </c>
      <c r="O199">
        <v>68.944198999999998</v>
      </c>
      <c r="P199">
        <v>20.540600000000001</v>
      </c>
      <c r="Q199">
        <v>-2.5346000000000002</v>
      </c>
      <c r="R199">
        <v>0</v>
      </c>
      <c r="S199">
        <v>0</v>
      </c>
      <c r="U199"/>
      <c r="W199">
        <v>0</v>
      </c>
      <c r="X199">
        <v>0</v>
      </c>
      <c r="Y199">
        <v>1</v>
      </c>
    </row>
    <row r="200" spans="1:25" x14ac:dyDescent="0.25">
      <c r="A200">
        <v>196</v>
      </c>
      <c r="B200">
        <v>0</v>
      </c>
      <c r="C200">
        <v>0</v>
      </c>
      <c r="D200">
        <v>70.062302000000003</v>
      </c>
      <c r="E200">
        <v>17.196501000000001</v>
      </c>
      <c r="F200">
        <v>0.51659999999999995</v>
      </c>
      <c r="G200">
        <v>0</v>
      </c>
      <c r="H200">
        <v>0</v>
      </c>
      <c r="L200">
        <v>0</v>
      </c>
      <c r="M200">
        <v>0</v>
      </c>
      <c r="N200">
        <v>1</v>
      </c>
      <c r="O200">
        <v>70.062302000000003</v>
      </c>
      <c r="P200">
        <v>18.266898999999999</v>
      </c>
      <c r="Q200">
        <v>-2.5346000000000002</v>
      </c>
      <c r="R200">
        <v>0</v>
      </c>
      <c r="S200">
        <v>0</v>
      </c>
      <c r="U200"/>
      <c r="W200">
        <v>0</v>
      </c>
      <c r="X200">
        <v>0</v>
      </c>
      <c r="Y200">
        <v>1</v>
      </c>
    </row>
    <row r="201" spans="1:25" x14ac:dyDescent="0.25">
      <c r="A201">
        <v>197</v>
      </c>
      <c r="B201">
        <v>0</v>
      </c>
      <c r="C201">
        <v>0</v>
      </c>
      <c r="D201">
        <v>68.357498000000007</v>
      </c>
      <c r="E201">
        <v>17.5014</v>
      </c>
      <c r="F201">
        <v>0.51659999999999995</v>
      </c>
      <c r="G201">
        <v>0</v>
      </c>
      <c r="H201">
        <v>0</v>
      </c>
      <c r="L201">
        <v>0</v>
      </c>
      <c r="M201">
        <v>0</v>
      </c>
      <c r="N201">
        <v>1</v>
      </c>
      <c r="O201">
        <v>68.357498000000007</v>
      </c>
      <c r="P201">
        <v>17.5014</v>
      </c>
      <c r="Q201">
        <v>-2.5346000000000002</v>
      </c>
      <c r="R201">
        <v>0</v>
      </c>
      <c r="S201">
        <v>0</v>
      </c>
      <c r="U201"/>
      <c r="W201">
        <v>0</v>
      </c>
      <c r="X201">
        <v>0</v>
      </c>
      <c r="Y201">
        <v>1</v>
      </c>
    </row>
    <row r="202" spans="1:25" x14ac:dyDescent="0.25">
      <c r="A202">
        <v>198</v>
      </c>
      <c r="B202">
        <v>1</v>
      </c>
      <c r="C202">
        <v>-1</v>
      </c>
      <c r="D202">
        <v>68.357498000000007</v>
      </c>
      <c r="E202">
        <v>17.5014</v>
      </c>
      <c r="F202">
        <v>4.7999999999999996E-3</v>
      </c>
      <c r="G202">
        <v>0</v>
      </c>
      <c r="H202">
        <v>60</v>
      </c>
      <c r="L202">
        <v>0</v>
      </c>
      <c r="M202">
        <v>0</v>
      </c>
      <c r="N202">
        <v>1</v>
      </c>
      <c r="O202">
        <v>68.357498000000007</v>
      </c>
      <c r="P202">
        <v>17.5014</v>
      </c>
      <c r="Q202">
        <v>-3.0464000000000002</v>
      </c>
      <c r="R202">
        <v>0</v>
      </c>
      <c r="S202">
        <v>60</v>
      </c>
      <c r="U202"/>
      <c r="W202">
        <v>0</v>
      </c>
      <c r="X202">
        <v>0</v>
      </c>
      <c r="Y202">
        <v>1</v>
      </c>
    </row>
    <row r="203" spans="1:25" x14ac:dyDescent="0.25">
      <c r="A203">
        <v>199</v>
      </c>
      <c r="B203">
        <v>1</v>
      </c>
      <c r="C203">
        <v>2</v>
      </c>
      <c r="D203">
        <v>68.436301999999998</v>
      </c>
      <c r="E203">
        <v>17.5014</v>
      </c>
      <c r="F203">
        <v>4.7999999999999996E-3</v>
      </c>
      <c r="G203">
        <v>0</v>
      </c>
      <c r="H203">
        <v>30</v>
      </c>
      <c r="L203">
        <v>0</v>
      </c>
      <c r="M203">
        <v>0</v>
      </c>
      <c r="N203">
        <v>1</v>
      </c>
      <c r="O203">
        <v>68.436301999999998</v>
      </c>
      <c r="P203">
        <v>17.5014</v>
      </c>
      <c r="Q203">
        <v>-3.0464000000000002</v>
      </c>
      <c r="R203">
        <v>0</v>
      </c>
      <c r="S203">
        <v>30</v>
      </c>
      <c r="U203"/>
      <c r="W203">
        <v>0</v>
      </c>
      <c r="X203">
        <v>0</v>
      </c>
      <c r="Y203">
        <v>1</v>
      </c>
    </row>
    <row r="204" spans="1:25" x14ac:dyDescent="0.25">
      <c r="A204">
        <v>200</v>
      </c>
      <c r="B204">
        <v>1</v>
      </c>
      <c r="C204">
        <v>2</v>
      </c>
      <c r="D204">
        <v>68.865402000000003</v>
      </c>
      <c r="E204">
        <v>17.5014</v>
      </c>
      <c r="F204">
        <v>4.7999999999999996E-3</v>
      </c>
      <c r="G204">
        <v>1</v>
      </c>
      <c r="H204">
        <v>40</v>
      </c>
      <c r="I204">
        <v>68.865402000000003</v>
      </c>
      <c r="J204">
        <v>17.580200000000001</v>
      </c>
      <c r="K204">
        <v>4.7999999999999996E-3</v>
      </c>
      <c r="L204">
        <v>0</v>
      </c>
      <c r="M204">
        <v>0</v>
      </c>
      <c r="N204">
        <v>1</v>
      </c>
      <c r="O204">
        <v>68.865402000000003</v>
      </c>
      <c r="P204">
        <v>17.5014</v>
      </c>
      <c r="Q204">
        <v>-3.0464000000000002</v>
      </c>
      <c r="R204">
        <v>1</v>
      </c>
      <c r="S204">
        <v>40</v>
      </c>
      <c r="T204">
        <v>68.865402000000003</v>
      </c>
      <c r="U204">
        <v>17.580200000000001</v>
      </c>
      <c r="V204">
        <v>-3.0464000000000002</v>
      </c>
      <c r="W204">
        <v>0</v>
      </c>
      <c r="X204">
        <v>0</v>
      </c>
      <c r="Y204">
        <v>1</v>
      </c>
    </row>
    <row r="205" spans="1:25" x14ac:dyDescent="0.25">
      <c r="A205">
        <v>201</v>
      </c>
      <c r="B205">
        <v>1</v>
      </c>
      <c r="C205">
        <v>2</v>
      </c>
      <c r="D205">
        <v>68.944198999999998</v>
      </c>
      <c r="E205">
        <v>17.580200000000001</v>
      </c>
      <c r="F205">
        <v>4.7999999999999996E-3</v>
      </c>
      <c r="G205">
        <v>0</v>
      </c>
      <c r="H205">
        <v>40</v>
      </c>
      <c r="L205">
        <v>0</v>
      </c>
      <c r="M205">
        <v>0</v>
      </c>
      <c r="N205">
        <v>1</v>
      </c>
      <c r="O205">
        <v>68.944198999999998</v>
      </c>
      <c r="P205">
        <v>17.580200000000001</v>
      </c>
      <c r="Q205">
        <v>-3.0464000000000002</v>
      </c>
      <c r="R205">
        <v>0</v>
      </c>
      <c r="S205">
        <v>40</v>
      </c>
      <c r="U205"/>
      <c r="W205">
        <v>0</v>
      </c>
      <c r="X205">
        <v>0</v>
      </c>
      <c r="Y205">
        <v>1</v>
      </c>
    </row>
    <row r="206" spans="1:25" x14ac:dyDescent="0.25">
      <c r="A206">
        <v>202</v>
      </c>
      <c r="B206">
        <v>1</v>
      </c>
      <c r="C206">
        <v>2</v>
      </c>
      <c r="D206">
        <v>68.944198999999998</v>
      </c>
      <c r="E206">
        <v>18.101800999999998</v>
      </c>
      <c r="F206">
        <v>4.7999999999999996E-3</v>
      </c>
      <c r="G206">
        <v>1</v>
      </c>
      <c r="H206">
        <v>40</v>
      </c>
      <c r="I206">
        <v>69.022902999999999</v>
      </c>
      <c r="J206">
        <v>18.101800999999998</v>
      </c>
      <c r="K206">
        <v>4.7999999999999996E-3</v>
      </c>
      <c r="L206">
        <v>0</v>
      </c>
      <c r="M206">
        <v>0</v>
      </c>
      <c r="N206">
        <v>-1</v>
      </c>
      <c r="O206">
        <v>68.944198999999998</v>
      </c>
      <c r="P206">
        <v>18.101800999999998</v>
      </c>
      <c r="Q206">
        <v>-3.0464000000000002</v>
      </c>
      <c r="R206">
        <v>1</v>
      </c>
      <c r="S206">
        <v>40</v>
      </c>
      <c r="T206">
        <v>69.022902999999999</v>
      </c>
      <c r="U206">
        <v>18.101800999999998</v>
      </c>
      <c r="V206">
        <v>-3.0464000000000002</v>
      </c>
      <c r="W206">
        <v>0</v>
      </c>
      <c r="X206">
        <v>0</v>
      </c>
      <c r="Y206">
        <v>-1</v>
      </c>
    </row>
    <row r="207" spans="1:25" x14ac:dyDescent="0.25">
      <c r="A207">
        <v>203</v>
      </c>
      <c r="B207">
        <v>1</v>
      </c>
      <c r="C207">
        <v>2</v>
      </c>
      <c r="D207">
        <v>69.022902999999999</v>
      </c>
      <c r="E207">
        <v>18.180599000000001</v>
      </c>
      <c r="F207">
        <v>4.7999999999999996E-3</v>
      </c>
      <c r="G207">
        <v>0</v>
      </c>
      <c r="H207">
        <v>70</v>
      </c>
      <c r="L207">
        <v>0</v>
      </c>
      <c r="M207">
        <v>0</v>
      </c>
      <c r="N207">
        <v>1</v>
      </c>
      <c r="O207">
        <v>69.022902999999999</v>
      </c>
      <c r="P207">
        <v>18.180599000000001</v>
      </c>
      <c r="Q207">
        <v>-3.0464000000000002</v>
      </c>
      <c r="R207">
        <v>0</v>
      </c>
      <c r="S207">
        <v>70</v>
      </c>
      <c r="U207"/>
      <c r="W207">
        <v>0</v>
      </c>
      <c r="X207">
        <v>0</v>
      </c>
      <c r="Y207">
        <v>1</v>
      </c>
    </row>
    <row r="208" spans="1:25" x14ac:dyDescent="0.25">
      <c r="A208">
        <v>204</v>
      </c>
      <c r="B208">
        <v>1</v>
      </c>
      <c r="C208">
        <v>2</v>
      </c>
      <c r="D208">
        <v>76.078002999999995</v>
      </c>
      <c r="E208">
        <v>18.180599000000001</v>
      </c>
      <c r="F208">
        <v>4.7999999999999996E-3</v>
      </c>
      <c r="G208">
        <v>1</v>
      </c>
      <c r="H208">
        <v>40</v>
      </c>
      <c r="I208">
        <v>76.078002999999995</v>
      </c>
      <c r="J208">
        <v>18.2593</v>
      </c>
      <c r="K208">
        <v>4.7999999999999996E-3</v>
      </c>
      <c r="L208">
        <v>0</v>
      </c>
      <c r="M208">
        <v>0</v>
      </c>
      <c r="N208">
        <v>1</v>
      </c>
      <c r="O208">
        <v>76.078002999999995</v>
      </c>
      <c r="P208">
        <v>18.180599000000001</v>
      </c>
      <c r="Q208">
        <v>-3.0464000000000002</v>
      </c>
      <c r="R208">
        <v>1</v>
      </c>
      <c r="S208">
        <v>40</v>
      </c>
      <c r="T208">
        <v>76.078002999999995</v>
      </c>
      <c r="U208">
        <v>18.2593</v>
      </c>
      <c r="V208">
        <v>-3.0464000000000002</v>
      </c>
      <c r="W208">
        <v>0</v>
      </c>
      <c r="X208">
        <v>0</v>
      </c>
      <c r="Y208">
        <v>1</v>
      </c>
    </row>
    <row r="209" spans="1:25" x14ac:dyDescent="0.25">
      <c r="A209">
        <v>205</v>
      </c>
      <c r="B209">
        <v>1</v>
      </c>
      <c r="C209">
        <v>2</v>
      </c>
      <c r="D209">
        <v>76.156799000000007</v>
      </c>
      <c r="E209">
        <v>18.2593</v>
      </c>
      <c r="F209">
        <v>4.7999999999999996E-3</v>
      </c>
      <c r="G209">
        <v>0</v>
      </c>
      <c r="H209">
        <v>40</v>
      </c>
      <c r="L209">
        <v>0</v>
      </c>
      <c r="M209">
        <v>0</v>
      </c>
      <c r="N209">
        <v>1</v>
      </c>
      <c r="O209">
        <v>76.156799000000007</v>
      </c>
      <c r="P209">
        <v>18.2593</v>
      </c>
      <c r="Q209">
        <v>-3.0464000000000002</v>
      </c>
      <c r="R209">
        <v>0</v>
      </c>
      <c r="S209">
        <v>40</v>
      </c>
      <c r="U209"/>
      <c r="W209">
        <v>0</v>
      </c>
      <c r="X209">
        <v>0</v>
      </c>
      <c r="Y209">
        <v>1</v>
      </c>
    </row>
    <row r="210" spans="1:25" x14ac:dyDescent="0.25">
      <c r="A210">
        <v>206</v>
      </c>
      <c r="B210">
        <v>1</v>
      </c>
      <c r="C210">
        <v>2</v>
      </c>
      <c r="D210">
        <v>76.156799000000007</v>
      </c>
      <c r="E210">
        <v>18.780999999999999</v>
      </c>
      <c r="F210">
        <v>4.7999999999999996E-3</v>
      </c>
      <c r="G210">
        <v>1</v>
      </c>
      <c r="H210">
        <v>40</v>
      </c>
      <c r="I210">
        <v>76.235496999999995</v>
      </c>
      <c r="J210">
        <v>18.780999999999999</v>
      </c>
      <c r="K210">
        <v>4.7999999999999996E-3</v>
      </c>
      <c r="L210">
        <v>0</v>
      </c>
      <c r="M210">
        <v>0</v>
      </c>
      <c r="N210">
        <v>-1</v>
      </c>
      <c r="O210">
        <v>76.156799000000007</v>
      </c>
      <c r="P210">
        <v>18.780999999999999</v>
      </c>
      <c r="Q210">
        <v>-3.0464000000000002</v>
      </c>
      <c r="R210">
        <v>1</v>
      </c>
      <c r="S210">
        <v>40</v>
      </c>
      <c r="T210">
        <v>76.235496999999995</v>
      </c>
      <c r="U210">
        <v>18.780999999999999</v>
      </c>
      <c r="V210">
        <v>-3.0464000000000002</v>
      </c>
      <c r="W210">
        <v>0</v>
      </c>
      <c r="X210">
        <v>0</v>
      </c>
      <c r="Y210">
        <v>-1</v>
      </c>
    </row>
    <row r="211" spans="1:25" x14ac:dyDescent="0.25">
      <c r="A211">
        <v>207</v>
      </c>
      <c r="B211">
        <v>1</v>
      </c>
      <c r="C211">
        <v>2</v>
      </c>
      <c r="D211">
        <v>76.235496999999995</v>
      </c>
      <c r="E211">
        <v>18.859698999999999</v>
      </c>
      <c r="F211">
        <v>4.7999999999999996E-3</v>
      </c>
      <c r="G211">
        <v>0</v>
      </c>
      <c r="H211">
        <v>30</v>
      </c>
      <c r="L211">
        <v>0</v>
      </c>
      <c r="M211">
        <v>0</v>
      </c>
      <c r="N211">
        <v>1</v>
      </c>
      <c r="O211">
        <v>76.235496999999995</v>
      </c>
      <c r="P211">
        <v>18.859698999999999</v>
      </c>
      <c r="Q211">
        <v>-3.0464000000000002</v>
      </c>
      <c r="R211">
        <v>0</v>
      </c>
      <c r="S211">
        <v>30</v>
      </c>
      <c r="U211"/>
      <c r="W211">
        <v>0</v>
      </c>
      <c r="X211">
        <v>0</v>
      </c>
      <c r="Y211">
        <v>1</v>
      </c>
    </row>
    <row r="212" spans="1:25" x14ac:dyDescent="0.25">
      <c r="A212">
        <v>208</v>
      </c>
      <c r="B212">
        <v>1</v>
      </c>
      <c r="C212">
        <v>1</v>
      </c>
      <c r="D212">
        <v>76.704002000000003</v>
      </c>
      <c r="E212">
        <v>18.859698999999999</v>
      </c>
      <c r="F212">
        <v>4.7999999999999996E-3</v>
      </c>
      <c r="G212">
        <v>0</v>
      </c>
      <c r="H212">
        <v>60</v>
      </c>
      <c r="L212">
        <v>0</v>
      </c>
      <c r="M212">
        <v>0</v>
      </c>
      <c r="N212">
        <v>1</v>
      </c>
      <c r="O212">
        <v>77.018996999999999</v>
      </c>
      <c r="P212">
        <v>18.859698999999999</v>
      </c>
      <c r="Q212">
        <v>-3.0464000000000002</v>
      </c>
      <c r="R212">
        <v>0</v>
      </c>
      <c r="S212">
        <v>60</v>
      </c>
      <c r="U212"/>
      <c r="W212">
        <v>0</v>
      </c>
      <c r="X212">
        <v>0</v>
      </c>
      <c r="Y212">
        <v>1</v>
      </c>
    </row>
    <row r="213" spans="1:25" x14ac:dyDescent="0.25">
      <c r="A213">
        <v>209</v>
      </c>
      <c r="B213">
        <v>1</v>
      </c>
      <c r="C213">
        <v>1</v>
      </c>
      <c r="D213">
        <v>76.707901000000007</v>
      </c>
      <c r="E213">
        <v>18.859698999999999</v>
      </c>
      <c r="F213">
        <v>4.7999999999999996E-3</v>
      </c>
      <c r="G213">
        <v>0</v>
      </c>
      <c r="H213">
        <v>60</v>
      </c>
      <c r="L213">
        <v>0</v>
      </c>
      <c r="M213">
        <v>0</v>
      </c>
      <c r="N213">
        <v>1</v>
      </c>
      <c r="O213">
        <v>77.022902999999999</v>
      </c>
      <c r="P213">
        <v>18.859698999999999</v>
      </c>
      <c r="Q213">
        <v>-3.0464000000000002</v>
      </c>
      <c r="R213">
        <v>0</v>
      </c>
      <c r="S213">
        <v>60</v>
      </c>
      <c r="U213"/>
      <c r="W213">
        <v>0</v>
      </c>
      <c r="X213">
        <v>0</v>
      </c>
      <c r="Y213">
        <v>1</v>
      </c>
    </row>
    <row r="214" spans="1:25" x14ac:dyDescent="0.25">
      <c r="A214">
        <v>210</v>
      </c>
      <c r="B214">
        <v>0</v>
      </c>
      <c r="C214">
        <v>1</v>
      </c>
      <c r="D214">
        <v>77.022902999999999</v>
      </c>
      <c r="E214">
        <v>18.859698999999999</v>
      </c>
      <c r="F214">
        <v>4.7999999999999996E-3</v>
      </c>
      <c r="G214">
        <v>0</v>
      </c>
      <c r="H214">
        <v>0</v>
      </c>
      <c r="L214">
        <v>0</v>
      </c>
      <c r="M214">
        <v>0</v>
      </c>
      <c r="N214">
        <v>1</v>
      </c>
      <c r="O214">
        <v>77.022902999999999</v>
      </c>
      <c r="P214">
        <v>18.859698999999999</v>
      </c>
      <c r="Q214">
        <v>-3.0464000000000002</v>
      </c>
      <c r="R214">
        <v>0</v>
      </c>
      <c r="S214">
        <v>0</v>
      </c>
      <c r="U214"/>
      <c r="W214">
        <v>0</v>
      </c>
      <c r="X214">
        <v>0</v>
      </c>
      <c r="Y214">
        <v>1</v>
      </c>
    </row>
    <row r="215" spans="1:25" x14ac:dyDescent="0.25">
      <c r="A215">
        <v>211</v>
      </c>
      <c r="B215">
        <v>0</v>
      </c>
      <c r="C215">
        <v>0</v>
      </c>
      <c r="D215">
        <v>77.022902999999999</v>
      </c>
      <c r="E215">
        <v>18.859698999999999</v>
      </c>
      <c r="F215">
        <v>0.51659999999999995</v>
      </c>
      <c r="G215">
        <v>0</v>
      </c>
      <c r="H215">
        <v>0</v>
      </c>
      <c r="L215">
        <v>0</v>
      </c>
      <c r="M215">
        <v>0</v>
      </c>
      <c r="N215">
        <v>1</v>
      </c>
      <c r="O215">
        <v>77.022902999999999</v>
      </c>
      <c r="P215">
        <v>18.859698999999999</v>
      </c>
      <c r="Q215">
        <v>-2.5346000000000002</v>
      </c>
      <c r="R215">
        <v>0</v>
      </c>
      <c r="S215">
        <v>0</v>
      </c>
      <c r="U215"/>
      <c r="W215">
        <v>0</v>
      </c>
      <c r="X215">
        <v>0</v>
      </c>
      <c r="Y215">
        <v>1</v>
      </c>
    </row>
    <row r="216" spans="1:25" x14ac:dyDescent="0.25">
      <c r="A216">
        <v>212</v>
      </c>
      <c r="B216">
        <v>0</v>
      </c>
      <c r="C216">
        <v>0</v>
      </c>
      <c r="D216">
        <v>77.302199999999999</v>
      </c>
      <c r="E216">
        <v>39.261600000000001</v>
      </c>
      <c r="F216">
        <v>0.51659999999999995</v>
      </c>
      <c r="G216">
        <v>0</v>
      </c>
      <c r="H216">
        <v>0</v>
      </c>
      <c r="L216">
        <v>0</v>
      </c>
      <c r="M216">
        <v>0</v>
      </c>
      <c r="N216">
        <v>1</v>
      </c>
      <c r="O216">
        <v>77.302199999999999</v>
      </c>
      <c r="P216">
        <v>39.261600000000001</v>
      </c>
      <c r="Q216">
        <v>-2.5346000000000002</v>
      </c>
      <c r="R216">
        <v>0</v>
      </c>
      <c r="S216">
        <v>0</v>
      </c>
      <c r="U216"/>
      <c r="W216">
        <v>0</v>
      </c>
      <c r="X216">
        <v>0</v>
      </c>
      <c r="Y216">
        <v>1</v>
      </c>
    </row>
    <row r="217" spans="1:25" x14ac:dyDescent="0.25">
      <c r="A217">
        <v>213</v>
      </c>
      <c r="B217">
        <v>0</v>
      </c>
      <c r="C217">
        <v>0</v>
      </c>
      <c r="D217">
        <v>61.122298999999998</v>
      </c>
      <c r="E217">
        <v>39.261600000000001</v>
      </c>
      <c r="F217">
        <v>0.51659999999999995</v>
      </c>
      <c r="G217">
        <v>0</v>
      </c>
      <c r="H217">
        <v>0</v>
      </c>
      <c r="L217">
        <v>0</v>
      </c>
      <c r="M217">
        <v>0</v>
      </c>
      <c r="N217">
        <v>1</v>
      </c>
      <c r="O217">
        <v>61.122298999999998</v>
      </c>
      <c r="P217">
        <v>39.261600000000001</v>
      </c>
      <c r="Q217">
        <v>-2.5346000000000002</v>
      </c>
      <c r="R217">
        <v>0</v>
      </c>
      <c r="S217">
        <v>0</v>
      </c>
      <c r="U217"/>
      <c r="W217">
        <v>0</v>
      </c>
      <c r="X217">
        <v>0</v>
      </c>
      <c r="Y217">
        <v>1</v>
      </c>
    </row>
    <row r="218" spans="1:25" x14ac:dyDescent="0.25">
      <c r="A218">
        <v>214</v>
      </c>
      <c r="B218">
        <v>0</v>
      </c>
      <c r="C218">
        <v>0</v>
      </c>
      <c r="D218">
        <v>32.807499</v>
      </c>
      <c r="E218">
        <v>39.261600000000001</v>
      </c>
      <c r="F218">
        <v>0.51659999999999995</v>
      </c>
      <c r="G218">
        <v>0</v>
      </c>
      <c r="H218">
        <v>0</v>
      </c>
      <c r="L218">
        <v>0</v>
      </c>
      <c r="M218">
        <v>0</v>
      </c>
      <c r="N218">
        <v>1</v>
      </c>
      <c r="O218">
        <v>32.807499</v>
      </c>
      <c r="P218">
        <v>39.261600000000001</v>
      </c>
      <c r="Q218">
        <v>-2.5346000000000002</v>
      </c>
      <c r="R218">
        <v>0</v>
      </c>
      <c r="S218">
        <v>0</v>
      </c>
      <c r="U218"/>
      <c r="W218">
        <v>0</v>
      </c>
      <c r="X218">
        <v>0</v>
      </c>
      <c r="Y218">
        <v>1</v>
      </c>
    </row>
    <row r="219" spans="1:25" x14ac:dyDescent="0.25">
      <c r="A219">
        <v>215</v>
      </c>
      <c r="B219">
        <v>0</v>
      </c>
      <c r="C219">
        <v>0</v>
      </c>
      <c r="D219">
        <v>17.7209</v>
      </c>
      <c r="E219">
        <v>39.261600000000001</v>
      </c>
      <c r="F219">
        <v>0.51659999999999995</v>
      </c>
      <c r="G219">
        <v>0</v>
      </c>
      <c r="H219">
        <v>0</v>
      </c>
      <c r="L219">
        <v>0</v>
      </c>
      <c r="M219">
        <v>0</v>
      </c>
      <c r="N219">
        <v>1</v>
      </c>
      <c r="O219">
        <v>17.7209</v>
      </c>
      <c r="P219">
        <v>39.261600000000001</v>
      </c>
      <c r="Q219">
        <v>-2.5346000000000002</v>
      </c>
      <c r="R219">
        <v>0</v>
      </c>
      <c r="S219">
        <v>0</v>
      </c>
      <c r="U219"/>
      <c r="W219">
        <v>0</v>
      </c>
      <c r="X219">
        <v>0</v>
      </c>
      <c r="Y219">
        <v>1</v>
      </c>
    </row>
    <row r="220" spans="1:25" x14ac:dyDescent="0.25">
      <c r="A220">
        <v>216</v>
      </c>
      <c r="B220">
        <v>0</v>
      </c>
      <c r="C220">
        <v>0</v>
      </c>
      <c r="D220">
        <v>0.93969999999999998</v>
      </c>
      <c r="E220">
        <v>39.261600000000001</v>
      </c>
      <c r="F220">
        <v>0.51659999999999995</v>
      </c>
      <c r="G220">
        <v>0</v>
      </c>
      <c r="H220">
        <v>0</v>
      </c>
      <c r="L220">
        <v>0</v>
      </c>
      <c r="M220">
        <v>0</v>
      </c>
      <c r="N220">
        <v>1</v>
      </c>
      <c r="O220">
        <v>0.93969999999999998</v>
      </c>
      <c r="P220">
        <v>39.261600000000001</v>
      </c>
      <c r="Q220">
        <v>-2.5346000000000002</v>
      </c>
      <c r="R220">
        <v>0</v>
      </c>
      <c r="S220">
        <v>0</v>
      </c>
      <c r="U220"/>
      <c r="W220">
        <v>0</v>
      </c>
      <c r="X220">
        <v>0</v>
      </c>
      <c r="Y220">
        <v>1</v>
      </c>
    </row>
    <row r="221" spans="1:25" x14ac:dyDescent="0.25">
      <c r="A221">
        <v>217</v>
      </c>
      <c r="B221">
        <v>0</v>
      </c>
      <c r="C221">
        <v>0</v>
      </c>
      <c r="D221">
        <v>5.2699999999999997E-2</v>
      </c>
      <c r="E221">
        <v>2.2700000000000001E-2</v>
      </c>
      <c r="F221">
        <v>9.5500000000000002E-2</v>
      </c>
      <c r="G221">
        <v>0</v>
      </c>
      <c r="H221">
        <v>0</v>
      </c>
      <c r="L221">
        <v>0</v>
      </c>
      <c r="M221">
        <v>0</v>
      </c>
      <c r="N221">
        <v>1</v>
      </c>
      <c r="O221">
        <v>5.2699999999999997E-2</v>
      </c>
      <c r="P221">
        <v>2.2700000000000001E-2</v>
      </c>
      <c r="Q221">
        <v>-2.9557000000000002</v>
      </c>
      <c r="R221">
        <v>0</v>
      </c>
      <c r="S221">
        <v>0</v>
      </c>
      <c r="U221"/>
      <c r="W221">
        <v>0</v>
      </c>
      <c r="X221">
        <v>0</v>
      </c>
      <c r="Y221">
        <v>1</v>
      </c>
    </row>
    <row r="222" spans="1:25" x14ac:dyDescent="0.25">
      <c r="U222"/>
    </row>
    <row r="223" spans="1:25" x14ac:dyDescent="0.25">
      <c r="U223"/>
    </row>
    <row r="224" spans="1:25" x14ac:dyDescent="0.25">
      <c r="U224"/>
    </row>
    <row r="225" spans="21:21" x14ac:dyDescent="0.25">
      <c r="U225"/>
    </row>
    <row r="226" spans="21:21" x14ac:dyDescent="0.25">
      <c r="U226"/>
    </row>
    <row r="227" spans="21:21" x14ac:dyDescent="0.25">
      <c r="U227"/>
    </row>
    <row r="228" spans="21:21" x14ac:dyDescent="0.25">
      <c r="U228"/>
    </row>
    <row r="229" spans="21:21" x14ac:dyDescent="0.25">
      <c r="U229"/>
    </row>
    <row r="230" spans="21:21" x14ac:dyDescent="0.25">
      <c r="U230"/>
    </row>
    <row r="231" spans="21:21" x14ac:dyDescent="0.25">
      <c r="U231"/>
    </row>
    <row r="232" spans="21:21" x14ac:dyDescent="0.25">
      <c r="U232"/>
    </row>
    <row r="233" spans="21:21" x14ac:dyDescent="0.25">
      <c r="U233"/>
    </row>
    <row r="234" spans="21:21" x14ac:dyDescent="0.25">
      <c r="U234"/>
    </row>
    <row r="235" spans="21:21" x14ac:dyDescent="0.25">
      <c r="U235"/>
    </row>
    <row r="236" spans="21:21" x14ac:dyDescent="0.25">
      <c r="U236"/>
    </row>
    <row r="237" spans="21:21" x14ac:dyDescent="0.25">
      <c r="U237"/>
    </row>
    <row r="238" spans="21:21" x14ac:dyDescent="0.25">
      <c r="U238"/>
    </row>
    <row r="239" spans="21:21" x14ac:dyDescent="0.25">
      <c r="U239"/>
    </row>
    <row r="240" spans="21:21" x14ac:dyDescent="0.25">
      <c r="U240"/>
    </row>
    <row r="241" spans="21:21" x14ac:dyDescent="0.25">
      <c r="U241"/>
    </row>
    <row r="242" spans="21:21" x14ac:dyDescent="0.25">
      <c r="U242"/>
    </row>
    <row r="243" spans="21:21" x14ac:dyDescent="0.25">
      <c r="U243"/>
    </row>
    <row r="244" spans="21:21" x14ac:dyDescent="0.25">
      <c r="U244"/>
    </row>
    <row r="245" spans="21:21" x14ac:dyDescent="0.25">
      <c r="U245"/>
    </row>
    <row r="246" spans="21:21" x14ac:dyDescent="0.25">
      <c r="U246"/>
    </row>
    <row r="247" spans="21:21" x14ac:dyDescent="0.25">
      <c r="U247"/>
    </row>
    <row r="248" spans="21:21" x14ac:dyDescent="0.25">
      <c r="U248"/>
    </row>
    <row r="249" spans="21:21" x14ac:dyDescent="0.25">
      <c r="U249"/>
    </row>
    <row r="250" spans="21:21" x14ac:dyDescent="0.25">
      <c r="U250"/>
    </row>
    <row r="251" spans="21:21" x14ac:dyDescent="0.25">
      <c r="U251"/>
    </row>
    <row r="252" spans="21:21" x14ac:dyDescent="0.25">
      <c r="U252"/>
    </row>
    <row r="253" spans="21:21" x14ac:dyDescent="0.25">
      <c r="U253"/>
    </row>
    <row r="254" spans="21:21" x14ac:dyDescent="0.25">
      <c r="U254"/>
    </row>
    <row r="255" spans="21:21" x14ac:dyDescent="0.25">
      <c r="U255"/>
    </row>
    <row r="256" spans="21:21" x14ac:dyDescent="0.25">
      <c r="U256"/>
    </row>
    <row r="257" spans="21:21" x14ac:dyDescent="0.25">
      <c r="U257"/>
    </row>
    <row r="258" spans="21:21" x14ac:dyDescent="0.25">
      <c r="U258"/>
    </row>
    <row r="259" spans="21:21" x14ac:dyDescent="0.25">
      <c r="U259"/>
    </row>
    <row r="260" spans="21:21" x14ac:dyDescent="0.25">
      <c r="U260"/>
    </row>
    <row r="261" spans="21:21" x14ac:dyDescent="0.25">
      <c r="U261"/>
    </row>
    <row r="262" spans="21:21" x14ac:dyDescent="0.25">
      <c r="U262"/>
    </row>
    <row r="263" spans="21:21" x14ac:dyDescent="0.25">
      <c r="U263"/>
    </row>
    <row r="264" spans="21:21" x14ac:dyDescent="0.25">
      <c r="U264"/>
    </row>
    <row r="265" spans="21:21" x14ac:dyDescent="0.25">
      <c r="U265"/>
    </row>
    <row r="266" spans="21:21" x14ac:dyDescent="0.25">
      <c r="U266"/>
    </row>
    <row r="267" spans="21:21" x14ac:dyDescent="0.25">
      <c r="U267"/>
    </row>
    <row r="268" spans="21:21" x14ac:dyDescent="0.25">
      <c r="U268"/>
    </row>
    <row r="269" spans="21:21" x14ac:dyDescent="0.25">
      <c r="U269"/>
    </row>
    <row r="270" spans="21:21" x14ac:dyDescent="0.25">
      <c r="U270"/>
    </row>
    <row r="271" spans="21:21" x14ac:dyDescent="0.25">
      <c r="U271"/>
    </row>
    <row r="272" spans="21:21" x14ac:dyDescent="0.25">
      <c r="U272"/>
    </row>
    <row r="273" spans="21:21" x14ac:dyDescent="0.25">
      <c r="U273"/>
    </row>
    <row r="274" spans="21:21" x14ac:dyDescent="0.25">
      <c r="U274"/>
    </row>
    <row r="275" spans="21:21" x14ac:dyDescent="0.25">
      <c r="U275"/>
    </row>
    <row r="276" spans="21:21" x14ac:dyDescent="0.25">
      <c r="U276"/>
    </row>
    <row r="277" spans="21:21" x14ac:dyDescent="0.25">
      <c r="U277"/>
    </row>
    <row r="278" spans="21:21" x14ac:dyDescent="0.25">
      <c r="U278"/>
    </row>
    <row r="279" spans="21:21" x14ac:dyDescent="0.25">
      <c r="U279"/>
    </row>
    <row r="280" spans="21:21" x14ac:dyDescent="0.25">
      <c r="U280"/>
    </row>
    <row r="281" spans="21:21" x14ac:dyDescent="0.25">
      <c r="U281"/>
    </row>
    <row r="282" spans="21:21" x14ac:dyDescent="0.25">
      <c r="U282"/>
    </row>
    <row r="283" spans="21:21" x14ac:dyDescent="0.25">
      <c r="U283"/>
    </row>
    <row r="284" spans="21:21" x14ac:dyDescent="0.25">
      <c r="U284"/>
    </row>
    <row r="285" spans="21:21" x14ac:dyDescent="0.25">
      <c r="U285"/>
    </row>
    <row r="286" spans="21:21" x14ac:dyDescent="0.25">
      <c r="U286"/>
    </row>
    <row r="287" spans="21:21" x14ac:dyDescent="0.25">
      <c r="U287"/>
    </row>
    <row r="288" spans="21:21" x14ac:dyDescent="0.25">
      <c r="U288"/>
    </row>
    <row r="289" spans="21:21" x14ac:dyDescent="0.25">
      <c r="U289"/>
    </row>
    <row r="290" spans="21:21" x14ac:dyDescent="0.25">
      <c r="U290"/>
    </row>
    <row r="291" spans="21:21" x14ac:dyDescent="0.25">
      <c r="U291"/>
    </row>
    <row r="292" spans="21:21" x14ac:dyDescent="0.25">
      <c r="U292"/>
    </row>
    <row r="293" spans="21:21" x14ac:dyDescent="0.25">
      <c r="U293"/>
    </row>
    <row r="294" spans="21:21" x14ac:dyDescent="0.25">
      <c r="U294"/>
    </row>
    <row r="295" spans="21:21" x14ac:dyDescent="0.25">
      <c r="U295"/>
    </row>
    <row r="296" spans="21:21" x14ac:dyDescent="0.25">
      <c r="U296"/>
    </row>
    <row r="297" spans="21:21" x14ac:dyDescent="0.25">
      <c r="U297"/>
    </row>
    <row r="298" spans="21:21" x14ac:dyDescent="0.25">
      <c r="U298"/>
    </row>
    <row r="299" spans="21:21" x14ac:dyDescent="0.25">
      <c r="U299"/>
    </row>
    <row r="300" spans="21:21" x14ac:dyDescent="0.25">
      <c r="U300"/>
    </row>
    <row r="301" spans="21:21" x14ac:dyDescent="0.25">
      <c r="U301"/>
    </row>
    <row r="302" spans="21:21" x14ac:dyDescent="0.25">
      <c r="U302"/>
    </row>
    <row r="303" spans="21:21" x14ac:dyDescent="0.25">
      <c r="U303"/>
    </row>
    <row r="304" spans="21:21" x14ac:dyDescent="0.25">
      <c r="U304"/>
    </row>
    <row r="305" spans="21:21" x14ac:dyDescent="0.25">
      <c r="U305"/>
    </row>
    <row r="306" spans="21:21" x14ac:dyDescent="0.25">
      <c r="U306"/>
    </row>
    <row r="307" spans="21:21" x14ac:dyDescent="0.25">
      <c r="U307"/>
    </row>
    <row r="308" spans="21:21" x14ac:dyDescent="0.25">
      <c r="U308"/>
    </row>
    <row r="309" spans="21:21" x14ac:dyDescent="0.25">
      <c r="U309"/>
    </row>
    <row r="310" spans="21:21" x14ac:dyDescent="0.25">
      <c r="U310"/>
    </row>
    <row r="311" spans="21:21" x14ac:dyDescent="0.25">
      <c r="U311"/>
    </row>
    <row r="312" spans="21:21" x14ac:dyDescent="0.25">
      <c r="U312"/>
    </row>
    <row r="313" spans="21:21" x14ac:dyDescent="0.25">
      <c r="U313"/>
    </row>
    <row r="314" spans="21:21" x14ac:dyDescent="0.25">
      <c r="U314"/>
    </row>
    <row r="315" spans="21:21" x14ac:dyDescent="0.25">
      <c r="U315"/>
    </row>
    <row r="316" spans="21:21" x14ac:dyDescent="0.25">
      <c r="U316"/>
    </row>
    <row r="317" spans="21:21" x14ac:dyDescent="0.25">
      <c r="U317"/>
    </row>
    <row r="318" spans="21:21" x14ac:dyDescent="0.25">
      <c r="U318"/>
    </row>
    <row r="319" spans="21:21" x14ac:dyDescent="0.25">
      <c r="U319"/>
    </row>
    <row r="320" spans="21:21" x14ac:dyDescent="0.25">
      <c r="U320"/>
    </row>
    <row r="321" spans="21:21" x14ac:dyDescent="0.25">
      <c r="U321"/>
    </row>
    <row r="322" spans="21:21" x14ac:dyDescent="0.25">
      <c r="U322"/>
    </row>
    <row r="323" spans="21:21" x14ac:dyDescent="0.25">
      <c r="U323"/>
    </row>
    <row r="324" spans="21:21" x14ac:dyDescent="0.25">
      <c r="U324"/>
    </row>
    <row r="325" spans="21:21" x14ac:dyDescent="0.25">
      <c r="U325"/>
    </row>
    <row r="326" spans="21:21" x14ac:dyDescent="0.25">
      <c r="U326"/>
    </row>
    <row r="327" spans="21:21" x14ac:dyDescent="0.25">
      <c r="U327"/>
    </row>
    <row r="328" spans="21:21" x14ac:dyDescent="0.25">
      <c r="U328"/>
    </row>
    <row r="329" spans="21:21" x14ac:dyDescent="0.25">
      <c r="U329"/>
    </row>
    <row r="330" spans="21:21" x14ac:dyDescent="0.25">
      <c r="U330"/>
    </row>
    <row r="331" spans="21:21" x14ac:dyDescent="0.25">
      <c r="U331"/>
    </row>
    <row r="332" spans="21:21" x14ac:dyDescent="0.25">
      <c r="U332"/>
    </row>
    <row r="333" spans="21:21" x14ac:dyDescent="0.25">
      <c r="U333"/>
    </row>
    <row r="334" spans="21:21" x14ac:dyDescent="0.25">
      <c r="U334"/>
    </row>
    <row r="335" spans="21:21" x14ac:dyDescent="0.25">
      <c r="U335"/>
    </row>
    <row r="336" spans="21:21" x14ac:dyDescent="0.25">
      <c r="U336"/>
    </row>
    <row r="337" spans="21:21" x14ac:dyDescent="0.25">
      <c r="U337"/>
    </row>
    <row r="338" spans="21:21" x14ac:dyDescent="0.25">
      <c r="U338"/>
    </row>
    <row r="339" spans="21:21" x14ac:dyDescent="0.25">
      <c r="U339"/>
    </row>
    <row r="340" spans="21:21" x14ac:dyDescent="0.25">
      <c r="U340"/>
    </row>
    <row r="341" spans="21:21" x14ac:dyDescent="0.25">
      <c r="U341"/>
    </row>
    <row r="342" spans="21:21" x14ac:dyDescent="0.25">
      <c r="U342"/>
    </row>
    <row r="343" spans="21:21" x14ac:dyDescent="0.25">
      <c r="U343"/>
    </row>
    <row r="344" spans="21:21" x14ac:dyDescent="0.25">
      <c r="U344"/>
    </row>
    <row r="345" spans="21:21" x14ac:dyDescent="0.25">
      <c r="U345"/>
    </row>
    <row r="346" spans="21:21" x14ac:dyDescent="0.25">
      <c r="U346"/>
    </row>
    <row r="347" spans="21:21" x14ac:dyDescent="0.25">
      <c r="U347"/>
    </row>
    <row r="348" spans="21:21" x14ac:dyDescent="0.25">
      <c r="U348"/>
    </row>
    <row r="349" spans="21:21" x14ac:dyDescent="0.25">
      <c r="U349"/>
    </row>
    <row r="350" spans="21:21" x14ac:dyDescent="0.25">
      <c r="U350"/>
    </row>
    <row r="351" spans="21:21" x14ac:dyDescent="0.25">
      <c r="U351"/>
    </row>
    <row r="352" spans="21:21" x14ac:dyDescent="0.25">
      <c r="U352"/>
    </row>
    <row r="353" spans="21:21" x14ac:dyDescent="0.25">
      <c r="U353"/>
    </row>
    <row r="354" spans="21:21" x14ac:dyDescent="0.25">
      <c r="U354"/>
    </row>
    <row r="355" spans="21:21" x14ac:dyDescent="0.25">
      <c r="U355"/>
    </row>
    <row r="356" spans="21:21" x14ac:dyDescent="0.25">
      <c r="U356"/>
    </row>
    <row r="357" spans="21:21" x14ac:dyDescent="0.25">
      <c r="U357"/>
    </row>
    <row r="358" spans="21:21" x14ac:dyDescent="0.25">
      <c r="U358"/>
    </row>
    <row r="359" spans="21:21" x14ac:dyDescent="0.25">
      <c r="U359"/>
    </row>
    <row r="360" spans="21:21" x14ac:dyDescent="0.25">
      <c r="U360"/>
    </row>
    <row r="361" spans="21:21" x14ac:dyDescent="0.25">
      <c r="U361"/>
    </row>
    <row r="362" spans="21:21" x14ac:dyDescent="0.25">
      <c r="U362"/>
    </row>
    <row r="363" spans="21:21" x14ac:dyDescent="0.25">
      <c r="U363"/>
    </row>
    <row r="364" spans="21:21" x14ac:dyDescent="0.25">
      <c r="U364"/>
    </row>
    <row r="365" spans="21:21" x14ac:dyDescent="0.25">
      <c r="U365"/>
    </row>
    <row r="366" spans="21:21" x14ac:dyDescent="0.25">
      <c r="U366"/>
    </row>
    <row r="367" spans="21:21" x14ac:dyDescent="0.25">
      <c r="U367"/>
    </row>
    <row r="368" spans="21:21" x14ac:dyDescent="0.25">
      <c r="U368"/>
    </row>
    <row r="369" spans="21:21" x14ac:dyDescent="0.25">
      <c r="U369"/>
    </row>
    <row r="370" spans="21:21" x14ac:dyDescent="0.25">
      <c r="U370"/>
    </row>
    <row r="371" spans="21:21" x14ac:dyDescent="0.25">
      <c r="U371"/>
    </row>
    <row r="372" spans="21:21" x14ac:dyDescent="0.25">
      <c r="U372"/>
    </row>
    <row r="373" spans="21:21" x14ac:dyDescent="0.25">
      <c r="U373"/>
    </row>
    <row r="374" spans="21:21" x14ac:dyDescent="0.25">
      <c r="U374"/>
    </row>
    <row r="375" spans="21:21" x14ac:dyDescent="0.25">
      <c r="U375"/>
    </row>
    <row r="376" spans="21:21" x14ac:dyDescent="0.25">
      <c r="U376"/>
    </row>
    <row r="377" spans="21:21" x14ac:dyDescent="0.25">
      <c r="U377"/>
    </row>
    <row r="378" spans="21:21" x14ac:dyDescent="0.25">
      <c r="U378"/>
    </row>
    <row r="379" spans="21:21" x14ac:dyDescent="0.25">
      <c r="U379"/>
    </row>
    <row r="380" spans="21:21" x14ac:dyDescent="0.25">
      <c r="U380"/>
    </row>
    <row r="381" spans="21:21" x14ac:dyDescent="0.25">
      <c r="U381"/>
    </row>
    <row r="382" spans="21:21" x14ac:dyDescent="0.25">
      <c r="U382"/>
    </row>
    <row r="383" spans="21:21" x14ac:dyDescent="0.25">
      <c r="U383"/>
    </row>
    <row r="384" spans="21:21" x14ac:dyDescent="0.25">
      <c r="U384"/>
    </row>
    <row r="385" spans="21:21" x14ac:dyDescent="0.25">
      <c r="U385"/>
    </row>
    <row r="386" spans="21:21" x14ac:dyDescent="0.25">
      <c r="U386"/>
    </row>
    <row r="387" spans="21:21" x14ac:dyDescent="0.25">
      <c r="U387"/>
    </row>
    <row r="388" spans="21:21" x14ac:dyDescent="0.25">
      <c r="U388"/>
    </row>
    <row r="389" spans="21:21" x14ac:dyDescent="0.25">
      <c r="U389"/>
    </row>
    <row r="390" spans="21:21" x14ac:dyDescent="0.25">
      <c r="U390"/>
    </row>
    <row r="391" spans="21:21" x14ac:dyDescent="0.25">
      <c r="U391"/>
    </row>
    <row r="392" spans="21:21" x14ac:dyDescent="0.25">
      <c r="U392"/>
    </row>
    <row r="393" spans="21:21" x14ac:dyDescent="0.25">
      <c r="U393"/>
    </row>
    <row r="394" spans="21:21" x14ac:dyDescent="0.25">
      <c r="U394"/>
    </row>
    <row r="395" spans="21:21" x14ac:dyDescent="0.25">
      <c r="U395"/>
    </row>
    <row r="396" spans="21:21" x14ac:dyDescent="0.25">
      <c r="U396"/>
    </row>
    <row r="397" spans="21:21" x14ac:dyDescent="0.25">
      <c r="U397"/>
    </row>
    <row r="398" spans="21:21" x14ac:dyDescent="0.25">
      <c r="U398"/>
    </row>
    <row r="399" spans="21:21" x14ac:dyDescent="0.25">
      <c r="U399"/>
    </row>
    <row r="400" spans="21:21" x14ac:dyDescent="0.25">
      <c r="U400"/>
    </row>
    <row r="401" spans="21:21" x14ac:dyDescent="0.25">
      <c r="U401"/>
    </row>
    <row r="402" spans="21:21" x14ac:dyDescent="0.25">
      <c r="U402"/>
    </row>
    <row r="403" spans="21:21" x14ac:dyDescent="0.25">
      <c r="U403"/>
    </row>
    <row r="404" spans="21:21" x14ac:dyDescent="0.25">
      <c r="U404"/>
    </row>
    <row r="405" spans="21:21" x14ac:dyDescent="0.25">
      <c r="U405"/>
    </row>
    <row r="406" spans="21:21" x14ac:dyDescent="0.25">
      <c r="U406"/>
    </row>
    <row r="407" spans="21:21" x14ac:dyDescent="0.25">
      <c r="U407"/>
    </row>
    <row r="408" spans="21:21" x14ac:dyDescent="0.25">
      <c r="U408"/>
    </row>
    <row r="409" spans="21:21" x14ac:dyDescent="0.25">
      <c r="U409"/>
    </row>
    <row r="410" spans="21:21" x14ac:dyDescent="0.25">
      <c r="U410"/>
    </row>
    <row r="411" spans="21:21" x14ac:dyDescent="0.25">
      <c r="U411"/>
    </row>
    <row r="412" spans="21:21" x14ac:dyDescent="0.25">
      <c r="U412"/>
    </row>
    <row r="413" spans="21:21" x14ac:dyDescent="0.25">
      <c r="U413"/>
    </row>
    <row r="414" spans="21:21" x14ac:dyDescent="0.25">
      <c r="U414"/>
    </row>
    <row r="415" spans="21:21" x14ac:dyDescent="0.25">
      <c r="U415"/>
    </row>
    <row r="416" spans="21:21" x14ac:dyDescent="0.25">
      <c r="U416"/>
    </row>
    <row r="417" spans="21:21" x14ac:dyDescent="0.25">
      <c r="U417"/>
    </row>
    <row r="418" spans="21:21" x14ac:dyDescent="0.25">
      <c r="U418"/>
    </row>
    <row r="419" spans="21:21" x14ac:dyDescent="0.25">
      <c r="U419"/>
    </row>
    <row r="420" spans="21:21" x14ac:dyDescent="0.25">
      <c r="U420"/>
    </row>
    <row r="421" spans="21:21" x14ac:dyDescent="0.25">
      <c r="U421"/>
    </row>
    <row r="422" spans="21:21" x14ac:dyDescent="0.25">
      <c r="U422"/>
    </row>
    <row r="423" spans="21:21" x14ac:dyDescent="0.25">
      <c r="U423"/>
    </row>
    <row r="424" spans="21:21" x14ac:dyDescent="0.25">
      <c r="U424"/>
    </row>
    <row r="425" spans="21:21" x14ac:dyDescent="0.25">
      <c r="U425"/>
    </row>
    <row r="426" spans="21:21" x14ac:dyDescent="0.25">
      <c r="U426"/>
    </row>
    <row r="427" spans="21:21" x14ac:dyDescent="0.25">
      <c r="U427"/>
    </row>
    <row r="428" spans="21:21" x14ac:dyDescent="0.25">
      <c r="U428"/>
    </row>
    <row r="429" spans="21:21" x14ac:dyDescent="0.25">
      <c r="U429"/>
    </row>
    <row r="430" spans="21:21" x14ac:dyDescent="0.25">
      <c r="U430"/>
    </row>
    <row r="431" spans="21:21" x14ac:dyDescent="0.25">
      <c r="U431"/>
    </row>
    <row r="432" spans="21:21" x14ac:dyDescent="0.25">
      <c r="U432"/>
    </row>
    <row r="433" spans="21:21" x14ac:dyDescent="0.25">
      <c r="U433"/>
    </row>
    <row r="434" spans="21:21" x14ac:dyDescent="0.25">
      <c r="U434"/>
    </row>
    <row r="435" spans="21:21" x14ac:dyDescent="0.25">
      <c r="U435"/>
    </row>
    <row r="436" spans="21:21" x14ac:dyDescent="0.25">
      <c r="U436"/>
    </row>
    <row r="437" spans="21:21" x14ac:dyDescent="0.25">
      <c r="U437"/>
    </row>
    <row r="438" spans="21:21" x14ac:dyDescent="0.25">
      <c r="U438"/>
    </row>
    <row r="439" spans="21:21" x14ac:dyDescent="0.25">
      <c r="U439"/>
    </row>
    <row r="440" spans="21:21" x14ac:dyDescent="0.25">
      <c r="U440"/>
    </row>
    <row r="441" spans="21:21" x14ac:dyDescent="0.25">
      <c r="U441"/>
    </row>
    <row r="442" spans="21:21" x14ac:dyDescent="0.25">
      <c r="U442"/>
    </row>
    <row r="443" spans="21:21" x14ac:dyDescent="0.25">
      <c r="U443"/>
    </row>
    <row r="444" spans="21:21" x14ac:dyDescent="0.25">
      <c r="U444"/>
    </row>
    <row r="445" spans="21:21" x14ac:dyDescent="0.25">
      <c r="U445"/>
    </row>
    <row r="446" spans="21:21" x14ac:dyDescent="0.25">
      <c r="U446"/>
    </row>
    <row r="447" spans="21:21" x14ac:dyDescent="0.25">
      <c r="U447"/>
    </row>
    <row r="448" spans="21:21" x14ac:dyDescent="0.25">
      <c r="U448"/>
    </row>
    <row r="449" spans="21:21" x14ac:dyDescent="0.25">
      <c r="U449"/>
    </row>
    <row r="450" spans="21:21" x14ac:dyDescent="0.25">
      <c r="U450"/>
    </row>
    <row r="451" spans="21:21" x14ac:dyDescent="0.25">
      <c r="U451"/>
    </row>
    <row r="452" spans="21:21" x14ac:dyDescent="0.25">
      <c r="U452"/>
    </row>
    <row r="453" spans="21:21" x14ac:dyDescent="0.25">
      <c r="U453"/>
    </row>
    <row r="454" spans="21:21" x14ac:dyDescent="0.25">
      <c r="U454"/>
    </row>
    <row r="455" spans="21:21" x14ac:dyDescent="0.25">
      <c r="U455"/>
    </row>
    <row r="456" spans="21:21" x14ac:dyDescent="0.25">
      <c r="U456"/>
    </row>
    <row r="457" spans="21:21" x14ac:dyDescent="0.25">
      <c r="U457"/>
    </row>
    <row r="458" spans="21:21" x14ac:dyDescent="0.25">
      <c r="U458"/>
    </row>
    <row r="459" spans="21:21" x14ac:dyDescent="0.25">
      <c r="U459"/>
    </row>
    <row r="460" spans="21:21" x14ac:dyDescent="0.25">
      <c r="U460"/>
    </row>
    <row r="461" spans="21:21" x14ac:dyDescent="0.25">
      <c r="U461"/>
    </row>
    <row r="462" spans="21:21" x14ac:dyDescent="0.25">
      <c r="U462"/>
    </row>
    <row r="463" spans="21:21" x14ac:dyDescent="0.25">
      <c r="U463"/>
    </row>
    <row r="464" spans="21:21" x14ac:dyDescent="0.25">
      <c r="U464"/>
    </row>
    <row r="465" spans="21:21" x14ac:dyDescent="0.25">
      <c r="U465"/>
    </row>
    <row r="466" spans="21:21" x14ac:dyDescent="0.25">
      <c r="U466"/>
    </row>
    <row r="467" spans="21:21" x14ac:dyDescent="0.25">
      <c r="U467"/>
    </row>
    <row r="468" spans="21:21" x14ac:dyDescent="0.25">
      <c r="U468"/>
    </row>
    <row r="469" spans="21:21" x14ac:dyDescent="0.25">
      <c r="U469"/>
    </row>
    <row r="470" spans="21:21" x14ac:dyDescent="0.25">
      <c r="U470"/>
    </row>
    <row r="471" spans="21:21" x14ac:dyDescent="0.25">
      <c r="U471"/>
    </row>
    <row r="472" spans="21:21" x14ac:dyDescent="0.25">
      <c r="U472"/>
    </row>
    <row r="473" spans="21:21" x14ac:dyDescent="0.25">
      <c r="U473"/>
    </row>
    <row r="474" spans="21:21" x14ac:dyDescent="0.25">
      <c r="U474"/>
    </row>
    <row r="475" spans="21:21" x14ac:dyDescent="0.25">
      <c r="U475"/>
    </row>
    <row r="476" spans="21:21" x14ac:dyDescent="0.25">
      <c r="U476"/>
    </row>
    <row r="477" spans="21:21" x14ac:dyDescent="0.25">
      <c r="U477"/>
    </row>
    <row r="478" spans="21:21" x14ac:dyDescent="0.25">
      <c r="U478"/>
    </row>
    <row r="479" spans="21:21" x14ac:dyDescent="0.25">
      <c r="U479"/>
    </row>
    <row r="480" spans="21:21" x14ac:dyDescent="0.25">
      <c r="U480"/>
    </row>
    <row r="481" spans="21:21" x14ac:dyDescent="0.25">
      <c r="U481"/>
    </row>
    <row r="482" spans="21:21" x14ac:dyDescent="0.25">
      <c r="U482"/>
    </row>
    <row r="483" spans="21:21" x14ac:dyDescent="0.25">
      <c r="U483"/>
    </row>
    <row r="484" spans="21:21" x14ac:dyDescent="0.25">
      <c r="U484"/>
    </row>
    <row r="485" spans="21:21" x14ac:dyDescent="0.25">
      <c r="U485"/>
    </row>
    <row r="486" spans="21:21" x14ac:dyDescent="0.25">
      <c r="U486"/>
    </row>
    <row r="487" spans="21:21" x14ac:dyDescent="0.25">
      <c r="U487"/>
    </row>
    <row r="488" spans="21:21" x14ac:dyDescent="0.25">
      <c r="U488"/>
    </row>
    <row r="489" spans="21:21" x14ac:dyDescent="0.25">
      <c r="U489"/>
    </row>
    <row r="490" spans="21:21" x14ac:dyDescent="0.25">
      <c r="U490"/>
    </row>
    <row r="491" spans="21:21" x14ac:dyDescent="0.25">
      <c r="U491"/>
    </row>
    <row r="492" spans="21:21" x14ac:dyDescent="0.25">
      <c r="U492"/>
    </row>
    <row r="493" spans="21:21" x14ac:dyDescent="0.25">
      <c r="U493"/>
    </row>
    <row r="494" spans="21:21" x14ac:dyDescent="0.25">
      <c r="U494"/>
    </row>
    <row r="495" spans="21:21" x14ac:dyDescent="0.25">
      <c r="U495"/>
    </row>
    <row r="496" spans="21:21" x14ac:dyDescent="0.25">
      <c r="U496"/>
    </row>
    <row r="497" spans="21:21" x14ac:dyDescent="0.25">
      <c r="U497"/>
    </row>
    <row r="498" spans="21:21" x14ac:dyDescent="0.25">
      <c r="U498"/>
    </row>
    <row r="499" spans="21:21" x14ac:dyDescent="0.25">
      <c r="U499"/>
    </row>
    <row r="500" spans="21:21" x14ac:dyDescent="0.25">
      <c r="U500"/>
    </row>
    <row r="501" spans="21:21" x14ac:dyDescent="0.25">
      <c r="U501"/>
    </row>
    <row r="502" spans="21:21" x14ac:dyDescent="0.25">
      <c r="U502"/>
    </row>
    <row r="503" spans="21:21" x14ac:dyDescent="0.25">
      <c r="U503"/>
    </row>
    <row r="504" spans="21:21" x14ac:dyDescent="0.25">
      <c r="U504"/>
    </row>
    <row r="505" spans="21:21" x14ac:dyDescent="0.25">
      <c r="U505"/>
    </row>
    <row r="506" spans="21:21" x14ac:dyDescent="0.25">
      <c r="U506"/>
    </row>
    <row r="507" spans="21:21" x14ac:dyDescent="0.25">
      <c r="U507"/>
    </row>
    <row r="508" spans="21:21" x14ac:dyDescent="0.25">
      <c r="U508"/>
    </row>
    <row r="509" spans="21:21" x14ac:dyDescent="0.25">
      <c r="U509"/>
    </row>
    <row r="510" spans="21:21" x14ac:dyDescent="0.25">
      <c r="U510"/>
    </row>
    <row r="511" spans="21:21" x14ac:dyDescent="0.25">
      <c r="U511"/>
    </row>
    <row r="512" spans="21:21" x14ac:dyDescent="0.25">
      <c r="U512"/>
    </row>
    <row r="513" spans="21:21" x14ac:dyDescent="0.25">
      <c r="U513"/>
    </row>
    <row r="514" spans="21:21" x14ac:dyDescent="0.25">
      <c r="U514"/>
    </row>
    <row r="515" spans="21:21" x14ac:dyDescent="0.25">
      <c r="U515"/>
    </row>
    <row r="516" spans="21:21" x14ac:dyDescent="0.25">
      <c r="U516"/>
    </row>
    <row r="517" spans="21:21" x14ac:dyDescent="0.25">
      <c r="U517"/>
    </row>
    <row r="518" spans="21:21" x14ac:dyDescent="0.25">
      <c r="U518"/>
    </row>
    <row r="519" spans="21:21" x14ac:dyDescent="0.25">
      <c r="U519"/>
    </row>
    <row r="520" spans="21:21" x14ac:dyDescent="0.25">
      <c r="U520"/>
    </row>
    <row r="521" spans="21:21" x14ac:dyDescent="0.25">
      <c r="U521"/>
    </row>
    <row r="522" spans="21:21" x14ac:dyDescent="0.25">
      <c r="U522"/>
    </row>
    <row r="523" spans="21:21" x14ac:dyDescent="0.25">
      <c r="U523"/>
    </row>
    <row r="524" spans="21:21" x14ac:dyDescent="0.25">
      <c r="U524"/>
    </row>
    <row r="525" spans="21:21" x14ac:dyDescent="0.25">
      <c r="U525"/>
    </row>
    <row r="526" spans="21:21" x14ac:dyDescent="0.25">
      <c r="U526"/>
    </row>
    <row r="527" spans="21:21" x14ac:dyDescent="0.25">
      <c r="U527"/>
    </row>
    <row r="528" spans="21:21" x14ac:dyDescent="0.25">
      <c r="U528"/>
    </row>
    <row r="529" spans="21:21" x14ac:dyDescent="0.25">
      <c r="U529"/>
    </row>
    <row r="530" spans="21:21" x14ac:dyDescent="0.25">
      <c r="U530"/>
    </row>
    <row r="531" spans="21:21" x14ac:dyDescent="0.25">
      <c r="U531"/>
    </row>
    <row r="532" spans="21:21" x14ac:dyDescent="0.25">
      <c r="U532"/>
    </row>
    <row r="533" spans="21:21" x14ac:dyDescent="0.25">
      <c r="U533"/>
    </row>
    <row r="534" spans="21:21" x14ac:dyDescent="0.25">
      <c r="U534"/>
    </row>
    <row r="535" spans="21:21" x14ac:dyDescent="0.25">
      <c r="U535"/>
    </row>
    <row r="536" spans="21:21" x14ac:dyDescent="0.25">
      <c r="U536"/>
    </row>
    <row r="537" spans="21:21" x14ac:dyDescent="0.25">
      <c r="U537"/>
    </row>
    <row r="538" spans="21:21" x14ac:dyDescent="0.25">
      <c r="U538"/>
    </row>
    <row r="539" spans="21:21" x14ac:dyDescent="0.25">
      <c r="U539"/>
    </row>
    <row r="540" spans="21:21" x14ac:dyDescent="0.25">
      <c r="U540"/>
    </row>
    <row r="541" spans="21:21" x14ac:dyDescent="0.25">
      <c r="U541"/>
    </row>
    <row r="542" spans="21:21" x14ac:dyDescent="0.25">
      <c r="U542"/>
    </row>
    <row r="543" spans="21:21" x14ac:dyDescent="0.25">
      <c r="U543"/>
    </row>
    <row r="544" spans="21:21" x14ac:dyDescent="0.25">
      <c r="U544"/>
    </row>
    <row r="545" spans="21:21" x14ac:dyDescent="0.25">
      <c r="U545"/>
    </row>
    <row r="546" spans="21:21" x14ac:dyDescent="0.25">
      <c r="U546"/>
    </row>
    <row r="547" spans="21:21" x14ac:dyDescent="0.25">
      <c r="U547"/>
    </row>
    <row r="548" spans="21:21" x14ac:dyDescent="0.25">
      <c r="U548"/>
    </row>
    <row r="549" spans="21:21" x14ac:dyDescent="0.25">
      <c r="U549"/>
    </row>
    <row r="550" spans="21:21" x14ac:dyDescent="0.25">
      <c r="U550"/>
    </row>
    <row r="551" spans="21:21" x14ac:dyDescent="0.25">
      <c r="U551"/>
    </row>
    <row r="552" spans="21:21" x14ac:dyDescent="0.25">
      <c r="U552"/>
    </row>
    <row r="553" spans="21:21" x14ac:dyDescent="0.25">
      <c r="U553"/>
    </row>
    <row r="554" spans="21:21" x14ac:dyDescent="0.25">
      <c r="U554"/>
    </row>
    <row r="555" spans="21:21" x14ac:dyDescent="0.25">
      <c r="U555"/>
    </row>
    <row r="556" spans="21:21" x14ac:dyDescent="0.25">
      <c r="U556"/>
    </row>
    <row r="557" spans="21:21" x14ac:dyDescent="0.25">
      <c r="U557"/>
    </row>
    <row r="558" spans="21:21" x14ac:dyDescent="0.25">
      <c r="U558"/>
    </row>
    <row r="559" spans="21:21" x14ac:dyDescent="0.25">
      <c r="U559"/>
    </row>
    <row r="560" spans="21:21" x14ac:dyDescent="0.25">
      <c r="U560"/>
    </row>
    <row r="561" spans="21:21" x14ac:dyDescent="0.25">
      <c r="U561"/>
    </row>
    <row r="562" spans="21:21" x14ac:dyDescent="0.25">
      <c r="U562"/>
    </row>
    <row r="563" spans="21:21" x14ac:dyDescent="0.25">
      <c r="U563"/>
    </row>
    <row r="564" spans="21:21" x14ac:dyDescent="0.25">
      <c r="U564"/>
    </row>
    <row r="565" spans="21:21" x14ac:dyDescent="0.25">
      <c r="U565"/>
    </row>
    <row r="566" spans="21:21" x14ac:dyDescent="0.25">
      <c r="U566"/>
    </row>
    <row r="567" spans="21:21" x14ac:dyDescent="0.25">
      <c r="U567"/>
    </row>
    <row r="568" spans="21:21" x14ac:dyDescent="0.25">
      <c r="U568"/>
    </row>
    <row r="569" spans="21:21" x14ac:dyDescent="0.25">
      <c r="U569"/>
    </row>
    <row r="570" spans="21:21" x14ac:dyDescent="0.25">
      <c r="U570"/>
    </row>
    <row r="571" spans="21:21" x14ac:dyDescent="0.25">
      <c r="U571"/>
    </row>
    <row r="572" spans="21:21" x14ac:dyDescent="0.25">
      <c r="U572"/>
    </row>
    <row r="573" spans="21:21" x14ac:dyDescent="0.25">
      <c r="U573"/>
    </row>
    <row r="574" spans="21:21" x14ac:dyDescent="0.25">
      <c r="U574"/>
    </row>
    <row r="575" spans="21:21" x14ac:dyDescent="0.25">
      <c r="U575"/>
    </row>
    <row r="576" spans="21:21" x14ac:dyDescent="0.25">
      <c r="U576"/>
    </row>
    <row r="577" spans="21:21" x14ac:dyDescent="0.25">
      <c r="U577"/>
    </row>
    <row r="578" spans="21:21" x14ac:dyDescent="0.25">
      <c r="U578"/>
    </row>
    <row r="579" spans="21:21" x14ac:dyDescent="0.25">
      <c r="U579"/>
    </row>
    <row r="580" spans="21:21" x14ac:dyDescent="0.25">
      <c r="U580"/>
    </row>
    <row r="581" spans="21:21" x14ac:dyDescent="0.25">
      <c r="U581"/>
    </row>
    <row r="582" spans="21:21" x14ac:dyDescent="0.25">
      <c r="U582"/>
    </row>
    <row r="583" spans="21:21" x14ac:dyDescent="0.25">
      <c r="U583"/>
    </row>
    <row r="584" spans="21:21" x14ac:dyDescent="0.25">
      <c r="U584"/>
    </row>
    <row r="585" spans="21:21" x14ac:dyDescent="0.25">
      <c r="U585"/>
    </row>
    <row r="586" spans="21:21" x14ac:dyDescent="0.25">
      <c r="U586"/>
    </row>
    <row r="587" spans="21:21" x14ac:dyDescent="0.25">
      <c r="U587"/>
    </row>
    <row r="588" spans="21:21" x14ac:dyDescent="0.25">
      <c r="U588"/>
    </row>
    <row r="589" spans="21:21" x14ac:dyDescent="0.25">
      <c r="U589"/>
    </row>
    <row r="590" spans="21:21" x14ac:dyDescent="0.25">
      <c r="U590"/>
    </row>
    <row r="591" spans="21:21" x14ac:dyDescent="0.25">
      <c r="U591"/>
    </row>
    <row r="592" spans="21:21" x14ac:dyDescent="0.25">
      <c r="U592"/>
    </row>
    <row r="593" spans="21:21" x14ac:dyDescent="0.25">
      <c r="U593"/>
    </row>
    <row r="594" spans="21:21" x14ac:dyDescent="0.25">
      <c r="U594"/>
    </row>
    <row r="595" spans="21:21" x14ac:dyDescent="0.25">
      <c r="U595"/>
    </row>
    <row r="596" spans="21:21" x14ac:dyDescent="0.25">
      <c r="U596"/>
    </row>
    <row r="597" spans="21:21" x14ac:dyDescent="0.25">
      <c r="U597"/>
    </row>
    <row r="598" spans="21:21" x14ac:dyDescent="0.25">
      <c r="U598"/>
    </row>
    <row r="599" spans="21:21" x14ac:dyDescent="0.25">
      <c r="U599"/>
    </row>
    <row r="600" spans="21:21" x14ac:dyDescent="0.25">
      <c r="U600"/>
    </row>
    <row r="601" spans="21:21" x14ac:dyDescent="0.25">
      <c r="U601"/>
    </row>
    <row r="602" spans="21:21" x14ac:dyDescent="0.25">
      <c r="U602"/>
    </row>
    <row r="603" spans="21:21" x14ac:dyDescent="0.25">
      <c r="U603"/>
    </row>
    <row r="604" spans="21:21" x14ac:dyDescent="0.25">
      <c r="U604"/>
    </row>
    <row r="605" spans="21:21" x14ac:dyDescent="0.25">
      <c r="U605"/>
    </row>
    <row r="606" spans="21:21" x14ac:dyDescent="0.25">
      <c r="U606"/>
    </row>
    <row r="607" spans="21:21" x14ac:dyDescent="0.25">
      <c r="U607"/>
    </row>
    <row r="608" spans="21:21" x14ac:dyDescent="0.25">
      <c r="U608"/>
    </row>
    <row r="609" spans="21:21" x14ac:dyDescent="0.25">
      <c r="U609"/>
    </row>
    <row r="610" spans="21:21" x14ac:dyDescent="0.25">
      <c r="U610"/>
    </row>
    <row r="611" spans="21:21" x14ac:dyDescent="0.25">
      <c r="U611"/>
    </row>
    <row r="612" spans="21:21" x14ac:dyDescent="0.25">
      <c r="U612"/>
    </row>
    <row r="613" spans="21:21" x14ac:dyDescent="0.25">
      <c r="U613"/>
    </row>
    <row r="614" spans="21:21" x14ac:dyDescent="0.25">
      <c r="U614"/>
    </row>
    <row r="615" spans="21:21" x14ac:dyDescent="0.25">
      <c r="U615"/>
    </row>
    <row r="616" spans="21:21" x14ac:dyDescent="0.25">
      <c r="U616"/>
    </row>
    <row r="617" spans="21:21" x14ac:dyDescent="0.25">
      <c r="U617"/>
    </row>
    <row r="618" spans="21:21" x14ac:dyDescent="0.25">
      <c r="U618"/>
    </row>
    <row r="619" spans="21:21" x14ac:dyDescent="0.25">
      <c r="U619"/>
    </row>
    <row r="620" spans="21:21" x14ac:dyDescent="0.25">
      <c r="U620"/>
    </row>
    <row r="621" spans="21:21" x14ac:dyDescent="0.25">
      <c r="U621"/>
    </row>
    <row r="622" spans="21:21" x14ac:dyDescent="0.25">
      <c r="U622"/>
    </row>
    <row r="623" spans="21:21" x14ac:dyDescent="0.25">
      <c r="U623"/>
    </row>
    <row r="624" spans="21:21" x14ac:dyDescent="0.25">
      <c r="U624"/>
    </row>
    <row r="625" spans="21:21" x14ac:dyDescent="0.25">
      <c r="U625"/>
    </row>
    <row r="626" spans="21:21" x14ac:dyDescent="0.25">
      <c r="U626"/>
    </row>
    <row r="627" spans="21:21" x14ac:dyDescent="0.25">
      <c r="U627"/>
    </row>
    <row r="628" spans="21:21" x14ac:dyDescent="0.25">
      <c r="U628"/>
    </row>
    <row r="629" spans="21:21" x14ac:dyDescent="0.25">
      <c r="U629"/>
    </row>
    <row r="630" spans="21:21" x14ac:dyDescent="0.25">
      <c r="U630"/>
    </row>
    <row r="631" spans="21:21" x14ac:dyDescent="0.25">
      <c r="U631"/>
    </row>
    <row r="632" spans="21:21" x14ac:dyDescent="0.25">
      <c r="U632"/>
    </row>
    <row r="633" spans="21:21" x14ac:dyDescent="0.25">
      <c r="U633"/>
    </row>
    <row r="634" spans="21:21" x14ac:dyDescent="0.25">
      <c r="U634"/>
    </row>
    <row r="635" spans="21:21" x14ac:dyDescent="0.25">
      <c r="U635"/>
    </row>
    <row r="636" spans="21:21" x14ac:dyDescent="0.25">
      <c r="U636"/>
    </row>
    <row r="637" spans="21:21" x14ac:dyDescent="0.25">
      <c r="U637"/>
    </row>
    <row r="638" spans="21:21" x14ac:dyDescent="0.25">
      <c r="U638"/>
    </row>
    <row r="639" spans="21:21" x14ac:dyDescent="0.25">
      <c r="U639"/>
    </row>
    <row r="640" spans="21:21" x14ac:dyDescent="0.25">
      <c r="U640"/>
    </row>
    <row r="641" spans="21:21" x14ac:dyDescent="0.25">
      <c r="U641"/>
    </row>
    <row r="642" spans="21:21" x14ac:dyDescent="0.25">
      <c r="U642"/>
    </row>
    <row r="643" spans="21:21" x14ac:dyDescent="0.25">
      <c r="U643"/>
    </row>
    <row r="644" spans="21:21" x14ac:dyDescent="0.25">
      <c r="U644"/>
    </row>
    <row r="645" spans="21:21" x14ac:dyDescent="0.25">
      <c r="U645"/>
    </row>
    <row r="646" spans="21:21" x14ac:dyDescent="0.25">
      <c r="U646"/>
    </row>
    <row r="647" spans="21:21" x14ac:dyDescent="0.25">
      <c r="U647"/>
    </row>
    <row r="648" spans="21:21" x14ac:dyDescent="0.25">
      <c r="U648"/>
    </row>
    <row r="649" spans="21:21" x14ac:dyDescent="0.25">
      <c r="U649"/>
    </row>
    <row r="650" spans="21:21" x14ac:dyDescent="0.25">
      <c r="U650"/>
    </row>
    <row r="651" spans="21:21" x14ac:dyDescent="0.25">
      <c r="U651"/>
    </row>
    <row r="652" spans="21:21" x14ac:dyDescent="0.25">
      <c r="U652"/>
    </row>
    <row r="653" spans="21:21" x14ac:dyDescent="0.25">
      <c r="U653"/>
    </row>
    <row r="654" spans="21:21" x14ac:dyDescent="0.25">
      <c r="U654"/>
    </row>
    <row r="655" spans="21:21" x14ac:dyDescent="0.25">
      <c r="U655"/>
    </row>
    <row r="656" spans="21:21" x14ac:dyDescent="0.25">
      <c r="U656"/>
    </row>
    <row r="657" spans="21:21" x14ac:dyDescent="0.25">
      <c r="U657"/>
    </row>
    <row r="658" spans="21:21" x14ac:dyDescent="0.25">
      <c r="U658"/>
    </row>
    <row r="659" spans="21:21" x14ac:dyDescent="0.25">
      <c r="U659"/>
    </row>
    <row r="660" spans="21:21" x14ac:dyDescent="0.25">
      <c r="U660"/>
    </row>
    <row r="661" spans="21:21" x14ac:dyDescent="0.25">
      <c r="U661"/>
    </row>
    <row r="662" spans="21:21" x14ac:dyDescent="0.25">
      <c r="U662"/>
    </row>
    <row r="663" spans="21:21" x14ac:dyDescent="0.25">
      <c r="U663"/>
    </row>
    <row r="664" spans="21:21" x14ac:dyDescent="0.25">
      <c r="U664"/>
    </row>
    <row r="665" spans="21:21" x14ac:dyDescent="0.25">
      <c r="U665"/>
    </row>
    <row r="666" spans="21:21" x14ac:dyDescent="0.25">
      <c r="U666"/>
    </row>
    <row r="667" spans="21:21" x14ac:dyDescent="0.25">
      <c r="U667"/>
    </row>
    <row r="668" spans="21:21" x14ac:dyDescent="0.25">
      <c r="U668"/>
    </row>
    <row r="669" spans="21:21" x14ac:dyDescent="0.25">
      <c r="U669"/>
    </row>
    <row r="670" spans="21:21" x14ac:dyDescent="0.25">
      <c r="U670"/>
    </row>
    <row r="671" spans="21:21" x14ac:dyDescent="0.25">
      <c r="U671"/>
    </row>
    <row r="672" spans="21:21" x14ac:dyDescent="0.25">
      <c r="U672"/>
    </row>
    <row r="673" spans="21:21" x14ac:dyDescent="0.25">
      <c r="U673"/>
    </row>
    <row r="674" spans="21:21" x14ac:dyDescent="0.25">
      <c r="U674"/>
    </row>
    <row r="675" spans="21:21" x14ac:dyDescent="0.25">
      <c r="U675"/>
    </row>
    <row r="676" spans="21:21" x14ac:dyDescent="0.25">
      <c r="U676"/>
    </row>
    <row r="677" spans="21:21" x14ac:dyDescent="0.25">
      <c r="U677"/>
    </row>
    <row r="678" spans="21:21" x14ac:dyDescent="0.25">
      <c r="U678"/>
    </row>
    <row r="679" spans="21:21" x14ac:dyDescent="0.25">
      <c r="U679"/>
    </row>
    <row r="680" spans="21:21" x14ac:dyDescent="0.25">
      <c r="U680"/>
    </row>
    <row r="681" spans="21:21" x14ac:dyDescent="0.25">
      <c r="U681"/>
    </row>
    <row r="682" spans="21:21" x14ac:dyDescent="0.25">
      <c r="U682"/>
    </row>
    <row r="683" spans="21:21" x14ac:dyDescent="0.25">
      <c r="U683"/>
    </row>
    <row r="684" spans="21:21" x14ac:dyDescent="0.25">
      <c r="U684"/>
    </row>
    <row r="685" spans="21:21" x14ac:dyDescent="0.25">
      <c r="U685"/>
    </row>
    <row r="686" spans="21:21" x14ac:dyDescent="0.25">
      <c r="U686"/>
    </row>
    <row r="687" spans="21:21" x14ac:dyDescent="0.25">
      <c r="U687"/>
    </row>
    <row r="688" spans="21:21" x14ac:dyDescent="0.25">
      <c r="U688"/>
    </row>
    <row r="689" spans="21:21" x14ac:dyDescent="0.25">
      <c r="U689"/>
    </row>
    <row r="690" spans="21:21" x14ac:dyDescent="0.25">
      <c r="U690"/>
    </row>
    <row r="691" spans="21:21" x14ac:dyDescent="0.25">
      <c r="U691"/>
    </row>
    <row r="692" spans="21:21" x14ac:dyDescent="0.25">
      <c r="U692"/>
    </row>
    <row r="693" spans="21:21" x14ac:dyDescent="0.25">
      <c r="U693"/>
    </row>
    <row r="694" spans="21:21" x14ac:dyDescent="0.25">
      <c r="U694"/>
    </row>
    <row r="695" spans="21:21" x14ac:dyDescent="0.25">
      <c r="U695"/>
    </row>
    <row r="696" spans="21:21" x14ac:dyDescent="0.25">
      <c r="U696"/>
    </row>
    <row r="697" spans="21:21" x14ac:dyDescent="0.25">
      <c r="U697"/>
    </row>
    <row r="698" spans="21:21" x14ac:dyDescent="0.25">
      <c r="U698"/>
    </row>
    <row r="699" spans="21:21" x14ac:dyDescent="0.25">
      <c r="U699"/>
    </row>
    <row r="700" spans="21:21" x14ac:dyDescent="0.25">
      <c r="U700"/>
    </row>
    <row r="701" spans="21:21" x14ac:dyDescent="0.25">
      <c r="U701"/>
    </row>
    <row r="702" spans="21:21" x14ac:dyDescent="0.25">
      <c r="U702"/>
    </row>
    <row r="703" spans="21:21" x14ac:dyDescent="0.25">
      <c r="U703"/>
    </row>
    <row r="704" spans="21:21" x14ac:dyDescent="0.25">
      <c r="U704"/>
    </row>
    <row r="705" spans="21:21" x14ac:dyDescent="0.25">
      <c r="U705"/>
    </row>
    <row r="706" spans="21:21" x14ac:dyDescent="0.25">
      <c r="U706"/>
    </row>
    <row r="707" spans="21:21" x14ac:dyDescent="0.25">
      <c r="U707"/>
    </row>
    <row r="708" spans="21:21" x14ac:dyDescent="0.25">
      <c r="U708"/>
    </row>
    <row r="709" spans="21:21" x14ac:dyDescent="0.25">
      <c r="U709"/>
    </row>
    <row r="710" spans="21:21" x14ac:dyDescent="0.25">
      <c r="U710"/>
    </row>
    <row r="711" spans="21:21" x14ac:dyDescent="0.25">
      <c r="U711"/>
    </row>
    <row r="712" spans="21:21" x14ac:dyDescent="0.25">
      <c r="U712"/>
    </row>
    <row r="713" spans="21:21" x14ac:dyDescent="0.25">
      <c r="U713"/>
    </row>
    <row r="714" spans="21:21" x14ac:dyDescent="0.25">
      <c r="U714"/>
    </row>
    <row r="715" spans="21:21" x14ac:dyDescent="0.25">
      <c r="U715"/>
    </row>
    <row r="716" spans="21:21" x14ac:dyDescent="0.25">
      <c r="U716"/>
    </row>
    <row r="717" spans="21:21" x14ac:dyDescent="0.25">
      <c r="U717"/>
    </row>
    <row r="718" spans="21:21" x14ac:dyDescent="0.25">
      <c r="U718"/>
    </row>
    <row r="719" spans="21:21" x14ac:dyDescent="0.25">
      <c r="U719"/>
    </row>
    <row r="720" spans="21:21" x14ac:dyDescent="0.25">
      <c r="U720"/>
    </row>
    <row r="721" spans="21:21" x14ac:dyDescent="0.25">
      <c r="U721"/>
    </row>
    <row r="722" spans="21:21" x14ac:dyDescent="0.25">
      <c r="U722"/>
    </row>
    <row r="723" spans="21:21" x14ac:dyDescent="0.25">
      <c r="U723"/>
    </row>
    <row r="724" spans="21:21" x14ac:dyDescent="0.25">
      <c r="U724"/>
    </row>
    <row r="725" spans="21:21" x14ac:dyDescent="0.25">
      <c r="U725"/>
    </row>
    <row r="726" spans="21:21" x14ac:dyDescent="0.25">
      <c r="U726"/>
    </row>
    <row r="727" spans="21:21" x14ac:dyDescent="0.25">
      <c r="U727"/>
    </row>
    <row r="728" spans="21:21" x14ac:dyDescent="0.25">
      <c r="U728"/>
    </row>
    <row r="729" spans="21:21" x14ac:dyDescent="0.25">
      <c r="U729"/>
    </row>
    <row r="730" spans="21:21" x14ac:dyDescent="0.25">
      <c r="U730"/>
    </row>
    <row r="731" spans="21:21" x14ac:dyDescent="0.25">
      <c r="U731"/>
    </row>
    <row r="732" spans="21:21" x14ac:dyDescent="0.25">
      <c r="U732"/>
    </row>
    <row r="733" spans="21:21" x14ac:dyDescent="0.25">
      <c r="U733"/>
    </row>
    <row r="734" spans="21:21" x14ac:dyDescent="0.25">
      <c r="U734"/>
    </row>
    <row r="735" spans="21:21" x14ac:dyDescent="0.25">
      <c r="U735"/>
    </row>
    <row r="736" spans="21:21" x14ac:dyDescent="0.25">
      <c r="U736"/>
    </row>
    <row r="737" spans="21:21" x14ac:dyDescent="0.25">
      <c r="U737"/>
    </row>
    <row r="738" spans="21:21" x14ac:dyDescent="0.25">
      <c r="U738"/>
    </row>
    <row r="739" spans="21:21" x14ac:dyDescent="0.25">
      <c r="U739"/>
    </row>
    <row r="740" spans="21:21" x14ac:dyDescent="0.25">
      <c r="U740"/>
    </row>
    <row r="741" spans="21:21" x14ac:dyDescent="0.25">
      <c r="U741"/>
    </row>
    <row r="742" spans="21:21" x14ac:dyDescent="0.25">
      <c r="U742"/>
    </row>
    <row r="743" spans="21:21" x14ac:dyDescent="0.25">
      <c r="U743"/>
    </row>
    <row r="744" spans="21:21" x14ac:dyDescent="0.25">
      <c r="U744"/>
    </row>
    <row r="745" spans="21:21" x14ac:dyDescent="0.25">
      <c r="U745"/>
    </row>
    <row r="746" spans="21:21" x14ac:dyDescent="0.25">
      <c r="U746"/>
    </row>
    <row r="747" spans="21:21" x14ac:dyDescent="0.25">
      <c r="U747"/>
    </row>
    <row r="748" spans="21:21" x14ac:dyDescent="0.25">
      <c r="U748"/>
    </row>
    <row r="749" spans="21:21" x14ac:dyDescent="0.25">
      <c r="U749"/>
    </row>
    <row r="750" spans="21:21" x14ac:dyDescent="0.25">
      <c r="U750"/>
    </row>
    <row r="751" spans="21:21" x14ac:dyDescent="0.25">
      <c r="U751"/>
    </row>
    <row r="752" spans="21:21" x14ac:dyDescent="0.25">
      <c r="U752"/>
    </row>
    <row r="753" spans="21:21" x14ac:dyDescent="0.25">
      <c r="U753"/>
    </row>
    <row r="754" spans="21:21" x14ac:dyDescent="0.25">
      <c r="U754"/>
    </row>
    <row r="755" spans="21:21" x14ac:dyDescent="0.25">
      <c r="U755"/>
    </row>
    <row r="756" spans="21:21" x14ac:dyDescent="0.25">
      <c r="U756"/>
    </row>
    <row r="757" spans="21:21" x14ac:dyDescent="0.25">
      <c r="U757"/>
    </row>
    <row r="758" spans="21:21" x14ac:dyDescent="0.25">
      <c r="U758"/>
    </row>
    <row r="759" spans="21:21" x14ac:dyDescent="0.25">
      <c r="U759"/>
    </row>
    <row r="760" spans="21:21" x14ac:dyDescent="0.25">
      <c r="U760"/>
    </row>
    <row r="761" spans="21:21" x14ac:dyDescent="0.25">
      <c r="U761"/>
    </row>
    <row r="762" spans="21:21" x14ac:dyDescent="0.25">
      <c r="U762"/>
    </row>
    <row r="763" spans="21:21" x14ac:dyDescent="0.25">
      <c r="U763"/>
    </row>
    <row r="764" spans="21:21" x14ac:dyDescent="0.25">
      <c r="U764"/>
    </row>
    <row r="765" spans="21:21" x14ac:dyDescent="0.25">
      <c r="U765"/>
    </row>
    <row r="766" spans="21:21" x14ac:dyDescent="0.25">
      <c r="U766"/>
    </row>
    <row r="767" spans="21:21" x14ac:dyDescent="0.25">
      <c r="U767"/>
    </row>
    <row r="768" spans="21:21" x14ac:dyDescent="0.25">
      <c r="U768"/>
    </row>
    <row r="769" spans="21:21" x14ac:dyDescent="0.25">
      <c r="U769"/>
    </row>
    <row r="770" spans="21:21" x14ac:dyDescent="0.25">
      <c r="U770"/>
    </row>
    <row r="771" spans="21:21" x14ac:dyDescent="0.25">
      <c r="U771"/>
    </row>
    <row r="772" spans="21:21" x14ac:dyDescent="0.25">
      <c r="U772"/>
    </row>
    <row r="773" spans="21:21" x14ac:dyDescent="0.25">
      <c r="U773"/>
    </row>
    <row r="774" spans="21:21" x14ac:dyDescent="0.25">
      <c r="U774"/>
    </row>
    <row r="775" spans="21:21" x14ac:dyDescent="0.25">
      <c r="U775"/>
    </row>
    <row r="776" spans="21:21" x14ac:dyDescent="0.25">
      <c r="U776"/>
    </row>
    <row r="777" spans="21:21" x14ac:dyDescent="0.25">
      <c r="U777"/>
    </row>
    <row r="778" spans="21:21" x14ac:dyDescent="0.25">
      <c r="U778"/>
    </row>
    <row r="779" spans="21:21" x14ac:dyDescent="0.25">
      <c r="U779"/>
    </row>
    <row r="780" spans="21:21" x14ac:dyDescent="0.25">
      <c r="U780"/>
    </row>
    <row r="781" spans="21:21" x14ac:dyDescent="0.25">
      <c r="U781"/>
    </row>
    <row r="782" spans="21:21" x14ac:dyDescent="0.25">
      <c r="U782"/>
    </row>
    <row r="783" spans="21:21" x14ac:dyDescent="0.25">
      <c r="U783"/>
    </row>
    <row r="784" spans="21:21" x14ac:dyDescent="0.25">
      <c r="U784"/>
    </row>
    <row r="785" spans="21:21" x14ac:dyDescent="0.25">
      <c r="U785"/>
    </row>
    <row r="786" spans="21:21" x14ac:dyDescent="0.25">
      <c r="U786"/>
    </row>
    <row r="787" spans="21:21" x14ac:dyDescent="0.25">
      <c r="U787"/>
    </row>
    <row r="788" spans="21:21" x14ac:dyDescent="0.25">
      <c r="U788"/>
    </row>
    <row r="789" spans="21:21" x14ac:dyDescent="0.25">
      <c r="U789"/>
    </row>
    <row r="790" spans="21:21" x14ac:dyDescent="0.25">
      <c r="U790"/>
    </row>
    <row r="791" spans="21:21" x14ac:dyDescent="0.25">
      <c r="U791"/>
    </row>
    <row r="792" spans="21:21" x14ac:dyDescent="0.25">
      <c r="U792"/>
    </row>
    <row r="793" spans="21:21" x14ac:dyDescent="0.25">
      <c r="U793"/>
    </row>
    <row r="794" spans="21:21" x14ac:dyDescent="0.25">
      <c r="U794"/>
    </row>
    <row r="795" spans="21:21" x14ac:dyDescent="0.25">
      <c r="U795"/>
    </row>
    <row r="796" spans="21:21" x14ac:dyDescent="0.25">
      <c r="U796"/>
    </row>
    <row r="797" spans="21:21" x14ac:dyDescent="0.25">
      <c r="U797"/>
    </row>
    <row r="798" spans="21:21" x14ac:dyDescent="0.25">
      <c r="U798"/>
    </row>
    <row r="799" spans="21:21" x14ac:dyDescent="0.25">
      <c r="U799"/>
    </row>
    <row r="800" spans="21:21" x14ac:dyDescent="0.25">
      <c r="U800"/>
    </row>
    <row r="801" spans="21:21" x14ac:dyDescent="0.25">
      <c r="U801"/>
    </row>
    <row r="802" spans="21:21" x14ac:dyDescent="0.25">
      <c r="U802"/>
    </row>
    <row r="803" spans="21:21" x14ac:dyDescent="0.25">
      <c r="U803"/>
    </row>
    <row r="804" spans="21:21" x14ac:dyDescent="0.25">
      <c r="U804"/>
    </row>
    <row r="805" spans="21:21" x14ac:dyDescent="0.25">
      <c r="U805"/>
    </row>
    <row r="806" spans="21:21" x14ac:dyDescent="0.25">
      <c r="U806"/>
    </row>
    <row r="807" spans="21:21" x14ac:dyDescent="0.25">
      <c r="U807"/>
    </row>
    <row r="808" spans="21:21" x14ac:dyDescent="0.25">
      <c r="U808"/>
    </row>
    <row r="809" spans="21:21" x14ac:dyDescent="0.25">
      <c r="U809"/>
    </row>
    <row r="810" spans="21:21" x14ac:dyDescent="0.25">
      <c r="U810"/>
    </row>
    <row r="811" spans="21:21" x14ac:dyDescent="0.25">
      <c r="U811"/>
    </row>
    <row r="812" spans="21:21" x14ac:dyDescent="0.25">
      <c r="U812"/>
    </row>
    <row r="813" spans="21:21" x14ac:dyDescent="0.25">
      <c r="U813"/>
    </row>
    <row r="814" spans="21:21" x14ac:dyDescent="0.25">
      <c r="U814"/>
    </row>
    <row r="815" spans="21:21" x14ac:dyDescent="0.25">
      <c r="U815"/>
    </row>
    <row r="816" spans="21:21" x14ac:dyDescent="0.25">
      <c r="U816"/>
    </row>
    <row r="817" spans="21:21" x14ac:dyDescent="0.25">
      <c r="U817"/>
    </row>
    <row r="818" spans="21:21" x14ac:dyDescent="0.25">
      <c r="U818"/>
    </row>
    <row r="819" spans="21:21" x14ac:dyDescent="0.25">
      <c r="U819"/>
    </row>
    <row r="820" spans="21:21" x14ac:dyDescent="0.25">
      <c r="U820"/>
    </row>
    <row r="821" spans="21:21" x14ac:dyDescent="0.25">
      <c r="U821"/>
    </row>
    <row r="822" spans="21:21" x14ac:dyDescent="0.25">
      <c r="U822"/>
    </row>
    <row r="823" spans="21:21" x14ac:dyDescent="0.25">
      <c r="U823"/>
    </row>
    <row r="824" spans="21:21" x14ac:dyDescent="0.25">
      <c r="U824"/>
    </row>
    <row r="825" spans="21:21" x14ac:dyDescent="0.25">
      <c r="U825"/>
    </row>
    <row r="826" spans="21:21" x14ac:dyDescent="0.25">
      <c r="U826"/>
    </row>
    <row r="827" spans="21:21" x14ac:dyDescent="0.25">
      <c r="U827"/>
    </row>
    <row r="828" spans="21:21" x14ac:dyDescent="0.25">
      <c r="U828"/>
    </row>
    <row r="829" spans="21:21" x14ac:dyDescent="0.25">
      <c r="U829"/>
    </row>
    <row r="830" spans="21:21" x14ac:dyDescent="0.25">
      <c r="U830"/>
    </row>
    <row r="831" spans="21:21" x14ac:dyDescent="0.25">
      <c r="U831"/>
    </row>
    <row r="832" spans="21:21" x14ac:dyDescent="0.25">
      <c r="U832"/>
    </row>
    <row r="833" spans="21:21" x14ac:dyDescent="0.25">
      <c r="U833"/>
    </row>
    <row r="834" spans="21:21" x14ac:dyDescent="0.25">
      <c r="U834"/>
    </row>
    <row r="835" spans="21:21" x14ac:dyDescent="0.25">
      <c r="U835"/>
    </row>
    <row r="836" spans="21:21" x14ac:dyDescent="0.25">
      <c r="U836"/>
    </row>
    <row r="837" spans="21:21" x14ac:dyDescent="0.25">
      <c r="U837"/>
    </row>
    <row r="838" spans="21:21" x14ac:dyDescent="0.25">
      <c r="U838"/>
    </row>
    <row r="839" spans="21:21" x14ac:dyDescent="0.25">
      <c r="U839"/>
    </row>
    <row r="840" spans="21:21" x14ac:dyDescent="0.25">
      <c r="U840"/>
    </row>
    <row r="841" spans="21:21" x14ac:dyDescent="0.25">
      <c r="U841"/>
    </row>
    <row r="842" spans="21:21" x14ac:dyDescent="0.25">
      <c r="U842"/>
    </row>
    <row r="843" spans="21:21" x14ac:dyDescent="0.25">
      <c r="U843"/>
    </row>
    <row r="844" spans="21:21" x14ac:dyDescent="0.25">
      <c r="U844"/>
    </row>
    <row r="845" spans="21:21" x14ac:dyDescent="0.25">
      <c r="U845"/>
    </row>
    <row r="846" spans="21:21" x14ac:dyDescent="0.25">
      <c r="U846"/>
    </row>
    <row r="847" spans="21:21" x14ac:dyDescent="0.25">
      <c r="U847"/>
    </row>
    <row r="848" spans="21:21" x14ac:dyDescent="0.25">
      <c r="U848"/>
    </row>
    <row r="849" spans="21:21" x14ac:dyDescent="0.25">
      <c r="U849"/>
    </row>
    <row r="850" spans="21:21" x14ac:dyDescent="0.25">
      <c r="U850"/>
    </row>
    <row r="851" spans="21:21" x14ac:dyDescent="0.25">
      <c r="U851"/>
    </row>
    <row r="852" spans="21:21" x14ac:dyDescent="0.25">
      <c r="U852"/>
    </row>
    <row r="853" spans="21:21" x14ac:dyDescent="0.25">
      <c r="U853"/>
    </row>
    <row r="854" spans="21:21" x14ac:dyDescent="0.25">
      <c r="U854"/>
    </row>
    <row r="855" spans="21:21" x14ac:dyDescent="0.25">
      <c r="U855"/>
    </row>
    <row r="856" spans="21:21" x14ac:dyDescent="0.25">
      <c r="U856"/>
    </row>
    <row r="857" spans="21:21" x14ac:dyDescent="0.25">
      <c r="U857"/>
    </row>
    <row r="858" spans="21:21" x14ac:dyDescent="0.25">
      <c r="U858"/>
    </row>
    <row r="859" spans="21:21" x14ac:dyDescent="0.25">
      <c r="U859"/>
    </row>
    <row r="860" spans="21:21" x14ac:dyDescent="0.25">
      <c r="U860"/>
    </row>
    <row r="861" spans="21:21" x14ac:dyDescent="0.25">
      <c r="U861"/>
    </row>
    <row r="862" spans="21:21" x14ac:dyDescent="0.25">
      <c r="U862"/>
    </row>
    <row r="863" spans="21:21" x14ac:dyDescent="0.25">
      <c r="U863"/>
    </row>
    <row r="864" spans="21:21" x14ac:dyDescent="0.25">
      <c r="U864"/>
    </row>
    <row r="865" spans="21:21" x14ac:dyDescent="0.25">
      <c r="U865"/>
    </row>
    <row r="866" spans="21:21" x14ac:dyDescent="0.25">
      <c r="U866"/>
    </row>
    <row r="867" spans="21:21" x14ac:dyDescent="0.25">
      <c r="U867"/>
    </row>
    <row r="868" spans="21:21" x14ac:dyDescent="0.25">
      <c r="U868"/>
    </row>
    <row r="869" spans="21:21" x14ac:dyDescent="0.25">
      <c r="U869"/>
    </row>
    <row r="870" spans="21:21" x14ac:dyDescent="0.25">
      <c r="U870"/>
    </row>
    <row r="871" spans="21:21" x14ac:dyDescent="0.25">
      <c r="U871"/>
    </row>
    <row r="872" spans="21:21" x14ac:dyDescent="0.25">
      <c r="U872"/>
    </row>
    <row r="873" spans="21:21" x14ac:dyDescent="0.25">
      <c r="U873"/>
    </row>
    <row r="874" spans="21:21" x14ac:dyDescent="0.25">
      <c r="U874"/>
    </row>
    <row r="875" spans="21:21" x14ac:dyDescent="0.25">
      <c r="U875"/>
    </row>
    <row r="876" spans="21:21" x14ac:dyDescent="0.25">
      <c r="U876"/>
    </row>
    <row r="877" spans="21:21" x14ac:dyDescent="0.25">
      <c r="U877"/>
    </row>
    <row r="878" spans="21:21" x14ac:dyDescent="0.25">
      <c r="U878"/>
    </row>
    <row r="879" spans="21:21" x14ac:dyDescent="0.25">
      <c r="U879"/>
    </row>
    <row r="880" spans="21:21" x14ac:dyDescent="0.25">
      <c r="U880"/>
    </row>
    <row r="881" spans="21:21" x14ac:dyDescent="0.25">
      <c r="U881"/>
    </row>
    <row r="882" spans="21:21" x14ac:dyDescent="0.25">
      <c r="U882"/>
    </row>
    <row r="883" spans="21:21" x14ac:dyDescent="0.25">
      <c r="U883"/>
    </row>
    <row r="884" spans="21:21" x14ac:dyDescent="0.25">
      <c r="U884"/>
    </row>
    <row r="885" spans="21:21" x14ac:dyDescent="0.25">
      <c r="U885"/>
    </row>
    <row r="886" spans="21:21" x14ac:dyDescent="0.25">
      <c r="U886"/>
    </row>
    <row r="887" spans="21:21" x14ac:dyDescent="0.25">
      <c r="U887"/>
    </row>
    <row r="888" spans="21:21" x14ac:dyDescent="0.25">
      <c r="U888"/>
    </row>
    <row r="889" spans="21:21" x14ac:dyDescent="0.25">
      <c r="U889"/>
    </row>
    <row r="890" spans="21:21" x14ac:dyDescent="0.25">
      <c r="U890"/>
    </row>
    <row r="891" spans="21:21" x14ac:dyDescent="0.25">
      <c r="U891"/>
    </row>
    <row r="892" spans="21:21" x14ac:dyDescent="0.25">
      <c r="U892"/>
    </row>
    <row r="893" spans="21:21" x14ac:dyDescent="0.25">
      <c r="U893"/>
    </row>
    <row r="894" spans="21:21" x14ac:dyDescent="0.25">
      <c r="U894"/>
    </row>
    <row r="895" spans="21:21" x14ac:dyDescent="0.25">
      <c r="U895"/>
    </row>
    <row r="896" spans="21:21" x14ac:dyDescent="0.25">
      <c r="U896"/>
    </row>
    <row r="897" spans="21:21" x14ac:dyDescent="0.25">
      <c r="U897"/>
    </row>
    <row r="898" spans="21:21" x14ac:dyDescent="0.25">
      <c r="U898"/>
    </row>
    <row r="899" spans="21:21" x14ac:dyDescent="0.25">
      <c r="U899"/>
    </row>
    <row r="900" spans="21:21" x14ac:dyDescent="0.25">
      <c r="U900"/>
    </row>
    <row r="901" spans="21:21" x14ac:dyDescent="0.25">
      <c r="U901"/>
    </row>
    <row r="902" spans="21:21" x14ac:dyDescent="0.25">
      <c r="U902"/>
    </row>
    <row r="903" spans="21:21" x14ac:dyDescent="0.25">
      <c r="U903"/>
    </row>
    <row r="904" spans="21:21" x14ac:dyDescent="0.25">
      <c r="U904"/>
    </row>
    <row r="905" spans="21:21" x14ac:dyDescent="0.25">
      <c r="U905"/>
    </row>
    <row r="906" spans="21:21" x14ac:dyDescent="0.25">
      <c r="U906"/>
    </row>
    <row r="907" spans="21:21" x14ac:dyDescent="0.25">
      <c r="U907"/>
    </row>
    <row r="908" spans="21:21" x14ac:dyDescent="0.25">
      <c r="U908"/>
    </row>
    <row r="909" spans="21:21" x14ac:dyDescent="0.25">
      <c r="U909"/>
    </row>
    <row r="910" spans="21:21" x14ac:dyDescent="0.25">
      <c r="U910"/>
    </row>
    <row r="911" spans="21:21" x14ac:dyDescent="0.25">
      <c r="U911"/>
    </row>
    <row r="912" spans="21:21" x14ac:dyDescent="0.25">
      <c r="U912"/>
    </row>
    <row r="913" spans="21:21" x14ac:dyDescent="0.25">
      <c r="U913"/>
    </row>
    <row r="914" spans="21:21" x14ac:dyDescent="0.25">
      <c r="U914"/>
    </row>
    <row r="915" spans="21:21" x14ac:dyDescent="0.25">
      <c r="U915"/>
    </row>
    <row r="916" spans="21:21" x14ac:dyDescent="0.25">
      <c r="U916"/>
    </row>
    <row r="917" spans="21:21" x14ac:dyDescent="0.25">
      <c r="U917"/>
    </row>
    <row r="918" spans="21:21" x14ac:dyDescent="0.25">
      <c r="U918"/>
    </row>
    <row r="919" spans="21:21" x14ac:dyDescent="0.25">
      <c r="U919"/>
    </row>
    <row r="920" spans="21:21" x14ac:dyDescent="0.25">
      <c r="U920"/>
    </row>
    <row r="921" spans="21:21" x14ac:dyDescent="0.25">
      <c r="U921"/>
    </row>
    <row r="922" spans="21:21" x14ac:dyDescent="0.25">
      <c r="U922"/>
    </row>
    <row r="923" spans="21:21" x14ac:dyDescent="0.25">
      <c r="U923"/>
    </row>
    <row r="924" spans="21:21" x14ac:dyDescent="0.25">
      <c r="U924"/>
    </row>
    <row r="925" spans="21:21" x14ac:dyDescent="0.25">
      <c r="U925"/>
    </row>
    <row r="926" spans="21:21" x14ac:dyDescent="0.25">
      <c r="U926"/>
    </row>
    <row r="927" spans="21:21" x14ac:dyDescent="0.25">
      <c r="U927"/>
    </row>
    <row r="928" spans="21:21" x14ac:dyDescent="0.25">
      <c r="U928"/>
    </row>
    <row r="929" spans="21:21" x14ac:dyDescent="0.25">
      <c r="U929"/>
    </row>
    <row r="930" spans="21:21" x14ac:dyDescent="0.25">
      <c r="U930"/>
    </row>
    <row r="931" spans="21:21" x14ac:dyDescent="0.25">
      <c r="U931"/>
    </row>
    <row r="932" spans="21:21" x14ac:dyDescent="0.25">
      <c r="U932"/>
    </row>
    <row r="933" spans="21:21" x14ac:dyDescent="0.25">
      <c r="U933"/>
    </row>
    <row r="934" spans="21:21" x14ac:dyDescent="0.25">
      <c r="U934"/>
    </row>
    <row r="935" spans="21:21" x14ac:dyDescent="0.25">
      <c r="U935"/>
    </row>
    <row r="936" spans="21:21" x14ac:dyDescent="0.25">
      <c r="U936"/>
    </row>
    <row r="937" spans="21:21" x14ac:dyDescent="0.25">
      <c r="U937"/>
    </row>
    <row r="938" spans="21:21" x14ac:dyDescent="0.25">
      <c r="U938"/>
    </row>
    <row r="939" spans="21:21" x14ac:dyDescent="0.25">
      <c r="U939"/>
    </row>
    <row r="940" spans="21:21" x14ac:dyDescent="0.25">
      <c r="U940"/>
    </row>
    <row r="941" spans="21:21" x14ac:dyDescent="0.25">
      <c r="U941"/>
    </row>
    <row r="942" spans="21:21" x14ac:dyDescent="0.25">
      <c r="U942"/>
    </row>
    <row r="943" spans="21:21" x14ac:dyDescent="0.25">
      <c r="U943"/>
    </row>
    <row r="944" spans="21:21" x14ac:dyDescent="0.25">
      <c r="U944"/>
    </row>
    <row r="945" spans="21:21" x14ac:dyDescent="0.25">
      <c r="U945"/>
    </row>
    <row r="946" spans="21:21" x14ac:dyDescent="0.25">
      <c r="U946"/>
    </row>
    <row r="947" spans="21:21" x14ac:dyDescent="0.25">
      <c r="U947"/>
    </row>
    <row r="948" spans="21:21" x14ac:dyDescent="0.25">
      <c r="U948"/>
    </row>
    <row r="949" spans="21:21" x14ac:dyDescent="0.25">
      <c r="U949"/>
    </row>
    <row r="950" spans="21:21" x14ac:dyDescent="0.25">
      <c r="U950"/>
    </row>
    <row r="951" spans="21:21" x14ac:dyDescent="0.25">
      <c r="U951"/>
    </row>
    <row r="952" spans="21:21" x14ac:dyDescent="0.25">
      <c r="U952"/>
    </row>
    <row r="953" spans="21:21" x14ac:dyDescent="0.25">
      <c r="U953"/>
    </row>
    <row r="954" spans="21:21" x14ac:dyDescent="0.25">
      <c r="U954"/>
    </row>
    <row r="955" spans="21:21" x14ac:dyDescent="0.25">
      <c r="U955"/>
    </row>
    <row r="956" spans="21:21" x14ac:dyDescent="0.25">
      <c r="U956"/>
    </row>
    <row r="957" spans="21:21" x14ac:dyDescent="0.25">
      <c r="U957"/>
    </row>
    <row r="958" spans="21:21" x14ac:dyDescent="0.25">
      <c r="U958"/>
    </row>
    <row r="959" spans="21:21" x14ac:dyDescent="0.25">
      <c r="U959"/>
    </row>
    <row r="960" spans="21:21" x14ac:dyDescent="0.25">
      <c r="U960"/>
    </row>
    <row r="961" spans="21:21" x14ac:dyDescent="0.25">
      <c r="U961"/>
    </row>
    <row r="962" spans="21:21" x14ac:dyDescent="0.25">
      <c r="U962"/>
    </row>
    <row r="963" spans="21:21" x14ac:dyDescent="0.25">
      <c r="U963"/>
    </row>
    <row r="964" spans="21:21" x14ac:dyDescent="0.25">
      <c r="U964"/>
    </row>
    <row r="965" spans="21:21" x14ac:dyDescent="0.25">
      <c r="U965"/>
    </row>
    <row r="966" spans="21:21" x14ac:dyDescent="0.25">
      <c r="U966"/>
    </row>
    <row r="967" spans="21:21" x14ac:dyDescent="0.25">
      <c r="U967"/>
    </row>
    <row r="968" spans="21:21" x14ac:dyDescent="0.25">
      <c r="U968"/>
    </row>
    <row r="969" spans="21:21" x14ac:dyDescent="0.25">
      <c r="U969"/>
    </row>
    <row r="970" spans="21:21" x14ac:dyDescent="0.25">
      <c r="U970"/>
    </row>
    <row r="971" spans="21:21" x14ac:dyDescent="0.25">
      <c r="U971"/>
    </row>
    <row r="972" spans="21:21" x14ac:dyDescent="0.25">
      <c r="U972"/>
    </row>
    <row r="973" spans="21:21" x14ac:dyDescent="0.25">
      <c r="U973"/>
    </row>
    <row r="974" spans="21:21" x14ac:dyDescent="0.25">
      <c r="U974"/>
    </row>
    <row r="975" spans="21:21" x14ac:dyDescent="0.25">
      <c r="U975"/>
    </row>
    <row r="976" spans="21:21" x14ac:dyDescent="0.25">
      <c r="U976"/>
    </row>
    <row r="977" spans="21:21" x14ac:dyDescent="0.25">
      <c r="U977"/>
    </row>
    <row r="978" spans="21:21" x14ac:dyDescent="0.25">
      <c r="U978"/>
    </row>
    <row r="979" spans="21:21" x14ac:dyDescent="0.25">
      <c r="U979"/>
    </row>
    <row r="980" spans="21:21" x14ac:dyDescent="0.25">
      <c r="U980"/>
    </row>
    <row r="981" spans="21:21" x14ac:dyDescent="0.25">
      <c r="U981"/>
    </row>
    <row r="982" spans="21:21" x14ac:dyDescent="0.25">
      <c r="U982"/>
    </row>
    <row r="983" spans="21:21" x14ac:dyDescent="0.25">
      <c r="U983"/>
    </row>
    <row r="984" spans="21:21" x14ac:dyDescent="0.25">
      <c r="U984"/>
    </row>
    <row r="985" spans="21:21" x14ac:dyDescent="0.25">
      <c r="U985"/>
    </row>
    <row r="986" spans="21:21" x14ac:dyDescent="0.25">
      <c r="U986"/>
    </row>
    <row r="987" spans="21:21" x14ac:dyDescent="0.25">
      <c r="U987"/>
    </row>
    <row r="988" spans="21:21" x14ac:dyDescent="0.25">
      <c r="U988"/>
    </row>
    <row r="989" spans="21:21" x14ac:dyDescent="0.25">
      <c r="U989"/>
    </row>
    <row r="990" spans="21:21" x14ac:dyDescent="0.25">
      <c r="U990"/>
    </row>
    <row r="991" spans="21:21" x14ac:dyDescent="0.25">
      <c r="U991"/>
    </row>
    <row r="992" spans="21:21" x14ac:dyDescent="0.25">
      <c r="U992"/>
    </row>
    <row r="993" spans="21:21" x14ac:dyDescent="0.25">
      <c r="U993"/>
    </row>
    <row r="994" spans="21:21" x14ac:dyDescent="0.25">
      <c r="U994"/>
    </row>
    <row r="995" spans="21:21" x14ac:dyDescent="0.25">
      <c r="U995"/>
    </row>
    <row r="996" spans="21:21" x14ac:dyDescent="0.25">
      <c r="U996"/>
    </row>
    <row r="997" spans="21:21" x14ac:dyDescent="0.25">
      <c r="U997"/>
    </row>
    <row r="998" spans="21:21" x14ac:dyDescent="0.25">
      <c r="U998"/>
    </row>
    <row r="999" spans="21:21" x14ac:dyDescent="0.25">
      <c r="U999"/>
    </row>
    <row r="1000" spans="21:21" x14ac:dyDescent="0.25">
      <c r="U1000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1"/>
  <dimension ref="A1:Y1000"/>
  <sheetViews>
    <sheetView topLeftCell="A136" workbookViewId="0"/>
  </sheetViews>
  <sheetFormatPr defaultRowHeight="15" x14ac:dyDescent="0.25"/>
  <cols>
    <col min="1" max="1" width="116.85546875" customWidth="1"/>
  </cols>
  <sheetData>
    <row r="1" spans="1:25" x14ac:dyDescent="0.25"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  <c r="X1" s="566"/>
      <c r="Y1" s="566"/>
    </row>
    <row r="2" spans="1:25" x14ac:dyDescent="0.25">
      <c r="B2" s="566"/>
      <c r="C2" s="566"/>
      <c r="D2" s="566"/>
      <c r="E2" s="566"/>
      <c r="F2" s="566"/>
      <c r="G2" s="566"/>
      <c r="H2" s="566"/>
      <c r="I2" s="566"/>
      <c r="J2" s="566"/>
      <c r="K2" s="566"/>
      <c r="L2" s="566"/>
      <c r="M2" s="566"/>
      <c r="N2" s="566"/>
      <c r="O2" s="566"/>
      <c r="P2" s="566"/>
      <c r="Q2" s="566"/>
      <c r="R2" s="566"/>
      <c r="S2" s="566"/>
      <c r="T2" s="566"/>
      <c r="U2" s="566"/>
      <c r="V2" s="566"/>
      <c r="W2" s="566"/>
      <c r="X2" s="566"/>
      <c r="Y2" s="566"/>
    </row>
    <row r="3" spans="1:25" x14ac:dyDescent="0.25">
      <c r="B3" s="566"/>
      <c r="C3" s="566"/>
      <c r="D3" s="566"/>
      <c r="E3" s="566"/>
      <c r="F3" s="566"/>
      <c r="G3" s="566"/>
      <c r="H3" s="566"/>
      <c r="I3" s="566"/>
      <c r="J3" s="566"/>
      <c r="K3" s="566"/>
      <c r="L3" s="566"/>
      <c r="M3" s="566"/>
      <c r="N3" s="566"/>
      <c r="O3" s="566"/>
      <c r="P3" s="566"/>
      <c r="Q3" s="566"/>
      <c r="R3" s="566"/>
      <c r="S3" s="566"/>
      <c r="T3" s="566"/>
      <c r="U3" s="566"/>
      <c r="V3" s="566"/>
      <c r="W3" s="566"/>
      <c r="X3" s="566"/>
      <c r="Y3" s="566"/>
    </row>
    <row r="4" spans="1:25" x14ac:dyDescent="0.25">
      <c r="B4" s="566"/>
      <c r="C4" s="566"/>
      <c r="D4" s="566"/>
      <c r="E4" s="566"/>
      <c r="F4" s="566"/>
      <c r="G4" s="566"/>
      <c r="H4" s="566"/>
      <c r="I4" s="566"/>
      <c r="J4" s="566"/>
      <c r="K4" s="566"/>
      <c r="L4" s="566"/>
      <c r="M4" s="566"/>
      <c r="N4" s="566"/>
      <c r="O4" s="566"/>
      <c r="P4" s="566"/>
      <c r="Q4" s="566"/>
      <c r="R4" s="566"/>
      <c r="S4" s="566"/>
      <c r="T4" s="566"/>
      <c r="U4" s="566"/>
      <c r="V4" s="566"/>
      <c r="W4" s="566"/>
      <c r="X4" s="566"/>
      <c r="Y4" s="566"/>
    </row>
    <row r="5" spans="1:25" x14ac:dyDescent="0.25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</row>
    <row r="6" spans="1:25" x14ac:dyDescent="0.25">
      <c r="A6" t="s">
        <v>2004</v>
      </c>
      <c r="B6" s="566"/>
      <c r="C6" s="566"/>
      <c r="D6" s="566"/>
      <c r="E6" s="566"/>
      <c r="F6" s="566"/>
      <c r="G6" s="566"/>
      <c r="H6" s="566"/>
      <c r="I6" s="566"/>
      <c r="J6" s="566"/>
      <c r="K6" s="566"/>
      <c r="L6" s="566"/>
      <c r="M6" s="566"/>
      <c r="N6" s="566"/>
      <c r="O6" s="566"/>
      <c r="P6" s="566"/>
      <c r="Q6" s="566"/>
      <c r="R6" s="566"/>
      <c r="S6" s="566"/>
      <c r="T6" s="566"/>
      <c r="U6" s="566"/>
      <c r="V6" s="566"/>
      <c r="W6" s="566"/>
      <c r="X6" s="566"/>
      <c r="Y6" s="566"/>
    </row>
    <row r="7" spans="1:25" x14ac:dyDescent="0.25">
      <c r="A7" t="s">
        <v>2005</v>
      </c>
      <c r="B7" s="566"/>
      <c r="C7" s="566"/>
      <c r="D7" s="566"/>
      <c r="E7" s="566"/>
      <c r="F7" s="566"/>
      <c r="G7" s="566"/>
      <c r="H7" s="566"/>
      <c r="I7" s="566"/>
      <c r="J7" s="566"/>
      <c r="K7" s="566"/>
      <c r="L7" s="566"/>
      <c r="M7" s="566"/>
      <c r="N7" s="566"/>
      <c r="O7" s="566"/>
      <c r="P7" s="566"/>
      <c r="Q7" s="566"/>
      <c r="R7" s="566"/>
      <c r="S7" s="566"/>
      <c r="T7" s="566"/>
      <c r="U7" s="566"/>
      <c r="V7" s="566"/>
      <c r="W7" s="566"/>
      <c r="X7" s="566"/>
      <c r="Y7" s="566"/>
    </row>
    <row r="8" spans="1:25" x14ac:dyDescent="0.25">
      <c r="A8" t="s">
        <v>2006</v>
      </c>
      <c r="B8" s="566"/>
      <c r="C8" s="566"/>
      <c r="D8" s="566"/>
      <c r="E8" s="566"/>
      <c r="F8" s="566"/>
      <c r="G8" s="566"/>
      <c r="H8" s="566"/>
      <c r="I8" s="566"/>
      <c r="J8" s="566"/>
      <c r="K8" s="566"/>
      <c r="L8" s="566"/>
      <c r="M8" s="566"/>
      <c r="N8" s="566"/>
      <c r="O8" s="566"/>
      <c r="P8" s="566"/>
      <c r="Q8" s="566"/>
      <c r="R8" s="566"/>
      <c r="S8" s="566"/>
      <c r="T8" s="566"/>
      <c r="U8" s="566"/>
      <c r="V8" s="566"/>
      <c r="W8" s="566"/>
      <c r="X8" s="566"/>
      <c r="Y8" s="566"/>
    </row>
    <row r="9" spans="1:25" x14ac:dyDescent="0.25">
      <c r="A9" t="s">
        <v>2007</v>
      </c>
      <c r="B9" s="566"/>
      <c r="C9" s="566"/>
      <c r="D9" s="566"/>
      <c r="E9" s="566"/>
      <c r="F9" s="566"/>
      <c r="G9" s="566"/>
      <c r="H9" s="566"/>
      <c r="I9" s="566"/>
      <c r="J9" s="566"/>
      <c r="K9" s="566"/>
      <c r="L9" s="566"/>
      <c r="M9" s="566"/>
      <c r="N9" s="566"/>
      <c r="O9" s="566"/>
      <c r="P9" s="566"/>
      <c r="Q9" s="566"/>
      <c r="R9" s="566"/>
      <c r="S9" s="566"/>
      <c r="T9" s="566"/>
      <c r="U9" s="566"/>
      <c r="V9" s="566"/>
      <c r="W9" s="566"/>
      <c r="X9" s="566"/>
      <c r="Y9" s="566"/>
    </row>
    <row r="10" spans="1:25" x14ac:dyDescent="0.25">
      <c r="A10" t="s">
        <v>2008</v>
      </c>
      <c r="B10" s="566"/>
      <c r="C10" s="566"/>
      <c r="D10" s="566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</row>
    <row r="11" spans="1:25" x14ac:dyDescent="0.25">
      <c r="A11" t="s">
        <v>2009</v>
      </c>
      <c r="B11" s="566"/>
      <c r="C11" s="566"/>
      <c r="D11" s="566"/>
      <c r="E11" s="566"/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</row>
    <row r="12" spans="1:25" x14ac:dyDescent="0.25">
      <c r="A12" t="s">
        <v>2010</v>
      </c>
      <c r="B12" s="566"/>
      <c r="C12" s="566"/>
      <c r="D12" s="566"/>
      <c r="E12" s="566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</row>
    <row r="13" spans="1:25" x14ac:dyDescent="0.25">
      <c r="A13" t="s">
        <v>2011</v>
      </c>
      <c r="B13" s="566"/>
      <c r="C13" s="566"/>
      <c r="D13" s="566"/>
      <c r="E13" s="566"/>
      <c r="F13" s="566"/>
      <c r="G13" s="566"/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  <c r="S13" s="566"/>
      <c r="T13" s="566"/>
      <c r="U13" s="566"/>
      <c r="V13" s="566"/>
      <c r="W13" s="566"/>
      <c r="X13" s="566"/>
      <c r="Y13" s="566"/>
    </row>
    <row r="14" spans="1:25" x14ac:dyDescent="0.25">
      <c r="A14" t="s">
        <v>2012</v>
      </c>
      <c r="B14" s="566"/>
      <c r="C14" s="566"/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  <c r="S14" s="566"/>
      <c r="T14" s="566"/>
      <c r="U14" s="566"/>
      <c r="V14" s="566"/>
      <c r="W14" s="566"/>
      <c r="X14" s="566"/>
      <c r="Y14" s="566"/>
    </row>
    <row r="15" spans="1:25" x14ac:dyDescent="0.25">
      <c r="A15" t="s">
        <v>2013</v>
      </c>
      <c r="B15" s="566"/>
      <c r="C15" s="566"/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</row>
    <row r="16" spans="1:25" x14ac:dyDescent="0.25">
      <c r="A16" t="s">
        <v>2014</v>
      </c>
      <c r="B16" s="566"/>
      <c r="C16" s="566"/>
      <c r="D16" s="566"/>
      <c r="E16" s="566"/>
      <c r="F16" s="566"/>
      <c r="G16" s="566"/>
      <c r="H16" s="566"/>
      <c r="I16" s="566"/>
      <c r="J16" s="566"/>
      <c r="K16" s="566"/>
      <c r="L16" s="566"/>
      <c r="M16" s="566"/>
      <c r="N16" s="566"/>
      <c r="O16" s="566"/>
      <c r="P16" s="566"/>
      <c r="Q16" s="566"/>
      <c r="R16" s="566"/>
      <c r="S16" s="566"/>
      <c r="T16" s="566"/>
      <c r="U16" s="566"/>
      <c r="V16" s="566"/>
      <c r="W16" s="566"/>
      <c r="X16" s="566"/>
      <c r="Y16" s="566"/>
    </row>
    <row r="17" spans="1:25" x14ac:dyDescent="0.25">
      <c r="A17" t="s">
        <v>2015</v>
      </c>
      <c r="B17" s="566"/>
      <c r="C17" s="566"/>
      <c r="D17" s="566"/>
      <c r="E17" s="566"/>
      <c r="F17" s="566"/>
      <c r="G17" s="566"/>
      <c r="H17" s="566"/>
      <c r="I17" s="566"/>
      <c r="J17" s="566"/>
      <c r="K17" s="566"/>
      <c r="L17" s="566"/>
      <c r="M17" s="566"/>
      <c r="N17" s="566"/>
      <c r="O17" s="566"/>
      <c r="P17" s="566"/>
      <c r="Q17" s="566"/>
      <c r="R17" s="566"/>
      <c r="S17" s="566"/>
      <c r="T17" s="566"/>
      <c r="U17" s="566"/>
      <c r="V17" s="566"/>
      <c r="W17" s="566"/>
      <c r="X17" s="566"/>
      <c r="Y17" s="566"/>
    </row>
    <row r="18" spans="1:25" x14ac:dyDescent="0.25">
      <c r="A18" t="s">
        <v>2016</v>
      </c>
      <c r="B18" s="566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  <c r="P18" s="566"/>
      <c r="Q18" s="566"/>
      <c r="R18" s="566"/>
      <c r="S18" s="566"/>
      <c r="T18" s="566"/>
      <c r="U18" s="566"/>
      <c r="V18" s="566"/>
      <c r="W18" s="566"/>
      <c r="X18" s="566"/>
      <c r="Y18" s="566"/>
    </row>
    <row r="19" spans="1:25" x14ac:dyDescent="0.25">
      <c r="A19" t="s">
        <v>2017</v>
      </c>
      <c r="B19" s="566"/>
      <c r="C19" s="566"/>
      <c r="D19" s="566"/>
      <c r="E19" s="566"/>
      <c r="F19" s="566"/>
      <c r="G19" s="566"/>
      <c r="H19" s="566"/>
      <c r="I19" s="566"/>
      <c r="J19" s="566"/>
      <c r="K19" s="566"/>
      <c r="L19" s="566"/>
      <c r="M19" s="566"/>
      <c r="N19" s="566"/>
      <c r="O19" s="566"/>
      <c r="P19" s="566"/>
      <c r="Q19" s="566"/>
      <c r="R19" s="566"/>
      <c r="S19" s="566"/>
      <c r="T19" s="566"/>
      <c r="U19" s="566"/>
      <c r="V19" s="566"/>
      <c r="W19" s="566"/>
      <c r="X19" s="566"/>
      <c r="Y19" s="566"/>
    </row>
    <row r="20" spans="1:25" x14ac:dyDescent="0.25">
      <c r="A20" t="s">
        <v>2018</v>
      </c>
      <c r="B20" s="566"/>
      <c r="C20" s="566"/>
      <c r="D20" s="566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</row>
    <row r="21" spans="1:25" x14ac:dyDescent="0.25">
      <c r="A21" t="s">
        <v>2019</v>
      </c>
      <c r="B21" s="566"/>
      <c r="C21" s="566"/>
      <c r="D21" s="566"/>
      <c r="E21" s="566"/>
      <c r="F21" s="566"/>
      <c r="G21" s="566"/>
      <c r="H21" s="566"/>
      <c r="I21" s="566"/>
      <c r="J21" s="566"/>
      <c r="K21" s="566"/>
      <c r="L21" s="566"/>
      <c r="M21" s="566"/>
      <c r="N21" s="566"/>
      <c r="O21" s="566"/>
      <c r="P21" s="566"/>
      <c r="Q21" s="566"/>
      <c r="R21" s="566"/>
      <c r="S21" s="566"/>
      <c r="T21" s="566"/>
      <c r="U21" s="566"/>
      <c r="V21" s="566"/>
      <c r="W21" s="566"/>
      <c r="X21" s="566"/>
      <c r="Y21" s="566"/>
    </row>
    <row r="22" spans="1:25" x14ac:dyDescent="0.25">
      <c r="A22" t="s">
        <v>2020</v>
      </c>
      <c r="B22" s="566"/>
      <c r="C22" s="566"/>
      <c r="D22" s="566"/>
      <c r="E22" s="566"/>
      <c r="F22" s="566"/>
      <c r="G22" s="566"/>
      <c r="H22" s="566"/>
      <c r="I22" s="566"/>
      <c r="J22" s="566"/>
      <c r="K22" s="566"/>
      <c r="L22" s="566"/>
      <c r="M22" s="566"/>
      <c r="N22" s="566"/>
      <c r="O22" s="566"/>
      <c r="P22" s="566"/>
      <c r="Q22" s="566"/>
      <c r="R22" s="566"/>
      <c r="S22" s="566"/>
      <c r="T22" s="566"/>
      <c r="U22" s="566"/>
      <c r="V22" s="566"/>
      <c r="W22" s="566"/>
      <c r="X22" s="566"/>
      <c r="Y22" s="566"/>
    </row>
    <row r="23" spans="1:25" x14ac:dyDescent="0.25">
      <c r="A23" t="s">
        <v>2021</v>
      </c>
      <c r="B23" s="566"/>
      <c r="C23" s="566"/>
      <c r="D23" s="566"/>
      <c r="E23" s="566"/>
      <c r="F23" s="566"/>
      <c r="G23" s="566"/>
      <c r="H23" s="566"/>
      <c r="I23" s="566"/>
      <c r="J23" s="566"/>
      <c r="K23" s="566"/>
      <c r="L23" s="566"/>
      <c r="M23" s="566"/>
      <c r="N23" s="566"/>
      <c r="O23" s="566"/>
      <c r="P23" s="566"/>
      <c r="Q23" s="566"/>
      <c r="R23" s="566"/>
      <c r="S23" s="566"/>
      <c r="T23" s="566"/>
      <c r="U23" s="566"/>
      <c r="V23" s="566"/>
      <c r="W23" s="566"/>
      <c r="X23" s="566"/>
      <c r="Y23" s="566"/>
    </row>
    <row r="24" spans="1:25" x14ac:dyDescent="0.25">
      <c r="A24" t="s">
        <v>2022</v>
      </c>
      <c r="B24" s="566"/>
      <c r="C24" s="566"/>
      <c r="D24" s="566"/>
      <c r="E24" s="566"/>
      <c r="F24" s="566"/>
      <c r="G24" s="566"/>
      <c r="H24" s="566"/>
      <c r="I24" s="566"/>
      <c r="J24" s="566"/>
      <c r="K24" s="566"/>
      <c r="L24" s="566"/>
      <c r="M24" s="566"/>
      <c r="N24" s="566"/>
      <c r="O24" s="566"/>
      <c r="P24" s="566"/>
      <c r="Q24" s="566"/>
      <c r="R24" s="566"/>
      <c r="S24" s="566"/>
      <c r="T24" s="566"/>
      <c r="U24" s="566"/>
      <c r="V24" s="566"/>
      <c r="W24" s="566"/>
      <c r="X24" s="566"/>
      <c r="Y24" s="566"/>
    </row>
    <row r="25" spans="1:25" x14ac:dyDescent="0.25">
      <c r="A25" t="s">
        <v>2023</v>
      </c>
      <c r="B25" s="566"/>
      <c r="C25" s="566"/>
      <c r="D25" s="566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</row>
    <row r="26" spans="1:25" x14ac:dyDescent="0.25">
      <c r="A26" t="s">
        <v>2024</v>
      </c>
      <c r="B26" s="566"/>
      <c r="C26" s="566"/>
      <c r="D26" s="566"/>
      <c r="E26" s="566"/>
      <c r="F26" s="566"/>
      <c r="G26" s="566"/>
      <c r="H26" s="566"/>
      <c r="I26" s="566"/>
      <c r="J26" s="566"/>
      <c r="K26" s="566"/>
      <c r="L26" s="566"/>
      <c r="M26" s="566"/>
      <c r="N26" s="566"/>
      <c r="O26" s="566"/>
      <c r="P26" s="566"/>
      <c r="Q26" s="566"/>
      <c r="R26" s="566"/>
      <c r="S26" s="566"/>
      <c r="T26" s="566"/>
      <c r="U26" s="566"/>
      <c r="V26" s="566"/>
      <c r="W26" s="566"/>
      <c r="X26" s="566"/>
      <c r="Y26" s="566"/>
    </row>
    <row r="27" spans="1:25" x14ac:dyDescent="0.25">
      <c r="A27" t="s">
        <v>2025</v>
      </c>
      <c r="B27" s="566"/>
      <c r="C27" s="566"/>
      <c r="D27" s="566"/>
      <c r="E27" s="566"/>
      <c r="F27" s="566"/>
      <c r="G27" s="566"/>
      <c r="H27" s="566"/>
      <c r="I27" s="566"/>
      <c r="J27" s="566"/>
      <c r="K27" s="566"/>
      <c r="L27" s="566"/>
      <c r="M27" s="566"/>
      <c r="N27" s="566"/>
      <c r="O27" s="566"/>
      <c r="P27" s="566"/>
      <c r="Q27" s="566"/>
      <c r="R27" s="566"/>
      <c r="S27" s="566"/>
      <c r="T27" s="566"/>
      <c r="U27" s="566"/>
      <c r="V27" s="566"/>
      <c r="W27" s="566"/>
      <c r="X27" s="566"/>
      <c r="Y27" s="566"/>
    </row>
    <row r="28" spans="1:25" x14ac:dyDescent="0.25">
      <c r="A28" t="s">
        <v>2026</v>
      </c>
      <c r="B28" s="566"/>
      <c r="C28" s="566"/>
      <c r="D28" s="566"/>
      <c r="E28" s="566"/>
      <c r="F28" s="566"/>
      <c r="G28" s="566"/>
      <c r="H28" s="566"/>
      <c r="I28" s="566"/>
      <c r="J28" s="566"/>
      <c r="K28" s="566"/>
      <c r="L28" s="566"/>
      <c r="M28" s="566"/>
      <c r="N28" s="566"/>
      <c r="O28" s="566"/>
      <c r="P28" s="566"/>
      <c r="Q28" s="566"/>
      <c r="R28" s="566"/>
      <c r="S28" s="566"/>
      <c r="T28" s="566"/>
      <c r="U28" s="566"/>
      <c r="V28" s="566"/>
      <c r="W28" s="566"/>
      <c r="X28" s="566"/>
      <c r="Y28" s="566"/>
    </row>
    <row r="29" spans="1:25" x14ac:dyDescent="0.25">
      <c r="A29" t="s">
        <v>2027</v>
      </c>
      <c r="B29" s="566"/>
      <c r="C29" s="566"/>
      <c r="D29" s="566"/>
      <c r="E29" s="566"/>
      <c r="F29" s="566"/>
      <c r="G29" s="566"/>
      <c r="H29" s="566"/>
      <c r="I29" s="566"/>
      <c r="J29" s="566"/>
      <c r="K29" s="566"/>
      <c r="L29" s="566"/>
      <c r="M29" s="566"/>
      <c r="N29" s="566"/>
      <c r="O29" s="566"/>
      <c r="P29" s="566"/>
      <c r="Q29" s="566"/>
      <c r="R29" s="566"/>
      <c r="S29" s="566"/>
      <c r="T29" s="566"/>
      <c r="U29" s="566"/>
      <c r="V29" s="566"/>
      <c r="W29" s="566"/>
      <c r="X29" s="566"/>
      <c r="Y29" s="566"/>
    </row>
    <row r="30" spans="1:25" x14ac:dyDescent="0.25">
      <c r="A30" t="s">
        <v>2028</v>
      </c>
      <c r="B30" s="566"/>
      <c r="C30" s="566"/>
      <c r="D30" s="566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</row>
    <row r="31" spans="1:25" x14ac:dyDescent="0.25">
      <c r="A31" t="s">
        <v>2029</v>
      </c>
      <c r="B31" s="566"/>
      <c r="C31" s="566"/>
      <c r="D31" s="566"/>
      <c r="E31" s="566"/>
      <c r="F31" s="566"/>
      <c r="G31" s="566"/>
      <c r="H31" s="566"/>
      <c r="I31" s="566"/>
      <c r="J31" s="566"/>
      <c r="K31" s="566"/>
      <c r="L31" s="566"/>
      <c r="M31" s="566"/>
      <c r="N31" s="566"/>
      <c r="O31" s="566"/>
      <c r="P31" s="566"/>
      <c r="Q31" s="566"/>
      <c r="R31" s="566"/>
      <c r="S31" s="566"/>
      <c r="T31" s="566"/>
      <c r="U31" s="566"/>
      <c r="V31" s="566"/>
      <c r="W31" s="566"/>
      <c r="X31" s="566"/>
      <c r="Y31" s="566"/>
    </row>
    <row r="32" spans="1:25" x14ac:dyDescent="0.25">
      <c r="A32" t="s">
        <v>2030</v>
      </c>
      <c r="B32" s="566"/>
      <c r="C32" s="566"/>
      <c r="D32" s="566"/>
      <c r="E32" s="566"/>
      <c r="F32" s="566"/>
      <c r="G32" s="566"/>
      <c r="H32" s="566"/>
      <c r="I32" s="566"/>
      <c r="J32" s="566"/>
      <c r="K32" s="566"/>
      <c r="L32" s="566"/>
      <c r="M32" s="566"/>
      <c r="N32" s="566"/>
      <c r="O32" s="566"/>
      <c r="P32" s="566"/>
      <c r="Q32" s="566"/>
      <c r="R32" s="566"/>
      <c r="S32" s="566"/>
      <c r="T32" s="566"/>
      <c r="U32" s="566"/>
      <c r="V32" s="566"/>
      <c r="W32" s="566"/>
      <c r="X32" s="566"/>
      <c r="Y32" s="566"/>
    </row>
    <row r="33" spans="1:25" x14ac:dyDescent="0.25">
      <c r="A33" t="s">
        <v>2031</v>
      </c>
      <c r="B33" s="566"/>
      <c r="C33" s="566"/>
      <c r="D33" s="566"/>
      <c r="E33" s="566"/>
      <c r="F33" s="566"/>
      <c r="G33" s="566"/>
      <c r="H33" s="566"/>
      <c r="I33" s="566"/>
      <c r="J33" s="566"/>
      <c r="K33" s="566"/>
      <c r="L33" s="566"/>
      <c r="M33" s="566"/>
      <c r="N33" s="566"/>
      <c r="O33" s="566"/>
      <c r="P33" s="566"/>
      <c r="Q33" s="566"/>
      <c r="R33" s="566"/>
      <c r="S33" s="566"/>
      <c r="T33" s="566"/>
      <c r="U33" s="566"/>
      <c r="V33" s="566"/>
      <c r="W33" s="566"/>
      <c r="X33" s="566"/>
      <c r="Y33" s="566"/>
    </row>
    <row r="34" spans="1:25" x14ac:dyDescent="0.25">
      <c r="A34" t="s">
        <v>2032</v>
      </c>
      <c r="B34" s="566"/>
      <c r="C34" s="566"/>
      <c r="D34" s="566"/>
      <c r="E34" s="566"/>
      <c r="F34" s="566"/>
      <c r="G34" s="566"/>
      <c r="H34" s="566"/>
      <c r="I34" s="566"/>
      <c r="J34" s="566"/>
      <c r="K34" s="566"/>
      <c r="L34" s="566"/>
      <c r="M34" s="566"/>
      <c r="N34" s="566"/>
      <c r="O34" s="566"/>
      <c r="P34" s="566"/>
      <c r="Q34" s="566"/>
      <c r="R34" s="566"/>
      <c r="S34" s="566"/>
      <c r="T34" s="566"/>
      <c r="U34" s="566"/>
      <c r="V34" s="566"/>
      <c r="W34" s="566"/>
      <c r="X34" s="566"/>
      <c r="Y34" s="566"/>
    </row>
    <row r="35" spans="1:25" x14ac:dyDescent="0.25">
      <c r="A35" t="s">
        <v>2033</v>
      </c>
      <c r="B35" s="566"/>
      <c r="C35" s="566"/>
      <c r="D35" s="566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</row>
    <row r="36" spans="1:25" x14ac:dyDescent="0.25">
      <c r="A36" t="s">
        <v>2034</v>
      </c>
      <c r="B36" s="566"/>
      <c r="C36" s="566"/>
      <c r="D36" s="566"/>
      <c r="E36" s="566"/>
      <c r="F36" s="566"/>
      <c r="G36" s="566"/>
      <c r="H36" s="566"/>
      <c r="I36" s="566"/>
      <c r="J36" s="566"/>
      <c r="K36" s="566"/>
      <c r="L36" s="566"/>
      <c r="M36" s="566"/>
      <c r="N36" s="566"/>
      <c r="O36" s="566"/>
      <c r="P36" s="566"/>
      <c r="Q36" s="566"/>
      <c r="R36" s="566"/>
      <c r="S36" s="566"/>
      <c r="T36" s="566"/>
      <c r="U36" s="566"/>
      <c r="V36" s="566"/>
      <c r="W36" s="566"/>
      <c r="X36" s="566"/>
      <c r="Y36" s="566"/>
    </row>
    <row r="37" spans="1:25" x14ac:dyDescent="0.25">
      <c r="A37" t="s">
        <v>2035</v>
      </c>
      <c r="B37" s="566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  <c r="P37" s="566"/>
      <c r="Q37" s="566"/>
      <c r="R37" s="566"/>
      <c r="S37" s="566"/>
      <c r="T37" s="566"/>
      <c r="U37" s="566"/>
      <c r="V37" s="566"/>
      <c r="W37" s="566"/>
      <c r="X37" s="566"/>
      <c r="Y37" s="566"/>
    </row>
    <row r="38" spans="1:25" x14ac:dyDescent="0.25">
      <c r="A38" t="s">
        <v>2036</v>
      </c>
      <c r="B38" s="566"/>
      <c r="C38" s="566"/>
      <c r="D38" s="566"/>
      <c r="E38" s="566"/>
      <c r="F38" s="566"/>
      <c r="G38" s="566"/>
      <c r="H38" s="566"/>
      <c r="I38" s="566"/>
      <c r="J38" s="566"/>
      <c r="K38" s="566"/>
      <c r="L38" s="566"/>
      <c r="M38" s="566"/>
      <c r="N38" s="566"/>
      <c r="O38" s="566"/>
      <c r="P38" s="566"/>
      <c r="Q38" s="566"/>
      <c r="R38" s="566"/>
      <c r="S38" s="566"/>
      <c r="T38" s="566"/>
      <c r="U38" s="566"/>
      <c r="V38" s="566"/>
      <c r="W38" s="566"/>
      <c r="X38" s="566"/>
      <c r="Y38" s="566"/>
    </row>
    <row r="39" spans="1:25" x14ac:dyDescent="0.25">
      <c r="A39" t="s">
        <v>2037</v>
      </c>
      <c r="B39" s="566"/>
      <c r="C39" s="566"/>
      <c r="D39" s="566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</row>
    <row r="40" spans="1:25" x14ac:dyDescent="0.25">
      <c r="A40" t="s">
        <v>2038</v>
      </c>
      <c r="B40" s="566"/>
      <c r="C40" s="566"/>
      <c r="D40" s="566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</row>
    <row r="41" spans="1:25" x14ac:dyDescent="0.25">
      <c r="A41" t="s">
        <v>2039</v>
      </c>
      <c r="B41" s="566"/>
      <c r="C41" s="566"/>
      <c r="D41" s="566"/>
      <c r="E41" s="566"/>
      <c r="F41" s="566"/>
      <c r="G41" s="566"/>
      <c r="H41" s="566"/>
      <c r="I41" s="566"/>
      <c r="J41" s="566"/>
      <c r="K41" s="566"/>
      <c r="L41" s="566"/>
      <c r="M41" s="566"/>
      <c r="N41" s="566"/>
      <c r="O41" s="566"/>
      <c r="P41" s="566"/>
      <c r="Q41" s="566"/>
      <c r="R41" s="566"/>
      <c r="S41" s="566"/>
      <c r="T41" s="566"/>
      <c r="U41" s="566"/>
      <c r="V41" s="566"/>
      <c r="W41" s="566"/>
      <c r="X41" s="566"/>
      <c r="Y41" s="566"/>
    </row>
    <row r="42" spans="1:25" x14ac:dyDescent="0.25">
      <c r="A42" t="s">
        <v>2040</v>
      </c>
      <c r="B42" s="566"/>
      <c r="C42" s="566"/>
      <c r="D42" s="566"/>
      <c r="E42" s="566"/>
      <c r="F42" s="566"/>
      <c r="G42" s="566"/>
      <c r="H42" s="566"/>
      <c r="I42" s="566"/>
      <c r="J42" s="566"/>
      <c r="K42" s="566"/>
      <c r="L42" s="566"/>
      <c r="M42" s="566"/>
      <c r="N42" s="566"/>
      <c r="O42" s="566"/>
      <c r="P42" s="566"/>
      <c r="Q42" s="566"/>
      <c r="R42" s="566"/>
      <c r="S42" s="566"/>
      <c r="T42" s="566"/>
      <c r="U42" s="566"/>
      <c r="V42" s="566"/>
      <c r="W42" s="566"/>
      <c r="X42" s="566"/>
      <c r="Y42" s="566"/>
    </row>
    <row r="43" spans="1:25" x14ac:dyDescent="0.25">
      <c r="A43" t="s">
        <v>2041</v>
      </c>
      <c r="B43" s="566"/>
      <c r="C43" s="566"/>
      <c r="D43" s="566"/>
      <c r="E43" s="566"/>
      <c r="F43" s="566"/>
      <c r="G43" s="566"/>
      <c r="H43" s="566"/>
      <c r="I43" s="566"/>
      <c r="J43" s="566"/>
      <c r="K43" s="566"/>
      <c r="L43" s="566"/>
      <c r="M43" s="566"/>
      <c r="N43" s="566"/>
      <c r="O43" s="566"/>
      <c r="P43" s="566"/>
      <c r="Q43" s="566"/>
      <c r="R43" s="566"/>
      <c r="S43" s="566"/>
      <c r="T43" s="566"/>
      <c r="U43" s="566"/>
      <c r="V43" s="566"/>
      <c r="W43" s="566"/>
      <c r="X43" s="566"/>
      <c r="Y43" s="566"/>
    </row>
    <row r="44" spans="1:25" x14ac:dyDescent="0.25">
      <c r="A44" t="s">
        <v>2042</v>
      </c>
      <c r="B44" s="566"/>
      <c r="C44" s="566"/>
      <c r="D44" s="566"/>
      <c r="E44" s="566"/>
      <c r="F44" s="566"/>
      <c r="G44" s="566"/>
      <c r="H44" s="566"/>
      <c r="I44" s="566"/>
      <c r="J44" s="566"/>
      <c r="K44" s="566"/>
      <c r="L44" s="566"/>
      <c r="M44" s="566"/>
      <c r="N44" s="566"/>
      <c r="O44" s="566"/>
      <c r="P44" s="566"/>
      <c r="Q44" s="566"/>
      <c r="R44" s="566"/>
      <c r="S44" s="566"/>
      <c r="T44" s="566"/>
      <c r="U44" s="566"/>
      <c r="V44" s="566"/>
      <c r="W44" s="566"/>
      <c r="X44" s="566"/>
      <c r="Y44" s="566"/>
    </row>
    <row r="45" spans="1:25" x14ac:dyDescent="0.25">
      <c r="A45" t="s">
        <v>2043</v>
      </c>
      <c r="B45" s="566"/>
      <c r="C45" s="566"/>
      <c r="D45" s="566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</row>
    <row r="46" spans="1:25" x14ac:dyDescent="0.25">
      <c r="A46" t="s">
        <v>2044</v>
      </c>
      <c r="B46" s="566"/>
      <c r="C46" s="566"/>
      <c r="D46" s="566"/>
      <c r="E46" s="566"/>
      <c r="F46" s="566"/>
      <c r="G46" s="566"/>
      <c r="H46" s="566"/>
      <c r="I46" s="566"/>
      <c r="J46" s="566"/>
      <c r="K46" s="566"/>
      <c r="L46" s="566"/>
      <c r="M46" s="566"/>
      <c r="N46" s="566"/>
      <c r="O46" s="566"/>
      <c r="P46" s="566"/>
      <c r="Q46" s="566"/>
      <c r="R46" s="566"/>
      <c r="S46" s="566"/>
      <c r="T46" s="566"/>
      <c r="U46" s="566"/>
      <c r="V46" s="566"/>
      <c r="W46" s="566"/>
      <c r="X46" s="566"/>
      <c r="Y46" s="566"/>
    </row>
    <row r="47" spans="1:25" x14ac:dyDescent="0.25">
      <c r="A47" t="s">
        <v>2045</v>
      </c>
      <c r="B47" s="566"/>
      <c r="C47" s="566"/>
      <c r="D47" s="566"/>
      <c r="E47" s="566"/>
      <c r="F47" s="566"/>
      <c r="G47" s="566"/>
      <c r="H47" s="566"/>
      <c r="I47" s="566"/>
      <c r="J47" s="566"/>
      <c r="K47" s="566"/>
      <c r="L47" s="566"/>
      <c r="M47" s="566"/>
      <c r="N47" s="566"/>
      <c r="O47" s="566"/>
      <c r="P47" s="566"/>
      <c r="Q47" s="566"/>
      <c r="R47" s="566"/>
      <c r="S47" s="566"/>
      <c r="T47" s="566"/>
      <c r="U47" s="566"/>
      <c r="V47" s="566"/>
      <c r="W47" s="566"/>
      <c r="X47" s="566"/>
      <c r="Y47" s="566"/>
    </row>
    <row r="48" spans="1:25" x14ac:dyDescent="0.25">
      <c r="A48" t="s">
        <v>2046</v>
      </c>
      <c r="B48" s="566"/>
      <c r="C48" s="566"/>
      <c r="D48" s="566"/>
      <c r="E48" s="566"/>
      <c r="F48" s="566"/>
      <c r="G48" s="566"/>
      <c r="H48" s="566"/>
      <c r="I48" s="566"/>
      <c r="J48" s="566"/>
      <c r="K48" s="566"/>
      <c r="L48" s="566"/>
      <c r="M48" s="566"/>
      <c r="N48" s="566"/>
      <c r="O48" s="566"/>
      <c r="P48" s="566"/>
      <c r="Q48" s="566"/>
      <c r="R48" s="566"/>
      <c r="S48" s="566"/>
      <c r="T48" s="566"/>
      <c r="U48" s="566"/>
      <c r="V48" s="566"/>
      <c r="W48" s="566"/>
      <c r="X48" s="566"/>
      <c r="Y48" s="566"/>
    </row>
    <row r="49" spans="1:25" x14ac:dyDescent="0.25">
      <c r="A49" t="s">
        <v>2047</v>
      </c>
      <c r="B49" s="566"/>
      <c r="C49" s="566"/>
      <c r="D49" s="566"/>
      <c r="E49" s="566"/>
      <c r="F49" s="566"/>
      <c r="G49" s="566"/>
      <c r="H49" s="566"/>
      <c r="I49" s="566"/>
      <c r="J49" s="566"/>
      <c r="K49" s="566"/>
      <c r="L49" s="566"/>
      <c r="M49" s="566"/>
      <c r="N49" s="566"/>
      <c r="O49" s="566"/>
      <c r="P49" s="566"/>
      <c r="Q49" s="566"/>
      <c r="R49" s="566"/>
      <c r="S49" s="566"/>
      <c r="T49" s="566"/>
      <c r="U49" s="566"/>
      <c r="V49" s="566"/>
      <c r="W49" s="566"/>
      <c r="X49" s="566"/>
      <c r="Y49" s="566"/>
    </row>
    <row r="50" spans="1:25" x14ac:dyDescent="0.25">
      <c r="A50" t="s">
        <v>2048</v>
      </c>
      <c r="B50" s="566"/>
      <c r="C50" s="566"/>
      <c r="D50" s="566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</row>
    <row r="51" spans="1:25" x14ac:dyDescent="0.25">
      <c r="A51" t="s">
        <v>2049</v>
      </c>
      <c r="B51" s="566"/>
      <c r="C51" s="566"/>
      <c r="D51" s="566"/>
      <c r="E51" s="566"/>
      <c r="F51" s="566"/>
      <c r="G51" s="566"/>
      <c r="H51" s="566"/>
      <c r="I51" s="566"/>
      <c r="J51" s="566"/>
      <c r="K51" s="566"/>
      <c r="L51" s="566"/>
      <c r="M51" s="566"/>
      <c r="N51" s="566"/>
      <c r="O51" s="566"/>
      <c r="P51" s="566"/>
      <c r="Q51" s="566"/>
      <c r="R51" s="566"/>
      <c r="S51" s="566"/>
      <c r="T51" s="566"/>
      <c r="U51" s="566"/>
      <c r="V51" s="566"/>
      <c r="W51" s="566"/>
      <c r="X51" s="566"/>
      <c r="Y51" s="566"/>
    </row>
    <row r="52" spans="1:25" x14ac:dyDescent="0.25">
      <c r="A52" t="s">
        <v>2050</v>
      </c>
      <c r="B52" s="566"/>
      <c r="C52" s="566"/>
      <c r="D52" s="566"/>
      <c r="E52" s="566"/>
      <c r="F52" s="566"/>
      <c r="G52" s="566"/>
      <c r="H52" s="566"/>
      <c r="I52" s="566"/>
      <c r="J52" s="566"/>
      <c r="K52" s="566"/>
      <c r="L52" s="566"/>
      <c r="M52" s="566"/>
      <c r="N52" s="566"/>
      <c r="O52" s="566"/>
      <c r="P52" s="566"/>
      <c r="Q52" s="566"/>
      <c r="R52" s="566"/>
      <c r="S52" s="566"/>
      <c r="T52" s="566"/>
      <c r="U52" s="566"/>
      <c r="V52" s="566"/>
      <c r="W52" s="566"/>
      <c r="X52" s="566"/>
      <c r="Y52" s="566"/>
    </row>
    <row r="53" spans="1:25" x14ac:dyDescent="0.25">
      <c r="A53" t="s">
        <v>2051</v>
      </c>
      <c r="B53" s="566"/>
      <c r="C53" s="566"/>
      <c r="D53" s="566"/>
      <c r="E53" s="566"/>
      <c r="F53" s="566"/>
      <c r="G53" s="566"/>
      <c r="H53" s="566"/>
      <c r="I53" s="566"/>
      <c r="J53" s="566"/>
      <c r="K53" s="566"/>
      <c r="L53" s="566"/>
      <c r="M53" s="566"/>
      <c r="N53" s="566"/>
      <c r="O53" s="566"/>
      <c r="P53" s="566"/>
      <c r="Q53" s="566"/>
      <c r="R53" s="566"/>
      <c r="S53" s="566"/>
      <c r="T53" s="566"/>
      <c r="U53" s="566"/>
      <c r="V53" s="566"/>
      <c r="W53" s="566"/>
      <c r="X53" s="566"/>
      <c r="Y53" s="566"/>
    </row>
    <row r="54" spans="1:25" x14ac:dyDescent="0.25">
      <c r="A54" t="s">
        <v>2052</v>
      </c>
      <c r="B54" s="566"/>
      <c r="C54" s="566"/>
      <c r="D54" s="566"/>
      <c r="E54" s="566"/>
      <c r="F54" s="566"/>
      <c r="G54" s="566"/>
      <c r="H54" s="566"/>
      <c r="I54" s="566"/>
      <c r="J54" s="566"/>
      <c r="K54" s="566"/>
      <c r="L54" s="566"/>
      <c r="M54" s="566"/>
      <c r="N54" s="566"/>
      <c r="O54" s="566"/>
      <c r="P54" s="566"/>
      <c r="Q54" s="566"/>
      <c r="R54" s="566"/>
      <c r="S54" s="566"/>
      <c r="T54" s="566"/>
      <c r="U54" s="566"/>
      <c r="V54" s="566"/>
      <c r="W54" s="566"/>
      <c r="X54" s="566"/>
      <c r="Y54" s="566"/>
    </row>
    <row r="55" spans="1:25" x14ac:dyDescent="0.25">
      <c r="A55" t="s">
        <v>2053</v>
      </c>
      <c r="B55" s="566"/>
      <c r="C55" s="566"/>
      <c r="D55" s="566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</row>
    <row r="56" spans="1:25" x14ac:dyDescent="0.25">
      <c r="A56" t="s">
        <v>2054</v>
      </c>
      <c r="B56" s="566"/>
      <c r="C56" s="566"/>
      <c r="D56" s="566"/>
      <c r="E56" s="566"/>
      <c r="F56" s="566"/>
      <c r="G56" s="566"/>
      <c r="H56" s="566"/>
      <c r="I56" s="566"/>
      <c r="J56" s="566"/>
      <c r="K56" s="566"/>
      <c r="L56" s="566"/>
      <c r="M56" s="566"/>
      <c r="N56" s="566"/>
      <c r="O56" s="566"/>
      <c r="P56" s="566"/>
      <c r="Q56" s="566"/>
      <c r="R56" s="566"/>
      <c r="S56" s="566"/>
      <c r="T56" s="566"/>
      <c r="U56" s="566"/>
      <c r="V56" s="566"/>
      <c r="W56" s="566"/>
      <c r="X56" s="566"/>
      <c r="Y56" s="566"/>
    </row>
    <row r="57" spans="1:25" x14ac:dyDescent="0.25">
      <c r="A57" t="s">
        <v>2055</v>
      </c>
      <c r="B57" s="566"/>
      <c r="C57" s="566"/>
      <c r="D57" s="566"/>
      <c r="E57" s="566"/>
      <c r="F57" s="566"/>
      <c r="G57" s="566"/>
      <c r="H57" s="566"/>
      <c r="I57" s="566"/>
      <c r="J57" s="566"/>
      <c r="K57" s="566"/>
      <c r="L57" s="566"/>
      <c r="M57" s="566"/>
      <c r="N57" s="566"/>
      <c r="O57" s="566"/>
      <c r="P57" s="566"/>
      <c r="Q57" s="566"/>
      <c r="R57" s="566"/>
      <c r="S57" s="566"/>
      <c r="T57" s="566"/>
      <c r="U57" s="566"/>
      <c r="V57" s="566"/>
      <c r="W57" s="566"/>
      <c r="X57" s="566"/>
      <c r="Y57" s="566"/>
    </row>
    <row r="58" spans="1:25" x14ac:dyDescent="0.25">
      <c r="A58" t="s">
        <v>2056</v>
      </c>
      <c r="B58" s="566"/>
      <c r="C58" s="566"/>
      <c r="D58" s="566"/>
      <c r="E58" s="566"/>
      <c r="F58" s="566"/>
      <c r="G58" s="566"/>
      <c r="H58" s="566"/>
      <c r="I58" s="566"/>
      <c r="J58" s="566"/>
      <c r="K58" s="566"/>
      <c r="L58" s="566"/>
      <c r="M58" s="566"/>
      <c r="N58" s="566"/>
      <c r="O58" s="566"/>
      <c r="P58" s="566"/>
      <c r="Q58" s="566"/>
      <c r="R58" s="566"/>
      <c r="S58" s="566"/>
      <c r="T58" s="566"/>
      <c r="U58" s="566"/>
      <c r="V58" s="566"/>
      <c r="W58" s="566"/>
      <c r="X58" s="566"/>
      <c r="Y58" s="566"/>
    </row>
    <row r="59" spans="1:25" x14ac:dyDescent="0.25">
      <c r="A59" t="s">
        <v>2057</v>
      </c>
      <c r="B59" s="566"/>
      <c r="C59" s="566"/>
      <c r="D59" s="566"/>
      <c r="E59" s="566"/>
      <c r="F59" s="566"/>
      <c r="G59" s="566"/>
      <c r="H59" s="566"/>
      <c r="I59" s="566"/>
      <c r="J59" s="566"/>
      <c r="K59" s="566"/>
      <c r="L59" s="566"/>
      <c r="M59" s="566"/>
      <c r="N59" s="566"/>
      <c r="O59" s="566"/>
      <c r="P59" s="566"/>
      <c r="Q59" s="566"/>
      <c r="R59" s="566"/>
      <c r="S59" s="566"/>
      <c r="T59" s="566"/>
      <c r="U59" s="566"/>
      <c r="V59" s="566"/>
      <c r="W59" s="566"/>
      <c r="X59" s="566"/>
      <c r="Y59" s="566"/>
    </row>
    <row r="60" spans="1:25" x14ac:dyDescent="0.25">
      <c r="A60" t="s">
        <v>2058</v>
      </c>
      <c r="B60" s="566"/>
      <c r="C60" s="566"/>
      <c r="D60" s="566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</row>
    <row r="61" spans="1:25" x14ac:dyDescent="0.25">
      <c r="A61" t="s">
        <v>2059</v>
      </c>
      <c r="B61" s="566"/>
      <c r="C61" s="566"/>
      <c r="D61" s="566"/>
      <c r="E61" s="566"/>
      <c r="F61" s="566"/>
      <c r="G61" s="566"/>
      <c r="H61" s="566"/>
      <c r="I61" s="566"/>
      <c r="J61" s="566"/>
      <c r="K61" s="566"/>
      <c r="L61" s="566"/>
      <c r="M61" s="566"/>
      <c r="N61" s="566"/>
      <c r="O61" s="566"/>
      <c r="P61" s="566"/>
      <c r="Q61" s="566"/>
      <c r="R61" s="566"/>
      <c r="S61" s="566"/>
      <c r="T61" s="566"/>
      <c r="U61" s="566"/>
      <c r="V61" s="566"/>
      <c r="W61" s="566"/>
      <c r="X61" s="566"/>
      <c r="Y61" s="566"/>
    </row>
    <row r="62" spans="1:25" x14ac:dyDescent="0.25">
      <c r="A62" t="s">
        <v>2060</v>
      </c>
      <c r="B62" s="566"/>
      <c r="C62" s="566"/>
      <c r="D62" s="566"/>
      <c r="E62" s="566"/>
      <c r="F62" s="566"/>
      <c r="G62" s="566"/>
      <c r="H62" s="566"/>
      <c r="I62" s="566"/>
      <c r="J62" s="566"/>
      <c r="K62" s="566"/>
      <c r="L62" s="566"/>
      <c r="M62" s="566"/>
      <c r="N62" s="566"/>
      <c r="O62" s="566"/>
      <c r="P62" s="566"/>
      <c r="Q62" s="566"/>
      <c r="R62" s="566"/>
      <c r="S62" s="566"/>
      <c r="T62" s="566"/>
      <c r="U62" s="566"/>
      <c r="V62" s="566"/>
      <c r="W62" s="566"/>
      <c r="X62" s="566"/>
      <c r="Y62" s="566"/>
    </row>
    <row r="63" spans="1:25" x14ac:dyDescent="0.25">
      <c r="A63" t="s">
        <v>2061</v>
      </c>
      <c r="B63" s="566"/>
      <c r="C63" s="566"/>
      <c r="D63" s="566"/>
      <c r="E63" s="566"/>
      <c r="F63" s="566"/>
      <c r="G63" s="566"/>
      <c r="H63" s="566"/>
      <c r="I63" s="566"/>
      <c r="J63" s="566"/>
      <c r="K63" s="566"/>
      <c r="L63" s="566"/>
      <c r="M63" s="566"/>
      <c r="N63" s="566"/>
      <c r="O63" s="566"/>
      <c r="P63" s="566"/>
      <c r="Q63" s="566"/>
      <c r="R63" s="566"/>
      <c r="S63" s="566"/>
      <c r="T63" s="566"/>
      <c r="U63" s="566"/>
      <c r="V63" s="566"/>
      <c r="W63" s="566"/>
      <c r="X63" s="566"/>
      <c r="Y63" s="566"/>
    </row>
    <row r="64" spans="1:25" x14ac:dyDescent="0.25">
      <c r="A64" t="s">
        <v>2062</v>
      </c>
      <c r="B64" s="566"/>
      <c r="C64" s="566"/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6"/>
      <c r="O64" s="566"/>
      <c r="P64" s="566"/>
      <c r="Q64" s="566"/>
      <c r="R64" s="566"/>
      <c r="S64" s="566"/>
      <c r="T64" s="566"/>
      <c r="U64" s="566"/>
      <c r="V64" s="566"/>
      <c r="W64" s="566"/>
      <c r="X64" s="566"/>
      <c r="Y64" s="566"/>
    </row>
    <row r="65" spans="1:25" x14ac:dyDescent="0.25">
      <c r="A65" t="s">
        <v>2063</v>
      </c>
      <c r="B65" s="566"/>
      <c r="C65" s="566"/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</row>
    <row r="66" spans="1:25" x14ac:dyDescent="0.25">
      <c r="A66" t="s">
        <v>2064</v>
      </c>
      <c r="B66" s="566"/>
      <c r="C66" s="566"/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6"/>
      <c r="O66" s="566"/>
      <c r="P66" s="566"/>
      <c r="Q66" s="566"/>
      <c r="R66" s="566"/>
      <c r="S66" s="566"/>
      <c r="T66" s="566"/>
      <c r="U66" s="566"/>
      <c r="V66" s="566"/>
      <c r="W66" s="566"/>
      <c r="X66" s="566"/>
      <c r="Y66" s="566"/>
    </row>
    <row r="67" spans="1:25" x14ac:dyDescent="0.25">
      <c r="A67" t="s">
        <v>2065</v>
      </c>
      <c r="B67" s="566"/>
      <c r="C67" s="566"/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6"/>
      <c r="O67" s="566"/>
      <c r="P67" s="566"/>
      <c r="Q67" s="566"/>
      <c r="R67" s="566"/>
      <c r="S67" s="566"/>
      <c r="T67" s="566"/>
      <c r="U67" s="566"/>
      <c r="V67" s="566"/>
      <c r="W67" s="566"/>
      <c r="X67" s="566"/>
      <c r="Y67" s="566"/>
    </row>
    <row r="68" spans="1:25" x14ac:dyDescent="0.25">
      <c r="A68" t="s">
        <v>2066</v>
      </c>
      <c r="B68" s="566"/>
      <c r="C68" s="566"/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6"/>
      <c r="O68" s="566"/>
      <c r="P68" s="566"/>
      <c r="Q68" s="566"/>
      <c r="R68" s="566"/>
      <c r="S68" s="566"/>
      <c r="T68" s="566"/>
      <c r="U68" s="566"/>
      <c r="V68" s="566"/>
      <c r="W68" s="566"/>
      <c r="X68" s="566"/>
      <c r="Y68" s="566"/>
    </row>
    <row r="69" spans="1:25" x14ac:dyDescent="0.25">
      <c r="A69" t="s">
        <v>2067</v>
      </c>
      <c r="B69" s="566"/>
      <c r="C69" s="566"/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6"/>
      <c r="O69" s="566"/>
      <c r="P69" s="566"/>
      <c r="Q69" s="566"/>
      <c r="R69" s="566"/>
      <c r="S69" s="566"/>
      <c r="T69" s="566"/>
      <c r="U69" s="566"/>
      <c r="V69" s="566"/>
      <c r="W69" s="566"/>
      <c r="X69" s="566"/>
      <c r="Y69" s="566"/>
    </row>
    <row r="70" spans="1:25" x14ac:dyDescent="0.25">
      <c r="A70" t="s">
        <v>2068</v>
      </c>
      <c r="B70" s="566"/>
      <c r="C70" s="566"/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</row>
    <row r="71" spans="1:25" x14ac:dyDescent="0.25">
      <c r="A71" t="s">
        <v>2069</v>
      </c>
      <c r="B71" s="566"/>
      <c r="C71" s="566"/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6"/>
      <c r="O71" s="566"/>
      <c r="P71" s="566"/>
      <c r="Q71" s="566"/>
      <c r="R71" s="566"/>
      <c r="S71" s="566"/>
      <c r="T71" s="566"/>
      <c r="U71" s="566"/>
      <c r="V71" s="566"/>
      <c r="W71" s="566"/>
      <c r="X71" s="566"/>
      <c r="Y71" s="566"/>
    </row>
    <row r="72" spans="1:25" x14ac:dyDescent="0.25">
      <c r="A72" t="s">
        <v>2070</v>
      </c>
      <c r="B72" s="566"/>
      <c r="C72" s="566"/>
      <c r="D72" s="566"/>
      <c r="E72" s="566"/>
      <c r="F72" s="566"/>
      <c r="G72" s="566"/>
      <c r="H72" s="566"/>
      <c r="I72" s="566"/>
      <c r="J72" s="566"/>
      <c r="K72" s="566"/>
      <c r="L72" s="566"/>
      <c r="M72" s="566"/>
      <c r="N72" s="566"/>
      <c r="O72" s="566"/>
      <c r="P72" s="566"/>
      <c r="Q72" s="566"/>
      <c r="R72" s="566"/>
      <c r="S72" s="566"/>
      <c r="T72" s="566"/>
      <c r="U72" s="566"/>
      <c r="V72" s="566"/>
      <c r="W72" s="566"/>
      <c r="X72" s="566"/>
      <c r="Y72" s="566"/>
    </row>
    <row r="73" spans="1:25" x14ac:dyDescent="0.25">
      <c r="A73" t="s">
        <v>2071</v>
      </c>
      <c r="B73" s="566"/>
      <c r="C73" s="566"/>
      <c r="D73" s="566"/>
      <c r="E73" s="566"/>
      <c r="F73" s="566"/>
      <c r="G73" s="566"/>
      <c r="H73" s="566"/>
      <c r="I73" s="566"/>
      <c r="J73" s="566"/>
      <c r="K73" s="566"/>
      <c r="L73" s="566"/>
      <c r="M73" s="566"/>
      <c r="N73" s="566"/>
      <c r="O73" s="566"/>
      <c r="P73" s="566"/>
      <c r="Q73" s="566"/>
      <c r="R73" s="566"/>
      <c r="S73" s="566"/>
      <c r="T73" s="566"/>
      <c r="U73" s="566"/>
      <c r="V73" s="566"/>
      <c r="W73" s="566"/>
      <c r="X73" s="566"/>
      <c r="Y73" s="566"/>
    </row>
    <row r="74" spans="1:25" x14ac:dyDescent="0.25">
      <c r="A74" t="s">
        <v>2072</v>
      </c>
      <c r="B74" s="566"/>
      <c r="C74" s="566"/>
      <c r="D74" s="566"/>
      <c r="E74" s="566"/>
      <c r="F74" s="566"/>
      <c r="G74" s="566"/>
      <c r="H74" s="566"/>
      <c r="I74" s="566"/>
      <c r="J74" s="566"/>
      <c r="K74" s="566"/>
      <c r="L74" s="566"/>
      <c r="M74" s="566"/>
      <c r="N74" s="566"/>
      <c r="O74" s="566"/>
      <c r="P74" s="566"/>
      <c r="Q74" s="566"/>
      <c r="R74" s="566"/>
      <c r="S74" s="566"/>
      <c r="T74" s="566"/>
      <c r="U74" s="566"/>
      <c r="V74" s="566"/>
      <c r="W74" s="566"/>
      <c r="X74" s="566"/>
      <c r="Y74" s="566"/>
    </row>
    <row r="75" spans="1:25" x14ac:dyDescent="0.25">
      <c r="A75" t="s">
        <v>2073</v>
      </c>
      <c r="B75" s="566"/>
      <c r="C75" s="566"/>
      <c r="D75" s="566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</row>
    <row r="76" spans="1:25" x14ac:dyDescent="0.25">
      <c r="A76" t="s">
        <v>2074</v>
      </c>
      <c r="B76" s="566"/>
      <c r="C76" s="566"/>
      <c r="D76" s="566"/>
      <c r="E76" s="566"/>
      <c r="F76" s="566"/>
      <c r="G76" s="566"/>
      <c r="H76" s="566"/>
      <c r="I76" s="566"/>
      <c r="J76" s="566"/>
      <c r="K76" s="566"/>
      <c r="L76" s="566"/>
      <c r="M76" s="566"/>
      <c r="N76" s="566"/>
      <c r="O76" s="566"/>
      <c r="P76" s="566"/>
      <c r="Q76" s="566"/>
      <c r="R76" s="566"/>
      <c r="S76" s="566"/>
      <c r="T76" s="566"/>
      <c r="U76" s="566"/>
      <c r="V76" s="566"/>
      <c r="W76" s="566"/>
      <c r="X76" s="566"/>
      <c r="Y76" s="566"/>
    </row>
    <row r="77" spans="1:25" x14ac:dyDescent="0.25">
      <c r="A77" t="s">
        <v>2075</v>
      </c>
      <c r="B77" s="566"/>
      <c r="C77" s="566"/>
      <c r="D77" s="566"/>
      <c r="E77" s="566"/>
      <c r="F77" s="566"/>
      <c r="G77" s="566"/>
      <c r="H77" s="566"/>
      <c r="I77" s="566"/>
      <c r="J77" s="566"/>
      <c r="K77" s="566"/>
      <c r="L77" s="566"/>
      <c r="M77" s="566"/>
      <c r="N77" s="566"/>
      <c r="O77" s="566"/>
      <c r="P77" s="566"/>
      <c r="Q77" s="566"/>
      <c r="R77" s="566"/>
      <c r="S77" s="566"/>
      <c r="T77" s="566"/>
      <c r="U77" s="566"/>
      <c r="V77" s="566"/>
      <c r="W77" s="566"/>
      <c r="X77" s="566"/>
      <c r="Y77" s="566"/>
    </row>
    <row r="78" spans="1:25" x14ac:dyDescent="0.25">
      <c r="A78" t="s">
        <v>2076</v>
      </c>
      <c r="B78" s="566"/>
      <c r="C78" s="566"/>
      <c r="D78" s="566"/>
      <c r="E78" s="566"/>
      <c r="F78" s="566"/>
      <c r="G78" s="566"/>
      <c r="H78" s="566"/>
      <c r="I78" s="566"/>
      <c r="J78" s="566"/>
      <c r="K78" s="566"/>
      <c r="L78" s="566"/>
      <c r="M78" s="566"/>
      <c r="N78" s="566"/>
      <c r="O78" s="566"/>
      <c r="P78" s="566"/>
      <c r="Q78" s="566"/>
      <c r="R78" s="566"/>
      <c r="S78" s="566"/>
      <c r="T78" s="566"/>
      <c r="U78" s="566"/>
      <c r="V78" s="566"/>
      <c r="W78" s="566"/>
      <c r="X78" s="566"/>
      <c r="Y78" s="566"/>
    </row>
    <row r="79" spans="1:25" x14ac:dyDescent="0.25">
      <c r="A79" t="s">
        <v>2077</v>
      </c>
      <c r="B79" s="566"/>
      <c r="C79" s="566"/>
      <c r="D79" s="566"/>
      <c r="E79" s="566"/>
      <c r="F79" s="566"/>
      <c r="G79" s="566"/>
      <c r="H79" s="566"/>
      <c r="I79" s="566"/>
      <c r="J79" s="566"/>
      <c r="K79" s="566"/>
      <c r="L79" s="566"/>
      <c r="M79" s="566"/>
      <c r="N79" s="566"/>
      <c r="O79" s="566"/>
      <c r="P79" s="566"/>
      <c r="Q79" s="566"/>
      <c r="R79" s="566"/>
      <c r="S79" s="566"/>
      <c r="T79" s="566"/>
      <c r="U79" s="566"/>
      <c r="V79" s="566"/>
      <c r="W79" s="566"/>
      <c r="X79" s="566"/>
      <c r="Y79" s="566"/>
    </row>
    <row r="80" spans="1:25" x14ac:dyDescent="0.25">
      <c r="A80" t="s">
        <v>2078</v>
      </c>
      <c r="B80" s="566"/>
      <c r="C80" s="566"/>
      <c r="D80" s="566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</row>
    <row r="81" spans="1:25" x14ac:dyDescent="0.25">
      <c r="A81" t="s">
        <v>2079</v>
      </c>
      <c r="B81" s="566"/>
      <c r="C81" s="566"/>
      <c r="D81" s="566"/>
      <c r="E81" s="566"/>
      <c r="F81" s="566"/>
      <c r="G81" s="566"/>
      <c r="H81" s="566"/>
      <c r="I81" s="566"/>
      <c r="J81" s="566"/>
      <c r="K81" s="566"/>
      <c r="L81" s="566"/>
      <c r="M81" s="566"/>
      <c r="N81" s="566"/>
      <c r="O81" s="566"/>
      <c r="P81" s="566"/>
      <c r="Q81" s="566"/>
      <c r="R81" s="566"/>
      <c r="S81" s="566"/>
      <c r="T81" s="566"/>
      <c r="U81" s="566"/>
      <c r="V81" s="566"/>
      <c r="W81" s="566"/>
      <c r="X81" s="566"/>
      <c r="Y81" s="566"/>
    </row>
    <row r="82" spans="1:25" x14ac:dyDescent="0.25">
      <c r="A82" t="s">
        <v>2080</v>
      </c>
      <c r="B82" s="566"/>
      <c r="C82" s="566"/>
      <c r="D82" s="566"/>
      <c r="E82" s="566"/>
      <c r="F82" s="566"/>
      <c r="G82" s="566"/>
      <c r="H82" s="566"/>
      <c r="I82" s="566"/>
      <c r="J82" s="566"/>
      <c r="K82" s="566"/>
      <c r="L82" s="566"/>
      <c r="M82" s="566"/>
      <c r="N82" s="566"/>
      <c r="O82" s="566"/>
      <c r="P82" s="566"/>
      <c r="Q82" s="566"/>
      <c r="R82" s="566"/>
      <c r="S82" s="566"/>
      <c r="T82" s="566"/>
      <c r="U82" s="566"/>
      <c r="V82" s="566"/>
      <c r="W82" s="566"/>
      <c r="X82" s="566"/>
      <c r="Y82" s="566"/>
    </row>
    <row r="83" spans="1:25" x14ac:dyDescent="0.25">
      <c r="A83" t="s">
        <v>2081</v>
      </c>
      <c r="B83" s="566"/>
      <c r="C83" s="566"/>
      <c r="D83" s="566"/>
      <c r="E83" s="566"/>
      <c r="F83" s="566"/>
      <c r="G83" s="566"/>
      <c r="H83" s="566"/>
      <c r="I83" s="566"/>
      <c r="J83" s="566"/>
      <c r="K83" s="566"/>
      <c r="L83" s="566"/>
      <c r="M83" s="566"/>
      <c r="N83" s="566"/>
      <c r="O83" s="566"/>
      <c r="P83" s="566"/>
      <c r="Q83" s="566"/>
      <c r="R83" s="566"/>
      <c r="S83" s="566"/>
      <c r="T83" s="566"/>
      <c r="U83" s="566"/>
      <c r="V83" s="566"/>
      <c r="W83" s="566"/>
      <c r="X83" s="566"/>
      <c r="Y83" s="566"/>
    </row>
    <row r="84" spans="1:25" x14ac:dyDescent="0.25">
      <c r="A84" t="s">
        <v>2082</v>
      </c>
      <c r="B84" s="566"/>
      <c r="C84" s="566"/>
      <c r="D84" s="566"/>
      <c r="E84" s="566"/>
      <c r="F84" s="566"/>
      <c r="G84" s="566"/>
      <c r="H84" s="566"/>
      <c r="I84" s="566"/>
      <c r="J84" s="566"/>
      <c r="K84" s="566"/>
      <c r="L84" s="566"/>
      <c r="M84" s="566"/>
      <c r="N84" s="566"/>
      <c r="O84" s="566"/>
      <c r="P84" s="566"/>
      <c r="Q84" s="566"/>
      <c r="R84" s="566"/>
      <c r="S84" s="566"/>
      <c r="T84" s="566"/>
      <c r="U84" s="566"/>
      <c r="V84" s="566"/>
      <c r="W84" s="566"/>
      <c r="X84" s="566"/>
      <c r="Y84" s="566"/>
    </row>
    <row r="85" spans="1:25" x14ac:dyDescent="0.25">
      <c r="A85" t="s">
        <v>2083</v>
      </c>
      <c r="B85" s="566"/>
      <c r="C85" s="566"/>
      <c r="D85" s="566"/>
      <c r="E85" s="566"/>
      <c r="F85" s="566"/>
      <c r="G85" s="566"/>
      <c r="H85" s="566"/>
      <c r="I85" s="566"/>
      <c r="J85" s="566"/>
      <c r="K85" s="566"/>
      <c r="L85" s="566"/>
      <c r="M85" s="566"/>
      <c r="N85" s="566"/>
      <c r="O85" s="566"/>
      <c r="P85" s="566"/>
      <c r="Q85" s="566"/>
      <c r="R85" s="566"/>
      <c r="S85" s="566"/>
      <c r="T85" s="566"/>
      <c r="U85" s="566"/>
      <c r="V85" s="566"/>
      <c r="W85" s="566"/>
      <c r="X85" s="566"/>
      <c r="Y85" s="566"/>
    </row>
    <row r="86" spans="1:25" x14ac:dyDescent="0.25">
      <c r="A86" t="s">
        <v>2084</v>
      </c>
      <c r="B86" s="566"/>
      <c r="C86" s="566"/>
      <c r="D86" s="566"/>
      <c r="E86" s="566"/>
      <c r="F86" s="566"/>
      <c r="G86" s="566"/>
      <c r="H86" s="566"/>
      <c r="I86" s="566"/>
      <c r="J86" s="566"/>
      <c r="K86" s="566"/>
      <c r="L86" s="566"/>
      <c r="M86" s="566"/>
      <c r="N86" s="566"/>
      <c r="O86" s="566"/>
      <c r="P86" s="566"/>
      <c r="Q86" s="566"/>
      <c r="R86" s="566"/>
      <c r="S86" s="566"/>
      <c r="T86" s="566"/>
      <c r="U86" s="566"/>
      <c r="V86" s="566"/>
      <c r="W86" s="566"/>
      <c r="X86" s="566"/>
      <c r="Y86" s="566"/>
    </row>
    <row r="87" spans="1:25" x14ac:dyDescent="0.25">
      <c r="A87" t="s">
        <v>2085</v>
      </c>
      <c r="B87" s="566"/>
      <c r="C87" s="566"/>
      <c r="D87" s="566"/>
      <c r="E87" s="566"/>
      <c r="F87" s="566"/>
      <c r="G87" s="566"/>
      <c r="H87" s="566"/>
      <c r="I87" s="566"/>
      <c r="J87" s="566"/>
      <c r="K87" s="566"/>
      <c r="L87" s="566"/>
      <c r="M87" s="566"/>
      <c r="N87" s="566"/>
      <c r="O87" s="566"/>
      <c r="P87" s="566"/>
      <c r="Q87" s="566"/>
      <c r="R87" s="566"/>
      <c r="S87" s="566"/>
      <c r="T87" s="566"/>
      <c r="U87" s="566"/>
      <c r="V87" s="566"/>
      <c r="W87" s="566"/>
      <c r="X87" s="566"/>
      <c r="Y87" s="566"/>
    </row>
    <row r="88" spans="1:25" x14ac:dyDescent="0.25">
      <c r="A88" t="s">
        <v>2086</v>
      </c>
      <c r="B88" s="566"/>
      <c r="C88" s="566"/>
      <c r="D88" s="566"/>
      <c r="E88" s="566"/>
      <c r="F88" s="566"/>
      <c r="G88" s="566"/>
      <c r="H88" s="566"/>
      <c r="I88" s="566"/>
      <c r="J88" s="566"/>
      <c r="K88" s="566"/>
      <c r="L88" s="566"/>
      <c r="M88" s="566"/>
      <c r="N88" s="566"/>
      <c r="O88" s="566"/>
      <c r="P88" s="566"/>
      <c r="Q88" s="566"/>
      <c r="R88" s="566"/>
      <c r="S88" s="566"/>
      <c r="T88" s="566"/>
      <c r="U88" s="566"/>
      <c r="V88" s="566"/>
      <c r="W88" s="566"/>
      <c r="X88" s="566"/>
      <c r="Y88" s="566"/>
    </row>
    <row r="89" spans="1:25" x14ac:dyDescent="0.25">
      <c r="A89" t="s">
        <v>2087</v>
      </c>
      <c r="B89" s="566"/>
      <c r="C89" s="566"/>
      <c r="D89" s="566"/>
      <c r="E89" s="566"/>
      <c r="F89" s="566"/>
      <c r="G89" s="566"/>
      <c r="H89" s="566"/>
      <c r="I89" s="566"/>
      <c r="J89" s="566"/>
      <c r="K89" s="566"/>
      <c r="L89" s="566"/>
      <c r="M89" s="566"/>
      <c r="N89" s="566"/>
      <c r="O89" s="566"/>
      <c r="P89" s="566"/>
      <c r="Q89" s="566"/>
      <c r="R89" s="566"/>
      <c r="S89" s="566"/>
      <c r="T89" s="566"/>
      <c r="U89" s="566"/>
      <c r="V89" s="566"/>
      <c r="W89" s="566"/>
      <c r="X89" s="566"/>
      <c r="Y89" s="566"/>
    </row>
    <row r="90" spans="1:25" x14ac:dyDescent="0.25">
      <c r="A90" t="s">
        <v>2088</v>
      </c>
      <c r="B90" s="566"/>
      <c r="C90" s="566"/>
      <c r="D90" s="566"/>
      <c r="E90" s="566"/>
      <c r="F90" s="566"/>
      <c r="G90" s="566"/>
      <c r="H90" s="566"/>
      <c r="I90" s="566"/>
      <c r="J90" s="566"/>
      <c r="K90" s="566"/>
      <c r="L90" s="566"/>
      <c r="M90" s="566"/>
      <c r="N90" s="566"/>
      <c r="O90" s="566"/>
      <c r="P90" s="566"/>
      <c r="Q90" s="566"/>
      <c r="R90" s="566"/>
      <c r="S90" s="566"/>
      <c r="T90" s="566"/>
      <c r="U90" s="566"/>
      <c r="V90" s="566"/>
      <c r="W90" s="566"/>
      <c r="X90" s="566"/>
      <c r="Y90" s="566"/>
    </row>
    <row r="91" spans="1:25" x14ac:dyDescent="0.25">
      <c r="A91" t="s">
        <v>2089</v>
      </c>
      <c r="B91" s="566"/>
      <c r="C91" s="566"/>
      <c r="D91" s="566"/>
      <c r="E91" s="566"/>
      <c r="F91" s="566"/>
      <c r="G91" s="566"/>
      <c r="H91" s="566"/>
      <c r="I91" s="566"/>
      <c r="J91" s="566"/>
      <c r="K91" s="566"/>
      <c r="L91" s="566"/>
      <c r="M91" s="566"/>
      <c r="N91" s="566"/>
      <c r="O91" s="566"/>
      <c r="P91" s="566"/>
      <c r="Q91" s="566"/>
      <c r="R91" s="566"/>
      <c r="S91" s="566"/>
      <c r="T91" s="566"/>
      <c r="U91" s="566"/>
      <c r="V91" s="566"/>
      <c r="W91" s="566"/>
      <c r="X91" s="566"/>
      <c r="Y91" s="566"/>
    </row>
    <row r="92" spans="1:25" x14ac:dyDescent="0.25">
      <c r="A92" t="s">
        <v>2090</v>
      </c>
      <c r="B92" s="566"/>
      <c r="C92" s="566"/>
      <c r="D92" s="566"/>
      <c r="E92" s="566"/>
      <c r="F92" s="566"/>
      <c r="G92" s="566"/>
      <c r="H92" s="566"/>
      <c r="I92" s="566"/>
      <c r="J92" s="566"/>
      <c r="K92" s="566"/>
      <c r="L92" s="566"/>
      <c r="M92" s="566"/>
      <c r="N92" s="566"/>
      <c r="O92" s="566"/>
      <c r="P92" s="566"/>
      <c r="Q92" s="566"/>
      <c r="R92" s="566"/>
      <c r="S92" s="566"/>
      <c r="T92" s="566"/>
      <c r="U92" s="566"/>
      <c r="V92" s="566"/>
      <c r="W92" s="566"/>
      <c r="X92" s="566"/>
      <c r="Y92" s="566"/>
    </row>
    <row r="93" spans="1:25" x14ac:dyDescent="0.25">
      <c r="A93" t="s">
        <v>2091</v>
      </c>
      <c r="B93" s="566"/>
      <c r="C93" s="566"/>
      <c r="D93" s="566"/>
      <c r="E93" s="566"/>
      <c r="F93" s="566"/>
      <c r="G93" s="566"/>
      <c r="H93" s="566"/>
      <c r="I93" s="566"/>
      <c r="J93" s="566"/>
      <c r="K93" s="566"/>
      <c r="L93" s="566"/>
      <c r="M93" s="566"/>
      <c r="N93" s="566"/>
      <c r="O93" s="566"/>
      <c r="P93" s="566"/>
      <c r="Q93" s="566"/>
      <c r="R93" s="566"/>
      <c r="S93" s="566"/>
      <c r="T93" s="566"/>
      <c r="U93" s="566"/>
      <c r="V93" s="566"/>
      <c r="W93" s="566"/>
      <c r="X93" s="566"/>
      <c r="Y93" s="566"/>
    </row>
    <row r="94" spans="1:25" x14ac:dyDescent="0.25">
      <c r="A94" t="s">
        <v>2092</v>
      </c>
      <c r="B94" s="566"/>
      <c r="C94" s="566"/>
      <c r="D94" s="566"/>
      <c r="E94" s="566"/>
      <c r="F94" s="566"/>
      <c r="G94" s="566"/>
      <c r="H94" s="566"/>
      <c r="I94" s="566"/>
      <c r="J94" s="566"/>
      <c r="K94" s="566"/>
      <c r="L94" s="566"/>
      <c r="M94" s="566"/>
      <c r="N94" s="566"/>
      <c r="O94" s="566"/>
      <c r="P94" s="566"/>
      <c r="Q94" s="566"/>
      <c r="R94" s="566"/>
      <c r="S94" s="566"/>
      <c r="T94" s="566"/>
      <c r="U94" s="566"/>
      <c r="V94" s="566"/>
      <c r="W94" s="566"/>
      <c r="X94" s="566"/>
      <c r="Y94" s="566"/>
    </row>
    <row r="95" spans="1:25" x14ac:dyDescent="0.25">
      <c r="A95" t="s">
        <v>2093</v>
      </c>
      <c r="B95" s="566"/>
      <c r="C95" s="566"/>
      <c r="D95" s="566"/>
      <c r="E95" s="566"/>
      <c r="F95" s="566"/>
      <c r="G95" s="566"/>
      <c r="H95" s="566"/>
      <c r="I95" s="566"/>
      <c r="J95" s="566"/>
      <c r="K95" s="566"/>
      <c r="L95" s="566"/>
      <c r="M95" s="566"/>
      <c r="N95" s="566"/>
      <c r="O95" s="566"/>
      <c r="P95" s="566"/>
      <c r="Q95" s="566"/>
      <c r="R95" s="566"/>
      <c r="S95" s="566"/>
      <c r="T95" s="566"/>
      <c r="U95" s="566"/>
      <c r="V95" s="566"/>
      <c r="W95" s="566"/>
      <c r="X95" s="566"/>
      <c r="Y95" s="566"/>
    </row>
    <row r="96" spans="1:25" x14ac:dyDescent="0.25">
      <c r="A96" t="s">
        <v>2094</v>
      </c>
      <c r="B96" s="566"/>
      <c r="C96" s="566"/>
      <c r="D96" s="566"/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566"/>
      <c r="T96" s="566"/>
      <c r="U96" s="566"/>
      <c r="V96" s="566"/>
      <c r="W96" s="566"/>
      <c r="X96" s="566"/>
      <c r="Y96" s="566"/>
    </row>
    <row r="97" spans="1:25" x14ac:dyDescent="0.25">
      <c r="A97" t="s">
        <v>2095</v>
      </c>
      <c r="B97" s="566"/>
      <c r="C97" s="566"/>
      <c r="D97" s="566"/>
      <c r="E97" s="566"/>
      <c r="F97" s="566"/>
      <c r="G97" s="566"/>
      <c r="H97" s="566"/>
      <c r="I97" s="566"/>
      <c r="J97" s="566"/>
      <c r="K97" s="566"/>
      <c r="L97" s="566"/>
      <c r="M97" s="566"/>
      <c r="N97" s="566"/>
      <c r="O97" s="566"/>
      <c r="P97" s="566"/>
      <c r="Q97" s="566"/>
      <c r="R97" s="566"/>
      <c r="S97" s="566"/>
      <c r="T97" s="566"/>
      <c r="U97" s="566"/>
      <c r="V97" s="566"/>
      <c r="W97" s="566"/>
      <c r="X97" s="566"/>
      <c r="Y97" s="566"/>
    </row>
    <row r="98" spans="1:25" x14ac:dyDescent="0.25">
      <c r="A98" t="s">
        <v>2096</v>
      </c>
      <c r="B98" s="566"/>
      <c r="C98" s="566"/>
      <c r="D98" s="566"/>
      <c r="E98" s="566"/>
      <c r="F98" s="566"/>
      <c r="G98" s="566"/>
      <c r="H98" s="566"/>
      <c r="I98" s="566"/>
      <c r="J98" s="566"/>
      <c r="K98" s="566"/>
      <c r="L98" s="566"/>
      <c r="M98" s="566"/>
      <c r="N98" s="566"/>
      <c r="O98" s="566"/>
      <c r="P98" s="566"/>
      <c r="Q98" s="566"/>
      <c r="R98" s="566"/>
      <c r="S98" s="566"/>
      <c r="T98" s="566"/>
      <c r="U98" s="566"/>
      <c r="V98" s="566"/>
      <c r="W98" s="566"/>
      <c r="X98" s="566"/>
      <c r="Y98" s="566"/>
    </row>
    <row r="99" spans="1:25" x14ac:dyDescent="0.25">
      <c r="A99" t="s">
        <v>2097</v>
      </c>
      <c r="B99" s="566"/>
      <c r="C99" s="566"/>
      <c r="D99" s="566"/>
      <c r="E99" s="566"/>
      <c r="F99" s="566"/>
      <c r="G99" s="566"/>
      <c r="H99" s="566"/>
      <c r="I99" s="566"/>
      <c r="J99" s="566"/>
      <c r="K99" s="566"/>
      <c r="L99" s="566"/>
      <c r="M99" s="566"/>
      <c r="N99" s="566"/>
      <c r="O99" s="566"/>
      <c r="P99" s="566"/>
      <c r="Q99" s="566"/>
      <c r="R99" s="566"/>
      <c r="S99" s="566"/>
      <c r="T99" s="566"/>
      <c r="U99" s="566"/>
      <c r="V99" s="566"/>
      <c r="W99" s="566"/>
      <c r="X99" s="566"/>
      <c r="Y99" s="566"/>
    </row>
    <row r="100" spans="1:25" x14ac:dyDescent="0.25">
      <c r="A100" t="s">
        <v>2098</v>
      </c>
      <c r="B100" s="566"/>
      <c r="C100" s="566"/>
      <c r="D100" s="566"/>
      <c r="E100" s="566"/>
      <c r="F100" s="566"/>
      <c r="G100" s="566"/>
      <c r="H100" s="566"/>
      <c r="I100" s="566"/>
      <c r="J100" s="566"/>
      <c r="K100" s="566"/>
      <c r="L100" s="566"/>
      <c r="M100" s="566"/>
      <c r="N100" s="566"/>
      <c r="O100" s="566"/>
      <c r="P100" s="566"/>
      <c r="Q100" s="566"/>
      <c r="R100" s="566"/>
      <c r="S100" s="566"/>
      <c r="T100" s="566"/>
      <c r="U100" s="566"/>
      <c r="V100" s="566"/>
      <c r="W100" s="566"/>
      <c r="X100" s="566"/>
      <c r="Y100" s="566"/>
    </row>
    <row r="101" spans="1:25" x14ac:dyDescent="0.25">
      <c r="A101" t="s">
        <v>2099</v>
      </c>
      <c r="B101" s="566"/>
      <c r="C101" s="566"/>
      <c r="D101" s="566"/>
      <c r="E101" s="566"/>
      <c r="F101" s="566"/>
      <c r="G101" s="566"/>
      <c r="H101" s="566"/>
      <c r="I101" s="566"/>
      <c r="J101" s="566"/>
      <c r="K101" s="566"/>
      <c r="L101" s="566"/>
      <c r="M101" s="566"/>
      <c r="N101" s="566"/>
      <c r="O101" s="566"/>
      <c r="P101" s="566"/>
      <c r="Q101" s="566"/>
      <c r="R101" s="566"/>
      <c r="S101" s="566"/>
      <c r="T101" s="566"/>
      <c r="U101" s="566"/>
      <c r="V101" s="566"/>
      <c r="W101" s="566"/>
      <c r="X101" s="566"/>
      <c r="Y101" s="566"/>
    </row>
    <row r="102" spans="1:25" x14ac:dyDescent="0.25">
      <c r="A102" t="s">
        <v>2100</v>
      </c>
      <c r="B102" s="566"/>
      <c r="C102" s="566"/>
      <c r="D102" s="566"/>
      <c r="E102" s="566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6"/>
      <c r="R102" s="566"/>
      <c r="S102" s="566"/>
      <c r="T102" s="566"/>
      <c r="U102" s="566"/>
      <c r="V102" s="566"/>
      <c r="W102" s="566"/>
      <c r="X102" s="566"/>
      <c r="Y102" s="566"/>
    </row>
    <row r="103" spans="1:25" x14ac:dyDescent="0.25">
      <c r="A103" t="s">
        <v>2101</v>
      </c>
      <c r="B103" s="566"/>
      <c r="C103" s="566"/>
      <c r="D103" s="566"/>
      <c r="E103" s="566"/>
      <c r="F103" s="566"/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</row>
    <row r="104" spans="1:25" x14ac:dyDescent="0.25">
      <c r="A104" t="s">
        <v>2102</v>
      </c>
      <c r="B104" s="566"/>
      <c r="C104" s="566"/>
      <c r="D104" s="566"/>
      <c r="E104" s="566"/>
      <c r="F104" s="566"/>
      <c r="G104" s="566"/>
      <c r="H104" s="566"/>
      <c r="I104" s="566"/>
      <c r="J104" s="566"/>
      <c r="K104" s="566"/>
      <c r="L104" s="566"/>
      <c r="M104" s="566"/>
      <c r="N104" s="566"/>
      <c r="O104" s="566"/>
      <c r="P104" s="566"/>
      <c r="Q104" s="566"/>
      <c r="R104" s="566"/>
      <c r="S104" s="566"/>
      <c r="T104" s="566"/>
      <c r="U104" s="566"/>
      <c r="V104" s="566"/>
      <c r="W104" s="566"/>
      <c r="X104" s="566"/>
      <c r="Y104" s="566"/>
    </row>
    <row r="105" spans="1:25" x14ac:dyDescent="0.25">
      <c r="A105" t="s">
        <v>2103</v>
      </c>
      <c r="B105" s="566"/>
      <c r="C105" s="566"/>
      <c r="D105" s="566"/>
      <c r="E105" s="566"/>
      <c r="F105" s="566"/>
      <c r="G105" s="566"/>
      <c r="H105" s="566"/>
      <c r="I105" s="566"/>
      <c r="J105" s="566"/>
      <c r="K105" s="566"/>
      <c r="L105" s="566"/>
      <c r="M105" s="566"/>
      <c r="N105" s="566"/>
      <c r="O105" s="566"/>
      <c r="P105" s="566"/>
      <c r="Q105" s="566"/>
      <c r="R105" s="566"/>
      <c r="S105" s="566"/>
      <c r="T105" s="566"/>
      <c r="U105" s="566"/>
      <c r="V105" s="566"/>
      <c r="W105" s="566"/>
      <c r="X105" s="566"/>
      <c r="Y105" s="566"/>
    </row>
    <row r="106" spans="1:25" x14ac:dyDescent="0.25">
      <c r="A106" t="s">
        <v>2104</v>
      </c>
      <c r="B106" s="566"/>
      <c r="C106" s="566"/>
      <c r="D106" s="566"/>
      <c r="E106" s="566"/>
      <c r="F106" s="566"/>
      <c r="G106" s="566"/>
      <c r="H106" s="566"/>
      <c r="I106" s="566"/>
      <c r="J106" s="566"/>
      <c r="K106" s="566"/>
      <c r="L106" s="566"/>
      <c r="M106" s="566"/>
      <c r="N106" s="566"/>
      <c r="O106" s="566"/>
      <c r="P106" s="566"/>
      <c r="Q106" s="566"/>
      <c r="R106" s="566"/>
      <c r="S106" s="566"/>
      <c r="T106" s="566"/>
      <c r="U106" s="566"/>
      <c r="V106" s="566"/>
      <c r="W106" s="566"/>
      <c r="X106" s="566"/>
      <c r="Y106" s="566"/>
    </row>
    <row r="107" spans="1:25" x14ac:dyDescent="0.25">
      <c r="A107" t="s">
        <v>2105</v>
      </c>
      <c r="B107" s="566"/>
      <c r="C107" s="566"/>
      <c r="D107" s="566"/>
      <c r="E107" s="566"/>
      <c r="F107" s="566"/>
      <c r="G107" s="566"/>
      <c r="H107" s="566"/>
      <c r="I107" s="566"/>
      <c r="J107" s="566"/>
      <c r="K107" s="566"/>
      <c r="L107" s="566"/>
      <c r="M107" s="566"/>
      <c r="N107" s="566"/>
      <c r="O107" s="566"/>
      <c r="P107" s="566"/>
      <c r="Q107" s="566"/>
      <c r="R107" s="566"/>
      <c r="S107" s="566"/>
      <c r="T107" s="566"/>
      <c r="U107" s="566"/>
      <c r="V107" s="566"/>
      <c r="W107" s="566"/>
      <c r="X107" s="566"/>
      <c r="Y107" s="566"/>
    </row>
    <row r="108" spans="1:25" x14ac:dyDescent="0.25">
      <c r="A108" t="s">
        <v>2106</v>
      </c>
      <c r="B108" s="566"/>
      <c r="C108" s="566"/>
      <c r="D108" s="566"/>
      <c r="E108" s="566"/>
      <c r="F108" s="566"/>
      <c r="G108" s="566"/>
      <c r="H108" s="566"/>
      <c r="I108" s="566"/>
      <c r="J108" s="566"/>
      <c r="K108" s="566"/>
      <c r="L108" s="566"/>
      <c r="M108" s="566"/>
      <c r="N108" s="566"/>
      <c r="O108" s="566"/>
      <c r="P108" s="566"/>
      <c r="Q108" s="566"/>
      <c r="R108" s="566"/>
      <c r="S108" s="566"/>
      <c r="T108" s="566"/>
      <c r="U108" s="566"/>
      <c r="V108" s="566"/>
      <c r="W108" s="566"/>
      <c r="X108" s="566"/>
      <c r="Y108" s="566"/>
    </row>
    <row r="109" spans="1:25" x14ac:dyDescent="0.25">
      <c r="A109" t="s">
        <v>2107</v>
      </c>
      <c r="B109" s="566"/>
      <c r="C109" s="566"/>
      <c r="D109" s="566"/>
      <c r="E109" s="566"/>
      <c r="F109" s="566"/>
      <c r="G109" s="566"/>
      <c r="H109" s="566"/>
      <c r="I109" s="566"/>
      <c r="J109" s="566"/>
      <c r="K109" s="566"/>
      <c r="L109" s="566"/>
      <c r="M109" s="566"/>
      <c r="N109" s="566"/>
      <c r="O109" s="566"/>
      <c r="P109" s="566"/>
      <c r="Q109" s="566"/>
      <c r="R109" s="566"/>
      <c r="S109" s="566"/>
      <c r="T109" s="566"/>
      <c r="U109" s="566"/>
      <c r="V109" s="566"/>
      <c r="W109" s="566"/>
      <c r="X109" s="566"/>
      <c r="Y109" s="566"/>
    </row>
    <row r="110" spans="1:25" x14ac:dyDescent="0.25">
      <c r="A110" t="s">
        <v>2108</v>
      </c>
      <c r="B110" s="566"/>
      <c r="C110" s="566"/>
      <c r="D110" s="566"/>
      <c r="E110" s="566"/>
      <c r="F110" s="566"/>
      <c r="G110" s="566"/>
      <c r="H110" s="566"/>
      <c r="I110" s="566"/>
      <c r="J110" s="566"/>
      <c r="K110" s="566"/>
      <c r="L110" s="566"/>
      <c r="M110" s="566"/>
      <c r="N110" s="566"/>
      <c r="O110" s="566"/>
      <c r="P110" s="566"/>
      <c r="Q110" s="566"/>
      <c r="R110" s="566"/>
      <c r="S110" s="566"/>
      <c r="T110" s="566"/>
      <c r="U110" s="566"/>
      <c r="V110" s="566"/>
      <c r="W110" s="566"/>
      <c r="X110" s="566"/>
      <c r="Y110" s="566"/>
    </row>
    <row r="111" spans="1:25" x14ac:dyDescent="0.25">
      <c r="A111" t="s">
        <v>2109</v>
      </c>
      <c r="B111" s="566"/>
      <c r="C111" s="566"/>
      <c r="D111" s="566"/>
      <c r="E111" s="566"/>
      <c r="F111" s="566"/>
      <c r="G111" s="566"/>
      <c r="H111" s="566"/>
      <c r="I111" s="566"/>
      <c r="J111" s="566"/>
      <c r="K111" s="566"/>
      <c r="L111" s="566"/>
      <c r="M111" s="566"/>
      <c r="N111" s="566"/>
      <c r="O111" s="566"/>
      <c r="P111" s="566"/>
      <c r="Q111" s="566"/>
      <c r="R111" s="566"/>
      <c r="S111" s="566"/>
      <c r="T111" s="566"/>
      <c r="U111" s="566"/>
      <c r="V111" s="566"/>
      <c r="W111" s="566"/>
      <c r="X111" s="566"/>
      <c r="Y111" s="566"/>
    </row>
    <row r="112" spans="1:25" x14ac:dyDescent="0.25">
      <c r="A112" t="s">
        <v>2110</v>
      </c>
      <c r="B112" s="566"/>
      <c r="C112" s="566"/>
      <c r="D112" s="566"/>
      <c r="E112" s="566"/>
      <c r="F112" s="566"/>
      <c r="G112" s="566"/>
      <c r="H112" s="566"/>
      <c r="I112" s="566"/>
      <c r="J112" s="566"/>
      <c r="K112" s="566"/>
      <c r="L112" s="566"/>
      <c r="M112" s="566"/>
      <c r="N112" s="566"/>
      <c r="O112" s="566"/>
      <c r="P112" s="566"/>
      <c r="Q112" s="566"/>
      <c r="R112" s="566"/>
      <c r="S112" s="566"/>
      <c r="T112" s="566"/>
      <c r="U112" s="566"/>
      <c r="V112" s="566"/>
      <c r="W112" s="566"/>
      <c r="X112" s="566"/>
      <c r="Y112" s="566"/>
    </row>
    <row r="113" spans="1:25" x14ac:dyDescent="0.25">
      <c r="A113" t="s">
        <v>2815</v>
      </c>
      <c r="B113" s="566"/>
      <c r="C113" s="566"/>
      <c r="D113" s="566"/>
      <c r="E113" s="566"/>
      <c r="F113" s="566"/>
      <c r="G113" s="566"/>
      <c r="H113" s="566"/>
      <c r="I113" s="566"/>
      <c r="J113" s="566"/>
      <c r="K113" s="566"/>
      <c r="L113" s="566"/>
      <c r="M113" s="566"/>
      <c r="N113" s="566"/>
      <c r="O113" s="566"/>
      <c r="P113" s="566"/>
      <c r="Q113" s="566"/>
      <c r="R113" s="566"/>
      <c r="S113" s="566"/>
      <c r="T113" s="566"/>
      <c r="U113" s="566"/>
      <c r="V113" s="566"/>
      <c r="W113" s="566"/>
      <c r="X113" s="566"/>
      <c r="Y113" s="566"/>
    </row>
    <row r="114" spans="1:25" x14ac:dyDescent="0.25">
      <c r="A114" t="s">
        <v>2816</v>
      </c>
      <c r="B114" s="566"/>
      <c r="C114" s="566"/>
      <c r="D114" s="566"/>
      <c r="E114" s="566"/>
      <c r="F114" s="566"/>
      <c r="G114" s="566"/>
      <c r="H114" s="566"/>
      <c r="I114" s="566"/>
      <c r="J114" s="566"/>
      <c r="K114" s="566"/>
      <c r="L114" s="566"/>
      <c r="M114" s="566"/>
      <c r="N114" s="566"/>
      <c r="O114" s="566"/>
      <c r="P114" s="566"/>
      <c r="Q114" s="566"/>
      <c r="R114" s="566"/>
      <c r="S114" s="566"/>
      <c r="T114" s="566"/>
      <c r="U114" s="566"/>
      <c r="V114" s="566"/>
      <c r="W114" s="566"/>
      <c r="X114" s="566"/>
      <c r="Y114" s="566"/>
    </row>
    <row r="115" spans="1:25" x14ac:dyDescent="0.25">
      <c r="A115" t="s">
        <v>2817</v>
      </c>
      <c r="B115" s="566"/>
      <c r="C115" s="566"/>
      <c r="D115" s="566"/>
      <c r="E115" s="566"/>
      <c r="F115" s="566"/>
      <c r="G115" s="566"/>
      <c r="H115" s="566"/>
      <c r="I115" s="566"/>
      <c r="J115" s="566"/>
      <c r="K115" s="566"/>
      <c r="L115" s="566"/>
      <c r="M115" s="566"/>
      <c r="N115" s="566"/>
      <c r="O115" s="566"/>
      <c r="P115" s="566"/>
      <c r="Q115" s="566"/>
      <c r="R115" s="566"/>
      <c r="S115" s="566"/>
      <c r="T115" s="566"/>
      <c r="U115" s="566"/>
      <c r="V115" s="566"/>
      <c r="W115" s="566"/>
      <c r="X115" s="566"/>
      <c r="Y115" s="566"/>
    </row>
    <row r="116" spans="1:25" x14ac:dyDescent="0.25">
      <c r="A116" t="s">
        <v>2818</v>
      </c>
      <c r="B116" s="566"/>
      <c r="C116" s="566"/>
      <c r="D116" s="566"/>
      <c r="E116" s="566"/>
      <c r="F116" s="566"/>
      <c r="G116" s="566"/>
      <c r="H116" s="566"/>
      <c r="I116" s="566"/>
      <c r="J116" s="566"/>
      <c r="K116" s="566"/>
      <c r="L116" s="566"/>
      <c r="M116" s="566"/>
      <c r="N116" s="566"/>
      <c r="O116" s="566"/>
      <c r="P116" s="566"/>
      <c r="Q116" s="566"/>
      <c r="R116" s="566"/>
      <c r="S116" s="566"/>
      <c r="T116" s="566"/>
      <c r="U116" s="566"/>
      <c r="V116" s="566"/>
      <c r="W116" s="566"/>
      <c r="X116" s="566"/>
      <c r="Y116" s="566"/>
    </row>
    <row r="117" spans="1:25" x14ac:dyDescent="0.25">
      <c r="A117" t="s">
        <v>2819</v>
      </c>
      <c r="B117" s="566"/>
      <c r="C117" s="566"/>
      <c r="D117" s="566"/>
      <c r="E117" s="566"/>
      <c r="F117" s="566"/>
      <c r="G117" s="566"/>
      <c r="H117" s="566"/>
      <c r="I117" s="566"/>
      <c r="J117" s="566"/>
      <c r="K117" s="566"/>
      <c r="L117" s="566"/>
      <c r="M117" s="566"/>
      <c r="N117" s="566"/>
      <c r="O117" s="566"/>
      <c r="P117" s="566"/>
      <c r="Q117" s="566"/>
      <c r="R117" s="566"/>
      <c r="S117" s="566"/>
      <c r="T117" s="566"/>
      <c r="U117" s="566"/>
      <c r="V117" s="566"/>
      <c r="W117" s="566"/>
      <c r="X117" s="566"/>
      <c r="Y117" s="566"/>
    </row>
    <row r="118" spans="1:25" x14ac:dyDescent="0.25">
      <c r="A118" t="s">
        <v>2820</v>
      </c>
      <c r="B118" s="566"/>
      <c r="C118" s="566"/>
      <c r="D118" s="566"/>
      <c r="E118" s="566"/>
      <c r="F118" s="566"/>
      <c r="G118" s="566"/>
      <c r="H118" s="566"/>
      <c r="I118" s="566"/>
      <c r="J118" s="566"/>
      <c r="K118" s="566"/>
      <c r="L118" s="566"/>
      <c r="M118" s="566"/>
      <c r="N118" s="566"/>
      <c r="O118" s="566"/>
      <c r="P118" s="566"/>
      <c r="Q118" s="566"/>
      <c r="R118" s="566"/>
      <c r="S118" s="566"/>
      <c r="T118" s="566"/>
      <c r="U118" s="566"/>
      <c r="V118" s="566"/>
      <c r="W118" s="566"/>
      <c r="X118" s="566"/>
      <c r="Y118" s="566"/>
    </row>
    <row r="119" spans="1:25" x14ac:dyDescent="0.25">
      <c r="A119" t="s">
        <v>2821</v>
      </c>
      <c r="B119" s="566"/>
      <c r="C119" s="566"/>
      <c r="D119" s="566"/>
      <c r="E119" s="566"/>
      <c r="F119" s="566"/>
      <c r="G119" s="566"/>
      <c r="H119" s="566"/>
      <c r="I119" s="566"/>
      <c r="J119" s="566"/>
      <c r="K119" s="566"/>
      <c r="L119" s="566"/>
      <c r="M119" s="566"/>
      <c r="N119" s="566"/>
      <c r="O119" s="566"/>
      <c r="P119" s="566"/>
      <c r="Q119" s="566"/>
      <c r="R119" s="566"/>
      <c r="S119" s="566"/>
      <c r="T119" s="566"/>
      <c r="U119" s="566"/>
      <c r="V119" s="566"/>
      <c r="W119" s="566"/>
      <c r="X119" s="566"/>
      <c r="Y119" s="566"/>
    </row>
    <row r="120" spans="1:25" x14ac:dyDescent="0.25">
      <c r="A120" t="s">
        <v>2822</v>
      </c>
      <c r="B120" s="566"/>
      <c r="C120" s="566"/>
      <c r="D120" s="566"/>
      <c r="E120" s="566"/>
      <c r="F120" s="566"/>
      <c r="G120" s="566"/>
      <c r="H120" s="566"/>
      <c r="I120" s="566"/>
      <c r="J120" s="566"/>
      <c r="K120" s="566"/>
      <c r="L120" s="566"/>
      <c r="M120" s="566"/>
      <c r="N120" s="566"/>
      <c r="O120" s="566"/>
      <c r="P120" s="566"/>
      <c r="Q120" s="566"/>
      <c r="R120" s="566"/>
      <c r="S120" s="566"/>
      <c r="T120" s="566"/>
      <c r="U120" s="566"/>
      <c r="V120" s="566"/>
      <c r="W120" s="566"/>
      <c r="X120" s="566"/>
      <c r="Y120" s="566"/>
    </row>
    <row r="121" spans="1:25" x14ac:dyDescent="0.25">
      <c r="A121" t="s">
        <v>2132</v>
      </c>
      <c r="B121" s="566"/>
      <c r="C121" s="566"/>
      <c r="D121" s="566"/>
      <c r="E121" s="566"/>
      <c r="F121" s="566"/>
      <c r="G121" s="566"/>
      <c r="H121" s="566"/>
      <c r="I121" s="566"/>
      <c r="J121" s="566"/>
      <c r="K121" s="566"/>
      <c r="L121" s="566"/>
      <c r="M121" s="566"/>
      <c r="N121" s="566"/>
      <c r="O121" s="566"/>
      <c r="P121" s="566"/>
      <c r="Q121" s="566"/>
      <c r="R121" s="566"/>
      <c r="S121" s="566"/>
      <c r="T121" s="566"/>
      <c r="U121" s="566"/>
      <c r="V121" s="566"/>
      <c r="W121" s="566"/>
      <c r="X121" s="566"/>
      <c r="Y121" s="566"/>
    </row>
    <row r="122" spans="1:25" x14ac:dyDescent="0.25">
      <c r="A122" t="s">
        <v>2133</v>
      </c>
      <c r="B122" s="566"/>
      <c r="C122" s="566"/>
      <c r="D122" s="566"/>
      <c r="E122" s="566"/>
      <c r="F122" s="566"/>
      <c r="G122" s="566"/>
      <c r="H122" s="566"/>
      <c r="I122" s="566"/>
      <c r="J122" s="566"/>
      <c r="K122" s="566"/>
      <c r="L122" s="566"/>
      <c r="M122" s="566"/>
      <c r="N122" s="566"/>
      <c r="O122" s="566"/>
      <c r="P122" s="566"/>
      <c r="Q122" s="566"/>
      <c r="R122" s="566"/>
      <c r="S122" s="566"/>
      <c r="T122" s="566"/>
      <c r="U122" s="566"/>
      <c r="V122" s="566"/>
      <c r="W122" s="566"/>
      <c r="X122" s="566"/>
      <c r="Y122" s="566"/>
    </row>
    <row r="123" spans="1:25" x14ac:dyDescent="0.25">
      <c r="A123" t="s">
        <v>2134</v>
      </c>
      <c r="B123" s="566"/>
      <c r="C123" s="566"/>
      <c r="D123" s="566"/>
      <c r="E123" s="566"/>
      <c r="F123" s="566"/>
      <c r="G123" s="566"/>
      <c r="H123" s="566"/>
      <c r="I123" s="566"/>
      <c r="J123" s="566"/>
      <c r="K123" s="566"/>
      <c r="L123" s="566"/>
      <c r="M123" s="566"/>
      <c r="N123" s="566"/>
      <c r="O123" s="566"/>
      <c r="P123" s="566"/>
      <c r="Q123" s="566"/>
      <c r="R123" s="566"/>
      <c r="S123" s="566"/>
      <c r="T123" s="566"/>
      <c r="U123" s="566"/>
      <c r="V123" s="566"/>
      <c r="W123" s="566"/>
      <c r="X123" s="566"/>
      <c r="Y123" s="566"/>
    </row>
    <row r="124" spans="1:25" x14ac:dyDescent="0.25">
      <c r="A124" t="s">
        <v>2823</v>
      </c>
      <c r="B124" s="566"/>
      <c r="C124" s="566"/>
      <c r="D124" s="566"/>
      <c r="E124" s="566"/>
      <c r="F124" s="566"/>
      <c r="G124" s="566"/>
      <c r="H124" s="566"/>
      <c r="I124" s="566"/>
      <c r="J124" s="566"/>
      <c r="K124" s="566"/>
      <c r="L124" s="566"/>
      <c r="M124" s="566"/>
      <c r="N124" s="566"/>
      <c r="O124" s="566"/>
      <c r="P124" s="566"/>
      <c r="Q124" s="566"/>
      <c r="R124" s="566"/>
      <c r="S124" s="566"/>
      <c r="T124" s="566"/>
      <c r="U124" s="566"/>
      <c r="V124" s="566"/>
      <c r="W124" s="566"/>
      <c r="X124" s="566"/>
      <c r="Y124" s="566"/>
    </row>
    <row r="125" spans="1:25" x14ac:dyDescent="0.25">
      <c r="A125" t="s">
        <v>2824</v>
      </c>
      <c r="B125" s="566"/>
      <c r="C125" s="566"/>
      <c r="D125" s="566"/>
      <c r="E125" s="566"/>
      <c r="F125" s="566"/>
      <c r="G125" s="566"/>
      <c r="H125" s="566"/>
      <c r="I125" s="566"/>
      <c r="J125" s="566"/>
      <c r="K125" s="566"/>
      <c r="L125" s="566"/>
      <c r="M125" s="566"/>
      <c r="N125" s="566"/>
      <c r="O125" s="566"/>
      <c r="P125" s="566"/>
      <c r="Q125" s="566"/>
      <c r="R125" s="566"/>
      <c r="S125" s="566"/>
      <c r="T125" s="566"/>
      <c r="U125" s="566"/>
      <c r="V125" s="566"/>
      <c r="W125" s="566"/>
      <c r="X125" s="566"/>
      <c r="Y125" s="566"/>
    </row>
    <row r="126" spans="1:25" x14ac:dyDescent="0.25">
      <c r="A126" t="s">
        <v>2825</v>
      </c>
      <c r="B126" s="566"/>
      <c r="C126" s="566"/>
      <c r="D126" s="566"/>
      <c r="E126" s="566"/>
      <c r="F126" s="566"/>
      <c r="G126" s="566"/>
      <c r="H126" s="566"/>
      <c r="I126" s="566"/>
      <c r="J126" s="566"/>
      <c r="K126" s="566"/>
      <c r="L126" s="566"/>
      <c r="M126" s="566"/>
      <c r="N126" s="566"/>
      <c r="O126" s="566"/>
      <c r="P126" s="566"/>
      <c r="Q126" s="566"/>
      <c r="R126" s="566"/>
      <c r="S126" s="566"/>
      <c r="T126" s="566"/>
      <c r="U126" s="566"/>
      <c r="V126" s="566"/>
      <c r="W126" s="566"/>
      <c r="X126" s="566"/>
      <c r="Y126" s="566"/>
    </row>
    <row r="127" spans="1:25" x14ac:dyDescent="0.25">
      <c r="A127" t="s">
        <v>2826</v>
      </c>
      <c r="B127" s="566"/>
      <c r="C127" s="566"/>
      <c r="D127" s="566"/>
      <c r="E127" s="566"/>
      <c r="F127" s="566"/>
      <c r="G127" s="566"/>
      <c r="H127" s="566"/>
      <c r="I127" s="566"/>
      <c r="J127" s="566"/>
      <c r="K127" s="566"/>
      <c r="L127" s="566"/>
      <c r="M127" s="566"/>
      <c r="N127" s="566"/>
      <c r="O127" s="566"/>
      <c r="P127" s="566"/>
      <c r="Q127" s="566"/>
      <c r="R127" s="566"/>
      <c r="S127" s="566"/>
      <c r="T127" s="566"/>
      <c r="U127" s="566"/>
      <c r="V127" s="566"/>
      <c r="W127" s="566"/>
      <c r="X127" s="566"/>
      <c r="Y127" s="566"/>
    </row>
    <row r="128" spans="1:25" x14ac:dyDescent="0.25">
      <c r="A128" t="s">
        <v>2827</v>
      </c>
      <c r="B128" s="566"/>
      <c r="C128" s="566"/>
      <c r="D128" s="566"/>
      <c r="E128" s="566"/>
      <c r="F128" s="566"/>
      <c r="G128" s="566"/>
      <c r="H128" s="566"/>
      <c r="I128" s="566"/>
      <c r="J128" s="566"/>
      <c r="K128" s="566"/>
      <c r="L128" s="566"/>
      <c r="M128" s="566"/>
      <c r="N128" s="566"/>
      <c r="O128" s="566"/>
      <c r="P128" s="566"/>
      <c r="Q128" s="566"/>
      <c r="R128" s="566"/>
      <c r="S128" s="566"/>
      <c r="T128" s="566"/>
      <c r="U128" s="566"/>
      <c r="V128" s="566"/>
      <c r="W128" s="566"/>
      <c r="X128" s="566"/>
      <c r="Y128" s="566"/>
    </row>
    <row r="129" spans="1:25" x14ac:dyDescent="0.25">
      <c r="A129" t="s">
        <v>2828</v>
      </c>
      <c r="B129" s="566"/>
      <c r="C129" s="566"/>
      <c r="D129" s="566"/>
      <c r="E129" s="566"/>
      <c r="F129" s="566"/>
      <c r="G129" s="566"/>
      <c r="H129" s="566"/>
      <c r="I129" s="566"/>
      <c r="J129" s="566"/>
      <c r="K129" s="566"/>
      <c r="L129" s="566"/>
      <c r="M129" s="566"/>
      <c r="N129" s="566"/>
      <c r="O129" s="566"/>
      <c r="P129" s="566"/>
      <c r="Q129" s="566"/>
      <c r="R129" s="566"/>
      <c r="S129" s="566"/>
      <c r="T129" s="566"/>
      <c r="U129" s="566"/>
      <c r="V129" s="566"/>
      <c r="W129" s="566"/>
      <c r="X129" s="566"/>
      <c r="Y129" s="566"/>
    </row>
    <row r="130" spans="1:25" x14ac:dyDescent="0.25">
      <c r="A130" t="s">
        <v>2829</v>
      </c>
      <c r="B130" s="566"/>
      <c r="C130" s="566"/>
      <c r="D130" s="566"/>
      <c r="E130" s="566"/>
      <c r="F130" s="566"/>
      <c r="G130" s="566"/>
      <c r="H130" s="566"/>
      <c r="I130" s="566"/>
      <c r="J130" s="566"/>
      <c r="K130" s="566"/>
      <c r="L130" s="566"/>
      <c r="M130" s="566"/>
      <c r="N130" s="566"/>
      <c r="O130" s="566"/>
      <c r="P130" s="566"/>
      <c r="Q130" s="566"/>
      <c r="R130" s="566"/>
      <c r="S130" s="566"/>
      <c r="T130" s="566"/>
      <c r="U130" s="566"/>
      <c r="V130" s="566"/>
      <c r="W130" s="566"/>
      <c r="X130" s="566"/>
      <c r="Y130" s="566"/>
    </row>
    <row r="131" spans="1:25" x14ac:dyDescent="0.25">
      <c r="A131" t="s">
        <v>2830</v>
      </c>
      <c r="B131" s="566"/>
      <c r="C131" s="566"/>
      <c r="D131" s="566"/>
      <c r="E131" s="566"/>
      <c r="F131" s="566"/>
      <c r="G131" s="566"/>
      <c r="H131" s="566"/>
      <c r="I131" s="566"/>
      <c r="J131" s="566"/>
      <c r="K131" s="566"/>
      <c r="L131" s="566"/>
      <c r="M131" s="566"/>
      <c r="N131" s="566"/>
      <c r="O131" s="566"/>
      <c r="P131" s="566"/>
      <c r="Q131" s="566"/>
      <c r="R131" s="566"/>
      <c r="S131" s="566"/>
      <c r="T131" s="566"/>
      <c r="U131" s="566"/>
      <c r="V131" s="566"/>
      <c r="W131" s="566"/>
      <c r="X131" s="566"/>
      <c r="Y131" s="566"/>
    </row>
    <row r="132" spans="1:25" x14ac:dyDescent="0.25">
      <c r="A132" t="s">
        <v>2831</v>
      </c>
      <c r="B132" s="566"/>
      <c r="C132" s="566"/>
      <c r="D132" s="566"/>
      <c r="E132" s="566"/>
      <c r="F132" s="566"/>
      <c r="G132" s="566"/>
      <c r="H132" s="566"/>
      <c r="I132" s="566"/>
      <c r="J132" s="566"/>
      <c r="K132" s="566"/>
      <c r="L132" s="566"/>
      <c r="M132" s="566"/>
      <c r="N132" s="566"/>
      <c r="O132" s="566"/>
      <c r="P132" s="566"/>
      <c r="Q132" s="566"/>
      <c r="R132" s="566"/>
      <c r="S132" s="566"/>
      <c r="T132" s="566"/>
      <c r="U132" s="566"/>
      <c r="V132" s="566"/>
      <c r="W132" s="566"/>
      <c r="X132" s="566"/>
      <c r="Y132" s="566"/>
    </row>
    <row r="133" spans="1:25" x14ac:dyDescent="0.25">
      <c r="A133" t="s">
        <v>2832</v>
      </c>
      <c r="B133" s="566"/>
      <c r="C133" s="566"/>
      <c r="D133" s="566"/>
      <c r="E133" s="566"/>
      <c r="F133" s="566"/>
      <c r="G133" s="566"/>
      <c r="H133" s="566"/>
      <c r="I133" s="566"/>
      <c r="J133" s="566"/>
      <c r="K133" s="566"/>
      <c r="L133" s="566"/>
      <c r="M133" s="566"/>
      <c r="N133" s="566"/>
      <c r="O133" s="566"/>
      <c r="P133" s="566"/>
      <c r="Q133" s="566"/>
      <c r="R133" s="566"/>
      <c r="S133" s="566"/>
      <c r="T133" s="566"/>
      <c r="U133" s="566"/>
      <c r="V133" s="566"/>
      <c r="W133" s="566"/>
      <c r="X133" s="566"/>
      <c r="Y133" s="566"/>
    </row>
    <row r="134" spans="1:25" x14ac:dyDescent="0.25">
      <c r="A134" t="s">
        <v>2135</v>
      </c>
      <c r="B134" s="566"/>
      <c r="C134" s="566"/>
      <c r="D134" s="566"/>
      <c r="E134" s="566"/>
      <c r="F134" s="566"/>
      <c r="G134" s="566"/>
      <c r="H134" s="566"/>
      <c r="I134" s="566"/>
      <c r="J134" s="566"/>
      <c r="K134" s="566"/>
      <c r="L134" s="566"/>
      <c r="M134" s="566"/>
      <c r="N134" s="566"/>
      <c r="O134" s="566"/>
      <c r="P134" s="566"/>
      <c r="Q134" s="566"/>
      <c r="R134" s="566"/>
      <c r="S134" s="566"/>
      <c r="T134" s="566"/>
      <c r="U134" s="566"/>
      <c r="V134" s="566"/>
      <c r="W134" s="566"/>
      <c r="X134" s="566"/>
      <c r="Y134" s="566"/>
    </row>
    <row r="135" spans="1:25" x14ac:dyDescent="0.25">
      <c r="A135" t="s">
        <v>2136</v>
      </c>
      <c r="B135" s="566"/>
      <c r="C135" s="566"/>
      <c r="D135" s="566"/>
      <c r="E135" s="566"/>
      <c r="F135" s="566"/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</row>
    <row r="136" spans="1:25" x14ac:dyDescent="0.25">
      <c r="A136" t="s">
        <v>2137</v>
      </c>
      <c r="B136" s="566"/>
      <c r="C136" s="566"/>
      <c r="D136" s="566"/>
      <c r="E136" s="566"/>
      <c r="F136" s="566"/>
      <c r="G136" s="566"/>
      <c r="H136" s="566"/>
      <c r="I136" s="566"/>
      <c r="J136" s="566"/>
      <c r="K136" s="566"/>
      <c r="L136" s="566"/>
      <c r="M136" s="566"/>
      <c r="N136" s="566"/>
      <c r="O136" s="566"/>
      <c r="P136" s="566"/>
      <c r="Q136" s="566"/>
      <c r="R136" s="566"/>
      <c r="S136" s="566"/>
      <c r="T136" s="566"/>
      <c r="U136" s="566"/>
      <c r="V136" s="566"/>
      <c r="W136" s="566"/>
      <c r="X136" s="566"/>
      <c r="Y136" s="566"/>
    </row>
    <row r="137" spans="1:25" x14ac:dyDescent="0.25">
      <c r="A137" t="s">
        <v>2138</v>
      </c>
      <c r="B137" s="566"/>
      <c r="C137" s="566"/>
      <c r="D137" s="566"/>
      <c r="E137" s="566"/>
      <c r="F137" s="566"/>
      <c r="G137" s="566"/>
      <c r="H137" s="566"/>
      <c r="I137" s="566"/>
      <c r="J137" s="566"/>
      <c r="K137" s="566"/>
      <c r="L137" s="566"/>
      <c r="M137" s="566"/>
      <c r="N137" s="566"/>
      <c r="O137" s="566"/>
      <c r="P137" s="566"/>
      <c r="Q137" s="566"/>
      <c r="R137" s="566"/>
      <c r="S137" s="566"/>
      <c r="T137" s="566"/>
      <c r="U137" s="566"/>
      <c r="V137" s="566"/>
      <c r="W137" s="566"/>
      <c r="X137" s="566"/>
      <c r="Y137" s="566"/>
    </row>
    <row r="138" spans="1:25" x14ac:dyDescent="0.25">
      <c r="A138" t="s">
        <v>2139</v>
      </c>
      <c r="B138" s="566"/>
      <c r="C138" s="566"/>
      <c r="D138" s="566"/>
      <c r="E138" s="566"/>
      <c r="F138" s="566"/>
      <c r="G138" s="566"/>
      <c r="H138" s="566"/>
      <c r="I138" s="566"/>
      <c r="J138" s="566"/>
      <c r="K138" s="566"/>
      <c r="L138" s="566"/>
      <c r="M138" s="566"/>
      <c r="N138" s="566"/>
      <c r="O138" s="566"/>
      <c r="P138" s="566"/>
      <c r="Q138" s="566"/>
      <c r="R138" s="566"/>
      <c r="S138" s="566"/>
      <c r="T138" s="566"/>
      <c r="U138" s="566"/>
      <c r="V138" s="566"/>
      <c r="W138" s="566"/>
      <c r="X138" s="566"/>
      <c r="Y138" s="566"/>
    </row>
    <row r="139" spans="1:25" x14ac:dyDescent="0.25">
      <c r="A139" t="s">
        <v>2833</v>
      </c>
      <c r="B139" s="566"/>
      <c r="C139" s="566"/>
      <c r="D139" s="566"/>
      <c r="E139" s="566"/>
      <c r="F139" s="566"/>
      <c r="G139" s="566"/>
      <c r="H139" s="566"/>
      <c r="I139" s="566"/>
      <c r="J139" s="566"/>
      <c r="K139" s="566"/>
      <c r="L139" s="566"/>
      <c r="M139" s="566"/>
      <c r="N139" s="566"/>
      <c r="O139" s="566"/>
      <c r="P139" s="566"/>
      <c r="Q139" s="566"/>
      <c r="R139" s="566"/>
      <c r="S139" s="566"/>
      <c r="T139" s="566"/>
      <c r="U139" s="566"/>
      <c r="V139" s="566"/>
      <c r="W139" s="566"/>
      <c r="X139" s="566"/>
      <c r="Y139" s="566"/>
    </row>
    <row r="140" spans="1:25" x14ac:dyDescent="0.25">
      <c r="A140" t="s">
        <v>2834</v>
      </c>
      <c r="B140" s="566"/>
      <c r="C140" s="566"/>
      <c r="D140" s="566"/>
      <c r="E140" s="566"/>
      <c r="F140" s="566"/>
      <c r="G140" s="566"/>
      <c r="H140" s="566"/>
      <c r="I140" s="566"/>
      <c r="J140" s="566"/>
      <c r="K140" s="566"/>
      <c r="L140" s="566"/>
      <c r="M140" s="566"/>
      <c r="N140" s="566"/>
      <c r="O140" s="566"/>
      <c r="P140" s="566"/>
      <c r="Q140" s="566"/>
      <c r="R140" s="566"/>
      <c r="S140" s="566"/>
      <c r="T140" s="566"/>
      <c r="U140" s="566"/>
      <c r="V140" s="566"/>
      <c r="W140" s="566"/>
      <c r="X140" s="566"/>
      <c r="Y140" s="566"/>
    </row>
    <row r="141" spans="1:25" x14ac:dyDescent="0.25">
      <c r="A141" t="s">
        <v>2835</v>
      </c>
      <c r="B141" s="566"/>
      <c r="C141" s="566"/>
      <c r="D141" s="566"/>
      <c r="E141" s="566"/>
      <c r="F141" s="566"/>
      <c r="G141" s="566"/>
      <c r="H141" s="566"/>
      <c r="I141" s="566"/>
      <c r="J141" s="566"/>
      <c r="K141" s="566"/>
      <c r="L141" s="566"/>
      <c r="M141" s="566"/>
      <c r="N141" s="566"/>
      <c r="O141" s="566"/>
      <c r="P141" s="566"/>
      <c r="Q141" s="566"/>
      <c r="R141" s="566"/>
      <c r="S141" s="566"/>
      <c r="T141" s="566"/>
      <c r="U141" s="566"/>
      <c r="V141" s="566"/>
      <c r="W141" s="566"/>
      <c r="X141" s="566"/>
      <c r="Y141" s="566"/>
    </row>
    <row r="142" spans="1:25" x14ac:dyDescent="0.25">
      <c r="A142" t="s">
        <v>2836</v>
      </c>
      <c r="B142" s="566"/>
      <c r="C142" s="566"/>
      <c r="D142" s="566"/>
      <c r="E142" s="566"/>
      <c r="F142" s="566"/>
      <c r="G142" s="566"/>
      <c r="H142" s="566"/>
      <c r="I142" s="566"/>
      <c r="J142" s="566"/>
      <c r="K142" s="566"/>
      <c r="L142" s="566"/>
      <c r="M142" s="566"/>
      <c r="N142" s="566"/>
      <c r="O142" s="566"/>
      <c r="P142" s="566"/>
      <c r="Q142" s="566"/>
      <c r="R142" s="566"/>
      <c r="S142" s="566"/>
      <c r="T142" s="566"/>
      <c r="U142" s="566"/>
      <c r="V142" s="566"/>
      <c r="W142" s="566"/>
      <c r="X142" s="566"/>
      <c r="Y142" s="566"/>
    </row>
    <row r="143" spans="1:25" x14ac:dyDescent="0.25">
      <c r="A143" t="s">
        <v>2837</v>
      </c>
      <c r="B143" s="566"/>
      <c r="C143" s="566"/>
      <c r="D143" s="566"/>
      <c r="E143" s="566"/>
      <c r="F143" s="566"/>
      <c r="G143" s="566"/>
      <c r="H143" s="566"/>
      <c r="I143" s="566"/>
      <c r="J143" s="566"/>
      <c r="K143" s="566"/>
      <c r="L143" s="566"/>
      <c r="M143" s="566"/>
      <c r="N143" s="566"/>
      <c r="O143" s="566"/>
      <c r="P143" s="566"/>
      <c r="Q143" s="566"/>
      <c r="R143" s="566"/>
      <c r="S143" s="566"/>
      <c r="T143" s="566"/>
      <c r="U143" s="566"/>
      <c r="V143" s="566"/>
      <c r="W143" s="566"/>
      <c r="X143" s="566"/>
      <c r="Y143" s="566"/>
    </row>
    <row r="144" spans="1:25" x14ac:dyDescent="0.25">
      <c r="A144" t="s">
        <v>2838</v>
      </c>
      <c r="B144" s="566"/>
      <c r="C144" s="566"/>
      <c r="D144" s="566"/>
      <c r="E144" s="566"/>
      <c r="F144" s="566"/>
      <c r="G144" s="566"/>
      <c r="H144" s="566"/>
      <c r="I144" s="566"/>
      <c r="J144" s="566"/>
      <c r="K144" s="566"/>
      <c r="L144" s="566"/>
      <c r="M144" s="566"/>
      <c r="N144" s="566"/>
      <c r="O144" s="566"/>
      <c r="P144" s="566"/>
      <c r="Q144" s="566"/>
      <c r="R144" s="566"/>
      <c r="S144" s="566"/>
      <c r="T144" s="566"/>
      <c r="U144" s="566"/>
      <c r="V144" s="566"/>
      <c r="W144" s="566"/>
      <c r="X144" s="566"/>
      <c r="Y144" s="566"/>
    </row>
    <row r="145" spans="1:25" x14ac:dyDescent="0.25">
      <c r="A145" t="s">
        <v>2839</v>
      </c>
      <c r="B145" s="566"/>
      <c r="C145" s="566"/>
      <c r="D145" s="566"/>
      <c r="E145" s="566"/>
      <c r="F145" s="566"/>
      <c r="G145" s="566"/>
      <c r="H145" s="566"/>
      <c r="I145" s="566"/>
      <c r="J145" s="566"/>
      <c r="K145" s="566"/>
      <c r="L145" s="566"/>
      <c r="M145" s="566"/>
      <c r="N145" s="566"/>
      <c r="O145" s="566"/>
      <c r="P145" s="566"/>
      <c r="Q145" s="566"/>
      <c r="R145" s="566"/>
      <c r="S145" s="566"/>
      <c r="T145" s="566"/>
      <c r="U145" s="566"/>
      <c r="V145" s="566"/>
      <c r="W145" s="566"/>
      <c r="X145" s="566"/>
      <c r="Y145" s="566"/>
    </row>
    <row r="146" spans="1:25" x14ac:dyDescent="0.25">
      <c r="A146" t="s">
        <v>2840</v>
      </c>
      <c r="B146" s="566"/>
      <c r="C146" s="566"/>
      <c r="D146" s="566"/>
      <c r="E146" s="566"/>
      <c r="F146" s="566"/>
      <c r="G146" s="566"/>
      <c r="H146" s="566"/>
      <c r="I146" s="566"/>
      <c r="J146" s="566"/>
      <c r="K146" s="566"/>
      <c r="L146" s="566"/>
      <c r="M146" s="566"/>
      <c r="N146" s="566"/>
      <c r="O146" s="566"/>
      <c r="P146" s="566"/>
      <c r="Q146" s="566"/>
      <c r="R146" s="566"/>
      <c r="S146" s="566"/>
      <c r="T146" s="566"/>
      <c r="U146" s="566"/>
      <c r="V146" s="566"/>
      <c r="W146" s="566"/>
      <c r="X146" s="566"/>
      <c r="Y146" s="566"/>
    </row>
    <row r="147" spans="1:25" x14ac:dyDescent="0.25">
      <c r="A147" t="s">
        <v>2841</v>
      </c>
      <c r="B147" s="566"/>
      <c r="C147" s="566"/>
      <c r="D147" s="566"/>
      <c r="E147" s="566"/>
      <c r="F147" s="566"/>
      <c r="G147" s="566"/>
      <c r="H147" s="566"/>
      <c r="I147" s="566"/>
      <c r="J147" s="566"/>
      <c r="K147" s="566"/>
      <c r="L147" s="566"/>
      <c r="M147" s="566"/>
      <c r="N147" s="566"/>
      <c r="O147" s="566"/>
      <c r="P147" s="566"/>
      <c r="Q147" s="566"/>
      <c r="R147" s="566"/>
      <c r="S147" s="566"/>
      <c r="T147" s="566"/>
      <c r="U147" s="566"/>
      <c r="V147" s="566"/>
      <c r="W147" s="566"/>
      <c r="X147" s="566"/>
      <c r="Y147" s="566"/>
    </row>
    <row r="148" spans="1:25" x14ac:dyDescent="0.25">
      <c r="A148" t="s">
        <v>2140</v>
      </c>
      <c r="B148" s="566"/>
      <c r="C148" s="566"/>
      <c r="D148" s="566"/>
      <c r="E148" s="566"/>
      <c r="F148" s="566"/>
      <c r="G148" s="566"/>
      <c r="H148" s="566"/>
      <c r="I148" s="566"/>
      <c r="J148" s="566"/>
      <c r="K148" s="566"/>
      <c r="L148" s="566"/>
      <c r="M148" s="566"/>
      <c r="N148" s="566"/>
      <c r="O148" s="566"/>
      <c r="P148" s="566"/>
      <c r="Q148" s="566"/>
      <c r="R148" s="566"/>
      <c r="S148" s="566"/>
      <c r="T148" s="566"/>
      <c r="U148" s="566"/>
      <c r="V148" s="566"/>
      <c r="W148" s="566"/>
      <c r="X148" s="566"/>
      <c r="Y148" s="566"/>
    </row>
    <row r="149" spans="1:25" x14ac:dyDescent="0.25">
      <c r="A149" t="s">
        <v>2141</v>
      </c>
      <c r="B149" s="566"/>
      <c r="C149" s="566"/>
      <c r="D149" s="566"/>
      <c r="E149" s="566"/>
      <c r="F149" s="566"/>
      <c r="G149" s="566"/>
      <c r="H149" s="566"/>
      <c r="I149" s="566"/>
      <c r="J149" s="566"/>
      <c r="K149" s="566"/>
      <c r="L149" s="566"/>
      <c r="M149" s="566"/>
      <c r="N149" s="566"/>
      <c r="O149" s="566"/>
      <c r="P149" s="566"/>
      <c r="Q149" s="566"/>
      <c r="R149" s="566"/>
      <c r="S149" s="566"/>
      <c r="T149" s="566"/>
      <c r="U149" s="566"/>
      <c r="V149" s="566"/>
      <c r="W149" s="566"/>
      <c r="X149" s="566"/>
      <c r="Y149" s="566"/>
    </row>
    <row r="150" spans="1:25" x14ac:dyDescent="0.25">
      <c r="A150" t="s">
        <v>2142</v>
      </c>
      <c r="B150" s="566"/>
      <c r="C150" s="566"/>
      <c r="D150" s="566"/>
      <c r="E150" s="566"/>
      <c r="F150" s="566"/>
      <c r="G150" s="566"/>
      <c r="H150" s="566"/>
      <c r="I150" s="566"/>
      <c r="J150" s="566"/>
      <c r="K150" s="566"/>
      <c r="L150" s="566"/>
      <c r="M150" s="566"/>
      <c r="N150" s="566"/>
      <c r="O150" s="566"/>
      <c r="P150" s="566"/>
      <c r="Q150" s="566"/>
      <c r="R150" s="566"/>
      <c r="S150" s="566"/>
      <c r="T150" s="566"/>
      <c r="U150" s="566"/>
      <c r="V150" s="566"/>
      <c r="W150" s="566"/>
      <c r="X150" s="566"/>
      <c r="Y150" s="566"/>
    </row>
    <row r="151" spans="1:25" x14ac:dyDescent="0.25">
      <c r="A151" t="s">
        <v>2143</v>
      </c>
      <c r="B151" s="566"/>
      <c r="C151" s="566"/>
      <c r="D151" s="566"/>
      <c r="E151" s="566"/>
      <c r="F151" s="566"/>
      <c r="G151" s="566"/>
      <c r="H151" s="566"/>
      <c r="I151" s="566"/>
      <c r="J151" s="566"/>
      <c r="K151" s="566"/>
      <c r="L151" s="566"/>
      <c r="M151" s="566"/>
      <c r="N151" s="566"/>
      <c r="O151" s="566"/>
      <c r="P151" s="566"/>
      <c r="Q151" s="566"/>
      <c r="R151" s="566"/>
      <c r="S151" s="566"/>
      <c r="T151" s="566"/>
      <c r="U151" s="566"/>
      <c r="V151" s="566"/>
      <c r="W151" s="566"/>
      <c r="X151" s="566"/>
      <c r="Y151" s="566"/>
    </row>
    <row r="152" spans="1:25" x14ac:dyDescent="0.25">
      <c r="A152" t="s">
        <v>2842</v>
      </c>
      <c r="B152" s="566"/>
      <c r="C152" s="566"/>
      <c r="D152" s="566"/>
      <c r="E152" s="566"/>
      <c r="F152" s="566"/>
      <c r="G152" s="566"/>
      <c r="H152" s="566"/>
      <c r="I152" s="566"/>
      <c r="J152" s="566"/>
      <c r="K152" s="566"/>
      <c r="L152" s="566"/>
      <c r="M152" s="566"/>
      <c r="N152" s="566"/>
      <c r="O152" s="566"/>
      <c r="P152" s="566"/>
      <c r="Q152" s="566"/>
      <c r="R152" s="566"/>
      <c r="S152" s="566"/>
      <c r="T152" s="566"/>
      <c r="U152" s="566"/>
      <c r="V152" s="566"/>
      <c r="W152" s="566"/>
      <c r="X152" s="566"/>
      <c r="Y152" s="566"/>
    </row>
    <row r="153" spans="1:25" x14ac:dyDescent="0.25">
      <c r="A153" t="s">
        <v>2843</v>
      </c>
      <c r="B153" s="566"/>
      <c r="C153" s="566"/>
      <c r="D153" s="566"/>
      <c r="E153" s="566"/>
      <c r="F153" s="566"/>
      <c r="G153" s="566"/>
      <c r="H153" s="566"/>
      <c r="I153" s="566"/>
      <c r="J153" s="566"/>
      <c r="K153" s="566"/>
      <c r="L153" s="566"/>
      <c r="M153" s="566"/>
      <c r="N153" s="566"/>
      <c r="O153" s="566"/>
      <c r="P153" s="566"/>
      <c r="Q153" s="566"/>
      <c r="R153" s="566"/>
      <c r="S153" s="566"/>
      <c r="T153" s="566"/>
      <c r="U153" s="566"/>
      <c r="V153" s="566"/>
      <c r="W153" s="566"/>
      <c r="X153" s="566"/>
      <c r="Y153" s="566"/>
    </row>
    <row r="154" spans="1:25" x14ac:dyDescent="0.25">
      <c r="A154" t="s">
        <v>2844</v>
      </c>
      <c r="B154" s="566"/>
      <c r="C154" s="566"/>
      <c r="D154" s="566"/>
      <c r="E154" s="566"/>
      <c r="F154" s="566"/>
      <c r="G154" s="566"/>
      <c r="H154" s="566"/>
      <c r="I154" s="566"/>
      <c r="J154" s="566"/>
      <c r="K154" s="566"/>
      <c r="L154" s="566"/>
      <c r="M154" s="566"/>
      <c r="N154" s="566"/>
      <c r="O154" s="566"/>
      <c r="P154" s="566"/>
      <c r="Q154" s="566"/>
      <c r="R154" s="566"/>
      <c r="S154" s="566"/>
      <c r="T154" s="566"/>
      <c r="U154" s="566"/>
      <c r="V154" s="566"/>
      <c r="W154" s="566"/>
      <c r="X154" s="566"/>
      <c r="Y154" s="566"/>
    </row>
    <row r="155" spans="1:25" x14ac:dyDescent="0.25">
      <c r="A155" t="s">
        <v>2845</v>
      </c>
      <c r="B155" s="566"/>
      <c r="C155" s="566"/>
      <c r="D155" s="566"/>
      <c r="E155" s="566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</row>
    <row r="156" spans="1:25" x14ac:dyDescent="0.25">
      <c r="A156" t="s">
        <v>2846</v>
      </c>
      <c r="B156" s="566"/>
      <c r="C156" s="566"/>
      <c r="D156" s="566"/>
      <c r="E156" s="566"/>
      <c r="F156" s="566"/>
      <c r="G156" s="566"/>
      <c r="H156" s="566"/>
      <c r="I156" s="566"/>
      <c r="J156" s="566"/>
      <c r="K156" s="566"/>
      <c r="L156" s="566"/>
      <c r="M156" s="566"/>
      <c r="N156" s="566"/>
      <c r="O156" s="566"/>
      <c r="P156" s="566"/>
      <c r="Q156" s="566"/>
      <c r="R156" s="566"/>
      <c r="S156" s="566"/>
      <c r="T156" s="566"/>
      <c r="U156" s="566"/>
      <c r="V156" s="566"/>
      <c r="W156" s="566"/>
      <c r="X156" s="566"/>
      <c r="Y156" s="566"/>
    </row>
    <row r="157" spans="1:25" x14ac:dyDescent="0.25">
      <c r="A157" t="s">
        <v>2847</v>
      </c>
      <c r="B157" s="566"/>
      <c r="C157" s="566"/>
      <c r="D157" s="566"/>
      <c r="E157" s="566"/>
      <c r="F157" s="566"/>
      <c r="G157" s="566"/>
      <c r="H157" s="566"/>
      <c r="I157" s="566"/>
      <c r="J157" s="566"/>
      <c r="K157" s="566"/>
      <c r="L157" s="566"/>
      <c r="M157" s="566"/>
      <c r="N157" s="566"/>
      <c r="O157" s="566"/>
      <c r="P157" s="566"/>
      <c r="Q157" s="566"/>
      <c r="R157" s="566"/>
      <c r="S157" s="566"/>
      <c r="T157" s="566"/>
      <c r="U157" s="566"/>
      <c r="V157" s="566"/>
      <c r="W157" s="566"/>
      <c r="X157" s="566"/>
      <c r="Y157" s="566"/>
    </row>
    <row r="158" spans="1:25" x14ac:dyDescent="0.25">
      <c r="A158" t="s">
        <v>2848</v>
      </c>
      <c r="B158" s="566"/>
      <c r="C158" s="566"/>
      <c r="D158" s="566"/>
      <c r="E158" s="566"/>
      <c r="F158" s="566"/>
      <c r="G158" s="566"/>
      <c r="H158" s="566"/>
      <c r="I158" s="566"/>
      <c r="J158" s="566"/>
      <c r="K158" s="566"/>
      <c r="L158" s="566"/>
      <c r="M158" s="566"/>
      <c r="N158" s="566"/>
      <c r="O158" s="566"/>
      <c r="P158" s="566"/>
      <c r="Q158" s="566"/>
      <c r="R158" s="566"/>
      <c r="S158" s="566"/>
      <c r="T158" s="566"/>
      <c r="U158" s="566"/>
      <c r="V158" s="566"/>
      <c r="W158" s="566"/>
      <c r="X158" s="566"/>
      <c r="Y158" s="566"/>
    </row>
    <row r="159" spans="1:25" x14ac:dyDescent="0.25">
      <c r="A159" t="s">
        <v>2849</v>
      </c>
      <c r="B159" s="566"/>
      <c r="C159" s="566"/>
      <c r="D159" s="566"/>
      <c r="E159" s="566"/>
      <c r="F159" s="566"/>
      <c r="G159" s="566"/>
      <c r="H159" s="566"/>
      <c r="I159" s="566"/>
      <c r="J159" s="566"/>
      <c r="K159" s="566"/>
      <c r="L159" s="566"/>
      <c r="M159" s="566"/>
      <c r="N159" s="566"/>
      <c r="O159" s="566"/>
      <c r="P159" s="566"/>
      <c r="Q159" s="566"/>
      <c r="R159" s="566"/>
      <c r="S159" s="566"/>
      <c r="T159" s="566"/>
      <c r="U159" s="566"/>
      <c r="V159" s="566"/>
      <c r="W159" s="566"/>
      <c r="X159" s="566"/>
      <c r="Y159" s="566"/>
    </row>
    <row r="160" spans="1:25" x14ac:dyDescent="0.25">
      <c r="A160" t="s">
        <v>2850</v>
      </c>
      <c r="B160" s="566"/>
      <c r="C160" s="566"/>
      <c r="D160" s="566"/>
      <c r="E160" s="566"/>
      <c r="F160" s="566"/>
      <c r="G160" s="566"/>
      <c r="H160" s="566"/>
      <c r="I160" s="566"/>
      <c r="J160" s="566"/>
      <c r="K160" s="566"/>
      <c r="L160" s="566"/>
      <c r="M160" s="566"/>
      <c r="N160" s="566"/>
      <c r="O160" s="566"/>
      <c r="P160" s="566"/>
      <c r="Q160" s="566"/>
      <c r="R160" s="566"/>
      <c r="S160" s="566"/>
      <c r="T160" s="566"/>
      <c r="U160" s="566"/>
      <c r="V160" s="566"/>
      <c r="W160" s="566"/>
      <c r="X160" s="566"/>
      <c r="Y160" s="566"/>
    </row>
    <row r="161" spans="1:25" x14ac:dyDescent="0.25">
      <c r="A161" t="s">
        <v>2851</v>
      </c>
      <c r="B161" s="566"/>
      <c r="C161" s="566"/>
      <c r="D161" s="566"/>
      <c r="E161" s="566"/>
      <c r="F161" s="566"/>
      <c r="G161" s="566"/>
      <c r="H161" s="566"/>
      <c r="I161" s="566"/>
      <c r="J161" s="566"/>
      <c r="K161" s="566"/>
      <c r="L161" s="566"/>
      <c r="M161" s="566"/>
      <c r="N161" s="566"/>
      <c r="O161" s="566"/>
      <c r="P161" s="566"/>
      <c r="Q161" s="566"/>
      <c r="R161" s="566"/>
      <c r="S161" s="566"/>
      <c r="T161" s="566"/>
      <c r="U161" s="566"/>
      <c r="V161" s="566"/>
      <c r="W161" s="566"/>
      <c r="X161" s="566"/>
      <c r="Y161" s="566"/>
    </row>
    <row r="162" spans="1:25" x14ac:dyDescent="0.25">
      <c r="A162" t="s">
        <v>2852</v>
      </c>
      <c r="B162" s="566"/>
      <c r="C162" s="566"/>
      <c r="D162" s="566"/>
      <c r="E162" s="566"/>
      <c r="F162" s="566"/>
      <c r="G162" s="566"/>
      <c r="H162" s="566"/>
      <c r="I162" s="566"/>
      <c r="J162" s="566"/>
      <c r="K162" s="566"/>
      <c r="L162" s="566"/>
      <c r="M162" s="566"/>
      <c r="N162" s="566"/>
      <c r="O162" s="566"/>
      <c r="P162" s="566"/>
      <c r="Q162" s="566"/>
      <c r="R162" s="566"/>
      <c r="S162" s="566"/>
      <c r="T162" s="566"/>
      <c r="U162" s="566"/>
      <c r="V162" s="566"/>
      <c r="W162" s="566"/>
      <c r="X162" s="566"/>
      <c r="Y162" s="566"/>
    </row>
    <row r="163" spans="1:25" x14ac:dyDescent="0.25">
      <c r="A163" t="s">
        <v>2853</v>
      </c>
      <c r="B163" s="566"/>
      <c r="C163" s="566"/>
      <c r="D163" s="566"/>
      <c r="E163" s="566"/>
      <c r="F163" s="566"/>
      <c r="G163" s="566"/>
      <c r="H163" s="566"/>
      <c r="I163" s="566"/>
      <c r="J163" s="566"/>
      <c r="K163" s="566"/>
      <c r="L163" s="566"/>
      <c r="M163" s="566"/>
      <c r="N163" s="566"/>
      <c r="O163" s="566"/>
      <c r="P163" s="566"/>
      <c r="Q163" s="566"/>
      <c r="R163" s="566"/>
      <c r="S163" s="566"/>
      <c r="T163" s="566"/>
      <c r="U163" s="566"/>
      <c r="V163" s="566"/>
      <c r="W163" s="566"/>
      <c r="X163" s="566"/>
      <c r="Y163" s="566"/>
    </row>
    <row r="164" spans="1:25" x14ac:dyDescent="0.25">
      <c r="A164" t="s">
        <v>2144</v>
      </c>
      <c r="B164" s="566"/>
      <c r="C164" s="566"/>
      <c r="D164" s="566"/>
      <c r="E164" s="566"/>
      <c r="F164" s="566"/>
      <c r="G164" s="566"/>
      <c r="H164" s="566"/>
      <c r="I164" s="566"/>
      <c r="J164" s="566"/>
      <c r="K164" s="566"/>
      <c r="L164" s="566"/>
      <c r="M164" s="566"/>
      <c r="N164" s="566"/>
      <c r="O164" s="566"/>
      <c r="P164" s="566"/>
      <c r="Q164" s="566"/>
      <c r="R164" s="566"/>
      <c r="S164" s="566"/>
      <c r="T164" s="566"/>
      <c r="U164" s="566"/>
      <c r="V164" s="566"/>
      <c r="W164" s="566"/>
      <c r="X164" s="566"/>
      <c r="Y164" s="566"/>
    </row>
    <row r="165" spans="1:25" x14ac:dyDescent="0.25">
      <c r="A165" t="s">
        <v>2145</v>
      </c>
      <c r="B165" s="566"/>
      <c r="C165" s="566"/>
      <c r="D165" s="566"/>
      <c r="E165" s="566"/>
      <c r="F165" s="566"/>
      <c r="G165" s="566"/>
      <c r="H165" s="566"/>
      <c r="I165" s="566"/>
      <c r="J165" s="566"/>
      <c r="K165" s="566"/>
      <c r="L165" s="566"/>
      <c r="M165" s="566"/>
      <c r="N165" s="566"/>
      <c r="O165" s="566"/>
      <c r="P165" s="566"/>
      <c r="Q165" s="566"/>
      <c r="R165" s="566"/>
      <c r="S165" s="566"/>
      <c r="T165" s="566"/>
      <c r="U165" s="566"/>
      <c r="V165" s="566"/>
      <c r="W165" s="566"/>
      <c r="X165" s="566"/>
      <c r="Y165" s="566"/>
    </row>
    <row r="166" spans="1:25" x14ac:dyDescent="0.25">
      <c r="A166" t="s">
        <v>2568</v>
      </c>
      <c r="B166" s="566"/>
      <c r="C166" s="566"/>
      <c r="D166" s="566"/>
      <c r="E166" s="566"/>
      <c r="F166" s="566"/>
      <c r="G166" s="566"/>
      <c r="H166" s="566"/>
      <c r="I166" s="566"/>
      <c r="J166" s="566"/>
      <c r="K166" s="566"/>
      <c r="L166" s="566"/>
      <c r="M166" s="566"/>
      <c r="N166" s="566"/>
      <c r="O166" s="566"/>
      <c r="P166" s="566"/>
      <c r="Q166" s="566"/>
      <c r="R166" s="566"/>
      <c r="S166" s="566"/>
      <c r="T166" s="566"/>
      <c r="U166" s="566"/>
      <c r="V166" s="566"/>
      <c r="W166" s="566"/>
      <c r="X166" s="566"/>
      <c r="Y166" s="566"/>
    </row>
    <row r="167" spans="1:25" x14ac:dyDescent="0.25">
      <c r="A167" t="s">
        <v>2569</v>
      </c>
      <c r="B167" s="566"/>
      <c r="C167" s="566"/>
      <c r="D167" s="566"/>
      <c r="E167" s="566"/>
      <c r="F167" s="566"/>
      <c r="G167" s="566"/>
      <c r="H167" s="566"/>
      <c r="I167" s="566"/>
      <c r="J167" s="566"/>
      <c r="K167" s="566"/>
      <c r="L167" s="566"/>
      <c r="M167" s="566"/>
      <c r="N167" s="566"/>
      <c r="O167" s="566"/>
      <c r="P167" s="566"/>
      <c r="Q167" s="566"/>
      <c r="R167" s="566"/>
      <c r="S167" s="566"/>
      <c r="T167" s="566"/>
      <c r="U167" s="566"/>
      <c r="V167" s="566"/>
      <c r="W167" s="566"/>
      <c r="X167" s="566"/>
      <c r="Y167" s="566"/>
    </row>
    <row r="168" spans="1:25" x14ac:dyDescent="0.25">
      <c r="A168" t="s">
        <v>2570</v>
      </c>
      <c r="B168" s="566"/>
      <c r="C168" s="566"/>
      <c r="D168" s="566"/>
      <c r="E168" s="566"/>
      <c r="F168" s="566"/>
      <c r="G168" s="566"/>
      <c r="H168" s="566"/>
      <c r="I168" s="566"/>
      <c r="J168" s="566"/>
      <c r="K168" s="566"/>
      <c r="L168" s="566"/>
      <c r="M168" s="566"/>
      <c r="N168" s="566"/>
      <c r="O168" s="566"/>
      <c r="P168" s="566"/>
      <c r="Q168" s="566"/>
      <c r="R168" s="566"/>
      <c r="S168" s="566"/>
      <c r="T168" s="566"/>
      <c r="U168" s="566"/>
      <c r="V168" s="566"/>
      <c r="W168" s="566"/>
      <c r="X168" s="566"/>
      <c r="Y168" s="566"/>
    </row>
    <row r="169" spans="1:25" x14ac:dyDescent="0.25">
      <c r="A169" t="s">
        <v>2571</v>
      </c>
      <c r="B169" s="566"/>
      <c r="C169" s="566"/>
      <c r="D169" s="566"/>
      <c r="E169" s="566"/>
      <c r="F169" s="566"/>
      <c r="G169" s="566"/>
      <c r="H169" s="566"/>
      <c r="I169" s="566"/>
      <c r="J169" s="566"/>
      <c r="K169" s="566"/>
      <c r="L169" s="566"/>
      <c r="M169" s="566"/>
      <c r="N169" s="566"/>
      <c r="O169" s="566"/>
      <c r="P169" s="566"/>
      <c r="Q169" s="566"/>
      <c r="R169" s="566"/>
      <c r="S169" s="566"/>
      <c r="T169" s="566"/>
      <c r="U169" s="566"/>
      <c r="V169" s="566"/>
      <c r="W169" s="566"/>
      <c r="X169" s="566"/>
      <c r="Y169" s="566"/>
    </row>
    <row r="170" spans="1:25" x14ac:dyDescent="0.25">
      <c r="A170" t="s">
        <v>2572</v>
      </c>
      <c r="B170" s="566"/>
      <c r="C170" s="566"/>
      <c r="D170" s="566"/>
      <c r="E170" s="566"/>
      <c r="F170" s="566"/>
      <c r="G170" s="566"/>
      <c r="H170" s="566"/>
      <c r="I170" s="566"/>
      <c r="J170" s="566"/>
      <c r="K170" s="566"/>
      <c r="L170" s="566"/>
      <c r="M170" s="566"/>
      <c r="N170" s="566"/>
      <c r="O170" s="566"/>
      <c r="P170" s="566"/>
      <c r="Q170" s="566"/>
      <c r="R170" s="566"/>
      <c r="S170" s="566"/>
      <c r="T170" s="566"/>
      <c r="U170" s="566"/>
      <c r="V170" s="566"/>
      <c r="W170" s="566"/>
      <c r="X170" s="566"/>
      <c r="Y170" s="566"/>
    </row>
    <row r="171" spans="1:25" x14ac:dyDescent="0.25">
      <c r="A171" t="s">
        <v>2573</v>
      </c>
      <c r="B171" s="566"/>
      <c r="C171" s="566"/>
      <c r="D171" s="566"/>
      <c r="E171" s="566"/>
      <c r="F171" s="566"/>
      <c r="G171" s="566"/>
      <c r="H171" s="566"/>
      <c r="I171" s="566"/>
      <c r="J171" s="566"/>
      <c r="K171" s="566"/>
      <c r="L171" s="566"/>
      <c r="M171" s="566"/>
      <c r="N171" s="566"/>
      <c r="O171" s="566"/>
      <c r="P171" s="566"/>
      <c r="Q171" s="566"/>
      <c r="R171" s="566"/>
      <c r="S171" s="566"/>
      <c r="T171" s="566"/>
      <c r="U171" s="566"/>
      <c r="V171" s="566"/>
      <c r="W171" s="566"/>
      <c r="X171" s="566"/>
      <c r="Y171" s="566"/>
    </row>
    <row r="172" spans="1:25" x14ac:dyDescent="0.25">
      <c r="A172" t="s">
        <v>2574</v>
      </c>
      <c r="B172" s="566"/>
      <c r="C172" s="566"/>
      <c r="D172" s="566"/>
      <c r="E172" s="566"/>
      <c r="F172" s="566"/>
      <c r="G172" s="566"/>
      <c r="H172" s="566"/>
      <c r="I172" s="566"/>
      <c r="J172" s="566"/>
      <c r="K172" s="566"/>
      <c r="L172" s="566"/>
      <c r="M172" s="566"/>
      <c r="N172" s="566"/>
      <c r="O172" s="566"/>
      <c r="P172" s="566"/>
      <c r="Q172" s="566"/>
      <c r="R172" s="566"/>
      <c r="S172" s="566"/>
      <c r="T172" s="566"/>
      <c r="U172" s="566"/>
      <c r="V172" s="566"/>
      <c r="W172" s="566"/>
      <c r="X172" s="566"/>
      <c r="Y172" s="566"/>
    </row>
    <row r="173" spans="1:25" x14ac:dyDescent="0.25">
      <c r="A173" t="s">
        <v>2575</v>
      </c>
      <c r="B173" s="566"/>
      <c r="C173" s="566"/>
      <c r="D173" s="566"/>
      <c r="E173" s="566"/>
      <c r="F173" s="566"/>
      <c r="G173" s="566"/>
      <c r="H173" s="566"/>
      <c r="I173" s="566"/>
      <c r="J173" s="566"/>
      <c r="K173" s="566"/>
      <c r="L173" s="566"/>
      <c r="M173" s="566"/>
      <c r="N173" s="566"/>
      <c r="O173" s="566"/>
      <c r="P173" s="566"/>
      <c r="Q173" s="566"/>
      <c r="R173" s="566"/>
      <c r="S173" s="566"/>
      <c r="T173" s="566"/>
      <c r="U173" s="566"/>
      <c r="V173" s="566"/>
      <c r="W173" s="566"/>
      <c r="X173" s="566"/>
      <c r="Y173" s="566"/>
    </row>
    <row r="174" spans="1:25" x14ac:dyDescent="0.25">
      <c r="A174" t="s">
        <v>2115</v>
      </c>
      <c r="B174" s="566"/>
      <c r="C174" s="566"/>
      <c r="D174" s="566"/>
      <c r="E174" s="566"/>
      <c r="F174" s="566"/>
      <c r="G174" s="566"/>
      <c r="H174" s="566"/>
      <c r="I174" s="566"/>
      <c r="J174" s="566"/>
      <c r="K174" s="566"/>
      <c r="L174" s="566"/>
      <c r="M174" s="566"/>
      <c r="N174" s="566"/>
      <c r="O174" s="566"/>
      <c r="P174" s="566"/>
      <c r="Q174" s="566"/>
      <c r="R174" s="566"/>
      <c r="S174" s="566"/>
      <c r="T174" s="566"/>
      <c r="U174" s="566"/>
      <c r="V174" s="566"/>
      <c r="W174" s="566"/>
      <c r="X174" s="566"/>
      <c r="Y174" s="566"/>
    </row>
    <row r="175" spans="1:25" x14ac:dyDescent="0.25">
      <c r="A175" t="s">
        <v>2116</v>
      </c>
      <c r="B175" s="566"/>
      <c r="C175" s="566"/>
      <c r="D175" s="566"/>
      <c r="E175" s="566"/>
      <c r="F175" s="566"/>
      <c r="G175" s="566"/>
      <c r="H175" s="566"/>
      <c r="I175" s="566"/>
      <c r="J175" s="566"/>
      <c r="K175" s="566"/>
      <c r="L175" s="566"/>
      <c r="M175" s="566"/>
      <c r="N175" s="566"/>
      <c r="O175" s="566"/>
      <c r="P175" s="566"/>
      <c r="Q175" s="566"/>
      <c r="R175" s="566"/>
      <c r="S175" s="566"/>
      <c r="T175" s="566"/>
      <c r="U175" s="566"/>
      <c r="V175" s="566"/>
      <c r="W175" s="566"/>
      <c r="X175" s="566"/>
      <c r="Y175" s="566"/>
    </row>
    <row r="176" spans="1:25" x14ac:dyDescent="0.25">
      <c r="A176" t="s">
        <v>2117</v>
      </c>
      <c r="B176" s="566"/>
      <c r="C176" s="566"/>
      <c r="D176" s="566"/>
      <c r="E176" s="566"/>
      <c r="F176" s="566"/>
      <c r="G176" s="566"/>
      <c r="H176" s="566"/>
      <c r="I176" s="566"/>
      <c r="J176" s="566"/>
      <c r="K176" s="566"/>
      <c r="L176" s="566"/>
      <c r="M176" s="566"/>
      <c r="N176" s="566"/>
      <c r="O176" s="566"/>
      <c r="P176" s="566"/>
      <c r="Q176" s="566"/>
      <c r="R176" s="566"/>
      <c r="S176" s="566"/>
      <c r="T176" s="566"/>
      <c r="U176" s="566"/>
      <c r="V176" s="566"/>
      <c r="W176" s="566"/>
      <c r="X176" s="566"/>
      <c r="Y176" s="566"/>
    </row>
    <row r="177" spans="1:25" x14ac:dyDescent="0.25">
      <c r="A177" t="s">
        <v>2118</v>
      </c>
      <c r="B177" s="566"/>
      <c r="C177" s="566"/>
      <c r="D177" s="566"/>
      <c r="E177" s="566"/>
      <c r="F177" s="566"/>
      <c r="G177" s="566"/>
      <c r="H177" s="566"/>
      <c r="I177" s="566"/>
      <c r="J177" s="566"/>
      <c r="K177" s="566"/>
      <c r="L177" s="566"/>
      <c r="M177" s="566"/>
      <c r="N177" s="566"/>
      <c r="O177" s="566"/>
      <c r="P177" s="566"/>
      <c r="Q177" s="566"/>
      <c r="R177" s="566"/>
      <c r="S177" s="566"/>
      <c r="T177" s="566"/>
      <c r="U177" s="566"/>
      <c r="V177" s="566"/>
      <c r="W177" s="566"/>
      <c r="X177" s="566"/>
      <c r="Y177" s="566"/>
    </row>
    <row r="178" spans="1:25" x14ac:dyDescent="0.25">
      <c r="A178" t="s">
        <v>2119</v>
      </c>
      <c r="B178" s="566"/>
      <c r="C178" s="566"/>
      <c r="D178" s="566"/>
      <c r="E178" s="566"/>
      <c r="F178" s="566"/>
      <c r="G178" s="566"/>
      <c r="H178" s="566"/>
      <c r="I178" s="566"/>
      <c r="J178" s="566"/>
      <c r="K178" s="566"/>
      <c r="L178" s="566"/>
      <c r="M178" s="566"/>
      <c r="N178" s="566"/>
      <c r="O178" s="566"/>
      <c r="P178" s="566"/>
      <c r="Q178" s="566"/>
      <c r="R178" s="566"/>
      <c r="S178" s="566"/>
      <c r="T178" s="566"/>
      <c r="U178" s="566"/>
      <c r="V178" s="566"/>
      <c r="W178" s="566"/>
      <c r="X178" s="566"/>
      <c r="Y178" s="566"/>
    </row>
    <row r="179" spans="1:25" x14ac:dyDescent="0.25">
      <c r="A179" t="s">
        <v>2120</v>
      </c>
      <c r="B179" s="566"/>
      <c r="C179" s="566"/>
      <c r="D179" s="566"/>
      <c r="E179" s="566"/>
      <c r="F179" s="566"/>
      <c r="G179" s="566"/>
      <c r="H179" s="566"/>
      <c r="I179" s="566"/>
      <c r="J179" s="566"/>
      <c r="K179" s="566"/>
      <c r="L179" s="566"/>
      <c r="M179" s="566"/>
      <c r="N179" s="566"/>
      <c r="O179" s="566"/>
      <c r="P179" s="566"/>
      <c r="Q179" s="566"/>
      <c r="R179" s="566"/>
      <c r="S179" s="566"/>
      <c r="T179" s="566"/>
      <c r="U179" s="566"/>
      <c r="V179" s="566"/>
      <c r="W179" s="566"/>
      <c r="X179" s="566"/>
      <c r="Y179" s="566"/>
    </row>
    <row r="180" spans="1:25" x14ac:dyDescent="0.25">
      <c r="A180" t="s">
        <v>2121</v>
      </c>
      <c r="B180" s="566"/>
      <c r="C180" s="566"/>
      <c r="D180" s="566"/>
      <c r="E180" s="566"/>
      <c r="F180" s="566"/>
      <c r="G180" s="566"/>
      <c r="H180" s="566"/>
      <c r="I180" s="566"/>
      <c r="J180" s="566"/>
      <c r="K180" s="566"/>
      <c r="L180" s="566"/>
      <c r="M180" s="566"/>
      <c r="N180" s="566"/>
      <c r="O180" s="566"/>
      <c r="P180" s="566"/>
      <c r="Q180" s="566"/>
      <c r="R180" s="566"/>
      <c r="S180" s="566"/>
      <c r="T180" s="566"/>
      <c r="U180" s="566"/>
      <c r="V180" s="566"/>
      <c r="W180" s="566"/>
      <c r="X180" s="566"/>
      <c r="Y180" s="566"/>
    </row>
    <row r="181" spans="1:25" x14ac:dyDescent="0.25">
      <c r="A181" t="s">
        <v>2576</v>
      </c>
      <c r="B181" s="566"/>
      <c r="C181" s="566"/>
      <c r="D181" s="566"/>
      <c r="E181" s="566"/>
      <c r="F181" s="566"/>
      <c r="G181" s="566"/>
      <c r="H181" s="566"/>
      <c r="I181" s="566"/>
      <c r="J181" s="566"/>
      <c r="K181" s="566"/>
      <c r="L181" s="566"/>
      <c r="M181" s="566"/>
      <c r="N181" s="566"/>
      <c r="O181" s="566"/>
      <c r="P181" s="566"/>
      <c r="Q181" s="566"/>
      <c r="R181" s="566"/>
      <c r="S181" s="566"/>
      <c r="T181" s="566"/>
      <c r="U181" s="566"/>
      <c r="V181" s="566"/>
      <c r="W181" s="566"/>
      <c r="X181" s="566"/>
      <c r="Y181" s="566"/>
    </row>
    <row r="182" spans="1:25" x14ac:dyDescent="0.25">
      <c r="A182" t="s">
        <v>2577</v>
      </c>
      <c r="B182" s="566"/>
      <c r="C182" s="566"/>
      <c r="D182" s="566"/>
      <c r="E182" s="566"/>
      <c r="F182" s="566"/>
      <c r="G182" s="566"/>
      <c r="H182" s="566"/>
      <c r="I182" s="566"/>
      <c r="J182" s="566"/>
      <c r="K182" s="566"/>
      <c r="L182" s="566"/>
      <c r="M182" s="566"/>
      <c r="N182" s="566"/>
      <c r="O182" s="566"/>
      <c r="P182" s="566"/>
      <c r="Q182" s="566"/>
      <c r="R182" s="566"/>
      <c r="S182" s="566"/>
      <c r="T182" s="566"/>
      <c r="U182" s="566"/>
      <c r="V182" s="566"/>
      <c r="W182" s="566"/>
      <c r="X182" s="566"/>
      <c r="Y182" s="566"/>
    </row>
    <row r="183" spans="1:25" x14ac:dyDescent="0.25">
      <c r="A183" t="s">
        <v>2578</v>
      </c>
      <c r="B183" s="566"/>
      <c r="C183" s="566"/>
      <c r="D183" s="566"/>
      <c r="E183" s="566"/>
      <c r="F183" s="566"/>
      <c r="G183" s="566"/>
      <c r="H183" s="566"/>
      <c r="I183" s="566"/>
      <c r="J183" s="566"/>
      <c r="K183" s="566"/>
      <c r="L183" s="566"/>
      <c r="M183" s="566"/>
      <c r="N183" s="566"/>
      <c r="O183" s="566"/>
      <c r="P183" s="566"/>
      <c r="Q183" s="566"/>
      <c r="R183" s="566"/>
      <c r="S183" s="566"/>
      <c r="T183" s="566"/>
      <c r="U183" s="566"/>
      <c r="V183" s="566"/>
      <c r="W183" s="566"/>
      <c r="X183" s="566"/>
      <c r="Y183" s="566"/>
    </row>
    <row r="184" spans="1:25" x14ac:dyDescent="0.25">
      <c r="A184" t="s">
        <v>2579</v>
      </c>
      <c r="B184" s="566"/>
      <c r="C184" s="566"/>
      <c r="D184" s="566"/>
      <c r="E184" s="566"/>
      <c r="F184" s="566"/>
      <c r="G184" s="566"/>
      <c r="H184" s="566"/>
      <c r="I184" s="566"/>
      <c r="J184" s="566"/>
      <c r="K184" s="566"/>
      <c r="L184" s="566"/>
      <c r="M184" s="566"/>
      <c r="N184" s="566"/>
      <c r="O184" s="566"/>
      <c r="P184" s="566"/>
      <c r="Q184" s="566"/>
      <c r="R184" s="566"/>
      <c r="S184" s="566"/>
      <c r="T184" s="566"/>
      <c r="U184" s="566"/>
      <c r="V184" s="566"/>
      <c r="W184" s="566"/>
      <c r="X184" s="566"/>
      <c r="Y184" s="566"/>
    </row>
    <row r="185" spans="1:25" x14ac:dyDescent="0.25">
      <c r="A185" t="s">
        <v>2580</v>
      </c>
      <c r="B185" s="566"/>
      <c r="C185" s="566"/>
      <c r="D185" s="566"/>
      <c r="E185" s="566"/>
      <c r="F185" s="566"/>
      <c r="G185" s="566"/>
      <c r="H185" s="566"/>
      <c r="I185" s="566"/>
      <c r="J185" s="566"/>
      <c r="K185" s="566"/>
      <c r="L185" s="566"/>
      <c r="M185" s="566"/>
      <c r="N185" s="566"/>
      <c r="O185" s="566"/>
      <c r="P185" s="566"/>
      <c r="Q185" s="566"/>
      <c r="R185" s="566"/>
      <c r="S185" s="566"/>
      <c r="T185" s="566"/>
      <c r="U185" s="566"/>
      <c r="V185" s="566"/>
      <c r="W185" s="566"/>
      <c r="X185" s="566"/>
      <c r="Y185" s="566"/>
    </row>
    <row r="186" spans="1:25" x14ac:dyDescent="0.25">
      <c r="A186" t="s">
        <v>2581</v>
      </c>
      <c r="B186" s="566"/>
      <c r="C186" s="566"/>
      <c r="D186" s="566"/>
      <c r="E186" s="566"/>
      <c r="F186" s="566"/>
      <c r="G186" s="566"/>
      <c r="H186" s="566"/>
      <c r="I186" s="566"/>
      <c r="J186" s="566"/>
      <c r="K186" s="566"/>
      <c r="L186" s="566"/>
      <c r="M186" s="566"/>
      <c r="N186" s="566"/>
      <c r="O186" s="566"/>
      <c r="P186" s="566"/>
      <c r="Q186" s="566"/>
      <c r="R186" s="566"/>
      <c r="S186" s="566"/>
      <c r="T186" s="566"/>
      <c r="U186" s="566"/>
      <c r="V186" s="566"/>
      <c r="W186" s="566"/>
      <c r="X186" s="566"/>
      <c r="Y186" s="566"/>
    </row>
    <row r="187" spans="1:25" x14ac:dyDescent="0.25">
      <c r="A187" t="s">
        <v>2122</v>
      </c>
      <c r="B187" s="566"/>
      <c r="C187" s="566"/>
      <c r="D187" s="566"/>
      <c r="E187" s="566"/>
      <c r="F187" s="566"/>
      <c r="G187" s="566"/>
      <c r="H187" s="566"/>
      <c r="I187" s="566"/>
      <c r="J187" s="566"/>
      <c r="K187" s="566"/>
      <c r="L187" s="566"/>
      <c r="M187" s="566"/>
      <c r="N187" s="566"/>
      <c r="O187" s="566"/>
      <c r="P187" s="566"/>
      <c r="Q187" s="566"/>
      <c r="R187" s="566"/>
      <c r="S187" s="566"/>
      <c r="T187" s="566"/>
      <c r="U187" s="566"/>
      <c r="V187" s="566"/>
      <c r="W187" s="566"/>
      <c r="X187" s="566"/>
      <c r="Y187" s="566"/>
    </row>
    <row r="188" spans="1:25" x14ac:dyDescent="0.25">
      <c r="A188" t="s">
        <v>2123</v>
      </c>
      <c r="B188" s="566"/>
      <c r="C188" s="566"/>
      <c r="D188" s="566"/>
      <c r="E188" s="566"/>
      <c r="F188" s="566"/>
      <c r="G188" s="566"/>
      <c r="H188" s="566"/>
      <c r="I188" s="566"/>
      <c r="J188" s="566"/>
      <c r="K188" s="566"/>
      <c r="L188" s="566"/>
      <c r="M188" s="566"/>
      <c r="N188" s="566"/>
      <c r="O188" s="566"/>
      <c r="P188" s="566"/>
      <c r="Q188" s="566"/>
      <c r="R188" s="566"/>
      <c r="S188" s="566"/>
      <c r="T188" s="566"/>
      <c r="U188" s="566"/>
      <c r="V188" s="566"/>
      <c r="W188" s="566"/>
      <c r="X188" s="566"/>
      <c r="Y188" s="566"/>
    </row>
    <row r="189" spans="1:25" x14ac:dyDescent="0.25">
      <c r="A189" t="s">
        <v>2124</v>
      </c>
      <c r="B189" s="566"/>
      <c r="C189" s="566"/>
      <c r="D189" s="566"/>
      <c r="E189" s="566"/>
      <c r="F189" s="566"/>
      <c r="G189" s="566"/>
      <c r="H189" s="566"/>
      <c r="I189" s="566"/>
      <c r="J189" s="566"/>
      <c r="K189" s="566"/>
      <c r="L189" s="566"/>
      <c r="M189" s="566"/>
      <c r="N189" s="566"/>
      <c r="O189" s="566"/>
      <c r="P189" s="566"/>
      <c r="Q189" s="566"/>
      <c r="R189" s="566"/>
      <c r="S189" s="566"/>
      <c r="T189" s="566"/>
      <c r="U189" s="566"/>
      <c r="V189" s="566"/>
      <c r="W189" s="566"/>
      <c r="X189" s="566"/>
      <c r="Y189" s="566"/>
    </row>
    <row r="190" spans="1:25" x14ac:dyDescent="0.25">
      <c r="A190" t="s">
        <v>2125</v>
      </c>
      <c r="B190" s="566"/>
      <c r="C190" s="566"/>
      <c r="D190" s="566"/>
      <c r="E190" s="566"/>
      <c r="F190" s="566"/>
      <c r="G190" s="566"/>
      <c r="H190" s="566"/>
      <c r="I190" s="566"/>
      <c r="J190" s="566"/>
      <c r="K190" s="566"/>
      <c r="L190" s="566"/>
      <c r="M190" s="566"/>
      <c r="N190" s="566"/>
      <c r="O190" s="566"/>
      <c r="P190" s="566"/>
      <c r="Q190" s="566"/>
      <c r="R190" s="566"/>
      <c r="S190" s="566"/>
      <c r="T190" s="566"/>
      <c r="U190" s="566"/>
      <c r="V190" s="566"/>
      <c r="W190" s="566"/>
      <c r="X190" s="566"/>
      <c r="Y190" s="566"/>
    </row>
    <row r="191" spans="1:25" x14ac:dyDescent="0.25">
      <c r="A191" t="s">
        <v>2126</v>
      </c>
      <c r="B191" s="566"/>
      <c r="C191" s="566"/>
      <c r="D191" s="566"/>
      <c r="E191" s="566"/>
      <c r="F191" s="566"/>
      <c r="G191" s="566"/>
      <c r="H191" s="566"/>
      <c r="I191" s="566"/>
      <c r="J191" s="566"/>
      <c r="K191" s="566"/>
      <c r="L191" s="566"/>
      <c r="M191" s="566"/>
      <c r="N191" s="566"/>
      <c r="O191" s="566"/>
      <c r="P191" s="566"/>
      <c r="Q191" s="566"/>
      <c r="R191" s="566"/>
      <c r="S191" s="566"/>
      <c r="T191" s="566"/>
      <c r="U191" s="566"/>
      <c r="V191" s="566"/>
      <c r="W191" s="566"/>
      <c r="X191" s="566"/>
      <c r="Y191" s="566"/>
    </row>
    <row r="192" spans="1:25" x14ac:dyDescent="0.25">
      <c r="A192" t="s">
        <v>2582</v>
      </c>
      <c r="B192" s="566"/>
      <c r="C192" s="566"/>
      <c r="D192" s="566"/>
      <c r="E192" s="566"/>
      <c r="F192" s="566"/>
      <c r="G192" s="566"/>
      <c r="H192" s="566"/>
      <c r="I192" s="566"/>
      <c r="J192" s="566"/>
      <c r="K192" s="566"/>
      <c r="L192" s="566"/>
      <c r="M192" s="566"/>
      <c r="N192" s="566"/>
      <c r="O192" s="566"/>
      <c r="P192" s="566"/>
      <c r="Q192" s="566"/>
      <c r="R192" s="566"/>
      <c r="S192" s="566"/>
      <c r="T192" s="566"/>
      <c r="U192" s="566"/>
      <c r="V192" s="566"/>
      <c r="W192" s="566"/>
      <c r="X192" s="566"/>
      <c r="Y192" s="566"/>
    </row>
    <row r="193" spans="1:25" x14ac:dyDescent="0.25">
      <c r="A193" t="s">
        <v>2583</v>
      </c>
      <c r="B193" s="566"/>
      <c r="C193" s="566"/>
      <c r="D193" s="566"/>
      <c r="E193" s="566"/>
      <c r="F193" s="566"/>
      <c r="G193" s="566"/>
      <c r="H193" s="566"/>
      <c r="I193" s="566"/>
      <c r="J193" s="566"/>
      <c r="K193" s="566"/>
      <c r="L193" s="566"/>
      <c r="M193" s="566"/>
      <c r="N193" s="566"/>
      <c r="O193" s="566"/>
      <c r="P193" s="566"/>
      <c r="Q193" s="566"/>
      <c r="R193" s="566"/>
      <c r="S193" s="566"/>
      <c r="T193" s="566"/>
      <c r="U193" s="566"/>
      <c r="V193" s="566"/>
      <c r="W193" s="566"/>
      <c r="X193" s="566"/>
      <c r="Y193" s="566"/>
    </row>
    <row r="194" spans="1:25" x14ac:dyDescent="0.25">
      <c r="A194" t="s">
        <v>2584</v>
      </c>
      <c r="B194" s="566"/>
      <c r="C194" s="566"/>
      <c r="D194" s="566"/>
      <c r="E194" s="566"/>
      <c r="F194" s="566"/>
      <c r="G194" s="566"/>
      <c r="H194" s="566"/>
      <c r="I194" s="566"/>
      <c r="J194" s="566"/>
      <c r="K194" s="566"/>
      <c r="L194" s="566"/>
      <c r="M194" s="566"/>
      <c r="N194" s="566"/>
      <c r="O194" s="566"/>
      <c r="P194" s="566"/>
      <c r="Q194" s="566"/>
      <c r="R194" s="566"/>
      <c r="S194" s="566"/>
      <c r="T194" s="566"/>
      <c r="U194" s="566"/>
      <c r="V194" s="566"/>
      <c r="W194" s="566"/>
      <c r="X194" s="566"/>
      <c r="Y194" s="566"/>
    </row>
    <row r="195" spans="1:25" x14ac:dyDescent="0.25">
      <c r="A195" t="s">
        <v>2585</v>
      </c>
      <c r="B195" s="566"/>
      <c r="C195" s="566"/>
      <c r="D195" s="566"/>
      <c r="E195" s="566"/>
      <c r="F195" s="566"/>
      <c r="G195" s="566"/>
      <c r="H195" s="566"/>
      <c r="I195" s="566"/>
      <c r="J195" s="566"/>
      <c r="K195" s="566"/>
      <c r="L195" s="566"/>
      <c r="M195" s="566"/>
      <c r="N195" s="566"/>
      <c r="O195" s="566"/>
      <c r="P195" s="566"/>
      <c r="Q195" s="566"/>
      <c r="R195" s="566"/>
      <c r="S195" s="566"/>
      <c r="T195" s="566"/>
      <c r="U195" s="566"/>
      <c r="V195" s="566"/>
      <c r="W195" s="566"/>
      <c r="X195" s="566"/>
      <c r="Y195" s="566"/>
    </row>
    <row r="196" spans="1:25" x14ac:dyDescent="0.25">
      <c r="A196" t="s">
        <v>2586</v>
      </c>
      <c r="B196" s="566"/>
      <c r="C196" s="566"/>
      <c r="D196" s="566"/>
      <c r="E196" s="566"/>
      <c r="F196" s="566"/>
      <c r="G196" s="566"/>
      <c r="H196" s="566"/>
      <c r="I196" s="566"/>
      <c r="J196" s="566"/>
      <c r="K196" s="566"/>
      <c r="L196" s="566"/>
      <c r="M196" s="566"/>
      <c r="N196" s="566"/>
      <c r="O196" s="566"/>
      <c r="P196" s="566"/>
      <c r="Q196" s="566"/>
      <c r="R196" s="566"/>
      <c r="S196" s="566"/>
      <c r="T196" s="566"/>
      <c r="U196" s="566"/>
      <c r="V196" s="566"/>
      <c r="W196" s="566"/>
      <c r="X196" s="566"/>
      <c r="Y196" s="566"/>
    </row>
    <row r="197" spans="1:25" x14ac:dyDescent="0.25">
      <c r="A197" t="s">
        <v>2587</v>
      </c>
      <c r="B197" s="566"/>
      <c r="C197" s="566"/>
      <c r="D197" s="566"/>
      <c r="E197" s="566"/>
      <c r="F197" s="566"/>
      <c r="G197" s="566"/>
      <c r="H197" s="566"/>
      <c r="I197" s="566"/>
      <c r="J197" s="566"/>
      <c r="K197" s="566"/>
      <c r="L197" s="566"/>
      <c r="M197" s="566"/>
      <c r="N197" s="566"/>
      <c r="O197" s="566"/>
      <c r="P197" s="566"/>
      <c r="Q197" s="566"/>
      <c r="R197" s="566"/>
      <c r="S197" s="566"/>
      <c r="T197" s="566"/>
      <c r="U197" s="566"/>
      <c r="V197" s="566"/>
      <c r="W197" s="566"/>
      <c r="X197" s="566"/>
      <c r="Y197" s="566"/>
    </row>
    <row r="198" spans="1:25" x14ac:dyDescent="0.25">
      <c r="A198" t="s">
        <v>2588</v>
      </c>
      <c r="B198" s="566"/>
      <c r="C198" s="566"/>
      <c r="D198" s="566"/>
      <c r="E198" s="566"/>
      <c r="F198" s="566"/>
      <c r="G198" s="566"/>
      <c r="H198" s="566"/>
      <c r="I198" s="566"/>
      <c r="J198" s="566"/>
      <c r="K198" s="566"/>
      <c r="L198" s="566"/>
      <c r="M198" s="566"/>
      <c r="N198" s="566"/>
      <c r="O198" s="566"/>
      <c r="P198" s="566"/>
      <c r="Q198" s="566"/>
      <c r="R198" s="566"/>
      <c r="S198" s="566"/>
      <c r="T198" s="566"/>
      <c r="U198" s="566"/>
      <c r="V198" s="566"/>
      <c r="W198" s="566"/>
      <c r="X198" s="566"/>
      <c r="Y198" s="566"/>
    </row>
    <row r="199" spans="1:25" x14ac:dyDescent="0.25">
      <c r="A199" t="s">
        <v>2589</v>
      </c>
      <c r="B199" s="566"/>
      <c r="C199" s="566"/>
      <c r="D199" s="566"/>
      <c r="E199" s="566"/>
      <c r="F199" s="566"/>
      <c r="G199" s="566"/>
      <c r="H199" s="566"/>
      <c r="I199" s="566"/>
      <c r="J199" s="566"/>
      <c r="K199" s="566"/>
      <c r="L199" s="566"/>
      <c r="M199" s="566"/>
      <c r="N199" s="566"/>
      <c r="O199" s="566"/>
      <c r="P199" s="566"/>
      <c r="Q199" s="566"/>
      <c r="R199" s="566"/>
      <c r="S199" s="566"/>
      <c r="T199" s="566"/>
      <c r="U199" s="566"/>
      <c r="V199" s="566"/>
      <c r="W199" s="566"/>
      <c r="X199" s="566"/>
      <c r="Y199" s="566"/>
    </row>
    <row r="200" spans="1:25" x14ac:dyDescent="0.25">
      <c r="A200" t="s">
        <v>2590</v>
      </c>
      <c r="B200" s="566"/>
      <c r="C200" s="566"/>
      <c r="D200" s="566"/>
      <c r="E200" s="566"/>
      <c r="F200" s="566"/>
      <c r="G200" s="566"/>
      <c r="H200" s="566"/>
      <c r="I200" s="566"/>
      <c r="J200" s="566"/>
      <c r="K200" s="566"/>
      <c r="L200" s="566"/>
      <c r="M200" s="566"/>
      <c r="N200" s="566"/>
      <c r="O200" s="566"/>
      <c r="P200" s="566"/>
      <c r="Q200" s="566"/>
      <c r="R200" s="566"/>
      <c r="S200" s="566"/>
      <c r="T200" s="566"/>
      <c r="U200" s="566"/>
      <c r="V200" s="566"/>
      <c r="W200" s="566"/>
      <c r="X200" s="566"/>
      <c r="Y200" s="566"/>
    </row>
    <row r="201" spans="1:25" x14ac:dyDescent="0.25">
      <c r="A201" t="s">
        <v>2127</v>
      </c>
      <c r="B201" s="566"/>
      <c r="C201" s="566"/>
      <c r="D201" s="566"/>
      <c r="E201" s="566"/>
      <c r="F201" s="566"/>
      <c r="G201" s="566"/>
      <c r="H201" s="566"/>
      <c r="I201" s="566"/>
      <c r="J201" s="566"/>
      <c r="K201" s="566"/>
      <c r="L201" s="566"/>
      <c r="M201" s="566"/>
      <c r="N201" s="566"/>
      <c r="O201" s="566"/>
      <c r="P201" s="566"/>
      <c r="Q201" s="566"/>
      <c r="R201" s="566"/>
      <c r="S201" s="566"/>
      <c r="T201" s="566"/>
      <c r="U201" s="566"/>
      <c r="V201" s="566"/>
      <c r="W201" s="566"/>
      <c r="X201" s="566"/>
      <c r="Y201" s="566"/>
    </row>
    <row r="202" spans="1:25" x14ac:dyDescent="0.25">
      <c r="A202" t="s">
        <v>2591</v>
      </c>
      <c r="B202" s="566"/>
      <c r="C202" s="566"/>
      <c r="D202" s="566"/>
      <c r="E202" s="566"/>
      <c r="F202" s="566"/>
      <c r="G202" s="566"/>
      <c r="H202" s="566"/>
      <c r="I202" s="566"/>
      <c r="J202" s="566"/>
      <c r="K202" s="566"/>
      <c r="L202" s="566"/>
      <c r="M202" s="566"/>
      <c r="N202" s="566"/>
      <c r="O202" s="566"/>
      <c r="P202" s="566"/>
      <c r="Q202" s="566"/>
      <c r="R202" s="566"/>
      <c r="S202" s="566"/>
      <c r="T202" s="566"/>
      <c r="U202" s="566"/>
      <c r="V202" s="566"/>
      <c r="W202" s="566"/>
      <c r="X202" s="566"/>
      <c r="Y202" s="566"/>
    </row>
    <row r="203" spans="1:25" x14ac:dyDescent="0.25">
      <c r="A203" t="s">
        <v>2592</v>
      </c>
      <c r="B203" s="566"/>
      <c r="C203" s="566"/>
      <c r="D203" s="566"/>
      <c r="E203" s="566"/>
      <c r="F203" s="566"/>
      <c r="G203" s="566"/>
      <c r="H203" s="566"/>
      <c r="I203" s="566"/>
      <c r="J203" s="566"/>
      <c r="K203" s="566"/>
      <c r="L203" s="566"/>
      <c r="M203" s="566"/>
      <c r="N203" s="566"/>
      <c r="O203" s="566"/>
      <c r="P203" s="566"/>
      <c r="Q203" s="566"/>
      <c r="R203" s="566"/>
      <c r="S203" s="566"/>
      <c r="T203" s="566"/>
      <c r="U203" s="566"/>
      <c r="V203" s="566"/>
      <c r="W203" s="566"/>
      <c r="X203" s="566"/>
      <c r="Y203" s="566"/>
    </row>
    <row r="204" spans="1:25" x14ac:dyDescent="0.25">
      <c r="A204" t="s">
        <v>2593</v>
      </c>
      <c r="B204" s="566"/>
      <c r="C204" s="566"/>
      <c r="D204" s="566"/>
      <c r="E204" s="566"/>
      <c r="F204" s="566"/>
      <c r="G204" s="566"/>
      <c r="H204" s="566"/>
      <c r="I204" s="566"/>
      <c r="J204" s="566"/>
      <c r="K204" s="566"/>
      <c r="L204" s="566"/>
      <c r="M204" s="566"/>
      <c r="N204" s="566"/>
      <c r="O204" s="566"/>
      <c r="P204" s="566"/>
      <c r="Q204" s="566"/>
      <c r="R204" s="566"/>
      <c r="S204" s="566"/>
      <c r="T204" s="566"/>
      <c r="U204" s="566"/>
      <c r="V204" s="566"/>
      <c r="W204" s="566"/>
      <c r="X204" s="566"/>
      <c r="Y204" s="566"/>
    </row>
    <row r="205" spans="1:25" x14ac:dyDescent="0.25">
      <c r="A205" t="s">
        <v>2594</v>
      </c>
      <c r="B205" s="566"/>
      <c r="C205" s="566"/>
      <c r="D205" s="566"/>
      <c r="E205" s="566"/>
      <c r="F205" s="566"/>
      <c r="G205" s="566"/>
      <c r="H205" s="566"/>
      <c r="I205" s="566"/>
      <c r="J205" s="566"/>
      <c r="K205" s="566"/>
      <c r="L205" s="566"/>
      <c r="M205" s="566"/>
      <c r="N205" s="566"/>
      <c r="O205" s="566"/>
      <c r="P205" s="566"/>
      <c r="Q205" s="566"/>
      <c r="R205" s="566"/>
      <c r="S205" s="566"/>
      <c r="T205" s="566"/>
      <c r="U205" s="566"/>
      <c r="V205" s="566"/>
      <c r="W205" s="566"/>
      <c r="X205" s="566"/>
      <c r="Y205" s="566"/>
    </row>
    <row r="206" spans="1:25" x14ac:dyDescent="0.25">
      <c r="A206" t="s">
        <v>2595</v>
      </c>
      <c r="B206" s="566"/>
      <c r="C206" s="566"/>
      <c r="D206" s="566"/>
      <c r="E206" s="566"/>
      <c r="F206" s="566"/>
      <c r="G206" s="566"/>
      <c r="H206" s="566"/>
      <c r="I206" s="566"/>
      <c r="J206" s="566"/>
      <c r="K206" s="566"/>
      <c r="L206" s="566"/>
      <c r="M206" s="566"/>
      <c r="N206" s="566"/>
      <c r="O206" s="566"/>
      <c r="P206" s="566"/>
      <c r="Q206" s="566"/>
      <c r="R206" s="566"/>
      <c r="S206" s="566"/>
      <c r="T206" s="566"/>
      <c r="U206" s="566"/>
      <c r="V206" s="566"/>
      <c r="W206" s="566"/>
      <c r="X206" s="566"/>
      <c r="Y206" s="566"/>
    </row>
    <row r="207" spans="1:25" x14ac:dyDescent="0.25">
      <c r="A207" t="s">
        <v>2128</v>
      </c>
      <c r="B207" s="566"/>
      <c r="C207" s="566"/>
      <c r="D207" s="566"/>
      <c r="E207" s="566"/>
      <c r="F207" s="566"/>
      <c r="G207" s="566"/>
      <c r="H207" s="566"/>
      <c r="I207" s="566"/>
      <c r="J207" s="566"/>
      <c r="K207" s="566"/>
      <c r="L207" s="566"/>
      <c r="M207" s="566"/>
      <c r="N207" s="566"/>
      <c r="O207" s="566"/>
      <c r="P207" s="566"/>
      <c r="Q207" s="566"/>
      <c r="R207" s="566"/>
      <c r="S207" s="566"/>
      <c r="T207" s="566"/>
      <c r="U207" s="566"/>
      <c r="V207" s="566"/>
      <c r="W207" s="566"/>
      <c r="X207" s="566"/>
      <c r="Y207" s="566"/>
    </row>
    <row r="208" spans="1:25" x14ac:dyDescent="0.25">
      <c r="A208" t="s">
        <v>2129</v>
      </c>
      <c r="B208" s="566"/>
      <c r="C208" s="566"/>
      <c r="D208" s="566"/>
      <c r="E208" s="566"/>
      <c r="F208" s="566"/>
      <c r="G208" s="566"/>
      <c r="H208" s="566"/>
      <c r="I208" s="566"/>
      <c r="J208" s="566"/>
      <c r="K208" s="566"/>
      <c r="L208" s="566"/>
      <c r="M208" s="566"/>
      <c r="N208" s="566"/>
      <c r="O208" s="566"/>
      <c r="P208" s="566"/>
      <c r="Q208" s="566"/>
      <c r="R208" s="566"/>
      <c r="S208" s="566"/>
      <c r="T208" s="566"/>
      <c r="U208" s="566"/>
      <c r="V208" s="566"/>
      <c r="W208" s="566"/>
      <c r="X208" s="566"/>
      <c r="Y208" s="566"/>
    </row>
    <row r="209" spans="1:25" x14ac:dyDescent="0.25">
      <c r="A209" t="s">
        <v>2596</v>
      </c>
      <c r="B209" s="566"/>
      <c r="C209" s="566"/>
      <c r="D209" s="566"/>
      <c r="E209" s="566"/>
      <c r="F209" s="566"/>
      <c r="G209" s="566"/>
      <c r="H209" s="566"/>
      <c r="I209" s="566"/>
      <c r="J209" s="566"/>
      <c r="K209" s="566"/>
      <c r="L209" s="566"/>
      <c r="M209" s="566"/>
      <c r="N209" s="566"/>
      <c r="O209" s="566"/>
      <c r="P209" s="566"/>
      <c r="Q209" s="566"/>
      <c r="R209" s="566"/>
      <c r="S209" s="566"/>
      <c r="T209" s="566"/>
      <c r="U209" s="566"/>
      <c r="V209" s="566"/>
      <c r="W209" s="566"/>
      <c r="X209" s="566"/>
      <c r="Y209" s="566"/>
    </row>
    <row r="210" spans="1:25" x14ac:dyDescent="0.25">
      <c r="A210" t="s">
        <v>2597</v>
      </c>
      <c r="B210" s="566"/>
      <c r="C210" s="566"/>
      <c r="D210" s="566"/>
      <c r="E210" s="566"/>
      <c r="F210" s="566"/>
      <c r="G210" s="566"/>
      <c r="H210" s="566"/>
      <c r="I210" s="566"/>
      <c r="J210" s="566"/>
      <c r="K210" s="566"/>
      <c r="L210" s="566"/>
      <c r="M210" s="566"/>
      <c r="N210" s="566"/>
      <c r="O210" s="566"/>
      <c r="P210" s="566"/>
      <c r="Q210" s="566"/>
      <c r="R210" s="566"/>
      <c r="S210" s="566"/>
      <c r="T210" s="566"/>
      <c r="U210" s="566"/>
      <c r="V210" s="566"/>
      <c r="W210" s="566"/>
      <c r="X210" s="566"/>
      <c r="Y210" s="566"/>
    </row>
    <row r="211" spans="1:25" x14ac:dyDescent="0.25">
      <c r="A211" t="s">
        <v>2598</v>
      </c>
      <c r="B211" s="566"/>
      <c r="C211" s="566"/>
      <c r="D211" s="566"/>
      <c r="E211" s="566"/>
      <c r="F211" s="566"/>
      <c r="G211" s="566"/>
      <c r="H211" s="566"/>
      <c r="I211" s="566"/>
      <c r="J211" s="566"/>
      <c r="K211" s="566"/>
      <c r="L211" s="566"/>
      <c r="M211" s="566"/>
      <c r="N211" s="566"/>
      <c r="O211" s="566"/>
      <c r="P211" s="566"/>
      <c r="Q211" s="566"/>
      <c r="R211" s="566"/>
      <c r="S211" s="566"/>
      <c r="T211" s="566"/>
      <c r="U211" s="566"/>
      <c r="V211" s="566"/>
      <c r="W211" s="566"/>
      <c r="X211" s="566"/>
      <c r="Y211" s="566"/>
    </row>
    <row r="212" spans="1:25" x14ac:dyDescent="0.25">
      <c r="A212" t="s">
        <v>2599</v>
      </c>
      <c r="B212" s="566"/>
      <c r="C212" s="566"/>
      <c r="D212" s="566"/>
      <c r="E212" s="566"/>
      <c r="F212" s="566"/>
      <c r="G212" s="566"/>
      <c r="H212" s="566"/>
      <c r="I212" s="566"/>
      <c r="J212" s="566"/>
      <c r="K212" s="566"/>
      <c r="L212" s="566"/>
      <c r="M212" s="566"/>
      <c r="N212" s="566"/>
      <c r="O212" s="566"/>
      <c r="P212" s="566"/>
      <c r="Q212" s="566"/>
      <c r="R212" s="566"/>
      <c r="S212" s="566"/>
      <c r="T212" s="566"/>
      <c r="U212" s="566"/>
      <c r="V212" s="566"/>
      <c r="W212" s="566"/>
      <c r="X212" s="566"/>
      <c r="Y212" s="566"/>
    </row>
    <row r="213" spans="1:25" x14ac:dyDescent="0.25">
      <c r="A213" t="s">
        <v>2600</v>
      </c>
      <c r="B213" s="566"/>
      <c r="C213" s="566"/>
      <c r="D213" s="566"/>
      <c r="E213" s="566"/>
      <c r="F213" s="566"/>
      <c r="G213" s="566"/>
      <c r="H213" s="566"/>
      <c r="I213" s="566"/>
      <c r="J213" s="566"/>
      <c r="K213" s="566"/>
      <c r="L213" s="566"/>
      <c r="M213" s="566"/>
      <c r="N213" s="566"/>
      <c r="O213" s="566"/>
      <c r="P213" s="566"/>
      <c r="Q213" s="566"/>
      <c r="R213" s="566"/>
      <c r="S213" s="566"/>
      <c r="T213" s="566"/>
      <c r="U213" s="566"/>
      <c r="V213" s="566"/>
      <c r="W213" s="566"/>
      <c r="X213" s="566"/>
      <c r="Y213" s="566"/>
    </row>
    <row r="214" spans="1:25" x14ac:dyDescent="0.25">
      <c r="A214" t="s">
        <v>2601</v>
      </c>
      <c r="B214" s="566"/>
      <c r="C214" s="566"/>
      <c r="D214" s="566"/>
      <c r="E214" s="566"/>
      <c r="F214" s="566"/>
      <c r="G214" s="566"/>
      <c r="H214" s="566"/>
      <c r="I214" s="566"/>
      <c r="J214" s="566"/>
      <c r="K214" s="566"/>
      <c r="L214" s="566"/>
      <c r="M214" s="566"/>
      <c r="N214" s="566"/>
      <c r="O214" s="566"/>
      <c r="P214" s="566"/>
      <c r="Q214" s="566"/>
      <c r="R214" s="566"/>
      <c r="S214" s="566"/>
      <c r="T214" s="566"/>
      <c r="U214" s="566"/>
      <c r="V214" s="566"/>
      <c r="W214" s="566"/>
      <c r="X214" s="566"/>
      <c r="Y214" s="566"/>
    </row>
    <row r="215" spans="1:25" x14ac:dyDescent="0.25">
      <c r="A215" t="s">
        <v>2602</v>
      </c>
      <c r="B215" s="566"/>
      <c r="C215" s="566"/>
      <c r="D215" s="566"/>
      <c r="E215" s="566"/>
      <c r="F215" s="566"/>
      <c r="G215" s="566"/>
      <c r="H215" s="566"/>
      <c r="I215" s="566"/>
      <c r="J215" s="566"/>
      <c r="K215" s="566"/>
      <c r="L215" s="566"/>
      <c r="M215" s="566"/>
      <c r="N215" s="566"/>
      <c r="O215" s="566"/>
      <c r="P215" s="566"/>
      <c r="Q215" s="566"/>
      <c r="R215" s="566"/>
      <c r="S215" s="566"/>
      <c r="T215" s="566"/>
      <c r="U215" s="566"/>
      <c r="V215" s="566"/>
      <c r="W215" s="566"/>
      <c r="X215" s="566"/>
      <c r="Y215" s="566"/>
    </row>
    <row r="216" spans="1:25" x14ac:dyDescent="0.25">
      <c r="A216" t="s">
        <v>2603</v>
      </c>
      <c r="B216" s="566"/>
      <c r="C216" s="566"/>
      <c r="D216" s="566"/>
      <c r="E216" s="566"/>
      <c r="F216" s="566"/>
      <c r="G216" s="566"/>
      <c r="H216" s="566"/>
      <c r="I216" s="566"/>
      <c r="J216" s="566"/>
      <c r="K216" s="566"/>
      <c r="L216" s="566"/>
      <c r="M216" s="566"/>
      <c r="N216" s="566"/>
      <c r="O216" s="566"/>
      <c r="P216" s="566"/>
      <c r="Q216" s="566"/>
      <c r="R216" s="566"/>
      <c r="S216" s="566"/>
      <c r="T216" s="566"/>
      <c r="U216" s="566"/>
      <c r="V216" s="566"/>
      <c r="W216" s="566"/>
      <c r="X216" s="566"/>
      <c r="Y216" s="566"/>
    </row>
    <row r="217" spans="1:25" x14ac:dyDescent="0.25">
      <c r="A217" t="s">
        <v>2130</v>
      </c>
      <c r="B217" s="566"/>
      <c r="C217" s="566"/>
      <c r="D217" s="566"/>
      <c r="E217" s="566"/>
      <c r="F217" s="566"/>
      <c r="G217" s="566"/>
      <c r="H217" s="566"/>
      <c r="I217" s="566"/>
      <c r="J217" s="566"/>
      <c r="K217" s="566"/>
      <c r="L217" s="566"/>
      <c r="M217" s="566"/>
      <c r="N217" s="566"/>
      <c r="O217" s="566"/>
      <c r="P217" s="566"/>
      <c r="Q217" s="566"/>
      <c r="R217" s="566"/>
      <c r="S217" s="566"/>
      <c r="T217" s="566"/>
      <c r="U217" s="566"/>
      <c r="V217" s="566"/>
      <c r="W217" s="566"/>
      <c r="X217" s="566"/>
      <c r="Y217" s="566"/>
    </row>
    <row r="218" spans="1:25" x14ac:dyDescent="0.25">
      <c r="A218" t="s">
        <v>2131</v>
      </c>
      <c r="B218" s="566"/>
      <c r="C218" s="566"/>
      <c r="D218" s="566"/>
      <c r="E218" s="566"/>
      <c r="F218" s="566"/>
      <c r="G218" s="566"/>
      <c r="H218" s="566"/>
      <c r="I218" s="566"/>
      <c r="J218" s="566"/>
      <c r="K218" s="566"/>
      <c r="L218" s="566"/>
      <c r="M218" s="566"/>
      <c r="N218" s="566"/>
      <c r="O218" s="566"/>
      <c r="P218" s="566"/>
      <c r="Q218" s="566"/>
      <c r="R218" s="566"/>
      <c r="S218" s="566"/>
      <c r="T218" s="566"/>
      <c r="U218" s="566"/>
      <c r="V218" s="566"/>
      <c r="W218" s="566"/>
      <c r="X218" s="566"/>
      <c r="Y218" s="566"/>
    </row>
    <row r="219" spans="1:25" x14ac:dyDescent="0.25">
      <c r="A219" t="s">
        <v>2111</v>
      </c>
      <c r="B219" s="566"/>
      <c r="C219" s="566"/>
      <c r="D219" s="566"/>
      <c r="E219" s="566"/>
      <c r="F219" s="566"/>
      <c r="G219" s="566"/>
      <c r="H219" s="566"/>
      <c r="I219" s="566"/>
      <c r="J219" s="566"/>
      <c r="K219" s="566"/>
      <c r="L219" s="566"/>
      <c r="M219" s="566"/>
      <c r="N219" s="566"/>
      <c r="O219" s="566"/>
      <c r="P219" s="566"/>
      <c r="Q219" s="566"/>
      <c r="R219" s="566"/>
      <c r="S219" s="566"/>
      <c r="T219" s="566"/>
      <c r="U219" s="566"/>
      <c r="V219" s="566"/>
      <c r="W219" s="566"/>
      <c r="X219" s="566"/>
      <c r="Y219" s="566"/>
    </row>
    <row r="220" spans="1:25" x14ac:dyDescent="0.25">
      <c r="A220" t="s">
        <v>2112</v>
      </c>
      <c r="B220" s="566"/>
      <c r="C220" s="566"/>
      <c r="D220" s="566"/>
      <c r="E220" s="566"/>
      <c r="F220" s="566"/>
      <c r="G220" s="566"/>
      <c r="H220" s="566"/>
      <c r="I220" s="566"/>
      <c r="J220" s="566"/>
      <c r="K220" s="566"/>
      <c r="L220" s="566"/>
      <c r="M220" s="566"/>
      <c r="N220" s="566"/>
      <c r="O220" s="566"/>
      <c r="P220" s="566"/>
      <c r="Q220" s="566"/>
      <c r="R220" s="566"/>
      <c r="S220" s="566"/>
      <c r="T220" s="566"/>
      <c r="U220" s="566"/>
      <c r="V220" s="566"/>
      <c r="W220" s="566"/>
      <c r="X220" s="566"/>
      <c r="Y220" s="566"/>
    </row>
    <row r="221" spans="1:25" x14ac:dyDescent="0.25">
      <c r="A221" t="s">
        <v>2113</v>
      </c>
      <c r="B221" s="566"/>
      <c r="C221" s="566"/>
      <c r="D221" s="566"/>
      <c r="E221" s="566"/>
      <c r="F221" s="566"/>
      <c r="G221" s="566"/>
      <c r="H221" s="566"/>
      <c r="I221" s="566"/>
      <c r="J221" s="566"/>
      <c r="K221" s="566"/>
      <c r="L221" s="566"/>
      <c r="M221" s="566"/>
      <c r="N221" s="566"/>
      <c r="O221" s="566"/>
      <c r="P221" s="566"/>
      <c r="Q221" s="566"/>
      <c r="R221" s="566"/>
      <c r="S221" s="566"/>
      <c r="T221" s="566"/>
      <c r="U221" s="566"/>
      <c r="V221" s="566"/>
      <c r="W221" s="566"/>
      <c r="X221" s="566"/>
      <c r="Y221" s="566"/>
    </row>
    <row r="222" spans="1:25" x14ac:dyDescent="0.25">
      <c r="A222" t="s">
        <v>490</v>
      </c>
      <c r="B222" s="566"/>
      <c r="C222" s="566"/>
      <c r="D222" s="566"/>
      <c r="E222" s="566"/>
      <c r="F222" s="566"/>
      <c r="G222" s="566"/>
      <c r="H222" s="566"/>
      <c r="I222" s="566"/>
      <c r="J222" s="566"/>
      <c r="K222" s="566"/>
      <c r="L222" s="566"/>
      <c r="M222" s="566"/>
      <c r="N222" s="566"/>
      <c r="O222" s="566"/>
      <c r="P222" s="566"/>
      <c r="Q222" s="566"/>
      <c r="R222" s="566"/>
      <c r="S222" s="566"/>
      <c r="T222" s="566"/>
      <c r="U222" s="566"/>
      <c r="V222" s="566"/>
      <c r="W222" s="566"/>
      <c r="X222" s="566"/>
      <c r="Y222" s="566"/>
    </row>
    <row r="223" spans="1:25" x14ac:dyDescent="0.25">
      <c r="B223" s="566"/>
      <c r="C223" s="566"/>
      <c r="D223" s="566"/>
      <c r="E223" s="566"/>
      <c r="F223" s="566"/>
      <c r="G223" s="566"/>
      <c r="H223" s="566"/>
      <c r="I223" s="566"/>
      <c r="J223" s="566"/>
      <c r="K223" s="566"/>
      <c r="L223" s="566"/>
      <c r="M223" s="566"/>
      <c r="N223" s="566"/>
      <c r="O223" s="566"/>
      <c r="P223" s="566"/>
      <c r="Q223" s="566"/>
      <c r="R223" s="566"/>
      <c r="S223" s="566"/>
      <c r="T223" s="566"/>
      <c r="U223" s="566"/>
      <c r="V223" s="566"/>
      <c r="W223" s="566"/>
      <c r="X223" s="566"/>
      <c r="Y223" s="566"/>
    </row>
    <row r="224" spans="1:25" x14ac:dyDescent="0.25">
      <c r="B224" s="566"/>
      <c r="C224" s="566"/>
      <c r="D224" s="566"/>
      <c r="E224" s="566"/>
      <c r="F224" s="566"/>
      <c r="G224" s="566"/>
      <c r="H224" s="566"/>
      <c r="I224" s="566"/>
      <c r="J224" s="566"/>
      <c r="K224" s="566"/>
      <c r="L224" s="566"/>
      <c r="M224" s="566"/>
      <c r="N224" s="566"/>
      <c r="O224" s="566"/>
      <c r="P224" s="566"/>
      <c r="Q224" s="566"/>
      <c r="R224" s="566"/>
      <c r="S224" s="566"/>
      <c r="T224" s="566"/>
      <c r="U224" s="566"/>
      <c r="V224" s="566"/>
      <c r="W224" s="566"/>
      <c r="X224" s="566"/>
      <c r="Y224" s="566"/>
    </row>
    <row r="225" spans="2:25" x14ac:dyDescent="0.25">
      <c r="B225" s="566"/>
      <c r="C225" s="566"/>
      <c r="D225" s="566"/>
      <c r="E225" s="566"/>
      <c r="F225" s="566"/>
      <c r="G225" s="566"/>
      <c r="H225" s="566"/>
      <c r="I225" s="566"/>
      <c r="J225" s="566"/>
      <c r="K225" s="566"/>
      <c r="L225" s="566"/>
      <c r="M225" s="566"/>
      <c r="N225" s="566"/>
      <c r="O225" s="566"/>
      <c r="P225" s="566"/>
      <c r="Q225" s="566"/>
      <c r="R225" s="566"/>
      <c r="S225" s="566"/>
      <c r="T225" s="566"/>
      <c r="U225" s="566"/>
      <c r="V225" s="566"/>
      <c r="W225" s="566"/>
      <c r="X225" s="566"/>
      <c r="Y225" s="566"/>
    </row>
    <row r="226" spans="2:25" x14ac:dyDescent="0.25">
      <c r="B226" s="566"/>
      <c r="C226" s="566"/>
      <c r="D226" s="566"/>
      <c r="E226" s="566"/>
      <c r="F226" s="566"/>
      <c r="G226" s="566"/>
      <c r="H226" s="566"/>
      <c r="I226" s="566"/>
      <c r="J226" s="566"/>
      <c r="K226" s="566"/>
      <c r="L226" s="566"/>
      <c r="M226" s="566"/>
      <c r="N226" s="566"/>
      <c r="O226" s="566"/>
      <c r="P226" s="566"/>
      <c r="Q226" s="566"/>
      <c r="R226" s="566"/>
      <c r="S226" s="566"/>
      <c r="T226" s="566"/>
      <c r="U226" s="566"/>
      <c r="V226" s="566"/>
      <c r="W226" s="566"/>
      <c r="X226" s="566"/>
      <c r="Y226" s="566"/>
    </row>
    <row r="227" spans="2:25" x14ac:dyDescent="0.25">
      <c r="B227" s="566"/>
      <c r="C227" s="566"/>
      <c r="D227" s="566"/>
      <c r="E227" s="566"/>
      <c r="F227" s="566"/>
      <c r="G227" s="566"/>
      <c r="H227" s="566"/>
      <c r="I227" s="566"/>
      <c r="J227" s="566"/>
      <c r="K227" s="566"/>
      <c r="L227" s="566"/>
      <c r="M227" s="566"/>
      <c r="N227" s="566"/>
      <c r="O227" s="566"/>
      <c r="P227" s="566"/>
      <c r="Q227" s="566"/>
      <c r="R227" s="566"/>
      <c r="S227" s="566"/>
      <c r="T227" s="566"/>
      <c r="U227" s="566"/>
      <c r="V227" s="566"/>
      <c r="W227" s="566"/>
      <c r="X227" s="566"/>
      <c r="Y227" s="566"/>
    </row>
    <row r="228" spans="2:25" x14ac:dyDescent="0.25">
      <c r="B228" s="566"/>
      <c r="C228" s="566"/>
      <c r="D228" s="566"/>
      <c r="E228" s="566"/>
      <c r="F228" s="566"/>
      <c r="G228" s="566"/>
      <c r="H228" s="566"/>
      <c r="I228" s="566"/>
      <c r="J228" s="566"/>
      <c r="K228" s="566"/>
      <c r="L228" s="566"/>
      <c r="M228" s="566"/>
      <c r="N228" s="566"/>
      <c r="O228" s="566"/>
      <c r="P228" s="566"/>
      <c r="Q228" s="566"/>
      <c r="R228" s="566"/>
      <c r="S228" s="566"/>
      <c r="T228" s="566"/>
      <c r="U228" s="566"/>
      <c r="V228" s="566"/>
      <c r="W228" s="566"/>
      <c r="X228" s="566"/>
      <c r="Y228" s="566"/>
    </row>
    <row r="229" spans="2:25" x14ac:dyDescent="0.25">
      <c r="B229" s="566"/>
      <c r="C229" s="566"/>
      <c r="D229" s="566"/>
      <c r="E229" s="566"/>
      <c r="F229" s="566"/>
      <c r="G229" s="566"/>
      <c r="H229" s="566"/>
      <c r="I229" s="566"/>
      <c r="J229" s="566"/>
      <c r="K229" s="566"/>
      <c r="L229" s="566"/>
      <c r="M229" s="566"/>
      <c r="N229" s="566"/>
      <c r="O229" s="566"/>
      <c r="P229" s="566"/>
      <c r="Q229" s="566"/>
      <c r="R229" s="566"/>
      <c r="S229" s="566"/>
      <c r="T229" s="566"/>
      <c r="U229" s="566"/>
      <c r="V229" s="566"/>
      <c r="W229" s="566"/>
      <c r="X229" s="566"/>
      <c r="Y229" s="566"/>
    </row>
    <row r="230" spans="2:25" x14ac:dyDescent="0.25">
      <c r="B230" s="566"/>
      <c r="C230" s="566"/>
      <c r="D230" s="566"/>
      <c r="E230" s="566"/>
      <c r="F230" s="566"/>
      <c r="G230" s="566"/>
      <c r="H230" s="566"/>
      <c r="I230" s="566"/>
      <c r="J230" s="566"/>
      <c r="K230" s="566"/>
      <c r="L230" s="566"/>
      <c r="M230" s="566"/>
      <c r="N230" s="566"/>
      <c r="O230" s="566"/>
      <c r="P230" s="566"/>
      <c r="Q230" s="566"/>
      <c r="R230" s="566"/>
      <c r="S230" s="566"/>
      <c r="T230" s="566"/>
      <c r="U230" s="566"/>
      <c r="V230" s="566"/>
      <c r="W230" s="566"/>
      <c r="X230" s="566"/>
      <c r="Y230" s="566"/>
    </row>
    <row r="231" spans="2:25" x14ac:dyDescent="0.25">
      <c r="B231" s="566"/>
      <c r="C231" s="566"/>
      <c r="D231" s="566"/>
      <c r="E231" s="566"/>
      <c r="F231" s="566"/>
      <c r="G231" s="566"/>
      <c r="H231" s="566"/>
      <c r="I231" s="566"/>
      <c r="J231" s="566"/>
      <c r="K231" s="566"/>
      <c r="L231" s="566"/>
      <c r="M231" s="566"/>
      <c r="N231" s="566"/>
      <c r="O231" s="566"/>
      <c r="P231" s="566"/>
      <c r="Q231" s="566"/>
      <c r="R231" s="566"/>
      <c r="S231" s="566"/>
      <c r="T231" s="566"/>
      <c r="U231" s="566"/>
      <c r="V231" s="566"/>
      <c r="W231" s="566"/>
      <c r="X231" s="566"/>
      <c r="Y231" s="566"/>
    </row>
    <row r="232" spans="2:25" x14ac:dyDescent="0.25">
      <c r="B232" s="566"/>
      <c r="C232" s="566"/>
      <c r="D232" s="566"/>
      <c r="E232" s="566"/>
      <c r="F232" s="566"/>
      <c r="G232" s="566"/>
      <c r="H232" s="566"/>
      <c r="I232" s="566"/>
      <c r="J232" s="566"/>
      <c r="K232" s="566"/>
      <c r="L232" s="566"/>
      <c r="M232" s="566"/>
      <c r="N232" s="566"/>
      <c r="O232" s="566"/>
      <c r="P232" s="566"/>
      <c r="Q232" s="566"/>
      <c r="R232" s="566"/>
      <c r="S232" s="566"/>
      <c r="T232" s="566"/>
      <c r="U232" s="566"/>
      <c r="V232" s="566"/>
      <c r="W232" s="566"/>
      <c r="X232" s="566"/>
      <c r="Y232" s="566"/>
    </row>
    <row r="233" spans="2:25" x14ac:dyDescent="0.25">
      <c r="B233" s="566"/>
      <c r="C233" s="566"/>
      <c r="D233" s="566"/>
      <c r="E233" s="566"/>
      <c r="F233" s="566"/>
      <c r="G233" s="566"/>
      <c r="H233" s="566"/>
      <c r="I233" s="566"/>
      <c r="J233" s="566"/>
      <c r="K233" s="566"/>
      <c r="L233" s="566"/>
      <c r="M233" s="566"/>
      <c r="N233" s="566"/>
      <c r="O233" s="566"/>
      <c r="P233" s="566"/>
      <c r="Q233" s="566"/>
      <c r="R233" s="566"/>
      <c r="S233" s="566"/>
      <c r="T233" s="566"/>
      <c r="U233" s="566"/>
      <c r="V233" s="566"/>
      <c r="W233" s="566"/>
      <c r="X233" s="566"/>
      <c r="Y233" s="566"/>
    </row>
    <row r="234" spans="2:25" x14ac:dyDescent="0.25">
      <c r="B234" s="566"/>
      <c r="C234" s="566"/>
      <c r="D234" s="566"/>
      <c r="E234" s="566"/>
      <c r="F234" s="566"/>
      <c r="G234" s="566"/>
      <c r="H234" s="566"/>
      <c r="I234" s="566"/>
      <c r="J234" s="566"/>
      <c r="K234" s="566"/>
      <c r="L234" s="566"/>
      <c r="M234" s="566"/>
      <c r="N234" s="566"/>
      <c r="O234" s="566"/>
      <c r="P234" s="566"/>
      <c r="Q234" s="566"/>
      <c r="R234" s="566"/>
      <c r="S234" s="566"/>
      <c r="T234" s="566"/>
      <c r="U234" s="566"/>
      <c r="V234" s="566"/>
      <c r="W234" s="566"/>
      <c r="X234" s="566"/>
      <c r="Y234" s="566"/>
    </row>
    <row r="235" spans="2:25" x14ac:dyDescent="0.25">
      <c r="B235" s="566"/>
      <c r="C235" s="566"/>
      <c r="D235" s="566"/>
      <c r="E235" s="566"/>
      <c r="F235" s="566"/>
      <c r="G235" s="566"/>
      <c r="H235" s="566"/>
      <c r="I235" s="566"/>
      <c r="J235" s="566"/>
      <c r="K235" s="566"/>
      <c r="L235" s="566"/>
      <c r="M235" s="566"/>
      <c r="N235" s="566"/>
      <c r="O235" s="566"/>
      <c r="P235" s="566"/>
      <c r="Q235" s="566"/>
      <c r="R235" s="566"/>
      <c r="S235" s="566"/>
      <c r="T235" s="566"/>
      <c r="U235" s="566"/>
      <c r="V235" s="566"/>
      <c r="W235" s="566"/>
      <c r="X235" s="566"/>
      <c r="Y235" s="566"/>
    </row>
    <row r="236" spans="2:25" x14ac:dyDescent="0.25">
      <c r="B236" s="566"/>
      <c r="C236" s="566"/>
      <c r="D236" s="566"/>
      <c r="E236" s="566"/>
      <c r="F236" s="566"/>
      <c r="G236" s="566"/>
      <c r="H236" s="566"/>
      <c r="I236" s="566"/>
      <c r="J236" s="566"/>
      <c r="K236" s="566"/>
      <c r="L236" s="566"/>
      <c r="M236" s="566"/>
      <c r="N236" s="566"/>
      <c r="O236" s="566"/>
      <c r="P236" s="566"/>
      <c r="Q236" s="566"/>
      <c r="R236" s="566"/>
      <c r="S236" s="566"/>
      <c r="T236" s="566"/>
      <c r="U236" s="566"/>
      <c r="V236" s="566"/>
      <c r="W236" s="566"/>
      <c r="X236" s="566"/>
      <c r="Y236" s="566"/>
    </row>
    <row r="237" spans="2:25" x14ac:dyDescent="0.25">
      <c r="B237" s="566"/>
      <c r="C237" s="566"/>
      <c r="D237" s="566"/>
      <c r="E237" s="566"/>
      <c r="F237" s="566"/>
      <c r="G237" s="566"/>
      <c r="H237" s="566"/>
      <c r="I237" s="566"/>
      <c r="J237" s="566"/>
      <c r="K237" s="566"/>
      <c r="L237" s="566"/>
      <c r="M237" s="566"/>
      <c r="N237" s="566"/>
      <c r="O237" s="566"/>
      <c r="P237" s="566"/>
      <c r="Q237" s="566"/>
      <c r="R237" s="566"/>
      <c r="S237" s="566"/>
      <c r="T237" s="566"/>
      <c r="U237" s="566"/>
      <c r="V237" s="566"/>
      <c r="W237" s="566"/>
      <c r="X237" s="566"/>
      <c r="Y237" s="566"/>
    </row>
    <row r="238" spans="2:25" x14ac:dyDescent="0.25">
      <c r="B238" s="566"/>
      <c r="C238" s="566"/>
      <c r="D238" s="566"/>
      <c r="E238" s="566"/>
      <c r="F238" s="566"/>
      <c r="G238" s="566"/>
      <c r="H238" s="566"/>
      <c r="I238" s="566"/>
      <c r="J238" s="566"/>
      <c r="K238" s="566"/>
      <c r="L238" s="566"/>
      <c r="M238" s="566"/>
      <c r="N238" s="566"/>
      <c r="O238" s="566"/>
      <c r="P238" s="566"/>
      <c r="Q238" s="566"/>
      <c r="R238" s="566"/>
      <c r="S238" s="566"/>
      <c r="T238" s="566"/>
      <c r="U238" s="566"/>
      <c r="V238" s="566"/>
      <c r="W238" s="566"/>
      <c r="X238" s="566"/>
      <c r="Y238" s="566"/>
    </row>
    <row r="239" spans="2:25" x14ac:dyDescent="0.25">
      <c r="B239" s="566"/>
      <c r="C239" s="566"/>
      <c r="D239" s="566"/>
      <c r="E239" s="566"/>
      <c r="F239" s="566"/>
      <c r="G239" s="566"/>
      <c r="H239" s="566"/>
      <c r="I239" s="566"/>
      <c r="J239" s="566"/>
      <c r="K239" s="566"/>
      <c r="L239" s="566"/>
      <c r="M239" s="566"/>
      <c r="N239" s="566"/>
      <c r="O239" s="566"/>
      <c r="P239" s="566"/>
      <c r="Q239" s="566"/>
      <c r="R239" s="566"/>
      <c r="S239" s="566"/>
      <c r="T239" s="566"/>
      <c r="U239" s="566"/>
      <c r="V239" s="566"/>
      <c r="W239" s="566"/>
      <c r="X239" s="566"/>
      <c r="Y239" s="566"/>
    </row>
    <row r="240" spans="2:25" x14ac:dyDescent="0.25">
      <c r="B240" s="566"/>
      <c r="C240" s="566"/>
      <c r="D240" s="566"/>
      <c r="E240" s="566"/>
      <c r="F240" s="566"/>
      <c r="G240" s="566"/>
      <c r="H240" s="566"/>
      <c r="I240" s="566"/>
      <c r="J240" s="566"/>
      <c r="K240" s="566"/>
      <c r="L240" s="566"/>
      <c r="M240" s="566"/>
      <c r="N240" s="566"/>
      <c r="O240" s="566"/>
      <c r="P240" s="566"/>
      <c r="Q240" s="566"/>
      <c r="R240" s="566"/>
      <c r="S240" s="566"/>
      <c r="T240" s="566"/>
      <c r="U240" s="566"/>
      <c r="V240" s="566"/>
      <c r="W240" s="566"/>
      <c r="X240" s="566"/>
      <c r="Y240" s="566"/>
    </row>
    <row r="241" spans="2:25" x14ac:dyDescent="0.25">
      <c r="B241" s="566"/>
      <c r="C241" s="566"/>
      <c r="D241" s="566"/>
      <c r="E241" s="566"/>
      <c r="F241" s="566"/>
      <c r="G241" s="566"/>
      <c r="H241" s="566"/>
      <c r="I241" s="566"/>
      <c r="J241" s="566"/>
      <c r="K241" s="566"/>
      <c r="L241" s="566"/>
      <c r="M241" s="566"/>
      <c r="N241" s="566"/>
      <c r="O241" s="566"/>
      <c r="P241" s="566"/>
      <c r="Q241" s="566"/>
      <c r="R241" s="566"/>
      <c r="S241" s="566"/>
      <c r="T241" s="566"/>
      <c r="U241" s="566"/>
      <c r="V241" s="566"/>
      <c r="W241" s="566"/>
      <c r="X241" s="566"/>
      <c r="Y241" s="566"/>
    </row>
    <row r="242" spans="2:25" x14ac:dyDescent="0.25">
      <c r="B242" s="566"/>
      <c r="C242" s="566"/>
      <c r="D242" s="566"/>
      <c r="E242" s="566"/>
      <c r="F242" s="566"/>
      <c r="G242" s="566"/>
      <c r="H242" s="566"/>
      <c r="I242" s="566"/>
      <c r="J242" s="566"/>
      <c r="K242" s="566"/>
      <c r="L242" s="566"/>
      <c r="M242" s="566"/>
      <c r="N242" s="566"/>
      <c r="O242" s="566"/>
      <c r="P242" s="566"/>
      <c r="Q242" s="566"/>
      <c r="R242" s="566"/>
      <c r="S242" s="566"/>
      <c r="T242" s="566"/>
      <c r="U242" s="566"/>
      <c r="V242" s="566"/>
      <c r="W242" s="566"/>
      <c r="X242" s="566"/>
      <c r="Y242" s="566"/>
    </row>
    <row r="243" spans="2:25" x14ac:dyDescent="0.25">
      <c r="B243" s="566"/>
      <c r="C243" s="566"/>
      <c r="D243" s="566"/>
      <c r="E243" s="566"/>
      <c r="F243" s="566"/>
      <c r="G243" s="566"/>
      <c r="H243" s="566"/>
      <c r="I243" s="566"/>
      <c r="J243" s="566"/>
      <c r="K243" s="566"/>
      <c r="L243" s="566"/>
      <c r="M243" s="566"/>
      <c r="N243" s="566"/>
      <c r="O243" s="566"/>
      <c r="P243" s="566"/>
      <c r="Q243" s="566"/>
      <c r="R243" s="566"/>
      <c r="S243" s="566"/>
      <c r="T243" s="566"/>
      <c r="U243" s="566"/>
      <c r="V243" s="566"/>
      <c r="W243" s="566"/>
      <c r="X243" s="566"/>
      <c r="Y243" s="566"/>
    </row>
    <row r="244" spans="2:25" x14ac:dyDescent="0.25">
      <c r="B244" s="566"/>
      <c r="C244" s="566"/>
      <c r="D244" s="566"/>
      <c r="E244" s="566"/>
      <c r="F244" s="566"/>
      <c r="G244" s="566"/>
      <c r="H244" s="566"/>
      <c r="I244" s="566"/>
      <c r="J244" s="566"/>
      <c r="K244" s="566"/>
      <c r="L244" s="566"/>
      <c r="M244" s="566"/>
      <c r="N244" s="566"/>
      <c r="O244" s="566"/>
      <c r="P244" s="566"/>
      <c r="Q244" s="566"/>
      <c r="R244" s="566"/>
      <c r="S244" s="566"/>
      <c r="T244" s="566"/>
      <c r="U244" s="566"/>
      <c r="V244" s="566"/>
      <c r="W244" s="566"/>
      <c r="X244" s="566"/>
      <c r="Y244" s="566"/>
    </row>
    <row r="245" spans="2:25" x14ac:dyDescent="0.25">
      <c r="B245" s="566"/>
      <c r="C245" s="566"/>
      <c r="D245" s="566"/>
      <c r="E245" s="566"/>
      <c r="F245" s="566"/>
      <c r="G245" s="566"/>
      <c r="H245" s="566"/>
      <c r="I245" s="566"/>
      <c r="J245" s="566"/>
      <c r="K245" s="566"/>
      <c r="L245" s="566"/>
      <c r="M245" s="566"/>
      <c r="N245" s="566"/>
      <c r="O245" s="566"/>
      <c r="P245" s="566"/>
      <c r="Q245" s="566"/>
      <c r="R245" s="566"/>
      <c r="S245" s="566"/>
      <c r="T245" s="566"/>
      <c r="U245" s="566"/>
      <c r="V245" s="566"/>
      <c r="W245" s="566"/>
      <c r="X245" s="566"/>
      <c r="Y245" s="566"/>
    </row>
    <row r="246" spans="2:25" x14ac:dyDescent="0.25">
      <c r="B246" s="566"/>
      <c r="C246" s="566"/>
      <c r="D246" s="566"/>
      <c r="E246" s="566"/>
      <c r="F246" s="566"/>
      <c r="G246" s="566"/>
      <c r="H246" s="566"/>
      <c r="I246" s="566"/>
      <c r="J246" s="566"/>
      <c r="K246" s="566"/>
      <c r="L246" s="566"/>
      <c r="M246" s="566"/>
      <c r="N246" s="566"/>
      <c r="O246" s="566"/>
      <c r="P246" s="566"/>
      <c r="Q246" s="566"/>
      <c r="R246" s="566"/>
      <c r="S246" s="566"/>
      <c r="T246" s="566"/>
      <c r="U246" s="566"/>
      <c r="V246" s="566"/>
      <c r="W246" s="566"/>
      <c r="X246" s="566"/>
      <c r="Y246" s="566"/>
    </row>
    <row r="247" spans="2:25" x14ac:dyDescent="0.25">
      <c r="B247" s="566"/>
      <c r="C247" s="566"/>
      <c r="D247" s="566"/>
      <c r="E247" s="566"/>
      <c r="F247" s="566"/>
      <c r="G247" s="566"/>
      <c r="H247" s="566"/>
      <c r="I247" s="566"/>
      <c r="J247" s="566"/>
      <c r="K247" s="566"/>
      <c r="L247" s="566"/>
      <c r="M247" s="566"/>
      <c r="N247" s="566"/>
      <c r="O247" s="566"/>
      <c r="P247" s="566"/>
      <c r="Q247" s="566"/>
      <c r="R247" s="566"/>
      <c r="S247" s="566"/>
      <c r="T247" s="566"/>
      <c r="U247" s="566"/>
      <c r="V247" s="566"/>
      <c r="W247" s="566"/>
      <c r="X247" s="566"/>
      <c r="Y247" s="566"/>
    </row>
    <row r="248" spans="2:25" x14ac:dyDescent="0.25">
      <c r="B248" s="566"/>
      <c r="C248" s="566"/>
      <c r="D248" s="566"/>
      <c r="E248" s="566"/>
      <c r="F248" s="566"/>
      <c r="G248" s="566"/>
      <c r="H248" s="566"/>
      <c r="I248" s="566"/>
      <c r="J248" s="566"/>
      <c r="K248" s="566"/>
      <c r="L248" s="566"/>
      <c r="M248" s="566"/>
      <c r="N248" s="566"/>
      <c r="O248" s="566"/>
      <c r="P248" s="566"/>
      <c r="Q248" s="566"/>
      <c r="R248" s="566"/>
      <c r="S248" s="566"/>
      <c r="T248" s="566"/>
      <c r="U248" s="566"/>
      <c r="V248" s="566"/>
      <c r="W248" s="566"/>
      <c r="X248" s="566"/>
      <c r="Y248" s="566"/>
    </row>
    <row r="249" spans="2:25" x14ac:dyDescent="0.25">
      <c r="B249" s="566"/>
      <c r="C249" s="566"/>
      <c r="D249" s="566"/>
      <c r="E249" s="566"/>
      <c r="F249" s="566"/>
      <c r="G249" s="566"/>
      <c r="H249" s="566"/>
      <c r="I249" s="566"/>
      <c r="J249" s="566"/>
      <c r="K249" s="566"/>
      <c r="L249" s="566"/>
      <c r="M249" s="566"/>
      <c r="N249" s="566"/>
      <c r="O249" s="566"/>
      <c r="P249" s="566"/>
      <c r="Q249" s="566"/>
      <c r="R249" s="566"/>
      <c r="S249" s="566"/>
      <c r="T249" s="566"/>
      <c r="U249" s="566"/>
      <c r="V249" s="566"/>
      <c r="W249" s="566"/>
      <c r="X249" s="566"/>
      <c r="Y249" s="566"/>
    </row>
    <row r="250" spans="2:25" x14ac:dyDescent="0.25">
      <c r="B250" s="566"/>
      <c r="C250" s="566"/>
      <c r="D250" s="566"/>
      <c r="E250" s="566"/>
      <c r="F250" s="566"/>
      <c r="G250" s="566"/>
      <c r="H250" s="566"/>
      <c r="I250" s="566"/>
      <c r="J250" s="566"/>
      <c r="K250" s="566"/>
      <c r="L250" s="566"/>
      <c r="M250" s="566"/>
      <c r="N250" s="566"/>
      <c r="O250" s="566"/>
      <c r="P250" s="566"/>
      <c r="Q250" s="566"/>
      <c r="R250" s="566"/>
      <c r="S250" s="566"/>
      <c r="T250" s="566"/>
      <c r="U250" s="566"/>
      <c r="V250" s="566"/>
      <c r="W250" s="566"/>
      <c r="X250" s="566"/>
      <c r="Y250" s="566"/>
    </row>
    <row r="251" spans="2:25" x14ac:dyDescent="0.25">
      <c r="B251" s="566"/>
      <c r="C251" s="566"/>
      <c r="D251" s="566"/>
      <c r="E251" s="566"/>
      <c r="F251" s="566"/>
      <c r="G251" s="566"/>
      <c r="H251" s="566"/>
      <c r="I251" s="566"/>
      <c r="J251" s="566"/>
      <c r="K251" s="566"/>
      <c r="L251" s="566"/>
      <c r="M251" s="566"/>
      <c r="N251" s="566"/>
      <c r="O251" s="566"/>
      <c r="P251" s="566"/>
      <c r="Q251" s="566"/>
      <c r="R251" s="566"/>
      <c r="S251" s="566"/>
      <c r="T251" s="566"/>
      <c r="U251" s="566"/>
      <c r="V251" s="566"/>
      <c r="W251" s="566"/>
      <c r="X251" s="566"/>
      <c r="Y251" s="566"/>
    </row>
    <row r="252" spans="2:25" x14ac:dyDescent="0.25">
      <c r="B252" s="566"/>
      <c r="C252" s="566"/>
      <c r="D252" s="566"/>
      <c r="E252" s="566"/>
      <c r="F252" s="566"/>
      <c r="G252" s="566"/>
      <c r="H252" s="566"/>
      <c r="I252" s="566"/>
      <c r="J252" s="566"/>
      <c r="K252" s="566"/>
      <c r="L252" s="566"/>
      <c r="M252" s="566"/>
      <c r="N252" s="566"/>
      <c r="O252" s="566"/>
      <c r="P252" s="566"/>
      <c r="Q252" s="566"/>
      <c r="R252" s="566"/>
      <c r="S252" s="566"/>
      <c r="T252" s="566"/>
      <c r="U252" s="566"/>
      <c r="V252" s="566"/>
      <c r="W252" s="566"/>
      <c r="X252" s="566"/>
      <c r="Y252" s="566"/>
    </row>
    <row r="253" spans="2:25" x14ac:dyDescent="0.25">
      <c r="B253" s="566"/>
      <c r="C253" s="566"/>
      <c r="D253" s="566"/>
      <c r="E253" s="566"/>
      <c r="F253" s="566"/>
      <c r="G253" s="566"/>
      <c r="H253" s="566"/>
      <c r="I253" s="566"/>
      <c r="J253" s="566"/>
      <c r="K253" s="566"/>
      <c r="L253" s="566"/>
      <c r="M253" s="566"/>
      <c r="N253" s="566"/>
      <c r="O253" s="566"/>
      <c r="P253" s="566"/>
      <c r="Q253" s="566"/>
      <c r="R253" s="566"/>
      <c r="S253" s="566"/>
      <c r="T253" s="566"/>
      <c r="U253" s="566"/>
      <c r="V253" s="566"/>
      <c r="W253" s="566"/>
      <c r="X253" s="566"/>
      <c r="Y253" s="566"/>
    </row>
    <row r="254" spans="2:25" x14ac:dyDescent="0.25">
      <c r="B254" s="566"/>
      <c r="C254" s="566"/>
      <c r="D254" s="566"/>
      <c r="E254" s="566"/>
      <c r="F254" s="566"/>
      <c r="G254" s="566"/>
      <c r="H254" s="566"/>
      <c r="I254" s="566"/>
      <c r="J254" s="566"/>
      <c r="K254" s="566"/>
      <c r="L254" s="566"/>
      <c r="M254" s="566"/>
      <c r="N254" s="566"/>
      <c r="O254" s="566"/>
      <c r="P254" s="566"/>
      <c r="Q254" s="566"/>
      <c r="R254" s="566"/>
      <c r="S254" s="566"/>
      <c r="T254" s="566"/>
      <c r="U254" s="566"/>
      <c r="V254" s="566"/>
      <c r="W254" s="566"/>
      <c r="X254" s="566"/>
      <c r="Y254" s="566"/>
    </row>
    <row r="255" spans="2:25" x14ac:dyDescent="0.25">
      <c r="B255" s="566"/>
      <c r="C255" s="566"/>
      <c r="D255" s="566"/>
      <c r="E255" s="566"/>
      <c r="F255" s="566"/>
      <c r="G255" s="566"/>
      <c r="H255" s="566"/>
      <c r="I255" s="566"/>
      <c r="J255" s="566"/>
      <c r="K255" s="566"/>
      <c r="L255" s="566"/>
      <c r="M255" s="566"/>
      <c r="N255" s="566"/>
      <c r="O255" s="566"/>
      <c r="P255" s="566"/>
      <c r="Q255" s="566"/>
      <c r="R255" s="566"/>
      <c r="S255" s="566"/>
      <c r="T255" s="566"/>
      <c r="U255" s="566"/>
      <c r="V255" s="566"/>
      <c r="W255" s="566"/>
      <c r="X255" s="566"/>
      <c r="Y255" s="566"/>
    </row>
    <row r="256" spans="2:25" x14ac:dyDescent="0.25">
      <c r="B256" s="566"/>
      <c r="C256" s="566"/>
      <c r="D256" s="566"/>
      <c r="E256" s="566"/>
      <c r="F256" s="566"/>
      <c r="G256" s="566"/>
      <c r="H256" s="566"/>
      <c r="I256" s="566"/>
      <c r="J256" s="566"/>
      <c r="K256" s="566"/>
      <c r="L256" s="566"/>
      <c r="M256" s="566"/>
      <c r="N256" s="566"/>
      <c r="O256" s="566"/>
      <c r="P256" s="566"/>
      <c r="Q256" s="566"/>
      <c r="R256" s="566"/>
      <c r="S256" s="566"/>
      <c r="T256" s="566"/>
      <c r="U256" s="566"/>
      <c r="V256" s="566"/>
      <c r="W256" s="566"/>
      <c r="X256" s="566"/>
      <c r="Y256" s="566"/>
    </row>
    <row r="257" spans="2:25" x14ac:dyDescent="0.25">
      <c r="B257" s="566"/>
      <c r="C257" s="566"/>
      <c r="D257" s="566"/>
      <c r="E257" s="566"/>
      <c r="F257" s="566"/>
      <c r="G257" s="566"/>
      <c r="H257" s="566"/>
      <c r="I257" s="566"/>
      <c r="J257" s="566"/>
      <c r="K257" s="566"/>
      <c r="L257" s="566"/>
      <c r="M257" s="566"/>
      <c r="N257" s="566"/>
      <c r="O257" s="566"/>
      <c r="P257" s="566"/>
      <c r="Q257" s="566"/>
      <c r="R257" s="566"/>
      <c r="S257" s="566"/>
      <c r="T257" s="566"/>
      <c r="U257" s="566"/>
      <c r="V257" s="566"/>
      <c r="W257" s="566"/>
      <c r="X257" s="566"/>
      <c r="Y257" s="566"/>
    </row>
    <row r="258" spans="2:25" x14ac:dyDescent="0.25">
      <c r="B258" s="566"/>
      <c r="C258" s="566"/>
      <c r="D258" s="566"/>
      <c r="E258" s="566"/>
      <c r="F258" s="566"/>
      <c r="G258" s="566"/>
      <c r="H258" s="566"/>
      <c r="I258" s="566"/>
      <c r="J258" s="566"/>
      <c r="K258" s="566"/>
      <c r="L258" s="566"/>
      <c r="M258" s="566"/>
      <c r="N258" s="566"/>
      <c r="O258" s="566"/>
      <c r="P258" s="566"/>
      <c r="Q258" s="566"/>
      <c r="R258" s="566"/>
      <c r="S258" s="566"/>
      <c r="T258" s="566"/>
      <c r="U258" s="566"/>
      <c r="V258" s="566"/>
      <c r="W258" s="566"/>
      <c r="X258" s="566"/>
      <c r="Y258" s="566"/>
    </row>
    <row r="259" spans="2:25" x14ac:dyDescent="0.25">
      <c r="B259" s="566"/>
      <c r="C259" s="566"/>
      <c r="D259" s="566"/>
      <c r="E259" s="566"/>
      <c r="F259" s="566"/>
      <c r="G259" s="566"/>
      <c r="H259" s="566"/>
      <c r="I259" s="566"/>
      <c r="J259" s="566"/>
      <c r="K259" s="566"/>
      <c r="L259" s="566"/>
      <c r="M259" s="566"/>
      <c r="N259" s="566"/>
      <c r="O259" s="566"/>
      <c r="P259" s="566"/>
      <c r="Q259" s="566"/>
      <c r="R259" s="566"/>
      <c r="S259" s="566"/>
      <c r="T259" s="566"/>
      <c r="U259" s="566"/>
      <c r="V259" s="566"/>
      <c r="W259" s="566"/>
      <c r="X259" s="566"/>
      <c r="Y259" s="566"/>
    </row>
    <row r="260" spans="2:25" x14ac:dyDescent="0.25">
      <c r="B260" s="566"/>
      <c r="C260" s="566"/>
      <c r="D260" s="566"/>
      <c r="E260" s="566"/>
      <c r="F260" s="566"/>
      <c r="G260" s="566"/>
      <c r="H260" s="566"/>
      <c r="I260" s="566"/>
      <c r="J260" s="566"/>
      <c r="K260" s="566"/>
      <c r="L260" s="566"/>
      <c r="M260" s="566"/>
      <c r="N260" s="566"/>
      <c r="O260" s="566"/>
      <c r="P260" s="566"/>
      <c r="Q260" s="566"/>
      <c r="R260" s="566"/>
      <c r="S260" s="566"/>
      <c r="T260" s="566"/>
      <c r="U260" s="566"/>
      <c r="V260" s="566"/>
      <c r="W260" s="566"/>
      <c r="X260" s="566"/>
      <c r="Y260" s="566"/>
    </row>
    <row r="261" spans="2:25" x14ac:dyDescent="0.25">
      <c r="B261" s="566"/>
      <c r="C261" s="566"/>
      <c r="D261" s="566"/>
      <c r="E261" s="566"/>
      <c r="F261" s="566"/>
      <c r="G261" s="566"/>
      <c r="H261" s="566"/>
      <c r="I261" s="566"/>
      <c r="J261" s="566"/>
      <c r="K261" s="566"/>
      <c r="L261" s="566"/>
      <c r="M261" s="566"/>
      <c r="N261" s="566"/>
      <c r="O261" s="566"/>
      <c r="P261" s="566"/>
      <c r="Q261" s="566"/>
      <c r="R261" s="566"/>
      <c r="S261" s="566"/>
      <c r="T261" s="566"/>
      <c r="U261" s="566"/>
      <c r="V261" s="566"/>
      <c r="W261" s="566"/>
      <c r="X261" s="566"/>
      <c r="Y261" s="566"/>
    </row>
    <row r="262" spans="2:25" x14ac:dyDescent="0.25">
      <c r="B262" s="566"/>
      <c r="C262" s="566"/>
      <c r="D262" s="566"/>
      <c r="E262" s="566"/>
      <c r="F262" s="566"/>
      <c r="G262" s="566"/>
      <c r="H262" s="566"/>
      <c r="I262" s="566"/>
      <c r="J262" s="566"/>
      <c r="K262" s="566"/>
      <c r="L262" s="566"/>
      <c r="M262" s="566"/>
      <c r="N262" s="566"/>
      <c r="O262" s="566"/>
      <c r="P262" s="566"/>
      <c r="Q262" s="566"/>
      <c r="R262" s="566"/>
      <c r="S262" s="566"/>
      <c r="T262" s="566"/>
      <c r="U262" s="566"/>
      <c r="V262" s="566"/>
      <c r="W262" s="566"/>
      <c r="X262" s="566"/>
      <c r="Y262" s="566"/>
    </row>
    <row r="263" spans="2:25" x14ac:dyDescent="0.25">
      <c r="B263" s="566"/>
      <c r="C263" s="566"/>
      <c r="D263" s="566"/>
      <c r="E263" s="566"/>
      <c r="F263" s="566"/>
      <c r="G263" s="566"/>
      <c r="H263" s="566"/>
      <c r="I263" s="566"/>
      <c r="J263" s="566"/>
      <c r="K263" s="566"/>
      <c r="L263" s="566"/>
      <c r="M263" s="566"/>
      <c r="N263" s="566"/>
      <c r="O263" s="566"/>
      <c r="P263" s="566"/>
      <c r="Q263" s="566"/>
      <c r="R263" s="566"/>
      <c r="S263" s="566"/>
      <c r="T263" s="566"/>
      <c r="U263" s="566"/>
      <c r="V263" s="566"/>
      <c r="W263" s="566"/>
      <c r="X263" s="566"/>
      <c r="Y263" s="566"/>
    </row>
    <row r="264" spans="2:25" x14ac:dyDescent="0.25">
      <c r="B264" s="566"/>
      <c r="C264" s="566"/>
      <c r="D264" s="566"/>
      <c r="E264" s="566"/>
      <c r="F264" s="566"/>
      <c r="G264" s="566"/>
      <c r="H264" s="566"/>
      <c r="I264" s="566"/>
      <c r="J264" s="566"/>
      <c r="K264" s="566"/>
      <c r="L264" s="566"/>
      <c r="M264" s="566"/>
      <c r="N264" s="566"/>
      <c r="O264" s="566"/>
      <c r="P264" s="566"/>
      <c r="Q264" s="566"/>
      <c r="R264" s="566"/>
      <c r="S264" s="566"/>
      <c r="T264" s="566"/>
      <c r="U264" s="566"/>
      <c r="V264" s="566"/>
      <c r="W264" s="566"/>
      <c r="X264" s="566"/>
      <c r="Y264" s="566"/>
    </row>
    <row r="265" spans="2:25" x14ac:dyDescent="0.25">
      <c r="B265" s="566"/>
      <c r="C265" s="566"/>
      <c r="D265" s="566"/>
      <c r="E265" s="566"/>
      <c r="F265" s="566"/>
      <c r="G265" s="566"/>
      <c r="H265" s="566"/>
      <c r="I265" s="566"/>
      <c r="J265" s="566"/>
      <c r="K265" s="566"/>
      <c r="L265" s="566"/>
      <c r="M265" s="566"/>
      <c r="N265" s="566"/>
      <c r="O265" s="566"/>
      <c r="P265" s="566"/>
      <c r="Q265" s="566"/>
      <c r="R265" s="566"/>
      <c r="S265" s="566"/>
      <c r="T265" s="566"/>
      <c r="U265" s="566"/>
      <c r="V265" s="566"/>
      <c r="W265" s="566"/>
      <c r="X265" s="566"/>
      <c r="Y265" s="566"/>
    </row>
    <row r="266" spans="2:25" x14ac:dyDescent="0.25">
      <c r="B266" s="566"/>
      <c r="C266" s="566"/>
      <c r="D266" s="566"/>
      <c r="E266" s="566"/>
      <c r="F266" s="566"/>
      <c r="G266" s="566"/>
      <c r="H266" s="566"/>
      <c r="I266" s="566"/>
      <c r="J266" s="566"/>
      <c r="K266" s="566"/>
      <c r="L266" s="566"/>
      <c r="M266" s="566"/>
      <c r="N266" s="566"/>
      <c r="O266" s="566"/>
      <c r="P266" s="566"/>
      <c r="Q266" s="566"/>
      <c r="R266" s="566"/>
      <c r="S266" s="566"/>
      <c r="T266" s="566"/>
      <c r="U266" s="566"/>
      <c r="V266" s="566"/>
      <c r="W266" s="566"/>
      <c r="X266" s="566"/>
      <c r="Y266" s="566"/>
    </row>
    <row r="267" spans="2:25" x14ac:dyDescent="0.25">
      <c r="B267" s="566"/>
      <c r="C267" s="566"/>
      <c r="D267" s="566"/>
      <c r="E267" s="566"/>
      <c r="F267" s="566"/>
      <c r="G267" s="566"/>
      <c r="H267" s="566"/>
      <c r="I267" s="566"/>
      <c r="J267" s="566"/>
      <c r="K267" s="566"/>
      <c r="L267" s="566"/>
      <c r="M267" s="566"/>
      <c r="N267" s="566"/>
      <c r="O267" s="566"/>
      <c r="P267" s="566"/>
      <c r="Q267" s="566"/>
      <c r="R267" s="566"/>
      <c r="S267" s="566"/>
      <c r="T267" s="566"/>
      <c r="U267" s="566"/>
      <c r="V267" s="566"/>
      <c r="W267" s="566"/>
      <c r="X267" s="566"/>
      <c r="Y267" s="566"/>
    </row>
    <row r="268" spans="2:25" x14ac:dyDescent="0.25">
      <c r="B268" s="566"/>
      <c r="C268" s="566"/>
      <c r="D268" s="566"/>
      <c r="E268" s="566"/>
      <c r="F268" s="566"/>
      <c r="G268" s="566"/>
      <c r="H268" s="566"/>
      <c r="I268" s="566"/>
      <c r="J268" s="566"/>
      <c r="K268" s="566"/>
      <c r="L268" s="566"/>
      <c r="M268" s="566"/>
      <c r="N268" s="566"/>
      <c r="O268" s="566"/>
      <c r="P268" s="566"/>
      <c r="Q268" s="566"/>
      <c r="R268" s="566"/>
      <c r="S268" s="566"/>
      <c r="T268" s="566"/>
      <c r="U268" s="566"/>
      <c r="V268" s="566"/>
      <c r="W268" s="566"/>
      <c r="X268" s="566"/>
      <c r="Y268" s="566"/>
    </row>
    <row r="269" spans="2:25" x14ac:dyDescent="0.25">
      <c r="B269" s="566"/>
      <c r="C269" s="566"/>
      <c r="D269" s="566"/>
      <c r="E269" s="566"/>
      <c r="F269" s="566"/>
      <c r="G269" s="566"/>
      <c r="H269" s="566"/>
      <c r="I269" s="566"/>
      <c r="J269" s="566"/>
      <c r="K269" s="566"/>
      <c r="L269" s="566"/>
      <c r="M269" s="566"/>
      <c r="N269" s="566"/>
      <c r="O269" s="566"/>
      <c r="P269" s="566"/>
      <c r="Q269" s="566"/>
      <c r="R269" s="566"/>
      <c r="S269" s="566"/>
      <c r="T269" s="566"/>
      <c r="U269" s="566"/>
      <c r="V269" s="566"/>
      <c r="W269" s="566"/>
      <c r="X269" s="566"/>
      <c r="Y269" s="566"/>
    </row>
    <row r="270" spans="2:25" x14ac:dyDescent="0.25">
      <c r="B270" s="566"/>
      <c r="C270" s="566"/>
      <c r="D270" s="566"/>
      <c r="E270" s="566"/>
      <c r="F270" s="566"/>
      <c r="G270" s="566"/>
      <c r="H270" s="566"/>
      <c r="I270" s="566"/>
      <c r="J270" s="566"/>
      <c r="K270" s="566"/>
      <c r="L270" s="566"/>
      <c r="M270" s="566"/>
      <c r="N270" s="566"/>
      <c r="O270" s="566"/>
      <c r="P270" s="566"/>
      <c r="Q270" s="566"/>
      <c r="R270" s="566"/>
      <c r="S270" s="566"/>
      <c r="T270" s="566"/>
      <c r="U270" s="566"/>
      <c r="V270" s="566"/>
      <c r="W270" s="566"/>
      <c r="X270" s="566"/>
      <c r="Y270" s="566"/>
    </row>
    <row r="271" spans="2:25" x14ac:dyDescent="0.25">
      <c r="B271" s="566"/>
      <c r="C271" s="566"/>
      <c r="D271" s="566"/>
      <c r="E271" s="566"/>
      <c r="F271" s="566"/>
      <c r="G271" s="566"/>
      <c r="H271" s="566"/>
      <c r="I271" s="566"/>
      <c r="J271" s="566"/>
      <c r="K271" s="566"/>
      <c r="L271" s="566"/>
      <c r="M271" s="566"/>
      <c r="N271" s="566"/>
      <c r="O271" s="566"/>
      <c r="P271" s="566"/>
      <c r="Q271" s="566"/>
      <c r="R271" s="566"/>
      <c r="S271" s="566"/>
      <c r="T271" s="566"/>
      <c r="U271" s="566"/>
      <c r="V271" s="566"/>
      <c r="W271" s="566"/>
      <c r="X271" s="566"/>
      <c r="Y271" s="566"/>
    </row>
    <row r="272" spans="2:25" x14ac:dyDescent="0.25">
      <c r="B272" s="566"/>
      <c r="C272" s="566"/>
      <c r="D272" s="566"/>
      <c r="E272" s="566"/>
      <c r="F272" s="566"/>
      <c r="G272" s="566"/>
      <c r="H272" s="566"/>
      <c r="I272" s="566"/>
      <c r="J272" s="566"/>
      <c r="K272" s="566"/>
      <c r="L272" s="566"/>
      <c r="M272" s="566"/>
      <c r="N272" s="566"/>
      <c r="O272" s="566"/>
      <c r="P272" s="566"/>
      <c r="Q272" s="566"/>
      <c r="R272" s="566"/>
      <c r="S272" s="566"/>
      <c r="T272" s="566"/>
      <c r="U272" s="566"/>
      <c r="V272" s="566"/>
      <c r="W272" s="566"/>
      <c r="X272" s="566"/>
      <c r="Y272" s="566"/>
    </row>
    <row r="273" spans="2:25" x14ac:dyDescent="0.25">
      <c r="B273" s="566"/>
      <c r="C273" s="566"/>
      <c r="D273" s="566"/>
      <c r="E273" s="566"/>
      <c r="F273" s="566"/>
      <c r="G273" s="566"/>
      <c r="H273" s="566"/>
      <c r="I273" s="566"/>
      <c r="J273" s="566"/>
      <c r="K273" s="566"/>
      <c r="L273" s="566"/>
      <c r="M273" s="566"/>
      <c r="N273" s="566"/>
      <c r="O273" s="566"/>
      <c r="P273" s="566"/>
      <c r="Q273" s="566"/>
      <c r="R273" s="566"/>
      <c r="S273" s="566"/>
      <c r="T273" s="566"/>
      <c r="U273" s="566"/>
      <c r="V273" s="566"/>
      <c r="W273" s="566"/>
      <c r="X273" s="566"/>
      <c r="Y273" s="566"/>
    </row>
    <row r="274" spans="2:25" x14ac:dyDescent="0.25">
      <c r="B274" s="566"/>
      <c r="C274" s="566"/>
      <c r="D274" s="566"/>
      <c r="E274" s="566"/>
      <c r="F274" s="566"/>
      <c r="G274" s="566"/>
      <c r="H274" s="566"/>
      <c r="I274" s="566"/>
      <c r="J274" s="566"/>
      <c r="K274" s="566"/>
      <c r="L274" s="566"/>
      <c r="M274" s="566"/>
      <c r="N274" s="566"/>
      <c r="O274" s="566"/>
      <c r="P274" s="566"/>
      <c r="Q274" s="566"/>
      <c r="R274" s="566"/>
      <c r="S274" s="566"/>
      <c r="T274" s="566"/>
      <c r="U274" s="566"/>
      <c r="V274" s="566"/>
      <c r="W274" s="566"/>
      <c r="X274" s="566"/>
      <c r="Y274" s="566"/>
    </row>
    <row r="275" spans="2:25" x14ac:dyDescent="0.25">
      <c r="B275" s="566"/>
      <c r="C275" s="566"/>
      <c r="D275" s="566"/>
      <c r="E275" s="566"/>
      <c r="F275" s="566"/>
      <c r="G275" s="566"/>
      <c r="H275" s="566"/>
      <c r="I275" s="566"/>
      <c r="J275" s="566"/>
      <c r="K275" s="566"/>
      <c r="L275" s="566"/>
      <c r="M275" s="566"/>
      <c r="N275" s="566"/>
      <c r="O275" s="566"/>
      <c r="P275" s="566"/>
      <c r="Q275" s="566"/>
      <c r="R275" s="566"/>
      <c r="S275" s="566"/>
      <c r="T275" s="566"/>
      <c r="U275" s="566"/>
      <c r="V275" s="566"/>
      <c r="W275" s="566"/>
      <c r="X275" s="566"/>
      <c r="Y275" s="566"/>
    </row>
    <row r="276" spans="2:25" x14ac:dyDescent="0.25">
      <c r="B276" s="566"/>
      <c r="C276" s="566"/>
      <c r="D276" s="566"/>
      <c r="E276" s="566"/>
      <c r="F276" s="566"/>
      <c r="G276" s="566"/>
      <c r="H276" s="566"/>
      <c r="I276" s="566"/>
      <c r="J276" s="566"/>
      <c r="K276" s="566"/>
      <c r="L276" s="566"/>
      <c r="M276" s="566"/>
      <c r="N276" s="566"/>
      <c r="O276" s="566"/>
      <c r="P276" s="566"/>
      <c r="Q276" s="566"/>
      <c r="R276" s="566"/>
      <c r="S276" s="566"/>
      <c r="T276" s="566"/>
      <c r="U276" s="566"/>
      <c r="V276" s="566"/>
      <c r="W276" s="566"/>
      <c r="X276" s="566"/>
      <c r="Y276" s="566"/>
    </row>
    <row r="277" spans="2:25" x14ac:dyDescent="0.25">
      <c r="B277" s="566"/>
      <c r="C277" s="566"/>
      <c r="D277" s="566"/>
      <c r="E277" s="566"/>
      <c r="F277" s="566"/>
      <c r="G277" s="566"/>
      <c r="H277" s="566"/>
      <c r="I277" s="566"/>
      <c r="J277" s="566"/>
      <c r="K277" s="566"/>
      <c r="L277" s="566"/>
      <c r="M277" s="566"/>
      <c r="N277" s="566"/>
      <c r="O277" s="566"/>
      <c r="P277" s="566"/>
      <c r="Q277" s="566"/>
      <c r="R277" s="566"/>
      <c r="S277" s="566"/>
      <c r="T277" s="566"/>
      <c r="U277" s="566"/>
      <c r="V277" s="566"/>
      <c r="W277" s="566"/>
      <c r="X277" s="566"/>
      <c r="Y277" s="566"/>
    </row>
    <row r="278" spans="2:25" x14ac:dyDescent="0.25">
      <c r="B278" s="566"/>
      <c r="C278" s="566"/>
      <c r="D278" s="566"/>
      <c r="E278" s="566"/>
      <c r="F278" s="566"/>
      <c r="G278" s="566"/>
      <c r="H278" s="566"/>
      <c r="I278" s="566"/>
      <c r="J278" s="566"/>
      <c r="K278" s="566"/>
      <c r="L278" s="566"/>
      <c r="M278" s="566"/>
      <c r="N278" s="566"/>
      <c r="O278" s="566"/>
      <c r="P278" s="566"/>
      <c r="Q278" s="566"/>
      <c r="R278" s="566"/>
      <c r="S278" s="566"/>
      <c r="T278" s="566"/>
      <c r="U278" s="566"/>
      <c r="V278" s="566"/>
      <c r="W278" s="566"/>
      <c r="X278" s="566"/>
      <c r="Y278" s="566"/>
    </row>
    <row r="279" spans="2:25" x14ac:dyDescent="0.25">
      <c r="B279" s="566"/>
      <c r="C279" s="566"/>
      <c r="D279" s="566"/>
      <c r="E279" s="566"/>
      <c r="F279" s="566"/>
      <c r="G279" s="566"/>
      <c r="H279" s="566"/>
      <c r="I279" s="566"/>
      <c r="J279" s="566"/>
      <c r="K279" s="566"/>
      <c r="L279" s="566"/>
      <c r="M279" s="566"/>
      <c r="N279" s="566"/>
      <c r="O279" s="566"/>
      <c r="P279" s="566"/>
      <c r="Q279" s="566"/>
      <c r="R279" s="566"/>
      <c r="S279" s="566"/>
      <c r="T279" s="566"/>
      <c r="U279" s="566"/>
      <c r="V279" s="566"/>
      <c r="W279" s="566"/>
      <c r="X279" s="566"/>
      <c r="Y279" s="566"/>
    </row>
    <row r="280" spans="2:25" x14ac:dyDescent="0.25">
      <c r="B280" s="566"/>
      <c r="C280" s="566"/>
      <c r="D280" s="566"/>
      <c r="E280" s="566"/>
      <c r="F280" s="566"/>
      <c r="G280" s="566"/>
      <c r="H280" s="566"/>
      <c r="I280" s="566"/>
      <c r="J280" s="566"/>
      <c r="K280" s="566"/>
      <c r="L280" s="566"/>
      <c r="M280" s="566"/>
      <c r="N280" s="566"/>
      <c r="O280" s="566"/>
      <c r="P280" s="566"/>
      <c r="Q280" s="566"/>
      <c r="R280" s="566"/>
      <c r="S280" s="566"/>
      <c r="T280" s="566"/>
      <c r="U280" s="566"/>
      <c r="V280" s="566"/>
      <c r="W280" s="566"/>
      <c r="X280" s="566"/>
      <c r="Y280" s="566"/>
    </row>
    <row r="281" spans="2:25" x14ac:dyDescent="0.25">
      <c r="B281" s="566"/>
      <c r="C281" s="566"/>
      <c r="D281" s="566"/>
      <c r="E281" s="566"/>
      <c r="F281" s="566"/>
      <c r="G281" s="566"/>
      <c r="H281" s="566"/>
      <c r="I281" s="566"/>
      <c r="J281" s="566"/>
      <c r="K281" s="566"/>
      <c r="L281" s="566"/>
      <c r="M281" s="566"/>
      <c r="N281" s="566"/>
      <c r="O281" s="566"/>
      <c r="P281" s="566"/>
      <c r="Q281" s="566"/>
      <c r="R281" s="566"/>
      <c r="S281" s="566"/>
      <c r="T281" s="566"/>
      <c r="U281" s="566"/>
      <c r="V281" s="566"/>
      <c r="W281" s="566"/>
      <c r="X281" s="566"/>
      <c r="Y281" s="566"/>
    </row>
    <row r="282" spans="2:25" x14ac:dyDescent="0.25">
      <c r="B282" s="566"/>
      <c r="C282" s="566"/>
      <c r="D282" s="566"/>
      <c r="E282" s="566"/>
      <c r="F282" s="566"/>
      <c r="G282" s="566"/>
      <c r="H282" s="566"/>
      <c r="I282" s="566"/>
      <c r="J282" s="566"/>
      <c r="K282" s="566"/>
      <c r="L282" s="566"/>
      <c r="M282" s="566"/>
      <c r="N282" s="566"/>
      <c r="O282" s="566"/>
      <c r="P282" s="566"/>
      <c r="Q282" s="566"/>
      <c r="R282" s="566"/>
      <c r="S282" s="566"/>
      <c r="T282" s="566"/>
      <c r="U282" s="566"/>
      <c r="V282" s="566"/>
      <c r="W282" s="566"/>
      <c r="X282" s="566"/>
      <c r="Y282" s="566"/>
    </row>
    <row r="283" spans="2:25" x14ac:dyDescent="0.25">
      <c r="B283" s="566"/>
      <c r="C283" s="566"/>
      <c r="D283" s="566"/>
      <c r="E283" s="566"/>
      <c r="F283" s="566"/>
      <c r="G283" s="566"/>
      <c r="H283" s="566"/>
      <c r="I283" s="566"/>
      <c r="J283" s="566"/>
      <c r="K283" s="566"/>
      <c r="L283" s="566"/>
      <c r="M283" s="566"/>
      <c r="N283" s="566"/>
      <c r="O283" s="566"/>
      <c r="P283" s="566"/>
      <c r="Q283" s="566"/>
      <c r="R283" s="566"/>
      <c r="S283" s="566"/>
      <c r="T283" s="566"/>
      <c r="U283" s="566"/>
      <c r="V283" s="566"/>
      <c r="W283" s="566"/>
      <c r="X283" s="566"/>
      <c r="Y283" s="566"/>
    </row>
    <row r="284" spans="2:25" x14ac:dyDescent="0.25">
      <c r="B284" s="566"/>
      <c r="C284" s="566"/>
      <c r="D284" s="566"/>
      <c r="E284" s="566"/>
      <c r="F284" s="566"/>
      <c r="G284" s="566"/>
      <c r="H284" s="566"/>
      <c r="I284" s="566"/>
      <c r="J284" s="566"/>
      <c r="K284" s="566"/>
      <c r="L284" s="566"/>
      <c r="M284" s="566"/>
      <c r="N284" s="566"/>
      <c r="O284" s="566"/>
      <c r="P284" s="566"/>
      <c r="Q284" s="566"/>
      <c r="R284" s="566"/>
      <c r="S284" s="566"/>
      <c r="T284" s="566"/>
      <c r="U284" s="566"/>
      <c r="V284" s="566"/>
      <c r="W284" s="566"/>
      <c r="X284" s="566"/>
      <c r="Y284" s="566"/>
    </row>
    <row r="285" spans="2:25" x14ac:dyDescent="0.25">
      <c r="B285" s="566"/>
      <c r="C285" s="566"/>
      <c r="D285" s="566"/>
      <c r="E285" s="566"/>
      <c r="F285" s="566"/>
      <c r="G285" s="566"/>
      <c r="H285" s="566"/>
      <c r="I285" s="566"/>
      <c r="J285" s="566"/>
      <c r="K285" s="566"/>
      <c r="L285" s="566"/>
      <c r="M285" s="566"/>
      <c r="N285" s="566"/>
      <c r="O285" s="566"/>
      <c r="P285" s="566"/>
      <c r="Q285" s="566"/>
      <c r="R285" s="566"/>
      <c r="S285" s="566"/>
      <c r="T285" s="566"/>
      <c r="U285" s="566"/>
      <c r="V285" s="566"/>
      <c r="W285" s="566"/>
      <c r="X285" s="566"/>
      <c r="Y285" s="566"/>
    </row>
    <row r="286" spans="2:25" x14ac:dyDescent="0.25">
      <c r="B286" s="566"/>
      <c r="C286" s="566"/>
      <c r="D286" s="566"/>
      <c r="E286" s="566"/>
      <c r="F286" s="566"/>
      <c r="G286" s="566"/>
      <c r="H286" s="566"/>
      <c r="I286" s="566"/>
      <c r="J286" s="566"/>
      <c r="K286" s="566"/>
      <c r="L286" s="566"/>
      <c r="M286" s="566"/>
      <c r="N286" s="566"/>
      <c r="O286" s="566"/>
      <c r="P286" s="566"/>
      <c r="Q286" s="566"/>
      <c r="R286" s="566"/>
      <c r="S286" s="566"/>
      <c r="T286" s="566"/>
      <c r="U286" s="566"/>
      <c r="V286" s="566"/>
      <c r="W286" s="566"/>
      <c r="X286" s="566"/>
      <c r="Y286" s="566"/>
    </row>
    <row r="287" spans="2:25" x14ac:dyDescent="0.25">
      <c r="B287" s="566"/>
      <c r="C287" s="566"/>
      <c r="D287" s="566"/>
      <c r="E287" s="566"/>
      <c r="F287" s="566"/>
      <c r="G287" s="566"/>
      <c r="H287" s="566"/>
      <c r="I287" s="566"/>
      <c r="J287" s="566"/>
      <c r="K287" s="566"/>
      <c r="L287" s="566"/>
      <c r="M287" s="566"/>
      <c r="N287" s="566"/>
      <c r="O287" s="566"/>
      <c r="P287" s="566"/>
      <c r="Q287" s="566"/>
      <c r="R287" s="566"/>
      <c r="S287" s="566"/>
      <c r="T287" s="566"/>
      <c r="U287" s="566"/>
      <c r="V287" s="566"/>
      <c r="W287" s="566"/>
      <c r="X287" s="566"/>
      <c r="Y287" s="566"/>
    </row>
    <row r="288" spans="2:25" x14ac:dyDescent="0.25">
      <c r="B288" s="566"/>
      <c r="C288" s="566"/>
      <c r="D288" s="566"/>
      <c r="E288" s="566"/>
      <c r="F288" s="566"/>
      <c r="G288" s="566"/>
      <c r="H288" s="566"/>
      <c r="I288" s="566"/>
      <c r="J288" s="566"/>
      <c r="K288" s="566"/>
      <c r="L288" s="566"/>
      <c r="M288" s="566"/>
      <c r="N288" s="566"/>
      <c r="O288" s="566"/>
      <c r="P288" s="566"/>
      <c r="Q288" s="566"/>
      <c r="R288" s="566"/>
      <c r="S288" s="566"/>
      <c r="T288" s="566"/>
      <c r="U288" s="566"/>
      <c r="V288" s="566"/>
      <c r="W288" s="566"/>
      <c r="X288" s="566"/>
      <c r="Y288" s="566"/>
    </row>
    <row r="289" spans="2:25" x14ac:dyDescent="0.25">
      <c r="B289" s="566"/>
      <c r="C289" s="566"/>
      <c r="D289" s="566"/>
      <c r="E289" s="566"/>
      <c r="F289" s="566"/>
      <c r="G289" s="566"/>
      <c r="H289" s="566"/>
      <c r="I289" s="566"/>
      <c r="J289" s="566"/>
      <c r="K289" s="566"/>
      <c r="L289" s="566"/>
      <c r="M289" s="566"/>
      <c r="N289" s="566"/>
      <c r="O289" s="566"/>
      <c r="P289" s="566"/>
      <c r="Q289" s="566"/>
      <c r="R289" s="566"/>
      <c r="S289" s="566"/>
      <c r="T289" s="566"/>
      <c r="U289" s="566"/>
      <c r="V289" s="566"/>
      <c r="W289" s="566"/>
      <c r="X289" s="566"/>
      <c r="Y289" s="566"/>
    </row>
    <row r="290" spans="2:25" x14ac:dyDescent="0.25">
      <c r="B290" s="566"/>
      <c r="C290" s="566"/>
      <c r="D290" s="566"/>
      <c r="E290" s="566"/>
      <c r="F290" s="566"/>
      <c r="G290" s="566"/>
      <c r="H290" s="566"/>
      <c r="I290" s="566"/>
      <c r="J290" s="566"/>
      <c r="K290" s="566"/>
      <c r="L290" s="566"/>
      <c r="M290" s="566"/>
      <c r="N290" s="566"/>
      <c r="O290" s="566"/>
      <c r="P290" s="566"/>
      <c r="Q290" s="566"/>
      <c r="R290" s="566"/>
      <c r="S290" s="566"/>
      <c r="T290" s="566"/>
      <c r="U290" s="566"/>
      <c r="V290" s="566"/>
      <c r="W290" s="566"/>
      <c r="X290" s="566"/>
      <c r="Y290" s="566"/>
    </row>
    <row r="291" spans="2:25" x14ac:dyDescent="0.25">
      <c r="B291" s="566"/>
      <c r="C291" s="566"/>
      <c r="D291" s="566"/>
      <c r="E291" s="566"/>
      <c r="F291" s="566"/>
      <c r="G291" s="566"/>
      <c r="H291" s="566"/>
      <c r="I291" s="566"/>
      <c r="J291" s="566"/>
      <c r="K291" s="566"/>
      <c r="L291" s="566"/>
      <c r="M291" s="566"/>
      <c r="N291" s="566"/>
      <c r="O291" s="566"/>
      <c r="P291" s="566"/>
      <c r="Q291" s="566"/>
      <c r="R291" s="566"/>
      <c r="S291" s="566"/>
      <c r="T291" s="566"/>
      <c r="U291" s="566"/>
      <c r="V291" s="566"/>
      <c r="W291" s="566"/>
      <c r="X291" s="566"/>
      <c r="Y291" s="566"/>
    </row>
    <row r="292" spans="2:25" x14ac:dyDescent="0.25">
      <c r="B292" s="566"/>
      <c r="C292" s="566"/>
      <c r="D292" s="566"/>
      <c r="E292" s="566"/>
      <c r="F292" s="566"/>
      <c r="G292" s="566"/>
      <c r="H292" s="566"/>
      <c r="I292" s="566"/>
      <c r="J292" s="566"/>
      <c r="K292" s="566"/>
      <c r="L292" s="566"/>
      <c r="M292" s="566"/>
      <c r="N292" s="566"/>
      <c r="O292" s="566"/>
      <c r="P292" s="566"/>
      <c r="Q292" s="566"/>
      <c r="R292" s="566"/>
      <c r="S292" s="566"/>
      <c r="T292" s="566"/>
      <c r="U292" s="566"/>
      <c r="V292" s="566"/>
      <c r="W292" s="566"/>
      <c r="X292" s="566"/>
      <c r="Y292" s="566"/>
    </row>
    <row r="293" spans="2:25" x14ac:dyDescent="0.25">
      <c r="B293" s="566"/>
      <c r="C293" s="566"/>
      <c r="D293" s="566"/>
      <c r="E293" s="566"/>
      <c r="F293" s="566"/>
      <c r="G293" s="566"/>
      <c r="H293" s="566"/>
      <c r="I293" s="566"/>
      <c r="J293" s="566"/>
      <c r="K293" s="566"/>
      <c r="L293" s="566"/>
      <c r="M293" s="566"/>
      <c r="N293" s="566"/>
      <c r="O293" s="566"/>
      <c r="P293" s="566"/>
      <c r="Q293" s="566"/>
      <c r="R293" s="566"/>
      <c r="S293" s="566"/>
      <c r="T293" s="566"/>
      <c r="U293" s="566"/>
      <c r="V293" s="566"/>
      <c r="W293" s="566"/>
      <c r="X293" s="566"/>
      <c r="Y293" s="566"/>
    </row>
    <row r="294" spans="2:25" x14ac:dyDescent="0.25">
      <c r="B294" s="566"/>
      <c r="C294" s="566"/>
      <c r="D294" s="566"/>
      <c r="E294" s="566"/>
      <c r="F294" s="566"/>
      <c r="G294" s="566"/>
      <c r="H294" s="566"/>
      <c r="I294" s="566"/>
      <c r="J294" s="566"/>
      <c r="K294" s="566"/>
      <c r="L294" s="566"/>
      <c r="M294" s="566"/>
      <c r="N294" s="566"/>
      <c r="O294" s="566"/>
      <c r="P294" s="566"/>
      <c r="Q294" s="566"/>
      <c r="R294" s="566"/>
      <c r="S294" s="566"/>
      <c r="T294" s="566"/>
      <c r="U294" s="566"/>
      <c r="V294" s="566"/>
      <c r="W294" s="566"/>
      <c r="X294" s="566"/>
      <c r="Y294" s="566"/>
    </row>
    <row r="295" spans="2:25" x14ac:dyDescent="0.25">
      <c r="B295" s="566"/>
      <c r="C295" s="566"/>
      <c r="D295" s="566"/>
      <c r="E295" s="566"/>
      <c r="F295" s="566"/>
      <c r="G295" s="566"/>
      <c r="H295" s="566"/>
      <c r="I295" s="566"/>
      <c r="J295" s="566"/>
      <c r="K295" s="566"/>
      <c r="L295" s="566"/>
      <c r="M295" s="566"/>
      <c r="N295" s="566"/>
      <c r="O295" s="566"/>
      <c r="P295" s="566"/>
      <c r="Q295" s="566"/>
      <c r="R295" s="566"/>
      <c r="S295" s="566"/>
      <c r="T295" s="566"/>
      <c r="U295" s="566"/>
      <c r="V295" s="566"/>
      <c r="W295" s="566"/>
      <c r="X295" s="566"/>
      <c r="Y295" s="566"/>
    </row>
    <row r="296" spans="2:25" x14ac:dyDescent="0.25">
      <c r="B296" s="566"/>
      <c r="C296" s="566"/>
      <c r="D296" s="566"/>
      <c r="E296" s="566"/>
      <c r="F296" s="566"/>
      <c r="G296" s="566"/>
      <c r="H296" s="566"/>
      <c r="I296" s="566"/>
      <c r="J296" s="566"/>
      <c r="K296" s="566"/>
      <c r="L296" s="566"/>
      <c r="M296" s="566"/>
      <c r="N296" s="566"/>
      <c r="O296" s="566"/>
      <c r="P296" s="566"/>
      <c r="Q296" s="566"/>
      <c r="R296" s="566"/>
      <c r="S296" s="566"/>
      <c r="T296" s="566"/>
      <c r="U296" s="566"/>
      <c r="V296" s="566"/>
      <c r="W296" s="566"/>
      <c r="X296" s="566"/>
      <c r="Y296" s="566"/>
    </row>
    <row r="297" spans="2:25" x14ac:dyDescent="0.25">
      <c r="B297" s="566"/>
      <c r="C297" s="566"/>
      <c r="D297" s="566"/>
      <c r="E297" s="566"/>
      <c r="F297" s="566"/>
      <c r="G297" s="566"/>
      <c r="H297" s="566"/>
      <c r="I297" s="566"/>
      <c r="J297" s="566"/>
      <c r="K297" s="566"/>
      <c r="L297" s="566"/>
      <c r="M297" s="566"/>
      <c r="N297" s="566"/>
      <c r="O297" s="566"/>
      <c r="P297" s="566"/>
      <c r="Q297" s="566"/>
      <c r="R297" s="566"/>
      <c r="S297" s="566"/>
      <c r="T297" s="566"/>
      <c r="U297" s="566"/>
      <c r="V297" s="566"/>
      <c r="W297" s="566"/>
      <c r="X297" s="566"/>
      <c r="Y297" s="566"/>
    </row>
    <row r="298" spans="2:25" x14ac:dyDescent="0.25">
      <c r="B298" s="566"/>
      <c r="C298" s="566"/>
      <c r="D298" s="566"/>
      <c r="E298" s="566"/>
      <c r="F298" s="566"/>
      <c r="G298" s="566"/>
      <c r="H298" s="566"/>
      <c r="I298" s="566"/>
      <c r="J298" s="566"/>
      <c r="K298" s="566"/>
      <c r="L298" s="566"/>
      <c r="M298" s="566"/>
      <c r="N298" s="566"/>
      <c r="O298" s="566"/>
      <c r="P298" s="566"/>
      <c r="Q298" s="566"/>
      <c r="R298" s="566"/>
      <c r="S298" s="566"/>
      <c r="T298" s="566"/>
      <c r="U298" s="566"/>
      <c r="V298" s="566"/>
      <c r="W298" s="566"/>
      <c r="X298" s="566"/>
      <c r="Y298" s="566"/>
    </row>
    <row r="299" spans="2:25" x14ac:dyDescent="0.25">
      <c r="B299" s="566"/>
      <c r="C299" s="566"/>
      <c r="D299" s="566"/>
      <c r="E299" s="566"/>
      <c r="F299" s="566"/>
      <c r="G299" s="566"/>
      <c r="H299" s="566"/>
      <c r="I299" s="566"/>
      <c r="J299" s="566"/>
      <c r="K299" s="566"/>
      <c r="L299" s="566"/>
      <c r="M299" s="566"/>
      <c r="N299" s="566"/>
      <c r="O299" s="566"/>
      <c r="P299" s="566"/>
      <c r="Q299" s="566"/>
      <c r="R299" s="566"/>
      <c r="S299" s="566"/>
      <c r="T299" s="566"/>
      <c r="U299" s="566"/>
      <c r="V299" s="566"/>
      <c r="W299" s="566"/>
      <c r="X299" s="566"/>
      <c r="Y299" s="566"/>
    </row>
    <row r="300" spans="2:25" x14ac:dyDescent="0.25">
      <c r="B300" s="566"/>
      <c r="C300" s="566"/>
      <c r="D300" s="566"/>
      <c r="E300" s="566"/>
      <c r="F300" s="566"/>
      <c r="G300" s="566"/>
      <c r="H300" s="566"/>
      <c r="I300" s="566"/>
      <c r="J300" s="566"/>
      <c r="K300" s="566"/>
      <c r="L300" s="566"/>
      <c r="M300" s="566"/>
      <c r="N300" s="566"/>
      <c r="O300" s="566"/>
      <c r="P300" s="566"/>
      <c r="Q300" s="566"/>
      <c r="R300" s="566"/>
      <c r="S300" s="566"/>
      <c r="T300" s="566"/>
      <c r="U300" s="566"/>
      <c r="V300" s="566"/>
      <c r="W300" s="566"/>
      <c r="X300" s="566"/>
      <c r="Y300" s="566"/>
    </row>
    <row r="301" spans="2:25" x14ac:dyDescent="0.25">
      <c r="B301" s="566"/>
      <c r="C301" s="566"/>
      <c r="D301" s="566"/>
      <c r="E301" s="566"/>
      <c r="F301" s="566"/>
      <c r="G301" s="566"/>
      <c r="H301" s="566"/>
      <c r="I301" s="566"/>
      <c r="J301" s="566"/>
      <c r="K301" s="566"/>
      <c r="L301" s="566"/>
      <c r="M301" s="566"/>
      <c r="N301" s="566"/>
      <c r="O301" s="566"/>
      <c r="P301" s="566"/>
      <c r="Q301" s="566"/>
      <c r="R301" s="566"/>
      <c r="S301" s="566"/>
      <c r="T301" s="566"/>
      <c r="U301" s="566"/>
      <c r="V301" s="566"/>
      <c r="W301" s="566"/>
      <c r="X301" s="566"/>
      <c r="Y301" s="566"/>
    </row>
    <row r="302" spans="2:25" x14ac:dyDescent="0.25">
      <c r="B302" s="566"/>
      <c r="C302" s="566"/>
      <c r="D302" s="566"/>
      <c r="E302" s="566"/>
      <c r="F302" s="566"/>
      <c r="G302" s="566"/>
      <c r="H302" s="566"/>
      <c r="I302" s="566"/>
      <c r="J302" s="566"/>
      <c r="K302" s="566"/>
      <c r="L302" s="566"/>
      <c r="M302" s="566"/>
      <c r="N302" s="566"/>
      <c r="O302" s="566"/>
      <c r="P302" s="566"/>
      <c r="Q302" s="566"/>
      <c r="R302" s="566"/>
      <c r="S302" s="566"/>
      <c r="T302" s="566"/>
      <c r="U302" s="566"/>
      <c r="V302" s="566"/>
      <c r="W302" s="566"/>
      <c r="X302" s="566"/>
      <c r="Y302" s="566"/>
    </row>
    <row r="303" spans="2:25" x14ac:dyDescent="0.25">
      <c r="B303" s="566"/>
      <c r="C303" s="566"/>
      <c r="D303" s="566"/>
      <c r="E303" s="566"/>
      <c r="F303" s="566"/>
      <c r="G303" s="566"/>
      <c r="H303" s="566"/>
      <c r="I303" s="566"/>
      <c r="J303" s="566"/>
      <c r="K303" s="566"/>
      <c r="L303" s="566"/>
      <c r="M303" s="566"/>
      <c r="N303" s="566"/>
      <c r="O303" s="566"/>
      <c r="P303" s="566"/>
      <c r="Q303" s="566"/>
      <c r="R303" s="566"/>
      <c r="S303" s="566"/>
      <c r="T303" s="566"/>
      <c r="U303" s="566"/>
      <c r="V303" s="566"/>
      <c r="W303" s="566"/>
      <c r="X303" s="566"/>
      <c r="Y303" s="566"/>
    </row>
    <row r="304" spans="2:25" x14ac:dyDescent="0.25">
      <c r="B304" s="566"/>
      <c r="C304" s="566"/>
      <c r="D304" s="566"/>
      <c r="E304" s="566"/>
      <c r="F304" s="566"/>
      <c r="G304" s="566"/>
      <c r="H304" s="566"/>
      <c r="I304" s="566"/>
      <c r="J304" s="566"/>
      <c r="K304" s="566"/>
      <c r="L304" s="566"/>
      <c r="M304" s="566"/>
      <c r="N304" s="566"/>
      <c r="O304" s="566"/>
      <c r="P304" s="566"/>
      <c r="Q304" s="566"/>
      <c r="R304" s="566"/>
      <c r="S304" s="566"/>
      <c r="T304" s="566"/>
      <c r="U304" s="566"/>
      <c r="V304" s="566"/>
      <c r="W304" s="566"/>
      <c r="X304" s="566"/>
      <c r="Y304" s="566"/>
    </row>
    <row r="305" spans="2:25" x14ac:dyDescent="0.25">
      <c r="B305" s="566"/>
      <c r="C305" s="566"/>
      <c r="D305" s="566"/>
      <c r="E305" s="566"/>
      <c r="F305" s="566"/>
      <c r="G305" s="566"/>
      <c r="H305" s="566"/>
      <c r="I305" s="566"/>
      <c r="J305" s="566"/>
      <c r="K305" s="566"/>
      <c r="L305" s="566"/>
      <c r="M305" s="566"/>
      <c r="N305" s="566"/>
      <c r="O305" s="566"/>
      <c r="P305" s="566"/>
      <c r="Q305" s="566"/>
      <c r="R305" s="566"/>
      <c r="S305" s="566"/>
      <c r="T305" s="566"/>
      <c r="U305" s="566"/>
      <c r="V305" s="566"/>
      <c r="W305" s="566"/>
      <c r="X305" s="566"/>
      <c r="Y305" s="566"/>
    </row>
    <row r="306" spans="2:25" x14ac:dyDescent="0.25">
      <c r="B306" s="566"/>
      <c r="C306" s="566"/>
      <c r="D306" s="566"/>
      <c r="E306" s="566"/>
      <c r="F306" s="566"/>
      <c r="G306" s="566"/>
      <c r="H306" s="566"/>
      <c r="I306" s="566"/>
      <c r="J306" s="566"/>
      <c r="K306" s="566"/>
      <c r="L306" s="566"/>
      <c r="M306" s="566"/>
      <c r="N306" s="566"/>
      <c r="O306" s="566"/>
      <c r="P306" s="566"/>
      <c r="Q306" s="566"/>
      <c r="R306" s="566"/>
      <c r="S306" s="566"/>
      <c r="T306" s="566"/>
      <c r="U306" s="566"/>
      <c r="V306" s="566"/>
      <c r="W306" s="566"/>
      <c r="X306" s="566"/>
      <c r="Y306" s="566"/>
    </row>
    <row r="307" spans="2:25" x14ac:dyDescent="0.25">
      <c r="B307" s="566"/>
      <c r="C307" s="566"/>
      <c r="D307" s="566"/>
      <c r="E307" s="566"/>
      <c r="F307" s="566"/>
      <c r="G307" s="566"/>
      <c r="H307" s="566"/>
      <c r="I307" s="566"/>
      <c r="J307" s="566"/>
      <c r="K307" s="566"/>
      <c r="L307" s="566"/>
      <c r="M307" s="566"/>
      <c r="N307" s="566"/>
      <c r="O307" s="566"/>
      <c r="P307" s="566"/>
      <c r="Q307" s="566"/>
      <c r="R307" s="566"/>
      <c r="S307" s="566"/>
      <c r="T307" s="566"/>
      <c r="U307" s="566"/>
      <c r="V307" s="566"/>
      <c r="W307" s="566"/>
      <c r="X307" s="566"/>
      <c r="Y307" s="566"/>
    </row>
    <row r="308" spans="2:25" x14ac:dyDescent="0.25">
      <c r="B308" s="566"/>
      <c r="C308" s="566"/>
      <c r="D308" s="566"/>
      <c r="E308" s="566"/>
      <c r="F308" s="566"/>
      <c r="G308" s="566"/>
      <c r="H308" s="566"/>
      <c r="I308" s="566"/>
      <c r="J308" s="566"/>
      <c r="K308" s="566"/>
      <c r="L308" s="566"/>
      <c r="M308" s="566"/>
      <c r="N308" s="566"/>
      <c r="O308" s="566"/>
      <c r="P308" s="566"/>
      <c r="Q308" s="566"/>
      <c r="R308" s="566"/>
      <c r="S308" s="566"/>
      <c r="T308" s="566"/>
      <c r="U308" s="566"/>
      <c r="V308" s="566"/>
      <c r="W308" s="566"/>
      <c r="X308" s="566"/>
      <c r="Y308" s="566"/>
    </row>
    <row r="309" spans="2:25" x14ac:dyDescent="0.25">
      <c r="B309" s="566"/>
      <c r="C309" s="566"/>
      <c r="D309" s="566"/>
      <c r="E309" s="566"/>
      <c r="F309" s="566"/>
      <c r="G309" s="566"/>
      <c r="H309" s="566"/>
      <c r="I309" s="566"/>
      <c r="J309" s="566"/>
      <c r="K309" s="566"/>
      <c r="L309" s="566"/>
      <c r="M309" s="566"/>
      <c r="N309" s="566"/>
      <c r="O309" s="566"/>
      <c r="P309" s="566"/>
      <c r="Q309" s="566"/>
      <c r="R309" s="566"/>
      <c r="S309" s="566"/>
      <c r="T309" s="566"/>
      <c r="U309" s="566"/>
      <c r="V309" s="566"/>
      <c r="W309" s="566"/>
      <c r="X309" s="566"/>
      <c r="Y309" s="566"/>
    </row>
    <row r="310" spans="2:25" x14ac:dyDescent="0.25">
      <c r="B310" s="566"/>
      <c r="C310" s="566"/>
      <c r="D310" s="566"/>
      <c r="E310" s="566"/>
      <c r="F310" s="566"/>
      <c r="G310" s="566"/>
      <c r="H310" s="566"/>
      <c r="I310" s="566"/>
      <c r="J310" s="566"/>
      <c r="K310" s="566"/>
      <c r="L310" s="566"/>
      <c r="M310" s="566"/>
      <c r="N310" s="566"/>
      <c r="O310" s="566"/>
      <c r="P310" s="566"/>
      <c r="Q310" s="566"/>
      <c r="R310" s="566"/>
      <c r="S310" s="566"/>
      <c r="T310" s="566"/>
      <c r="U310" s="566"/>
      <c r="V310" s="566"/>
      <c r="W310" s="566"/>
      <c r="X310" s="566"/>
      <c r="Y310" s="566"/>
    </row>
    <row r="311" spans="2:25" x14ac:dyDescent="0.25">
      <c r="B311" s="566"/>
      <c r="C311" s="566"/>
      <c r="D311" s="566"/>
      <c r="E311" s="566"/>
      <c r="F311" s="566"/>
      <c r="G311" s="566"/>
      <c r="H311" s="566"/>
      <c r="I311" s="566"/>
      <c r="J311" s="566"/>
      <c r="K311" s="566"/>
      <c r="L311" s="566"/>
      <c r="M311" s="566"/>
      <c r="N311" s="566"/>
      <c r="O311" s="566"/>
      <c r="P311" s="566"/>
      <c r="Q311" s="566"/>
      <c r="R311" s="566"/>
      <c r="S311" s="566"/>
      <c r="T311" s="566"/>
      <c r="U311" s="566"/>
      <c r="V311" s="566"/>
      <c r="W311" s="566"/>
      <c r="X311" s="566"/>
      <c r="Y311" s="566"/>
    </row>
    <row r="312" spans="2:25" x14ac:dyDescent="0.25">
      <c r="B312" s="566"/>
      <c r="C312" s="566"/>
      <c r="D312" s="566"/>
      <c r="E312" s="566"/>
      <c r="F312" s="566"/>
      <c r="G312" s="566"/>
      <c r="H312" s="566"/>
      <c r="I312" s="566"/>
      <c r="J312" s="566"/>
      <c r="K312" s="566"/>
      <c r="L312" s="566"/>
      <c r="M312" s="566"/>
      <c r="N312" s="566"/>
      <c r="O312" s="566"/>
      <c r="P312" s="566"/>
      <c r="Q312" s="566"/>
      <c r="R312" s="566"/>
      <c r="S312" s="566"/>
      <c r="T312" s="566"/>
      <c r="U312" s="566"/>
      <c r="V312" s="566"/>
      <c r="W312" s="566"/>
      <c r="X312" s="566"/>
      <c r="Y312" s="566"/>
    </row>
    <row r="313" spans="2:25" x14ac:dyDescent="0.25">
      <c r="B313" s="566"/>
      <c r="C313" s="566"/>
      <c r="D313" s="566"/>
      <c r="E313" s="566"/>
      <c r="F313" s="566"/>
      <c r="G313" s="566"/>
      <c r="H313" s="566"/>
      <c r="I313" s="566"/>
      <c r="J313" s="566"/>
      <c r="K313" s="566"/>
      <c r="L313" s="566"/>
      <c r="M313" s="566"/>
      <c r="N313" s="566"/>
      <c r="O313" s="566"/>
      <c r="P313" s="566"/>
      <c r="Q313" s="566"/>
      <c r="R313" s="566"/>
      <c r="S313" s="566"/>
      <c r="T313" s="566"/>
      <c r="U313" s="566"/>
      <c r="V313" s="566"/>
      <c r="W313" s="566"/>
      <c r="X313" s="566"/>
      <c r="Y313" s="566"/>
    </row>
    <row r="314" spans="2:25" x14ac:dyDescent="0.25">
      <c r="B314" s="566"/>
      <c r="C314" s="566"/>
      <c r="D314" s="566"/>
      <c r="E314" s="566"/>
      <c r="F314" s="566"/>
      <c r="G314" s="566"/>
      <c r="H314" s="566"/>
      <c r="I314" s="566"/>
      <c r="J314" s="566"/>
      <c r="K314" s="566"/>
      <c r="L314" s="566"/>
      <c r="M314" s="566"/>
      <c r="N314" s="566"/>
      <c r="O314" s="566"/>
      <c r="P314" s="566"/>
      <c r="Q314" s="566"/>
      <c r="R314" s="566"/>
      <c r="S314" s="566"/>
      <c r="T314" s="566"/>
      <c r="U314" s="566"/>
      <c r="V314" s="566"/>
      <c r="W314" s="566"/>
      <c r="X314" s="566"/>
      <c r="Y314" s="566"/>
    </row>
    <row r="315" spans="2:25" x14ac:dyDescent="0.25">
      <c r="B315" s="566"/>
      <c r="C315" s="566"/>
      <c r="D315" s="566"/>
      <c r="E315" s="566"/>
      <c r="F315" s="566"/>
      <c r="G315" s="566"/>
      <c r="H315" s="566"/>
      <c r="I315" s="566"/>
      <c r="J315" s="566"/>
      <c r="K315" s="566"/>
      <c r="L315" s="566"/>
      <c r="M315" s="566"/>
      <c r="N315" s="566"/>
      <c r="O315" s="566"/>
      <c r="P315" s="566"/>
      <c r="Q315" s="566"/>
      <c r="R315" s="566"/>
      <c r="S315" s="566"/>
      <c r="T315" s="566"/>
      <c r="U315" s="566"/>
      <c r="V315" s="566"/>
      <c r="W315" s="566"/>
      <c r="X315" s="566"/>
      <c r="Y315" s="566"/>
    </row>
    <row r="316" spans="2:25" x14ac:dyDescent="0.25">
      <c r="B316" s="566"/>
      <c r="C316" s="566"/>
      <c r="D316" s="566"/>
      <c r="E316" s="566"/>
      <c r="F316" s="566"/>
      <c r="G316" s="566"/>
      <c r="H316" s="566"/>
      <c r="I316" s="566"/>
      <c r="J316" s="566"/>
      <c r="K316" s="566"/>
      <c r="L316" s="566"/>
      <c r="M316" s="566"/>
      <c r="N316" s="566"/>
      <c r="O316" s="566"/>
      <c r="P316" s="566"/>
      <c r="Q316" s="566"/>
      <c r="R316" s="566"/>
      <c r="S316" s="566"/>
      <c r="T316" s="566"/>
      <c r="U316" s="566"/>
      <c r="V316" s="566"/>
      <c r="W316" s="566"/>
      <c r="X316" s="566"/>
      <c r="Y316" s="566"/>
    </row>
    <row r="317" spans="2:25" x14ac:dyDescent="0.25">
      <c r="B317" s="566"/>
      <c r="C317" s="566"/>
      <c r="D317" s="566"/>
      <c r="E317" s="566"/>
      <c r="F317" s="566"/>
      <c r="G317" s="566"/>
      <c r="H317" s="566"/>
      <c r="I317" s="566"/>
      <c r="J317" s="566"/>
      <c r="K317" s="566"/>
      <c r="L317" s="566"/>
      <c r="M317" s="566"/>
      <c r="N317" s="566"/>
      <c r="O317" s="566"/>
      <c r="P317" s="566"/>
      <c r="Q317" s="566"/>
      <c r="R317" s="566"/>
      <c r="S317" s="566"/>
      <c r="T317" s="566"/>
      <c r="U317" s="566"/>
      <c r="V317" s="566"/>
      <c r="W317" s="566"/>
      <c r="X317" s="566"/>
      <c r="Y317" s="566"/>
    </row>
    <row r="318" spans="2:25" x14ac:dyDescent="0.25">
      <c r="B318" s="566"/>
      <c r="C318" s="566"/>
      <c r="D318" s="566"/>
      <c r="E318" s="566"/>
      <c r="F318" s="566"/>
      <c r="G318" s="566"/>
      <c r="H318" s="566"/>
      <c r="I318" s="566"/>
      <c r="J318" s="566"/>
      <c r="K318" s="566"/>
      <c r="L318" s="566"/>
      <c r="M318" s="566"/>
      <c r="N318" s="566"/>
      <c r="O318" s="566"/>
      <c r="P318" s="566"/>
      <c r="Q318" s="566"/>
      <c r="R318" s="566"/>
      <c r="S318" s="566"/>
      <c r="T318" s="566"/>
      <c r="U318" s="566"/>
      <c r="V318" s="566"/>
      <c r="W318" s="566"/>
      <c r="X318" s="566"/>
      <c r="Y318" s="566"/>
    </row>
    <row r="319" spans="2:25" x14ac:dyDescent="0.25">
      <c r="B319" s="566"/>
      <c r="C319" s="566"/>
      <c r="D319" s="566"/>
      <c r="E319" s="566"/>
      <c r="F319" s="566"/>
      <c r="G319" s="566"/>
      <c r="H319" s="566"/>
      <c r="I319" s="566"/>
      <c r="J319" s="566"/>
      <c r="K319" s="566"/>
      <c r="L319" s="566"/>
      <c r="M319" s="566"/>
      <c r="N319" s="566"/>
      <c r="O319" s="566"/>
      <c r="P319" s="566"/>
      <c r="Q319" s="566"/>
      <c r="R319" s="566"/>
      <c r="S319" s="566"/>
      <c r="T319" s="566"/>
      <c r="U319" s="566"/>
      <c r="V319" s="566"/>
      <c r="W319" s="566"/>
      <c r="X319" s="566"/>
      <c r="Y319" s="566"/>
    </row>
    <row r="320" spans="2:25" x14ac:dyDescent="0.25">
      <c r="B320" s="566"/>
      <c r="C320" s="566"/>
      <c r="D320" s="566"/>
      <c r="E320" s="566"/>
      <c r="F320" s="566"/>
      <c r="G320" s="566"/>
      <c r="H320" s="566"/>
      <c r="I320" s="566"/>
      <c r="J320" s="566"/>
      <c r="K320" s="566"/>
      <c r="L320" s="566"/>
      <c r="M320" s="566"/>
      <c r="N320" s="566"/>
      <c r="O320" s="566"/>
      <c r="P320" s="566"/>
      <c r="Q320" s="566"/>
      <c r="R320" s="566"/>
      <c r="S320" s="566"/>
      <c r="T320" s="566"/>
      <c r="U320" s="566"/>
      <c r="V320" s="566"/>
      <c r="W320" s="566"/>
      <c r="X320" s="566"/>
      <c r="Y320" s="566"/>
    </row>
    <row r="321" spans="2:25" x14ac:dyDescent="0.25">
      <c r="B321" s="566"/>
      <c r="C321" s="566"/>
      <c r="D321" s="566"/>
      <c r="E321" s="566"/>
      <c r="F321" s="566"/>
      <c r="G321" s="566"/>
      <c r="H321" s="566"/>
      <c r="I321" s="566"/>
      <c r="J321" s="566"/>
      <c r="K321" s="566"/>
      <c r="L321" s="566"/>
      <c r="M321" s="566"/>
      <c r="N321" s="566"/>
      <c r="O321" s="566"/>
      <c r="P321" s="566"/>
      <c r="Q321" s="566"/>
      <c r="R321" s="566"/>
      <c r="S321" s="566"/>
      <c r="T321" s="566"/>
      <c r="U321" s="566"/>
      <c r="V321" s="566"/>
      <c r="W321" s="566"/>
      <c r="X321" s="566"/>
      <c r="Y321" s="566"/>
    </row>
    <row r="322" spans="2:25" x14ac:dyDescent="0.25">
      <c r="B322" s="566"/>
      <c r="C322" s="566"/>
      <c r="D322" s="566"/>
      <c r="E322" s="566"/>
      <c r="F322" s="566"/>
      <c r="G322" s="566"/>
      <c r="H322" s="566"/>
      <c r="I322" s="566"/>
      <c r="J322" s="566"/>
      <c r="K322" s="566"/>
      <c r="L322" s="566"/>
      <c r="M322" s="566"/>
      <c r="N322" s="566"/>
      <c r="O322" s="566"/>
      <c r="P322" s="566"/>
      <c r="Q322" s="566"/>
      <c r="R322" s="566"/>
      <c r="S322" s="566"/>
      <c r="T322" s="566"/>
      <c r="U322" s="566"/>
      <c r="V322" s="566"/>
      <c r="W322" s="566"/>
      <c r="X322" s="566"/>
      <c r="Y322" s="566"/>
    </row>
    <row r="323" spans="2:25" x14ac:dyDescent="0.25">
      <c r="B323" s="566"/>
      <c r="C323" s="566"/>
      <c r="D323" s="566"/>
      <c r="E323" s="566"/>
      <c r="F323" s="566"/>
      <c r="G323" s="566"/>
      <c r="H323" s="566"/>
      <c r="I323" s="566"/>
      <c r="J323" s="566"/>
      <c r="K323" s="566"/>
      <c r="L323" s="566"/>
      <c r="M323" s="566"/>
      <c r="N323" s="566"/>
      <c r="O323" s="566"/>
      <c r="P323" s="566"/>
      <c r="Q323" s="566"/>
      <c r="R323" s="566"/>
      <c r="S323" s="566"/>
      <c r="T323" s="566"/>
      <c r="U323" s="566"/>
      <c r="V323" s="566"/>
      <c r="W323" s="566"/>
      <c r="X323" s="566"/>
      <c r="Y323" s="566"/>
    </row>
    <row r="324" spans="2:25" x14ac:dyDescent="0.25">
      <c r="B324" s="566"/>
      <c r="C324" s="566"/>
      <c r="D324" s="566"/>
      <c r="E324" s="566"/>
      <c r="F324" s="566"/>
      <c r="G324" s="566"/>
      <c r="H324" s="566"/>
      <c r="I324" s="566"/>
      <c r="J324" s="566"/>
      <c r="K324" s="566"/>
      <c r="L324" s="566"/>
      <c r="M324" s="566"/>
      <c r="N324" s="566"/>
      <c r="O324" s="566"/>
      <c r="P324" s="566"/>
      <c r="Q324" s="566"/>
      <c r="R324" s="566"/>
      <c r="S324" s="566"/>
      <c r="T324" s="566"/>
      <c r="U324" s="566"/>
      <c r="V324" s="566"/>
      <c r="W324" s="566"/>
      <c r="X324" s="566"/>
      <c r="Y324" s="566"/>
    </row>
    <row r="325" spans="2:25" x14ac:dyDescent="0.25">
      <c r="B325" s="566"/>
      <c r="C325" s="566"/>
      <c r="D325" s="566"/>
      <c r="E325" s="566"/>
      <c r="F325" s="566"/>
      <c r="G325" s="566"/>
      <c r="H325" s="566"/>
      <c r="I325" s="566"/>
      <c r="J325" s="566"/>
      <c r="K325" s="566"/>
      <c r="L325" s="566"/>
      <c r="M325" s="566"/>
      <c r="N325" s="566"/>
      <c r="O325" s="566"/>
      <c r="P325" s="566"/>
      <c r="Q325" s="566"/>
      <c r="R325" s="566"/>
      <c r="S325" s="566"/>
      <c r="T325" s="566"/>
      <c r="U325" s="566"/>
      <c r="V325" s="566"/>
      <c r="W325" s="566"/>
      <c r="X325" s="566"/>
      <c r="Y325" s="566"/>
    </row>
    <row r="326" spans="2:25" x14ac:dyDescent="0.25">
      <c r="B326" s="566"/>
      <c r="C326" s="566"/>
      <c r="D326" s="566"/>
      <c r="E326" s="566"/>
      <c r="F326" s="566"/>
      <c r="G326" s="566"/>
      <c r="H326" s="566"/>
      <c r="I326" s="566"/>
      <c r="J326" s="566"/>
      <c r="K326" s="566"/>
      <c r="L326" s="566"/>
      <c r="M326" s="566"/>
      <c r="N326" s="566"/>
      <c r="O326" s="566"/>
      <c r="P326" s="566"/>
      <c r="Q326" s="566"/>
      <c r="R326" s="566"/>
      <c r="S326" s="566"/>
      <c r="T326" s="566"/>
      <c r="U326" s="566"/>
      <c r="V326" s="566"/>
      <c r="W326" s="566"/>
      <c r="X326" s="566"/>
      <c r="Y326" s="566"/>
    </row>
    <row r="327" spans="2:25" x14ac:dyDescent="0.25">
      <c r="B327" s="566"/>
      <c r="C327" s="566"/>
      <c r="D327" s="566"/>
      <c r="E327" s="566"/>
      <c r="F327" s="566"/>
      <c r="G327" s="566"/>
      <c r="H327" s="566"/>
      <c r="I327" s="566"/>
      <c r="J327" s="566"/>
      <c r="K327" s="566"/>
      <c r="L327" s="566"/>
      <c r="M327" s="566"/>
      <c r="N327" s="566"/>
      <c r="O327" s="566"/>
      <c r="P327" s="566"/>
      <c r="Q327" s="566"/>
      <c r="R327" s="566"/>
      <c r="S327" s="566"/>
      <c r="T327" s="566"/>
      <c r="U327" s="566"/>
      <c r="V327" s="566"/>
      <c r="W327" s="566"/>
      <c r="X327" s="566"/>
      <c r="Y327" s="566"/>
    </row>
    <row r="328" spans="2:25" x14ac:dyDescent="0.25">
      <c r="B328" s="566"/>
      <c r="C328" s="566"/>
      <c r="D328" s="566"/>
      <c r="E328" s="566"/>
      <c r="F328" s="566"/>
      <c r="G328" s="566"/>
      <c r="H328" s="566"/>
      <c r="I328" s="566"/>
      <c r="J328" s="566"/>
      <c r="K328" s="566"/>
      <c r="L328" s="566"/>
      <c r="M328" s="566"/>
      <c r="N328" s="566"/>
      <c r="O328" s="566"/>
      <c r="P328" s="566"/>
      <c r="Q328" s="566"/>
      <c r="R328" s="566"/>
      <c r="S328" s="566"/>
      <c r="T328" s="566"/>
      <c r="U328" s="566"/>
      <c r="V328" s="566"/>
      <c r="W328" s="566"/>
      <c r="X328" s="566"/>
      <c r="Y328" s="566"/>
    </row>
    <row r="329" spans="2:25" x14ac:dyDescent="0.25">
      <c r="B329" s="566"/>
      <c r="C329" s="566"/>
      <c r="D329" s="566"/>
      <c r="E329" s="566"/>
      <c r="F329" s="566"/>
      <c r="G329" s="566"/>
      <c r="H329" s="566"/>
      <c r="I329" s="566"/>
      <c r="J329" s="566"/>
      <c r="K329" s="566"/>
      <c r="L329" s="566"/>
      <c r="M329" s="566"/>
      <c r="N329" s="566"/>
      <c r="O329" s="566"/>
      <c r="P329" s="566"/>
      <c r="Q329" s="566"/>
      <c r="R329" s="566"/>
      <c r="S329" s="566"/>
      <c r="T329" s="566"/>
      <c r="U329" s="566"/>
      <c r="V329" s="566"/>
      <c r="W329" s="566"/>
      <c r="X329" s="566"/>
      <c r="Y329" s="566"/>
    </row>
    <row r="330" spans="2:25" x14ac:dyDescent="0.25">
      <c r="B330" s="566"/>
      <c r="C330" s="566"/>
      <c r="D330" s="566"/>
      <c r="E330" s="566"/>
      <c r="F330" s="566"/>
      <c r="G330" s="566"/>
      <c r="H330" s="566"/>
      <c r="I330" s="566"/>
      <c r="J330" s="566"/>
      <c r="K330" s="566"/>
      <c r="L330" s="566"/>
      <c r="M330" s="566"/>
      <c r="N330" s="566"/>
      <c r="O330" s="566"/>
      <c r="P330" s="566"/>
      <c r="Q330" s="566"/>
      <c r="R330" s="566"/>
      <c r="S330" s="566"/>
      <c r="T330" s="566"/>
      <c r="U330" s="566"/>
      <c r="V330" s="566"/>
      <c r="W330" s="566"/>
      <c r="X330" s="566"/>
      <c r="Y330" s="566"/>
    </row>
    <row r="331" spans="2:25" x14ac:dyDescent="0.25">
      <c r="B331" s="566"/>
      <c r="C331" s="566"/>
      <c r="D331" s="566"/>
      <c r="E331" s="566"/>
      <c r="F331" s="566"/>
      <c r="G331" s="566"/>
      <c r="H331" s="566"/>
      <c r="I331" s="566"/>
      <c r="J331" s="566"/>
      <c r="K331" s="566"/>
      <c r="L331" s="566"/>
      <c r="M331" s="566"/>
      <c r="N331" s="566"/>
      <c r="O331" s="566"/>
      <c r="P331" s="566"/>
      <c r="Q331" s="566"/>
      <c r="R331" s="566"/>
      <c r="S331" s="566"/>
      <c r="T331" s="566"/>
      <c r="U331" s="566"/>
      <c r="V331" s="566"/>
      <c r="W331" s="566"/>
      <c r="X331" s="566"/>
      <c r="Y331" s="566"/>
    </row>
    <row r="332" spans="2:25" x14ac:dyDescent="0.25">
      <c r="B332" s="566"/>
      <c r="C332" s="566"/>
      <c r="D332" s="566"/>
      <c r="E332" s="566"/>
      <c r="F332" s="566"/>
      <c r="G332" s="566"/>
      <c r="H332" s="566"/>
      <c r="I332" s="566"/>
      <c r="J332" s="566"/>
      <c r="K332" s="566"/>
      <c r="L332" s="566"/>
      <c r="M332" s="566"/>
      <c r="N332" s="566"/>
      <c r="O332" s="566"/>
      <c r="P332" s="566"/>
      <c r="Q332" s="566"/>
      <c r="R332" s="566"/>
      <c r="S332" s="566"/>
      <c r="T332" s="566"/>
      <c r="U332" s="566"/>
      <c r="V332" s="566"/>
      <c r="W332" s="566"/>
      <c r="X332" s="566"/>
      <c r="Y332" s="566"/>
    </row>
    <row r="333" spans="2:25" x14ac:dyDescent="0.25">
      <c r="B333" s="566"/>
      <c r="C333" s="566"/>
      <c r="D333" s="566"/>
      <c r="E333" s="566"/>
      <c r="F333" s="566"/>
      <c r="G333" s="566"/>
      <c r="H333" s="566"/>
      <c r="I333" s="566"/>
      <c r="J333" s="566"/>
      <c r="K333" s="566"/>
      <c r="L333" s="566"/>
      <c r="M333" s="566"/>
      <c r="N333" s="566"/>
      <c r="O333" s="566"/>
      <c r="P333" s="566"/>
      <c r="Q333" s="566"/>
      <c r="R333" s="566"/>
      <c r="S333" s="566"/>
      <c r="T333" s="566"/>
      <c r="U333" s="566"/>
      <c r="V333" s="566"/>
      <c r="W333" s="566"/>
      <c r="X333" s="566"/>
      <c r="Y333" s="566"/>
    </row>
    <row r="334" spans="2:25" x14ac:dyDescent="0.25">
      <c r="B334" s="566"/>
      <c r="C334" s="566"/>
      <c r="D334" s="566"/>
      <c r="E334" s="566"/>
      <c r="F334" s="566"/>
      <c r="G334" s="566"/>
      <c r="H334" s="566"/>
      <c r="I334" s="566"/>
      <c r="J334" s="566"/>
      <c r="K334" s="566"/>
      <c r="L334" s="566"/>
      <c r="M334" s="566"/>
      <c r="N334" s="566"/>
      <c r="O334" s="566"/>
      <c r="P334" s="566"/>
      <c r="Q334" s="566"/>
      <c r="R334" s="566"/>
      <c r="S334" s="566"/>
      <c r="T334" s="566"/>
      <c r="U334" s="566"/>
      <c r="V334" s="566"/>
      <c r="W334" s="566"/>
      <c r="X334" s="566"/>
      <c r="Y334" s="566"/>
    </row>
    <row r="335" spans="2:25" x14ac:dyDescent="0.25">
      <c r="B335" s="566"/>
      <c r="C335" s="566"/>
      <c r="D335" s="566"/>
      <c r="E335" s="566"/>
      <c r="F335" s="566"/>
      <c r="G335" s="566"/>
      <c r="H335" s="566"/>
      <c r="I335" s="566"/>
      <c r="J335" s="566"/>
      <c r="K335" s="566"/>
      <c r="L335" s="566"/>
      <c r="M335" s="566"/>
      <c r="N335" s="566"/>
      <c r="O335" s="566"/>
      <c r="P335" s="566"/>
      <c r="Q335" s="566"/>
      <c r="R335" s="566"/>
      <c r="S335" s="566"/>
      <c r="T335" s="566"/>
      <c r="U335" s="566"/>
      <c r="V335" s="566"/>
      <c r="W335" s="566"/>
      <c r="X335" s="566"/>
      <c r="Y335" s="566"/>
    </row>
    <row r="336" spans="2:25" x14ac:dyDescent="0.25">
      <c r="B336" s="566"/>
      <c r="C336" s="566"/>
      <c r="D336" s="566"/>
      <c r="E336" s="566"/>
      <c r="F336" s="566"/>
      <c r="G336" s="566"/>
      <c r="H336" s="566"/>
      <c r="I336" s="566"/>
      <c r="J336" s="566"/>
      <c r="K336" s="566"/>
      <c r="L336" s="566"/>
      <c r="M336" s="566"/>
      <c r="N336" s="566"/>
      <c r="O336" s="566"/>
      <c r="P336" s="566"/>
      <c r="Q336" s="566"/>
      <c r="R336" s="566"/>
      <c r="S336" s="566"/>
      <c r="T336" s="566"/>
      <c r="U336" s="566"/>
      <c r="V336" s="566"/>
      <c r="W336" s="566"/>
      <c r="X336" s="566"/>
      <c r="Y336" s="566"/>
    </row>
    <row r="337" spans="2:25" x14ac:dyDescent="0.25">
      <c r="B337" s="566"/>
      <c r="C337" s="566"/>
      <c r="D337" s="566"/>
      <c r="E337" s="566"/>
      <c r="F337" s="566"/>
      <c r="G337" s="566"/>
      <c r="H337" s="566"/>
      <c r="I337" s="566"/>
      <c r="J337" s="566"/>
      <c r="K337" s="566"/>
      <c r="L337" s="566"/>
      <c r="M337" s="566"/>
      <c r="N337" s="566"/>
      <c r="O337" s="566"/>
      <c r="P337" s="566"/>
      <c r="Q337" s="566"/>
      <c r="R337" s="566"/>
      <c r="S337" s="566"/>
      <c r="T337" s="566"/>
      <c r="U337" s="566"/>
      <c r="V337" s="566"/>
      <c r="W337" s="566"/>
      <c r="X337" s="566"/>
      <c r="Y337" s="566"/>
    </row>
    <row r="338" spans="2:25" x14ac:dyDescent="0.25">
      <c r="B338" s="566"/>
      <c r="C338" s="566"/>
      <c r="D338" s="566"/>
      <c r="E338" s="566"/>
      <c r="F338" s="566"/>
      <c r="G338" s="566"/>
      <c r="H338" s="566"/>
      <c r="I338" s="566"/>
      <c r="J338" s="566"/>
      <c r="K338" s="566"/>
      <c r="L338" s="566"/>
      <c r="M338" s="566"/>
      <c r="N338" s="566"/>
      <c r="O338" s="566"/>
      <c r="P338" s="566"/>
      <c r="Q338" s="566"/>
      <c r="R338" s="566"/>
      <c r="S338" s="566"/>
      <c r="T338" s="566"/>
      <c r="U338" s="566"/>
      <c r="V338" s="566"/>
      <c r="W338" s="566"/>
      <c r="X338" s="566"/>
      <c r="Y338" s="566"/>
    </row>
    <row r="339" spans="2:25" x14ac:dyDescent="0.25">
      <c r="B339" s="566"/>
      <c r="C339" s="566"/>
      <c r="D339" s="566"/>
      <c r="E339" s="566"/>
      <c r="F339" s="566"/>
      <c r="G339" s="566"/>
      <c r="H339" s="566"/>
      <c r="I339" s="566"/>
      <c r="J339" s="566"/>
      <c r="K339" s="566"/>
      <c r="L339" s="566"/>
      <c r="M339" s="566"/>
      <c r="N339" s="566"/>
      <c r="O339" s="566"/>
      <c r="P339" s="566"/>
      <c r="Q339" s="566"/>
      <c r="R339" s="566"/>
      <c r="S339" s="566"/>
      <c r="T339" s="566"/>
      <c r="U339" s="566"/>
      <c r="V339" s="566"/>
      <c r="W339" s="566"/>
      <c r="X339" s="566"/>
      <c r="Y339" s="566"/>
    </row>
    <row r="340" spans="2:25" x14ac:dyDescent="0.25">
      <c r="B340" s="566"/>
      <c r="C340" s="566"/>
      <c r="D340" s="566"/>
      <c r="E340" s="566"/>
      <c r="F340" s="566"/>
      <c r="G340" s="566"/>
      <c r="H340" s="566"/>
      <c r="I340" s="566"/>
      <c r="J340" s="566"/>
      <c r="K340" s="566"/>
      <c r="L340" s="566"/>
      <c r="M340" s="566"/>
      <c r="N340" s="566"/>
      <c r="O340" s="566"/>
      <c r="P340" s="566"/>
      <c r="Q340" s="566"/>
      <c r="R340" s="566"/>
      <c r="S340" s="566"/>
      <c r="T340" s="566"/>
      <c r="U340" s="566"/>
      <c r="V340" s="566"/>
      <c r="W340" s="566"/>
      <c r="X340" s="566"/>
      <c r="Y340" s="566"/>
    </row>
    <row r="341" spans="2:25" x14ac:dyDescent="0.25">
      <c r="B341" s="566"/>
      <c r="C341" s="566"/>
      <c r="D341" s="566"/>
      <c r="E341" s="566"/>
      <c r="F341" s="566"/>
      <c r="G341" s="566"/>
      <c r="H341" s="566"/>
      <c r="I341" s="566"/>
      <c r="J341" s="566"/>
      <c r="K341" s="566"/>
      <c r="L341" s="566"/>
      <c r="M341" s="566"/>
      <c r="N341" s="566"/>
      <c r="O341" s="566"/>
      <c r="P341" s="566"/>
      <c r="Q341" s="566"/>
      <c r="R341" s="566"/>
      <c r="S341" s="566"/>
      <c r="T341" s="566"/>
      <c r="U341" s="566"/>
      <c r="V341" s="566"/>
      <c r="W341" s="566"/>
      <c r="X341" s="566"/>
      <c r="Y341" s="566"/>
    </row>
    <row r="342" spans="2:25" x14ac:dyDescent="0.25">
      <c r="B342" s="566"/>
      <c r="C342" s="566"/>
      <c r="D342" s="566"/>
      <c r="E342" s="566"/>
      <c r="F342" s="566"/>
      <c r="G342" s="566"/>
      <c r="H342" s="566"/>
      <c r="I342" s="566"/>
      <c r="J342" s="566"/>
      <c r="K342" s="566"/>
      <c r="L342" s="566"/>
      <c r="M342" s="566"/>
      <c r="N342" s="566"/>
      <c r="O342" s="566"/>
      <c r="P342" s="566"/>
      <c r="Q342" s="566"/>
      <c r="R342" s="566"/>
      <c r="S342" s="566"/>
      <c r="T342" s="566"/>
      <c r="U342" s="566"/>
      <c r="V342" s="566"/>
      <c r="W342" s="566"/>
      <c r="X342" s="566"/>
      <c r="Y342" s="566"/>
    </row>
    <row r="343" spans="2:25" x14ac:dyDescent="0.25">
      <c r="B343" s="566"/>
      <c r="C343" s="566"/>
      <c r="D343" s="566"/>
      <c r="E343" s="566"/>
      <c r="F343" s="566"/>
      <c r="G343" s="566"/>
      <c r="H343" s="566"/>
      <c r="I343" s="566"/>
      <c r="J343" s="566"/>
      <c r="K343" s="566"/>
      <c r="L343" s="566"/>
      <c r="M343" s="566"/>
      <c r="N343" s="566"/>
      <c r="O343" s="566"/>
      <c r="P343" s="566"/>
      <c r="Q343" s="566"/>
      <c r="R343" s="566"/>
      <c r="S343" s="566"/>
      <c r="T343" s="566"/>
      <c r="U343" s="566"/>
      <c r="V343" s="566"/>
      <c r="W343" s="566"/>
      <c r="X343" s="566"/>
      <c r="Y343" s="566"/>
    </row>
    <row r="344" spans="2:25" x14ac:dyDescent="0.25">
      <c r="B344" s="566"/>
      <c r="C344" s="566"/>
      <c r="D344" s="566"/>
      <c r="E344" s="566"/>
      <c r="F344" s="566"/>
      <c r="G344" s="566"/>
      <c r="H344" s="566"/>
      <c r="I344" s="566"/>
      <c r="J344" s="566"/>
      <c r="K344" s="566"/>
      <c r="L344" s="566"/>
      <c r="M344" s="566"/>
      <c r="N344" s="566"/>
      <c r="O344" s="566"/>
      <c r="P344" s="566"/>
      <c r="Q344" s="566"/>
      <c r="R344" s="566"/>
      <c r="S344" s="566"/>
      <c r="T344" s="566"/>
      <c r="U344" s="566"/>
      <c r="V344" s="566"/>
      <c r="W344" s="566"/>
      <c r="X344" s="566"/>
      <c r="Y344" s="566"/>
    </row>
    <row r="345" spans="2:25" x14ac:dyDescent="0.25">
      <c r="B345" s="566"/>
      <c r="C345" s="566"/>
      <c r="D345" s="566"/>
      <c r="E345" s="566"/>
      <c r="F345" s="566"/>
      <c r="G345" s="566"/>
      <c r="H345" s="566"/>
      <c r="I345" s="566"/>
      <c r="J345" s="566"/>
      <c r="K345" s="566"/>
      <c r="L345" s="566"/>
      <c r="M345" s="566"/>
      <c r="N345" s="566"/>
      <c r="O345" s="566"/>
      <c r="P345" s="566"/>
      <c r="Q345" s="566"/>
      <c r="R345" s="566"/>
      <c r="S345" s="566"/>
      <c r="T345" s="566"/>
      <c r="U345" s="566"/>
      <c r="V345" s="566"/>
      <c r="W345" s="566"/>
      <c r="X345" s="566"/>
      <c r="Y345" s="566"/>
    </row>
    <row r="346" spans="2:25" x14ac:dyDescent="0.25">
      <c r="B346" s="566"/>
      <c r="C346" s="566"/>
      <c r="D346" s="566"/>
      <c r="E346" s="566"/>
      <c r="F346" s="566"/>
      <c r="G346" s="566"/>
      <c r="H346" s="566"/>
      <c r="I346" s="566"/>
      <c r="J346" s="566"/>
      <c r="K346" s="566"/>
      <c r="L346" s="566"/>
      <c r="M346" s="566"/>
      <c r="N346" s="566"/>
      <c r="O346" s="566"/>
      <c r="P346" s="566"/>
      <c r="Q346" s="566"/>
      <c r="R346" s="566"/>
      <c r="S346" s="566"/>
      <c r="T346" s="566"/>
      <c r="U346" s="566"/>
      <c r="V346" s="566"/>
      <c r="W346" s="566"/>
      <c r="X346" s="566"/>
      <c r="Y346" s="566"/>
    </row>
    <row r="347" spans="2:25" x14ac:dyDescent="0.25">
      <c r="B347" s="566"/>
      <c r="C347" s="566"/>
      <c r="D347" s="566"/>
      <c r="E347" s="566"/>
      <c r="F347" s="566"/>
      <c r="G347" s="566"/>
      <c r="H347" s="566"/>
      <c r="I347" s="566"/>
      <c r="J347" s="566"/>
      <c r="K347" s="566"/>
      <c r="L347" s="566"/>
      <c r="M347" s="566"/>
      <c r="N347" s="566"/>
      <c r="O347" s="566"/>
      <c r="P347" s="566"/>
      <c r="Q347" s="566"/>
      <c r="R347" s="566"/>
      <c r="S347" s="566"/>
      <c r="T347" s="566"/>
      <c r="U347" s="566"/>
      <c r="V347" s="566"/>
      <c r="W347" s="566"/>
      <c r="X347" s="566"/>
      <c r="Y347" s="566"/>
    </row>
    <row r="348" spans="2:25" x14ac:dyDescent="0.25">
      <c r="B348" s="566"/>
      <c r="C348" s="566"/>
      <c r="D348" s="566"/>
      <c r="E348" s="566"/>
      <c r="F348" s="566"/>
      <c r="G348" s="566"/>
      <c r="H348" s="566"/>
      <c r="I348" s="566"/>
      <c r="J348" s="566"/>
      <c r="K348" s="566"/>
      <c r="L348" s="566"/>
      <c r="M348" s="566"/>
      <c r="N348" s="566"/>
      <c r="O348" s="566"/>
      <c r="P348" s="566"/>
      <c r="Q348" s="566"/>
      <c r="R348" s="566"/>
      <c r="S348" s="566"/>
      <c r="T348" s="566"/>
      <c r="U348" s="566"/>
      <c r="V348" s="566"/>
      <c r="W348" s="566"/>
      <c r="X348" s="566"/>
      <c r="Y348" s="566"/>
    </row>
    <row r="349" spans="2:25" x14ac:dyDescent="0.25">
      <c r="B349" s="566"/>
      <c r="C349" s="566"/>
      <c r="D349" s="566"/>
      <c r="E349" s="566"/>
      <c r="F349" s="566"/>
      <c r="G349" s="566"/>
      <c r="H349" s="566"/>
      <c r="I349" s="566"/>
      <c r="J349" s="566"/>
      <c r="K349" s="566"/>
      <c r="L349" s="566"/>
      <c r="M349" s="566"/>
      <c r="N349" s="566"/>
      <c r="O349" s="566"/>
      <c r="P349" s="566"/>
      <c r="Q349" s="566"/>
      <c r="R349" s="566"/>
      <c r="S349" s="566"/>
      <c r="T349" s="566"/>
      <c r="U349" s="566"/>
      <c r="V349" s="566"/>
      <c r="W349" s="566"/>
      <c r="X349" s="566"/>
      <c r="Y349" s="566"/>
    </row>
    <row r="350" spans="2:25" x14ac:dyDescent="0.25">
      <c r="B350" s="566"/>
      <c r="C350" s="566"/>
      <c r="D350" s="566"/>
      <c r="E350" s="566"/>
      <c r="F350" s="566"/>
      <c r="G350" s="566"/>
      <c r="H350" s="566"/>
      <c r="I350" s="566"/>
      <c r="J350" s="566"/>
      <c r="K350" s="566"/>
      <c r="L350" s="566"/>
      <c r="M350" s="566"/>
      <c r="N350" s="566"/>
      <c r="O350" s="566"/>
      <c r="P350" s="566"/>
      <c r="Q350" s="566"/>
      <c r="R350" s="566"/>
      <c r="S350" s="566"/>
      <c r="T350" s="566"/>
      <c r="U350" s="566"/>
      <c r="V350" s="566"/>
      <c r="W350" s="566"/>
      <c r="X350" s="566"/>
      <c r="Y350" s="566"/>
    </row>
    <row r="351" spans="2:25" x14ac:dyDescent="0.25">
      <c r="B351" s="566"/>
      <c r="C351" s="566"/>
      <c r="D351" s="566"/>
      <c r="E351" s="566"/>
      <c r="F351" s="566"/>
      <c r="G351" s="566"/>
      <c r="H351" s="566"/>
      <c r="I351" s="566"/>
      <c r="J351" s="566"/>
      <c r="K351" s="566"/>
      <c r="L351" s="566"/>
      <c r="M351" s="566"/>
      <c r="N351" s="566"/>
      <c r="O351" s="566"/>
      <c r="P351" s="566"/>
      <c r="Q351" s="566"/>
      <c r="R351" s="566"/>
      <c r="S351" s="566"/>
      <c r="T351" s="566"/>
      <c r="U351" s="566"/>
      <c r="V351" s="566"/>
      <c r="W351" s="566"/>
      <c r="X351" s="566"/>
      <c r="Y351" s="566"/>
    </row>
    <row r="352" spans="2:25" x14ac:dyDescent="0.25">
      <c r="B352" s="566"/>
      <c r="C352" s="566"/>
      <c r="D352" s="566"/>
      <c r="E352" s="566"/>
      <c r="F352" s="566"/>
      <c r="G352" s="566"/>
      <c r="H352" s="566"/>
      <c r="I352" s="566"/>
      <c r="J352" s="566"/>
      <c r="K352" s="566"/>
      <c r="L352" s="566"/>
      <c r="M352" s="566"/>
      <c r="N352" s="566"/>
      <c r="O352" s="566"/>
      <c r="P352" s="566"/>
      <c r="Q352" s="566"/>
      <c r="R352" s="566"/>
      <c r="S352" s="566"/>
      <c r="T352" s="566"/>
      <c r="U352" s="566"/>
      <c r="V352" s="566"/>
      <c r="W352" s="566"/>
      <c r="X352" s="566"/>
      <c r="Y352" s="566"/>
    </row>
    <row r="353" spans="2:25" x14ac:dyDescent="0.25">
      <c r="B353" s="566"/>
      <c r="C353" s="566"/>
      <c r="D353" s="566"/>
      <c r="E353" s="566"/>
      <c r="F353" s="566"/>
      <c r="G353" s="566"/>
      <c r="H353" s="566"/>
      <c r="I353" s="566"/>
      <c r="J353" s="566"/>
      <c r="K353" s="566"/>
      <c r="L353" s="566"/>
      <c r="M353" s="566"/>
      <c r="N353" s="566"/>
      <c r="O353" s="566"/>
      <c r="P353" s="566"/>
      <c r="Q353" s="566"/>
      <c r="R353" s="566"/>
      <c r="S353" s="566"/>
      <c r="T353" s="566"/>
      <c r="U353" s="566"/>
      <c r="V353" s="566"/>
      <c r="W353" s="566"/>
      <c r="X353" s="566"/>
      <c r="Y353" s="566"/>
    </row>
    <row r="354" spans="2:25" x14ac:dyDescent="0.25">
      <c r="B354" s="566"/>
      <c r="C354" s="566"/>
      <c r="D354" s="566"/>
      <c r="E354" s="566"/>
      <c r="F354" s="566"/>
      <c r="G354" s="566"/>
      <c r="H354" s="566"/>
      <c r="I354" s="566"/>
      <c r="J354" s="566"/>
      <c r="K354" s="566"/>
      <c r="L354" s="566"/>
      <c r="M354" s="566"/>
      <c r="N354" s="566"/>
      <c r="O354" s="566"/>
      <c r="P354" s="566"/>
      <c r="Q354" s="566"/>
      <c r="R354" s="566"/>
      <c r="S354" s="566"/>
      <c r="T354" s="566"/>
      <c r="U354" s="566"/>
      <c r="V354" s="566"/>
      <c r="W354" s="566"/>
      <c r="X354" s="566"/>
      <c r="Y354" s="566"/>
    </row>
    <row r="355" spans="2:25" x14ac:dyDescent="0.25">
      <c r="B355" s="566"/>
      <c r="C355" s="566"/>
      <c r="D355" s="566"/>
      <c r="E355" s="566"/>
      <c r="F355" s="566"/>
      <c r="G355" s="566"/>
      <c r="H355" s="566"/>
      <c r="I355" s="566"/>
      <c r="J355" s="566"/>
      <c r="K355" s="566"/>
      <c r="L355" s="566"/>
      <c r="M355" s="566"/>
      <c r="N355" s="566"/>
      <c r="O355" s="566"/>
      <c r="P355" s="566"/>
      <c r="Q355" s="566"/>
      <c r="R355" s="566"/>
      <c r="S355" s="566"/>
      <c r="T355" s="566"/>
      <c r="U355" s="566"/>
      <c r="V355" s="566"/>
      <c r="W355" s="566"/>
      <c r="X355" s="566"/>
      <c r="Y355" s="566"/>
    </row>
    <row r="356" spans="2:25" x14ac:dyDescent="0.25">
      <c r="B356" s="566"/>
      <c r="C356" s="566"/>
      <c r="D356" s="566"/>
      <c r="E356" s="566"/>
      <c r="F356" s="566"/>
      <c r="G356" s="566"/>
      <c r="H356" s="566"/>
      <c r="I356" s="566"/>
      <c r="J356" s="566"/>
      <c r="K356" s="566"/>
      <c r="L356" s="566"/>
      <c r="M356" s="566"/>
      <c r="N356" s="566"/>
      <c r="O356" s="566"/>
      <c r="P356" s="566"/>
      <c r="Q356" s="566"/>
      <c r="R356" s="566"/>
      <c r="S356" s="566"/>
      <c r="T356" s="566"/>
      <c r="U356" s="566"/>
      <c r="V356" s="566"/>
      <c r="W356" s="566"/>
      <c r="X356" s="566"/>
      <c r="Y356" s="566"/>
    </row>
    <row r="357" spans="2:25" x14ac:dyDescent="0.25">
      <c r="B357" s="566"/>
      <c r="C357" s="566"/>
      <c r="D357" s="566"/>
      <c r="E357" s="566"/>
      <c r="F357" s="566"/>
      <c r="G357" s="566"/>
      <c r="H357" s="566"/>
      <c r="I357" s="566"/>
      <c r="J357" s="566"/>
      <c r="K357" s="566"/>
      <c r="L357" s="566"/>
      <c r="M357" s="566"/>
      <c r="N357" s="566"/>
      <c r="O357" s="566"/>
      <c r="P357" s="566"/>
      <c r="Q357" s="566"/>
      <c r="R357" s="566"/>
      <c r="S357" s="566"/>
      <c r="T357" s="566"/>
      <c r="U357" s="566"/>
      <c r="V357" s="566"/>
      <c r="W357" s="566"/>
      <c r="X357" s="566"/>
      <c r="Y357" s="566"/>
    </row>
    <row r="358" spans="2:25" x14ac:dyDescent="0.25">
      <c r="B358" s="566"/>
      <c r="C358" s="566"/>
      <c r="D358" s="566"/>
      <c r="E358" s="566"/>
      <c r="F358" s="566"/>
      <c r="G358" s="566"/>
      <c r="H358" s="566"/>
      <c r="I358" s="566"/>
      <c r="J358" s="566"/>
      <c r="K358" s="566"/>
      <c r="L358" s="566"/>
      <c r="M358" s="566"/>
      <c r="N358" s="566"/>
      <c r="O358" s="566"/>
      <c r="P358" s="566"/>
      <c r="Q358" s="566"/>
      <c r="R358" s="566"/>
      <c r="S358" s="566"/>
      <c r="T358" s="566"/>
      <c r="U358" s="566"/>
      <c r="V358" s="566"/>
      <c r="W358" s="566"/>
      <c r="X358" s="566"/>
      <c r="Y358" s="566"/>
    </row>
    <row r="359" spans="2:25" x14ac:dyDescent="0.25">
      <c r="B359" s="566"/>
      <c r="C359" s="566"/>
      <c r="D359" s="566"/>
      <c r="E359" s="566"/>
      <c r="F359" s="566"/>
      <c r="G359" s="566"/>
      <c r="H359" s="566"/>
      <c r="I359" s="566"/>
      <c r="J359" s="566"/>
      <c r="K359" s="566"/>
      <c r="L359" s="566"/>
      <c r="M359" s="566"/>
      <c r="N359" s="566"/>
      <c r="O359" s="566"/>
      <c r="P359" s="566"/>
      <c r="Q359" s="566"/>
      <c r="R359" s="566"/>
      <c r="S359" s="566"/>
      <c r="T359" s="566"/>
      <c r="U359" s="566"/>
      <c r="V359" s="566"/>
      <c r="W359" s="566"/>
      <c r="X359" s="566"/>
      <c r="Y359" s="566"/>
    </row>
    <row r="360" spans="2:25" x14ac:dyDescent="0.25">
      <c r="B360" s="566"/>
      <c r="C360" s="566"/>
      <c r="D360" s="566"/>
      <c r="E360" s="566"/>
      <c r="F360" s="566"/>
      <c r="G360" s="566"/>
      <c r="H360" s="566"/>
      <c r="I360" s="566"/>
      <c r="J360" s="566"/>
      <c r="K360" s="566"/>
      <c r="L360" s="566"/>
      <c r="M360" s="566"/>
      <c r="N360" s="566"/>
      <c r="O360" s="566"/>
      <c r="P360" s="566"/>
      <c r="Q360" s="566"/>
      <c r="R360" s="566"/>
      <c r="S360" s="566"/>
      <c r="T360" s="566"/>
      <c r="U360" s="566"/>
      <c r="V360" s="566"/>
      <c r="W360" s="566"/>
      <c r="X360" s="566"/>
      <c r="Y360" s="566"/>
    </row>
    <row r="361" spans="2:25" x14ac:dyDescent="0.25">
      <c r="B361" s="566"/>
      <c r="C361" s="566"/>
      <c r="D361" s="566"/>
      <c r="E361" s="566"/>
      <c r="F361" s="566"/>
      <c r="G361" s="566"/>
      <c r="H361" s="566"/>
      <c r="I361" s="566"/>
      <c r="J361" s="566"/>
      <c r="K361" s="566"/>
      <c r="L361" s="566"/>
      <c r="M361" s="566"/>
      <c r="N361" s="566"/>
      <c r="O361" s="566"/>
      <c r="P361" s="566"/>
      <c r="Q361" s="566"/>
      <c r="R361" s="566"/>
      <c r="S361" s="566"/>
      <c r="T361" s="566"/>
      <c r="U361" s="566"/>
      <c r="V361" s="566"/>
      <c r="W361" s="566"/>
      <c r="X361" s="566"/>
      <c r="Y361" s="566"/>
    </row>
    <row r="362" spans="2:25" x14ac:dyDescent="0.25">
      <c r="B362" s="566"/>
      <c r="C362" s="566"/>
      <c r="D362" s="566"/>
      <c r="E362" s="566"/>
      <c r="F362" s="566"/>
      <c r="G362" s="566"/>
      <c r="H362" s="566"/>
      <c r="I362" s="566"/>
      <c r="J362" s="566"/>
      <c r="K362" s="566"/>
      <c r="L362" s="566"/>
      <c r="M362" s="566"/>
      <c r="N362" s="566"/>
      <c r="O362" s="566"/>
      <c r="P362" s="566"/>
      <c r="Q362" s="566"/>
      <c r="R362" s="566"/>
      <c r="S362" s="566"/>
      <c r="T362" s="566"/>
      <c r="U362" s="566"/>
      <c r="V362" s="566"/>
      <c r="W362" s="566"/>
      <c r="X362" s="566"/>
      <c r="Y362" s="566"/>
    </row>
    <row r="363" spans="2:25" x14ac:dyDescent="0.25">
      <c r="B363" s="566"/>
      <c r="C363" s="566"/>
      <c r="D363" s="566"/>
      <c r="E363" s="566"/>
      <c r="F363" s="566"/>
      <c r="G363" s="566"/>
      <c r="H363" s="566"/>
      <c r="I363" s="566"/>
      <c r="J363" s="566"/>
      <c r="K363" s="566"/>
      <c r="L363" s="566"/>
      <c r="M363" s="566"/>
      <c r="N363" s="566"/>
      <c r="O363" s="566"/>
      <c r="P363" s="566"/>
      <c r="Q363" s="566"/>
      <c r="R363" s="566"/>
      <c r="S363" s="566"/>
      <c r="T363" s="566"/>
      <c r="U363" s="566"/>
      <c r="V363" s="566"/>
      <c r="W363" s="566"/>
      <c r="X363" s="566"/>
      <c r="Y363" s="566"/>
    </row>
    <row r="364" spans="2:25" x14ac:dyDescent="0.25">
      <c r="B364" s="566"/>
      <c r="C364" s="566"/>
      <c r="D364" s="566"/>
      <c r="E364" s="566"/>
      <c r="F364" s="566"/>
      <c r="G364" s="566"/>
      <c r="H364" s="566"/>
      <c r="I364" s="566"/>
      <c r="J364" s="566"/>
      <c r="K364" s="566"/>
      <c r="L364" s="566"/>
      <c r="M364" s="566"/>
      <c r="N364" s="566"/>
      <c r="O364" s="566"/>
      <c r="P364" s="566"/>
      <c r="Q364" s="566"/>
      <c r="R364" s="566"/>
      <c r="S364" s="566"/>
      <c r="T364" s="566"/>
      <c r="U364" s="566"/>
      <c r="V364" s="566"/>
      <c r="W364" s="566"/>
      <c r="X364" s="566"/>
      <c r="Y364" s="566"/>
    </row>
    <row r="365" spans="2:25" x14ac:dyDescent="0.25">
      <c r="B365" s="566"/>
      <c r="C365" s="566"/>
      <c r="D365" s="566"/>
      <c r="E365" s="566"/>
      <c r="F365" s="566"/>
      <c r="G365" s="566"/>
      <c r="H365" s="566"/>
      <c r="I365" s="566"/>
      <c r="J365" s="566"/>
      <c r="K365" s="566"/>
      <c r="L365" s="566"/>
      <c r="M365" s="566"/>
      <c r="N365" s="566"/>
      <c r="O365" s="566"/>
      <c r="P365" s="566"/>
      <c r="Q365" s="566"/>
      <c r="R365" s="566"/>
      <c r="S365" s="566"/>
      <c r="T365" s="566"/>
      <c r="U365" s="566"/>
      <c r="V365" s="566"/>
      <c r="W365" s="566"/>
      <c r="X365" s="566"/>
      <c r="Y365" s="566"/>
    </row>
    <row r="366" spans="2:25" x14ac:dyDescent="0.25">
      <c r="B366" s="566"/>
      <c r="C366" s="566"/>
      <c r="D366" s="566"/>
      <c r="E366" s="566"/>
      <c r="F366" s="566"/>
      <c r="G366" s="566"/>
      <c r="H366" s="566"/>
      <c r="I366" s="566"/>
      <c r="J366" s="566"/>
      <c r="K366" s="566"/>
      <c r="L366" s="566"/>
      <c r="M366" s="566"/>
      <c r="N366" s="566"/>
      <c r="O366" s="566"/>
      <c r="P366" s="566"/>
      <c r="Q366" s="566"/>
      <c r="R366" s="566"/>
      <c r="S366" s="566"/>
      <c r="T366" s="566"/>
      <c r="U366" s="566"/>
      <c r="V366" s="566"/>
      <c r="W366" s="566"/>
      <c r="X366" s="566"/>
      <c r="Y366" s="566"/>
    </row>
    <row r="367" spans="2:25" x14ac:dyDescent="0.25">
      <c r="B367" s="566"/>
      <c r="C367" s="566"/>
      <c r="D367" s="566"/>
      <c r="E367" s="566"/>
      <c r="F367" s="566"/>
      <c r="G367" s="566"/>
      <c r="H367" s="566"/>
      <c r="I367" s="566"/>
      <c r="J367" s="566"/>
      <c r="K367" s="566"/>
      <c r="L367" s="566"/>
      <c r="M367" s="566"/>
      <c r="N367" s="566"/>
      <c r="O367" s="566"/>
      <c r="P367" s="566"/>
      <c r="Q367" s="566"/>
      <c r="R367" s="566"/>
      <c r="S367" s="566"/>
      <c r="T367" s="566"/>
      <c r="U367" s="566"/>
      <c r="V367" s="566"/>
      <c r="W367" s="566"/>
      <c r="X367" s="566"/>
      <c r="Y367" s="566"/>
    </row>
    <row r="368" spans="2:25" x14ac:dyDescent="0.25">
      <c r="B368" s="566"/>
      <c r="C368" s="566"/>
      <c r="D368" s="566"/>
      <c r="E368" s="566"/>
      <c r="F368" s="566"/>
      <c r="G368" s="566"/>
      <c r="H368" s="566"/>
      <c r="I368" s="566"/>
      <c r="J368" s="566"/>
      <c r="K368" s="566"/>
      <c r="L368" s="566"/>
      <c r="M368" s="566"/>
      <c r="N368" s="566"/>
      <c r="O368" s="566"/>
      <c r="P368" s="566"/>
      <c r="Q368" s="566"/>
      <c r="R368" s="566"/>
      <c r="S368" s="566"/>
      <c r="T368" s="566"/>
      <c r="U368" s="566"/>
      <c r="V368" s="566"/>
      <c r="W368" s="566"/>
      <c r="X368" s="566"/>
      <c r="Y368" s="566"/>
    </row>
    <row r="369" spans="2:25" x14ac:dyDescent="0.25">
      <c r="B369" s="566"/>
      <c r="C369" s="566"/>
      <c r="D369" s="566"/>
      <c r="E369" s="566"/>
      <c r="F369" s="566"/>
      <c r="G369" s="566"/>
      <c r="H369" s="566"/>
      <c r="I369" s="566"/>
      <c r="J369" s="566"/>
      <c r="K369" s="566"/>
      <c r="L369" s="566"/>
      <c r="M369" s="566"/>
      <c r="N369" s="566"/>
      <c r="O369" s="566"/>
      <c r="P369" s="566"/>
      <c r="Q369" s="566"/>
      <c r="R369" s="566"/>
      <c r="S369" s="566"/>
      <c r="T369" s="566"/>
      <c r="U369" s="566"/>
      <c r="V369" s="566"/>
      <c r="W369" s="566"/>
      <c r="X369" s="566"/>
      <c r="Y369" s="566"/>
    </row>
    <row r="370" spans="2:25" x14ac:dyDescent="0.25">
      <c r="B370" s="566"/>
      <c r="C370" s="566"/>
      <c r="D370" s="566"/>
      <c r="E370" s="566"/>
      <c r="F370" s="566"/>
      <c r="G370" s="566"/>
      <c r="H370" s="566"/>
      <c r="I370" s="566"/>
      <c r="J370" s="566"/>
      <c r="K370" s="566"/>
      <c r="L370" s="566"/>
      <c r="M370" s="566"/>
      <c r="N370" s="566"/>
      <c r="O370" s="566"/>
      <c r="P370" s="566"/>
      <c r="Q370" s="566"/>
      <c r="R370" s="566"/>
      <c r="S370" s="566"/>
      <c r="T370" s="566"/>
      <c r="U370" s="566"/>
      <c r="V370" s="566"/>
      <c r="W370" s="566"/>
      <c r="X370" s="566"/>
      <c r="Y370" s="566"/>
    </row>
    <row r="371" spans="2:25" x14ac:dyDescent="0.25">
      <c r="B371" s="566"/>
      <c r="C371" s="566"/>
      <c r="D371" s="566"/>
      <c r="E371" s="566"/>
      <c r="F371" s="566"/>
      <c r="G371" s="566"/>
      <c r="H371" s="566"/>
      <c r="I371" s="566"/>
      <c r="J371" s="566"/>
      <c r="K371" s="566"/>
      <c r="L371" s="566"/>
      <c r="M371" s="566"/>
      <c r="N371" s="566"/>
      <c r="O371" s="566"/>
      <c r="P371" s="566"/>
      <c r="Q371" s="566"/>
      <c r="R371" s="566"/>
      <c r="S371" s="566"/>
      <c r="T371" s="566"/>
      <c r="U371" s="566"/>
      <c r="V371" s="566"/>
      <c r="W371" s="566"/>
      <c r="X371" s="566"/>
      <c r="Y371" s="566"/>
    </row>
    <row r="372" spans="2:25" x14ac:dyDescent="0.25">
      <c r="B372" s="566"/>
      <c r="C372" s="566"/>
      <c r="D372" s="566"/>
      <c r="E372" s="566"/>
      <c r="F372" s="566"/>
      <c r="G372" s="566"/>
      <c r="H372" s="566"/>
      <c r="I372" s="566"/>
      <c r="J372" s="566"/>
      <c r="K372" s="566"/>
      <c r="L372" s="566"/>
      <c r="M372" s="566"/>
      <c r="N372" s="566"/>
      <c r="O372" s="566"/>
      <c r="P372" s="566"/>
      <c r="Q372" s="566"/>
      <c r="R372" s="566"/>
      <c r="S372" s="566"/>
      <c r="T372" s="566"/>
      <c r="U372" s="566"/>
      <c r="V372" s="566"/>
      <c r="W372" s="566"/>
      <c r="X372" s="566"/>
      <c r="Y372" s="566"/>
    </row>
    <row r="373" spans="2:25" x14ac:dyDescent="0.25">
      <c r="B373" s="566"/>
      <c r="C373" s="566"/>
      <c r="D373" s="566"/>
      <c r="E373" s="566"/>
      <c r="F373" s="566"/>
      <c r="G373" s="566"/>
      <c r="H373" s="566"/>
      <c r="I373" s="566"/>
      <c r="J373" s="566"/>
      <c r="K373" s="566"/>
      <c r="L373" s="566"/>
      <c r="M373" s="566"/>
      <c r="N373" s="566"/>
      <c r="O373" s="566"/>
      <c r="P373" s="566"/>
      <c r="Q373" s="566"/>
      <c r="R373" s="566"/>
      <c r="S373" s="566"/>
      <c r="T373" s="566"/>
      <c r="U373" s="566"/>
      <c r="V373" s="566"/>
      <c r="W373" s="566"/>
      <c r="X373" s="566"/>
      <c r="Y373" s="566"/>
    </row>
    <row r="374" spans="2:25" x14ac:dyDescent="0.25">
      <c r="B374" s="566"/>
      <c r="C374" s="566"/>
      <c r="D374" s="566"/>
      <c r="E374" s="566"/>
      <c r="F374" s="566"/>
      <c r="G374" s="566"/>
      <c r="H374" s="566"/>
      <c r="I374" s="566"/>
      <c r="J374" s="566"/>
      <c r="K374" s="566"/>
      <c r="L374" s="566"/>
      <c r="M374" s="566"/>
      <c r="N374" s="566"/>
      <c r="O374" s="566"/>
      <c r="P374" s="566"/>
      <c r="Q374" s="566"/>
      <c r="R374" s="566"/>
      <c r="S374" s="566"/>
      <c r="T374" s="566"/>
      <c r="U374" s="566"/>
      <c r="V374" s="566"/>
      <c r="W374" s="566"/>
      <c r="X374" s="566"/>
      <c r="Y374" s="566"/>
    </row>
    <row r="375" spans="2:25" x14ac:dyDescent="0.25">
      <c r="B375" s="566"/>
      <c r="C375" s="566"/>
      <c r="D375" s="566"/>
      <c r="E375" s="566"/>
      <c r="F375" s="566"/>
      <c r="G375" s="566"/>
      <c r="H375" s="566"/>
      <c r="I375" s="566"/>
      <c r="J375" s="566"/>
      <c r="K375" s="566"/>
      <c r="L375" s="566"/>
      <c r="M375" s="566"/>
      <c r="N375" s="566"/>
      <c r="O375" s="566"/>
      <c r="P375" s="566"/>
      <c r="Q375" s="566"/>
      <c r="R375" s="566"/>
      <c r="S375" s="566"/>
      <c r="T375" s="566"/>
      <c r="U375" s="566"/>
      <c r="V375" s="566"/>
      <c r="W375" s="566"/>
      <c r="X375" s="566"/>
      <c r="Y375" s="566"/>
    </row>
    <row r="376" spans="2:25" x14ac:dyDescent="0.25">
      <c r="B376" s="566"/>
      <c r="C376" s="566"/>
      <c r="D376" s="566"/>
      <c r="E376" s="566"/>
      <c r="F376" s="566"/>
      <c r="G376" s="566"/>
      <c r="H376" s="566"/>
      <c r="I376" s="566"/>
      <c r="J376" s="566"/>
      <c r="K376" s="566"/>
      <c r="L376" s="566"/>
      <c r="M376" s="566"/>
      <c r="N376" s="566"/>
      <c r="O376" s="566"/>
      <c r="P376" s="566"/>
      <c r="Q376" s="566"/>
      <c r="R376" s="566"/>
      <c r="S376" s="566"/>
      <c r="T376" s="566"/>
      <c r="U376" s="566"/>
      <c r="V376" s="566"/>
      <c r="W376" s="566"/>
      <c r="X376" s="566"/>
      <c r="Y376" s="566"/>
    </row>
    <row r="377" spans="2:25" x14ac:dyDescent="0.25">
      <c r="B377" s="566"/>
      <c r="C377" s="566"/>
      <c r="D377" s="566"/>
      <c r="E377" s="566"/>
      <c r="F377" s="566"/>
      <c r="G377" s="566"/>
      <c r="H377" s="566"/>
      <c r="I377" s="566"/>
      <c r="J377" s="566"/>
      <c r="K377" s="566"/>
      <c r="L377" s="566"/>
      <c r="M377" s="566"/>
      <c r="N377" s="566"/>
      <c r="O377" s="566"/>
      <c r="P377" s="566"/>
      <c r="Q377" s="566"/>
      <c r="R377" s="566"/>
      <c r="S377" s="566"/>
      <c r="T377" s="566"/>
      <c r="U377" s="566"/>
      <c r="V377" s="566"/>
      <c r="W377" s="566"/>
      <c r="X377" s="566"/>
      <c r="Y377" s="566"/>
    </row>
    <row r="378" spans="2:25" x14ac:dyDescent="0.25">
      <c r="B378" s="566"/>
      <c r="C378" s="566"/>
      <c r="D378" s="566"/>
      <c r="E378" s="566"/>
      <c r="F378" s="566"/>
      <c r="G378" s="566"/>
      <c r="H378" s="566"/>
      <c r="I378" s="566"/>
      <c r="J378" s="566"/>
      <c r="K378" s="566"/>
      <c r="L378" s="566"/>
      <c r="M378" s="566"/>
      <c r="N378" s="566"/>
      <c r="O378" s="566"/>
      <c r="P378" s="566"/>
      <c r="Q378" s="566"/>
      <c r="R378" s="566"/>
      <c r="S378" s="566"/>
      <c r="T378" s="566"/>
      <c r="U378" s="566"/>
      <c r="V378" s="566"/>
      <c r="W378" s="566"/>
      <c r="X378" s="566"/>
      <c r="Y378" s="566"/>
    </row>
    <row r="379" spans="2:25" x14ac:dyDescent="0.25">
      <c r="B379" s="566"/>
      <c r="C379" s="566"/>
      <c r="D379" s="566"/>
      <c r="E379" s="566"/>
      <c r="F379" s="566"/>
      <c r="G379" s="566"/>
      <c r="H379" s="566"/>
      <c r="I379" s="566"/>
      <c r="J379" s="566"/>
      <c r="K379" s="566"/>
      <c r="L379" s="566"/>
      <c r="M379" s="566"/>
      <c r="N379" s="566"/>
      <c r="O379" s="566"/>
      <c r="P379" s="566"/>
      <c r="Q379" s="566"/>
      <c r="R379" s="566"/>
      <c r="S379" s="566"/>
      <c r="T379" s="566"/>
      <c r="U379" s="566"/>
      <c r="V379" s="566"/>
      <c r="W379" s="566"/>
      <c r="X379" s="566"/>
      <c r="Y379" s="566"/>
    </row>
    <row r="380" spans="2:25" x14ac:dyDescent="0.25">
      <c r="B380" s="566"/>
      <c r="C380" s="566"/>
      <c r="D380" s="566"/>
      <c r="E380" s="566"/>
      <c r="F380" s="566"/>
      <c r="G380" s="566"/>
      <c r="H380" s="566"/>
      <c r="I380" s="566"/>
      <c r="J380" s="566"/>
      <c r="K380" s="566"/>
      <c r="L380" s="566"/>
      <c r="M380" s="566"/>
      <c r="N380" s="566"/>
      <c r="O380" s="566"/>
      <c r="P380" s="566"/>
      <c r="Q380" s="566"/>
      <c r="R380" s="566"/>
      <c r="S380" s="566"/>
      <c r="T380" s="566"/>
      <c r="U380" s="566"/>
      <c r="V380" s="566"/>
      <c r="W380" s="566"/>
      <c r="X380" s="566"/>
      <c r="Y380" s="566"/>
    </row>
    <row r="381" spans="2:25" x14ac:dyDescent="0.25">
      <c r="B381" s="566"/>
      <c r="C381" s="566"/>
      <c r="D381" s="566"/>
      <c r="E381" s="566"/>
      <c r="F381" s="566"/>
      <c r="G381" s="566"/>
      <c r="H381" s="566"/>
      <c r="I381" s="566"/>
      <c r="J381" s="566"/>
      <c r="K381" s="566"/>
      <c r="L381" s="566"/>
      <c r="M381" s="566"/>
      <c r="N381" s="566"/>
      <c r="O381" s="566"/>
      <c r="P381" s="566"/>
      <c r="Q381" s="566"/>
      <c r="R381" s="566"/>
      <c r="S381" s="566"/>
      <c r="T381" s="566"/>
      <c r="U381" s="566"/>
      <c r="V381" s="566"/>
      <c r="W381" s="566"/>
      <c r="X381" s="566"/>
      <c r="Y381" s="566"/>
    </row>
    <row r="382" spans="2:25" x14ac:dyDescent="0.25">
      <c r="B382" s="566"/>
      <c r="C382" s="566"/>
      <c r="D382" s="566"/>
      <c r="E382" s="566"/>
      <c r="F382" s="566"/>
      <c r="G382" s="566"/>
      <c r="H382" s="566"/>
      <c r="I382" s="566"/>
      <c r="J382" s="566"/>
      <c r="K382" s="566"/>
      <c r="L382" s="566"/>
      <c r="M382" s="566"/>
      <c r="N382" s="566"/>
      <c r="O382" s="566"/>
      <c r="P382" s="566"/>
      <c r="Q382" s="566"/>
      <c r="R382" s="566"/>
      <c r="S382" s="566"/>
      <c r="T382" s="566"/>
      <c r="U382" s="566"/>
      <c r="V382" s="566"/>
      <c r="W382" s="566"/>
      <c r="X382" s="566"/>
      <c r="Y382" s="566"/>
    </row>
    <row r="383" spans="2:25" x14ac:dyDescent="0.25">
      <c r="B383" s="566"/>
      <c r="C383" s="566"/>
      <c r="D383" s="566"/>
      <c r="E383" s="566"/>
      <c r="F383" s="566"/>
      <c r="G383" s="566"/>
      <c r="H383" s="566"/>
      <c r="I383" s="566"/>
      <c r="J383" s="566"/>
      <c r="K383" s="566"/>
      <c r="L383" s="566"/>
      <c r="M383" s="566"/>
      <c r="N383" s="566"/>
      <c r="O383" s="566"/>
      <c r="P383" s="566"/>
      <c r="Q383" s="566"/>
      <c r="R383" s="566"/>
      <c r="S383" s="566"/>
      <c r="T383" s="566"/>
      <c r="U383" s="566"/>
      <c r="V383" s="566"/>
      <c r="W383" s="566"/>
      <c r="X383" s="566"/>
      <c r="Y383" s="566"/>
    </row>
    <row r="384" spans="2:25" x14ac:dyDescent="0.25">
      <c r="B384" s="566"/>
      <c r="C384" s="566"/>
      <c r="D384" s="566"/>
      <c r="E384" s="566"/>
      <c r="F384" s="566"/>
      <c r="G384" s="566"/>
      <c r="H384" s="566"/>
      <c r="I384" s="566"/>
      <c r="J384" s="566"/>
      <c r="K384" s="566"/>
      <c r="L384" s="566"/>
      <c r="M384" s="566"/>
      <c r="N384" s="566"/>
      <c r="O384" s="566"/>
      <c r="P384" s="566"/>
      <c r="Q384" s="566"/>
      <c r="R384" s="566"/>
      <c r="S384" s="566"/>
      <c r="T384" s="566"/>
      <c r="U384" s="566"/>
      <c r="V384" s="566"/>
      <c r="W384" s="566"/>
      <c r="X384" s="566"/>
      <c r="Y384" s="566"/>
    </row>
    <row r="385" spans="2:25" x14ac:dyDescent="0.25">
      <c r="B385" s="566"/>
      <c r="C385" s="566"/>
      <c r="D385" s="566"/>
      <c r="E385" s="566"/>
      <c r="F385" s="566"/>
      <c r="G385" s="566"/>
      <c r="H385" s="566"/>
      <c r="I385" s="566"/>
      <c r="J385" s="566"/>
      <c r="K385" s="566"/>
      <c r="L385" s="566"/>
      <c r="M385" s="566"/>
      <c r="N385" s="566"/>
      <c r="O385" s="566"/>
      <c r="P385" s="566"/>
      <c r="Q385" s="566"/>
      <c r="R385" s="566"/>
      <c r="S385" s="566"/>
      <c r="T385" s="566"/>
      <c r="U385" s="566"/>
      <c r="V385" s="566"/>
      <c r="W385" s="566"/>
      <c r="X385" s="566"/>
      <c r="Y385" s="566"/>
    </row>
    <row r="386" spans="2:25" x14ac:dyDescent="0.25">
      <c r="B386" s="566"/>
      <c r="C386" s="566"/>
      <c r="D386" s="566"/>
      <c r="E386" s="566"/>
      <c r="F386" s="566"/>
      <c r="G386" s="566"/>
      <c r="H386" s="566"/>
      <c r="I386" s="566"/>
      <c r="J386" s="566"/>
      <c r="K386" s="566"/>
      <c r="L386" s="566"/>
      <c r="M386" s="566"/>
      <c r="N386" s="566"/>
      <c r="O386" s="566"/>
      <c r="P386" s="566"/>
      <c r="Q386" s="566"/>
      <c r="R386" s="566"/>
      <c r="S386" s="566"/>
      <c r="T386" s="566"/>
      <c r="U386" s="566"/>
      <c r="V386" s="566"/>
      <c r="W386" s="566"/>
      <c r="X386" s="566"/>
      <c r="Y386" s="566"/>
    </row>
    <row r="387" spans="2:25" x14ac:dyDescent="0.25">
      <c r="B387" s="566"/>
      <c r="C387" s="566"/>
      <c r="D387" s="566"/>
      <c r="E387" s="566"/>
      <c r="F387" s="566"/>
      <c r="G387" s="566"/>
      <c r="H387" s="566"/>
      <c r="I387" s="566"/>
      <c r="J387" s="566"/>
      <c r="K387" s="566"/>
      <c r="L387" s="566"/>
      <c r="M387" s="566"/>
      <c r="N387" s="566"/>
      <c r="O387" s="566"/>
      <c r="P387" s="566"/>
      <c r="Q387" s="566"/>
      <c r="R387" s="566"/>
      <c r="S387" s="566"/>
      <c r="T387" s="566"/>
      <c r="U387" s="566"/>
      <c r="V387" s="566"/>
      <c r="W387" s="566"/>
      <c r="X387" s="566"/>
      <c r="Y387" s="566"/>
    </row>
    <row r="388" spans="2:25" x14ac:dyDescent="0.25">
      <c r="B388" s="566"/>
      <c r="C388" s="566"/>
      <c r="D388" s="566"/>
      <c r="E388" s="566"/>
      <c r="F388" s="566"/>
      <c r="G388" s="566"/>
      <c r="H388" s="566"/>
      <c r="I388" s="566"/>
      <c r="J388" s="566"/>
      <c r="K388" s="566"/>
      <c r="L388" s="566"/>
      <c r="M388" s="566"/>
      <c r="N388" s="566"/>
      <c r="O388" s="566"/>
      <c r="P388" s="566"/>
      <c r="Q388" s="566"/>
      <c r="R388" s="566"/>
      <c r="S388" s="566"/>
      <c r="T388" s="566"/>
      <c r="U388" s="566"/>
      <c r="V388" s="566"/>
      <c r="W388" s="566"/>
      <c r="X388" s="566"/>
      <c r="Y388" s="566"/>
    </row>
    <row r="389" spans="2:25" x14ac:dyDescent="0.25">
      <c r="B389" s="566"/>
      <c r="C389" s="566"/>
      <c r="D389" s="566"/>
      <c r="E389" s="566"/>
      <c r="F389" s="566"/>
      <c r="G389" s="566"/>
      <c r="H389" s="566"/>
      <c r="I389" s="566"/>
      <c r="J389" s="566"/>
      <c r="K389" s="566"/>
      <c r="L389" s="566"/>
      <c r="M389" s="566"/>
      <c r="N389" s="566"/>
      <c r="O389" s="566"/>
      <c r="P389" s="566"/>
      <c r="Q389" s="566"/>
      <c r="R389" s="566"/>
      <c r="S389" s="566"/>
      <c r="T389" s="566"/>
      <c r="U389" s="566"/>
      <c r="V389" s="566"/>
      <c r="W389" s="566"/>
      <c r="X389" s="566"/>
      <c r="Y389" s="566"/>
    </row>
    <row r="390" spans="2:25" x14ac:dyDescent="0.25">
      <c r="B390" s="566"/>
      <c r="C390" s="566"/>
      <c r="D390" s="566"/>
      <c r="E390" s="566"/>
      <c r="F390" s="566"/>
      <c r="G390" s="566"/>
      <c r="H390" s="566"/>
      <c r="I390" s="566"/>
      <c r="J390" s="566"/>
      <c r="K390" s="566"/>
      <c r="L390" s="566"/>
      <c r="M390" s="566"/>
      <c r="N390" s="566"/>
      <c r="O390" s="566"/>
      <c r="P390" s="566"/>
      <c r="Q390" s="566"/>
      <c r="R390" s="566"/>
      <c r="S390" s="566"/>
      <c r="T390" s="566"/>
      <c r="U390" s="566"/>
      <c r="V390" s="566"/>
      <c r="W390" s="566"/>
      <c r="X390" s="566"/>
      <c r="Y390" s="566"/>
    </row>
    <row r="391" spans="2:25" x14ac:dyDescent="0.25">
      <c r="B391" s="566"/>
      <c r="C391" s="566"/>
      <c r="D391" s="566"/>
      <c r="E391" s="566"/>
      <c r="F391" s="566"/>
      <c r="G391" s="566"/>
      <c r="H391" s="566"/>
      <c r="I391" s="566"/>
      <c r="J391" s="566"/>
      <c r="K391" s="566"/>
      <c r="L391" s="566"/>
      <c r="M391" s="566"/>
      <c r="N391" s="566"/>
      <c r="O391" s="566"/>
      <c r="P391" s="566"/>
      <c r="Q391" s="566"/>
      <c r="R391" s="566"/>
      <c r="S391" s="566"/>
      <c r="T391" s="566"/>
      <c r="U391" s="566"/>
      <c r="V391" s="566"/>
      <c r="W391" s="566"/>
      <c r="X391" s="566"/>
      <c r="Y391" s="566"/>
    </row>
    <row r="392" spans="2:25" x14ac:dyDescent="0.25">
      <c r="B392" s="566"/>
      <c r="C392" s="566"/>
      <c r="D392" s="566"/>
      <c r="E392" s="566"/>
      <c r="F392" s="566"/>
      <c r="G392" s="566"/>
      <c r="H392" s="566"/>
      <c r="I392" s="566"/>
      <c r="J392" s="566"/>
      <c r="K392" s="566"/>
      <c r="L392" s="566"/>
      <c r="M392" s="566"/>
      <c r="N392" s="566"/>
      <c r="O392" s="566"/>
      <c r="P392" s="566"/>
      <c r="Q392" s="566"/>
      <c r="R392" s="566"/>
      <c r="S392" s="566"/>
      <c r="T392" s="566"/>
      <c r="U392" s="566"/>
      <c r="V392" s="566"/>
      <c r="W392" s="566"/>
      <c r="X392" s="566"/>
      <c r="Y392" s="566"/>
    </row>
    <row r="393" spans="2:25" x14ac:dyDescent="0.25">
      <c r="B393" s="566"/>
      <c r="C393" s="566"/>
      <c r="D393" s="566"/>
      <c r="E393" s="566"/>
      <c r="F393" s="566"/>
      <c r="G393" s="566"/>
      <c r="H393" s="566"/>
      <c r="I393" s="566"/>
      <c r="J393" s="566"/>
      <c r="K393" s="566"/>
      <c r="L393" s="566"/>
      <c r="M393" s="566"/>
      <c r="N393" s="566"/>
      <c r="O393" s="566"/>
      <c r="P393" s="566"/>
      <c r="Q393" s="566"/>
      <c r="R393" s="566"/>
      <c r="S393" s="566"/>
      <c r="T393" s="566"/>
      <c r="U393" s="566"/>
      <c r="V393" s="566"/>
      <c r="W393" s="566"/>
      <c r="X393" s="566"/>
      <c r="Y393" s="566"/>
    </row>
    <row r="394" spans="2:25" x14ac:dyDescent="0.25">
      <c r="B394" s="566"/>
      <c r="C394" s="566"/>
      <c r="D394" s="566"/>
      <c r="E394" s="566"/>
      <c r="F394" s="566"/>
      <c r="G394" s="566"/>
      <c r="H394" s="566"/>
      <c r="I394" s="566"/>
      <c r="J394" s="566"/>
      <c r="K394" s="566"/>
      <c r="L394" s="566"/>
      <c r="M394" s="566"/>
      <c r="N394" s="566"/>
      <c r="O394" s="566"/>
      <c r="P394" s="566"/>
      <c r="Q394" s="566"/>
      <c r="R394" s="566"/>
      <c r="S394" s="566"/>
      <c r="T394" s="566"/>
      <c r="U394" s="566"/>
      <c r="V394" s="566"/>
      <c r="W394" s="566"/>
      <c r="X394" s="566"/>
      <c r="Y394" s="566"/>
    </row>
    <row r="395" spans="2:25" x14ac:dyDescent="0.25">
      <c r="B395" s="566"/>
      <c r="C395" s="566"/>
      <c r="D395" s="566"/>
      <c r="E395" s="566"/>
      <c r="F395" s="566"/>
      <c r="G395" s="566"/>
      <c r="H395" s="566"/>
      <c r="I395" s="566"/>
      <c r="J395" s="566"/>
      <c r="K395" s="566"/>
      <c r="L395" s="566"/>
      <c r="M395" s="566"/>
      <c r="N395" s="566"/>
      <c r="O395" s="566"/>
      <c r="P395" s="566"/>
      <c r="Q395" s="566"/>
      <c r="R395" s="566"/>
      <c r="S395" s="566"/>
      <c r="T395" s="566"/>
      <c r="U395" s="566"/>
      <c r="V395" s="566"/>
      <c r="W395" s="566"/>
      <c r="X395" s="566"/>
      <c r="Y395" s="566"/>
    </row>
    <row r="396" spans="2:25" x14ac:dyDescent="0.25">
      <c r="B396" s="566"/>
      <c r="C396" s="566"/>
      <c r="D396" s="566"/>
      <c r="E396" s="566"/>
      <c r="F396" s="566"/>
      <c r="G396" s="566"/>
      <c r="H396" s="566"/>
      <c r="I396" s="566"/>
      <c r="J396" s="566"/>
      <c r="K396" s="566"/>
      <c r="L396" s="566"/>
      <c r="M396" s="566"/>
      <c r="N396" s="566"/>
      <c r="O396" s="566"/>
      <c r="P396" s="566"/>
      <c r="Q396" s="566"/>
      <c r="R396" s="566"/>
      <c r="S396" s="566"/>
      <c r="T396" s="566"/>
      <c r="U396" s="566"/>
      <c r="V396" s="566"/>
      <c r="W396" s="566"/>
      <c r="X396" s="566"/>
      <c r="Y396" s="566"/>
    </row>
    <row r="397" spans="2:25" x14ac:dyDescent="0.25">
      <c r="B397" s="566"/>
      <c r="C397" s="566"/>
      <c r="D397" s="566"/>
      <c r="E397" s="566"/>
      <c r="F397" s="566"/>
      <c r="G397" s="566"/>
      <c r="H397" s="566"/>
      <c r="I397" s="566"/>
      <c r="J397" s="566"/>
      <c r="K397" s="566"/>
      <c r="L397" s="566"/>
      <c r="M397" s="566"/>
      <c r="N397" s="566"/>
      <c r="O397" s="566"/>
      <c r="P397" s="566"/>
      <c r="Q397" s="566"/>
      <c r="R397" s="566"/>
      <c r="S397" s="566"/>
      <c r="T397" s="566"/>
      <c r="U397" s="566"/>
      <c r="V397" s="566"/>
      <c r="W397" s="566"/>
      <c r="X397" s="566"/>
      <c r="Y397" s="566"/>
    </row>
    <row r="398" spans="2:25" x14ac:dyDescent="0.25">
      <c r="B398" s="566"/>
      <c r="C398" s="566"/>
      <c r="D398" s="566"/>
      <c r="E398" s="566"/>
      <c r="F398" s="566"/>
      <c r="G398" s="566"/>
      <c r="H398" s="566"/>
      <c r="I398" s="566"/>
      <c r="J398" s="566"/>
      <c r="K398" s="566"/>
      <c r="L398" s="566"/>
      <c r="M398" s="566"/>
      <c r="N398" s="566"/>
      <c r="O398" s="566"/>
      <c r="P398" s="566"/>
      <c r="Q398" s="566"/>
      <c r="R398" s="566"/>
      <c r="S398" s="566"/>
      <c r="T398" s="566"/>
      <c r="U398" s="566"/>
      <c r="V398" s="566"/>
      <c r="W398" s="566"/>
      <c r="X398" s="566"/>
      <c r="Y398" s="566"/>
    </row>
    <row r="399" spans="2:25" x14ac:dyDescent="0.25">
      <c r="B399" s="566"/>
      <c r="C399" s="566"/>
      <c r="D399" s="566"/>
      <c r="E399" s="566"/>
      <c r="F399" s="566"/>
      <c r="G399" s="566"/>
      <c r="H399" s="566"/>
      <c r="I399" s="566"/>
      <c r="J399" s="566"/>
      <c r="K399" s="566"/>
      <c r="L399" s="566"/>
      <c r="M399" s="566"/>
      <c r="N399" s="566"/>
      <c r="O399" s="566"/>
      <c r="P399" s="566"/>
      <c r="Q399" s="566"/>
      <c r="R399" s="566"/>
      <c r="S399" s="566"/>
      <c r="T399" s="566"/>
      <c r="U399" s="566"/>
      <c r="V399" s="566"/>
      <c r="W399" s="566"/>
      <c r="X399" s="566"/>
      <c r="Y399" s="566"/>
    </row>
    <row r="400" spans="2:25" x14ac:dyDescent="0.25">
      <c r="B400" s="566"/>
      <c r="C400" s="566"/>
      <c r="D400" s="566"/>
      <c r="E400" s="566"/>
      <c r="F400" s="566"/>
      <c r="G400" s="566"/>
      <c r="H400" s="566"/>
      <c r="I400" s="566"/>
      <c r="J400" s="566"/>
      <c r="K400" s="566"/>
      <c r="L400" s="566"/>
      <c r="M400" s="566"/>
      <c r="N400" s="566"/>
      <c r="O400" s="566"/>
      <c r="P400" s="566"/>
      <c r="Q400" s="566"/>
      <c r="R400" s="566"/>
      <c r="S400" s="566"/>
      <c r="T400" s="566"/>
      <c r="U400" s="566"/>
      <c r="V400" s="566"/>
      <c r="W400" s="566"/>
      <c r="X400" s="566"/>
      <c r="Y400" s="566"/>
    </row>
    <row r="401" spans="2:25" x14ac:dyDescent="0.25">
      <c r="B401" s="566"/>
      <c r="C401" s="566"/>
      <c r="D401" s="566"/>
      <c r="E401" s="566"/>
      <c r="F401" s="566"/>
      <c r="G401" s="566"/>
      <c r="H401" s="566"/>
      <c r="I401" s="566"/>
      <c r="J401" s="566"/>
      <c r="K401" s="566"/>
      <c r="L401" s="566"/>
      <c r="M401" s="566"/>
      <c r="N401" s="566"/>
      <c r="O401" s="566"/>
      <c r="P401" s="566"/>
      <c r="Q401" s="566"/>
      <c r="R401" s="566"/>
      <c r="S401" s="566"/>
      <c r="T401" s="566"/>
      <c r="U401" s="566"/>
      <c r="V401" s="566"/>
      <c r="W401" s="566"/>
      <c r="X401" s="566"/>
      <c r="Y401" s="566"/>
    </row>
    <row r="402" spans="2:25" x14ac:dyDescent="0.25">
      <c r="B402" s="566"/>
      <c r="C402" s="566"/>
      <c r="D402" s="566"/>
      <c r="E402" s="566"/>
      <c r="F402" s="566"/>
      <c r="G402" s="566"/>
      <c r="H402" s="566"/>
      <c r="I402" s="566"/>
      <c r="J402" s="566"/>
      <c r="K402" s="566"/>
      <c r="L402" s="566"/>
      <c r="M402" s="566"/>
      <c r="N402" s="566"/>
      <c r="O402" s="566"/>
      <c r="P402" s="566"/>
      <c r="Q402" s="566"/>
      <c r="R402" s="566"/>
      <c r="S402" s="566"/>
      <c r="T402" s="566"/>
      <c r="U402" s="566"/>
      <c r="V402" s="566"/>
      <c r="W402" s="566"/>
      <c r="X402" s="566"/>
      <c r="Y402" s="566"/>
    </row>
    <row r="403" spans="2:25" x14ac:dyDescent="0.25">
      <c r="B403" s="566"/>
      <c r="C403" s="566"/>
      <c r="D403" s="566"/>
      <c r="E403" s="566"/>
      <c r="F403" s="566"/>
      <c r="G403" s="566"/>
      <c r="H403" s="566"/>
      <c r="I403" s="566"/>
      <c r="J403" s="566"/>
      <c r="K403" s="566"/>
      <c r="L403" s="566"/>
      <c r="M403" s="566"/>
      <c r="N403" s="566"/>
      <c r="O403" s="566"/>
      <c r="P403" s="566"/>
      <c r="Q403" s="566"/>
      <c r="R403" s="566"/>
      <c r="S403" s="566"/>
      <c r="T403" s="566"/>
      <c r="U403" s="566"/>
      <c r="V403" s="566"/>
      <c r="W403" s="566"/>
      <c r="X403" s="566"/>
      <c r="Y403" s="566"/>
    </row>
    <row r="404" spans="2:25" x14ac:dyDescent="0.25">
      <c r="B404" s="566"/>
      <c r="C404" s="566"/>
      <c r="D404" s="566"/>
      <c r="E404" s="566"/>
      <c r="F404" s="566"/>
      <c r="G404" s="566"/>
      <c r="H404" s="566"/>
      <c r="I404" s="566"/>
      <c r="J404" s="566"/>
      <c r="K404" s="566"/>
      <c r="L404" s="566"/>
      <c r="M404" s="566"/>
      <c r="N404" s="566"/>
      <c r="O404" s="566"/>
      <c r="P404" s="566"/>
      <c r="Q404" s="566"/>
      <c r="R404" s="566"/>
      <c r="S404" s="566"/>
      <c r="T404" s="566"/>
      <c r="U404" s="566"/>
      <c r="V404" s="566"/>
      <c r="W404" s="566"/>
      <c r="X404" s="566"/>
      <c r="Y404" s="566"/>
    </row>
    <row r="405" spans="2:25" x14ac:dyDescent="0.25">
      <c r="B405" s="566"/>
      <c r="C405" s="566"/>
      <c r="D405" s="566"/>
      <c r="E405" s="566"/>
      <c r="F405" s="566"/>
      <c r="G405" s="566"/>
      <c r="H405" s="566"/>
      <c r="I405" s="566"/>
      <c r="J405" s="566"/>
      <c r="K405" s="566"/>
      <c r="L405" s="566"/>
      <c r="M405" s="566"/>
      <c r="N405" s="566"/>
      <c r="O405" s="566"/>
      <c r="P405" s="566"/>
      <c r="Q405" s="566"/>
      <c r="R405" s="566"/>
      <c r="S405" s="566"/>
      <c r="T405" s="566"/>
      <c r="U405" s="566"/>
      <c r="V405" s="566"/>
      <c r="W405" s="566"/>
      <c r="X405" s="566"/>
      <c r="Y405" s="566"/>
    </row>
    <row r="406" spans="2:25" x14ac:dyDescent="0.25">
      <c r="B406" s="566"/>
      <c r="C406" s="566"/>
      <c r="D406" s="566"/>
      <c r="E406" s="566"/>
      <c r="F406" s="566"/>
      <c r="G406" s="566"/>
      <c r="H406" s="566"/>
      <c r="I406" s="566"/>
      <c r="J406" s="566"/>
      <c r="K406" s="566"/>
      <c r="L406" s="566"/>
      <c r="M406" s="566"/>
      <c r="N406" s="566"/>
      <c r="O406" s="566"/>
      <c r="P406" s="566"/>
      <c r="Q406" s="566"/>
      <c r="R406" s="566"/>
      <c r="S406" s="566"/>
      <c r="T406" s="566"/>
      <c r="U406" s="566"/>
      <c r="V406" s="566"/>
      <c r="W406" s="566"/>
      <c r="X406" s="566"/>
      <c r="Y406" s="566"/>
    </row>
    <row r="407" spans="2:25" x14ac:dyDescent="0.25">
      <c r="B407" s="566"/>
      <c r="C407" s="566"/>
      <c r="D407" s="566"/>
      <c r="E407" s="566"/>
      <c r="F407" s="566"/>
      <c r="G407" s="566"/>
      <c r="H407" s="566"/>
      <c r="I407" s="566"/>
      <c r="J407" s="566"/>
      <c r="K407" s="566"/>
      <c r="L407" s="566"/>
      <c r="M407" s="566"/>
      <c r="N407" s="566"/>
      <c r="O407" s="566"/>
      <c r="P407" s="566"/>
      <c r="Q407" s="566"/>
      <c r="R407" s="566"/>
      <c r="S407" s="566"/>
      <c r="T407" s="566"/>
      <c r="U407" s="566"/>
      <c r="V407" s="566"/>
      <c r="W407" s="566"/>
      <c r="X407" s="566"/>
      <c r="Y407" s="566"/>
    </row>
    <row r="408" spans="2:25" x14ac:dyDescent="0.25">
      <c r="B408" s="566"/>
      <c r="C408" s="566"/>
      <c r="D408" s="566"/>
      <c r="E408" s="566"/>
      <c r="F408" s="566"/>
      <c r="G408" s="566"/>
      <c r="H408" s="566"/>
      <c r="I408" s="566"/>
      <c r="J408" s="566"/>
      <c r="K408" s="566"/>
      <c r="L408" s="566"/>
      <c r="M408" s="566"/>
      <c r="N408" s="566"/>
      <c r="O408" s="566"/>
      <c r="P408" s="566"/>
      <c r="Q408" s="566"/>
      <c r="R408" s="566"/>
      <c r="S408" s="566"/>
      <c r="T408" s="566"/>
      <c r="U408" s="566"/>
      <c r="V408" s="566"/>
      <c r="W408" s="566"/>
      <c r="X408" s="566"/>
      <c r="Y408" s="566"/>
    </row>
    <row r="409" spans="2:25" x14ac:dyDescent="0.25">
      <c r="B409" s="566"/>
      <c r="C409" s="566"/>
      <c r="D409" s="566"/>
      <c r="E409" s="566"/>
      <c r="F409" s="566"/>
      <c r="G409" s="566"/>
      <c r="H409" s="566"/>
      <c r="I409" s="566"/>
      <c r="J409" s="566"/>
      <c r="K409" s="566"/>
      <c r="L409" s="566"/>
      <c r="M409" s="566"/>
      <c r="N409" s="566"/>
      <c r="O409" s="566"/>
      <c r="P409" s="566"/>
      <c r="Q409" s="566"/>
      <c r="R409" s="566"/>
      <c r="S409" s="566"/>
      <c r="T409" s="566"/>
      <c r="U409" s="566"/>
      <c r="V409" s="566"/>
      <c r="W409" s="566"/>
      <c r="X409" s="566"/>
      <c r="Y409" s="566"/>
    </row>
    <row r="410" spans="2:25" x14ac:dyDescent="0.25">
      <c r="B410" s="566"/>
      <c r="C410" s="566"/>
      <c r="D410" s="566"/>
      <c r="E410" s="566"/>
      <c r="F410" s="566"/>
      <c r="G410" s="566"/>
      <c r="H410" s="566"/>
      <c r="I410" s="566"/>
      <c r="J410" s="566"/>
      <c r="K410" s="566"/>
      <c r="L410" s="566"/>
      <c r="M410" s="566"/>
      <c r="N410" s="566"/>
      <c r="O410" s="566"/>
      <c r="P410" s="566"/>
      <c r="Q410" s="566"/>
      <c r="R410" s="566"/>
      <c r="S410" s="566"/>
      <c r="T410" s="566"/>
      <c r="U410" s="566"/>
      <c r="V410" s="566"/>
      <c r="W410" s="566"/>
      <c r="X410" s="566"/>
      <c r="Y410" s="566"/>
    </row>
    <row r="411" spans="2:25" x14ac:dyDescent="0.25">
      <c r="B411" s="566"/>
      <c r="C411" s="566"/>
      <c r="D411" s="566"/>
      <c r="E411" s="566"/>
      <c r="F411" s="566"/>
      <c r="G411" s="566"/>
      <c r="H411" s="566"/>
      <c r="I411" s="566"/>
      <c r="J411" s="566"/>
      <c r="K411" s="566"/>
      <c r="L411" s="566"/>
      <c r="M411" s="566"/>
      <c r="N411" s="566"/>
      <c r="O411" s="566"/>
      <c r="P411" s="566"/>
      <c r="Q411" s="566"/>
      <c r="R411" s="566"/>
      <c r="S411" s="566"/>
      <c r="T411" s="566"/>
      <c r="U411" s="566"/>
      <c r="V411" s="566"/>
      <c r="W411" s="566"/>
      <c r="X411" s="566"/>
      <c r="Y411" s="566"/>
    </row>
    <row r="412" spans="2:25" x14ac:dyDescent="0.25">
      <c r="B412" s="566"/>
      <c r="C412" s="566"/>
      <c r="D412" s="566"/>
      <c r="E412" s="566"/>
      <c r="F412" s="566"/>
      <c r="G412" s="566"/>
      <c r="H412" s="566"/>
      <c r="I412" s="566"/>
      <c r="J412" s="566"/>
      <c r="K412" s="566"/>
      <c r="L412" s="566"/>
      <c r="M412" s="566"/>
      <c r="N412" s="566"/>
      <c r="O412" s="566"/>
      <c r="P412" s="566"/>
      <c r="Q412" s="566"/>
      <c r="R412" s="566"/>
      <c r="S412" s="566"/>
      <c r="T412" s="566"/>
      <c r="U412" s="566"/>
      <c r="V412" s="566"/>
      <c r="W412" s="566"/>
      <c r="X412" s="566"/>
      <c r="Y412" s="566"/>
    </row>
    <row r="413" spans="2:25" x14ac:dyDescent="0.25">
      <c r="B413" s="566"/>
      <c r="C413" s="566"/>
      <c r="D413" s="566"/>
      <c r="E413" s="566"/>
      <c r="F413" s="566"/>
      <c r="G413" s="566"/>
      <c r="H413" s="566"/>
      <c r="I413" s="566"/>
      <c r="J413" s="566"/>
      <c r="K413" s="566"/>
      <c r="L413" s="566"/>
      <c r="M413" s="566"/>
      <c r="N413" s="566"/>
      <c r="O413" s="566"/>
      <c r="P413" s="566"/>
      <c r="Q413" s="566"/>
      <c r="R413" s="566"/>
      <c r="S413" s="566"/>
      <c r="T413" s="566"/>
      <c r="U413" s="566"/>
      <c r="V413" s="566"/>
      <c r="W413" s="566"/>
      <c r="X413" s="566"/>
      <c r="Y413" s="566"/>
    </row>
    <row r="414" spans="2:25" x14ac:dyDescent="0.25">
      <c r="B414" s="566"/>
      <c r="C414" s="566"/>
      <c r="D414" s="566"/>
      <c r="E414" s="566"/>
      <c r="F414" s="566"/>
      <c r="G414" s="566"/>
      <c r="H414" s="566"/>
      <c r="I414" s="566"/>
      <c r="J414" s="566"/>
      <c r="K414" s="566"/>
      <c r="L414" s="566"/>
      <c r="M414" s="566"/>
      <c r="N414" s="566"/>
      <c r="O414" s="566"/>
      <c r="P414" s="566"/>
      <c r="Q414" s="566"/>
      <c r="R414" s="566"/>
      <c r="S414" s="566"/>
      <c r="T414" s="566"/>
      <c r="U414" s="566"/>
      <c r="V414" s="566"/>
      <c r="W414" s="566"/>
      <c r="X414" s="566"/>
      <c r="Y414" s="566"/>
    </row>
    <row r="415" spans="2:25" x14ac:dyDescent="0.25">
      <c r="B415" s="566"/>
      <c r="C415" s="566"/>
      <c r="D415" s="566"/>
      <c r="E415" s="566"/>
      <c r="F415" s="566"/>
      <c r="G415" s="566"/>
      <c r="H415" s="566"/>
      <c r="I415" s="566"/>
      <c r="J415" s="566"/>
      <c r="K415" s="566"/>
      <c r="L415" s="566"/>
      <c r="M415" s="566"/>
      <c r="N415" s="566"/>
      <c r="O415" s="566"/>
      <c r="P415" s="566"/>
      <c r="Q415" s="566"/>
      <c r="R415" s="566"/>
      <c r="S415" s="566"/>
      <c r="T415" s="566"/>
      <c r="U415" s="566"/>
      <c r="V415" s="566"/>
      <c r="W415" s="566"/>
      <c r="X415" s="566"/>
      <c r="Y415" s="566"/>
    </row>
    <row r="416" spans="2:25" x14ac:dyDescent="0.25">
      <c r="B416" s="566"/>
      <c r="C416" s="566"/>
      <c r="D416" s="566"/>
      <c r="E416" s="566"/>
      <c r="F416" s="566"/>
      <c r="G416" s="566"/>
      <c r="H416" s="566"/>
      <c r="I416" s="566"/>
      <c r="J416" s="566"/>
      <c r="K416" s="566"/>
      <c r="L416" s="566"/>
      <c r="M416" s="566"/>
      <c r="N416" s="566"/>
      <c r="O416" s="566"/>
      <c r="P416" s="566"/>
      <c r="Q416" s="566"/>
      <c r="R416" s="566"/>
      <c r="S416" s="566"/>
      <c r="T416" s="566"/>
      <c r="U416" s="566"/>
      <c r="V416" s="566"/>
      <c r="W416" s="566"/>
      <c r="X416" s="566"/>
      <c r="Y416" s="566"/>
    </row>
    <row r="417" spans="2:25" x14ac:dyDescent="0.25">
      <c r="B417" s="566"/>
      <c r="C417" s="566"/>
      <c r="D417" s="566"/>
      <c r="E417" s="566"/>
      <c r="F417" s="566"/>
      <c r="G417" s="566"/>
      <c r="H417" s="566"/>
      <c r="I417" s="566"/>
      <c r="J417" s="566"/>
      <c r="K417" s="566"/>
      <c r="L417" s="566"/>
      <c r="M417" s="566"/>
      <c r="N417" s="566"/>
      <c r="O417" s="566"/>
      <c r="P417" s="566"/>
      <c r="Q417" s="566"/>
      <c r="R417" s="566"/>
      <c r="S417" s="566"/>
      <c r="T417" s="566"/>
      <c r="U417" s="566"/>
      <c r="V417" s="566"/>
      <c r="W417" s="566"/>
      <c r="X417" s="566"/>
      <c r="Y417" s="566"/>
    </row>
    <row r="418" spans="2:25" x14ac:dyDescent="0.25">
      <c r="B418" s="566"/>
      <c r="C418" s="566"/>
      <c r="D418" s="566"/>
      <c r="E418" s="566"/>
      <c r="F418" s="566"/>
      <c r="G418" s="566"/>
      <c r="H418" s="566"/>
      <c r="I418" s="566"/>
      <c r="J418" s="566"/>
      <c r="K418" s="566"/>
      <c r="L418" s="566"/>
      <c r="M418" s="566"/>
      <c r="N418" s="566"/>
      <c r="O418" s="566"/>
      <c r="P418" s="566"/>
      <c r="Q418" s="566"/>
      <c r="R418" s="566"/>
      <c r="S418" s="566"/>
      <c r="T418" s="566"/>
      <c r="U418" s="566"/>
      <c r="V418" s="566"/>
      <c r="W418" s="566"/>
      <c r="X418" s="566"/>
      <c r="Y418" s="566"/>
    </row>
    <row r="419" spans="2:25" x14ac:dyDescent="0.25">
      <c r="B419" s="566"/>
      <c r="C419" s="566"/>
      <c r="D419" s="566"/>
      <c r="E419" s="566"/>
      <c r="F419" s="566"/>
      <c r="G419" s="566"/>
      <c r="H419" s="566"/>
      <c r="I419" s="566"/>
      <c r="J419" s="566"/>
      <c r="K419" s="566"/>
      <c r="L419" s="566"/>
      <c r="M419" s="566"/>
      <c r="N419" s="566"/>
      <c r="O419" s="566"/>
      <c r="P419" s="566"/>
      <c r="Q419" s="566"/>
      <c r="R419" s="566"/>
      <c r="S419" s="566"/>
      <c r="T419" s="566"/>
      <c r="U419" s="566"/>
      <c r="V419" s="566"/>
      <c r="W419" s="566"/>
      <c r="X419" s="566"/>
      <c r="Y419" s="566"/>
    </row>
    <row r="420" spans="2:25" x14ac:dyDescent="0.25">
      <c r="B420" s="566"/>
      <c r="C420" s="566"/>
      <c r="D420" s="566"/>
      <c r="E420" s="566"/>
      <c r="F420" s="566"/>
      <c r="G420" s="566"/>
      <c r="H420" s="566"/>
      <c r="I420" s="566"/>
      <c r="J420" s="566"/>
      <c r="K420" s="566"/>
      <c r="L420" s="566"/>
      <c r="M420" s="566"/>
      <c r="N420" s="566"/>
      <c r="O420" s="566"/>
      <c r="P420" s="566"/>
      <c r="Q420" s="566"/>
      <c r="R420" s="566"/>
      <c r="S420" s="566"/>
      <c r="T420" s="566"/>
      <c r="U420" s="566"/>
      <c r="V420" s="566"/>
      <c r="W420" s="566"/>
      <c r="X420" s="566"/>
      <c r="Y420" s="566"/>
    </row>
    <row r="421" spans="2:25" x14ac:dyDescent="0.25">
      <c r="B421" s="566"/>
      <c r="C421" s="566"/>
      <c r="D421" s="566"/>
      <c r="E421" s="566"/>
      <c r="F421" s="566"/>
      <c r="G421" s="566"/>
      <c r="H421" s="566"/>
      <c r="I421" s="566"/>
      <c r="J421" s="566"/>
      <c r="K421" s="566"/>
      <c r="L421" s="566"/>
      <c r="M421" s="566"/>
      <c r="N421" s="566"/>
      <c r="O421" s="566"/>
      <c r="P421" s="566"/>
      <c r="Q421" s="566"/>
      <c r="R421" s="566"/>
      <c r="S421" s="566"/>
      <c r="T421" s="566"/>
      <c r="U421" s="566"/>
      <c r="V421" s="566"/>
      <c r="W421" s="566"/>
      <c r="X421" s="566"/>
      <c r="Y421" s="566"/>
    </row>
    <row r="422" spans="2:25" x14ac:dyDescent="0.25">
      <c r="B422" s="566"/>
      <c r="C422" s="566"/>
      <c r="D422" s="566"/>
      <c r="E422" s="566"/>
      <c r="F422" s="566"/>
      <c r="G422" s="566"/>
      <c r="H422" s="566"/>
      <c r="I422" s="566"/>
      <c r="J422" s="566"/>
      <c r="K422" s="566"/>
      <c r="L422" s="566"/>
      <c r="M422" s="566"/>
      <c r="N422" s="566"/>
      <c r="O422" s="566"/>
      <c r="P422" s="566"/>
      <c r="Q422" s="566"/>
      <c r="R422" s="566"/>
      <c r="S422" s="566"/>
      <c r="T422" s="566"/>
      <c r="U422" s="566"/>
      <c r="V422" s="566"/>
      <c r="W422" s="566"/>
      <c r="X422" s="566"/>
      <c r="Y422" s="566"/>
    </row>
    <row r="423" spans="2:25" x14ac:dyDescent="0.25">
      <c r="B423" s="566"/>
      <c r="C423" s="566"/>
      <c r="D423" s="566"/>
      <c r="E423" s="566"/>
      <c r="F423" s="566"/>
      <c r="G423" s="566"/>
      <c r="H423" s="566"/>
      <c r="I423" s="566"/>
      <c r="J423" s="566"/>
      <c r="K423" s="566"/>
      <c r="L423" s="566"/>
      <c r="M423" s="566"/>
      <c r="N423" s="566"/>
      <c r="O423" s="566"/>
      <c r="P423" s="566"/>
      <c r="Q423" s="566"/>
      <c r="R423" s="566"/>
      <c r="S423" s="566"/>
      <c r="T423" s="566"/>
      <c r="U423" s="566"/>
      <c r="V423" s="566"/>
      <c r="W423" s="566"/>
      <c r="X423" s="566"/>
      <c r="Y423" s="566"/>
    </row>
    <row r="424" spans="2:25" x14ac:dyDescent="0.25">
      <c r="B424" s="566"/>
      <c r="C424" s="566"/>
      <c r="D424" s="566"/>
      <c r="E424" s="566"/>
      <c r="F424" s="566"/>
      <c r="G424" s="566"/>
      <c r="H424" s="566"/>
      <c r="I424" s="566"/>
      <c r="J424" s="566"/>
      <c r="K424" s="566"/>
      <c r="L424" s="566"/>
      <c r="M424" s="566"/>
      <c r="N424" s="566"/>
      <c r="O424" s="566"/>
      <c r="P424" s="566"/>
      <c r="Q424" s="566"/>
      <c r="R424" s="566"/>
      <c r="S424" s="566"/>
      <c r="T424" s="566"/>
      <c r="U424" s="566"/>
      <c r="V424" s="566"/>
      <c r="W424" s="566"/>
      <c r="X424" s="566"/>
      <c r="Y424" s="566"/>
    </row>
    <row r="425" spans="2:25" x14ac:dyDescent="0.25">
      <c r="B425" s="566"/>
      <c r="C425" s="566"/>
      <c r="D425" s="566"/>
      <c r="E425" s="566"/>
      <c r="F425" s="566"/>
      <c r="G425" s="566"/>
      <c r="H425" s="566"/>
      <c r="I425" s="566"/>
      <c r="J425" s="566"/>
      <c r="K425" s="566"/>
      <c r="L425" s="566"/>
      <c r="M425" s="566"/>
      <c r="N425" s="566"/>
      <c r="O425" s="566"/>
      <c r="P425" s="566"/>
      <c r="Q425" s="566"/>
      <c r="R425" s="566"/>
      <c r="S425" s="566"/>
      <c r="T425" s="566"/>
      <c r="U425" s="566"/>
      <c r="V425" s="566"/>
      <c r="W425" s="566"/>
      <c r="X425" s="566"/>
      <c r="Y425" s="566"/>
    </row>
    <row r="426" spans="2:25" x14ac:dyDescent="0.25">
      <c r="B426" s="566"/>
      <c r="C426" s="566"/>
      <c r="D426" s="566"/>
      <c r="E426" s="566"/>
      <c r="F426" s="566"/>
      <c r="G426" s="566"/>
      <c r="H426" s="566"/>
      <c r="I426" s="566"/>
      <c r="J426" s="566"/>
      <c r="K426" s="566"/>
      <c r="L426" s="566"/>
      <c r="M426" s="566"/>
      <c r="N426" s="566"/>
      <c r="O426" s="566"/>
      <c r="P426" s="566"/>
      <c r="Q426" s="566"/>
      <c r="R426" s="566"/>
      <c r="S426" s="566"/>
      <c r="T426" s="566"/>
      <c r="U426" s="566"/>
      <c r="V426" s="566"/>
      <c r="W426" s="566"/>
      <c r="X426" s="566"/>
      <c r="Y426" s="566"/>
    </row>
    <row r="427" spans="2:25" x14ac:dyDescent="0.25">
      <c r="B427" s="566"/>
      <c r="C427" s="566"/>
      <c r="D427" s="566"/>
      <c r="E427" s="566"/>
      <c r="F427" s="566"/>
      <c r="G427" s="566"/>
      <c r="H427" s="566"/>
      <c r="I427" s="566"/>
      <c r="J427" s="566"/>
      <c r="K427" s="566"/>
      <c r="L427" s="566"/>
      <c r="M427" s="566"/>
      <c r="N427" s="566"/>
      <c r="O427" s="566"/>
      <c r="P427" s="566"/>
      <c r="Q427" s="566"/>
      <c r="R427" s="566"/>
      <c r="S427" s="566"/>
      <c r="T427" s="566"/>
      <c r="U427" s="566"/>
      <c r="V427" s="566"/>
      <c r="W427" s="566"/>
      <c r="X427" s="566"/>
      <c r="Y427" s="566"/>
    </row>
    <row r="428" spans="2:25" x14ac:dyDescent="0.25">
      <c r="B428" s="566"/>
      <c r="C428" s="566"/>
      <c r="D428" s="566"/>
      <c r="E428" s="566"/>
      <c r="F428" s="566"/>
      <c r="G428" s="566"/>
      <c r="H428" s="566"/>
      <c r="I428" s="566"/>
      <c r="J428" s="566"/>
      <c r="K428" s="566"/>
      <c r="L428" s="566"/>
      <c r="M428" s="566"/>
      <c r="N428" s="566"/>
      <c r="O428" s="566"/>
      <c r="P428" s="566"/>
      <c r="Q428" s="566"/>
      <c r="R428" s="566"/>
      <c r="S428" s="566"/>
      <c r="T428" s="566"/>
      <c r="U428" s="566"/>
      <c r="V428" s="566"/>
      <c r="W428" s="566"/>
      <c r="X428" s="566"/>
      <c r="Y428" s="566"/>
    </row>
    <row r="429" spans="2:25" x14ac:dyDescent="0.25">
      <c r="B429" s="566"/>
      <c r="C429" s="566"/>
      <c r="D429" s="566"/>
      <c r="E429" s="566"/>
      <c r="F429" s="566"/>
      <c r="G429" s="566"/>
      <c r="H429" s="566"/>
      <c r="I429" s="566"/>
      <c r="J429" s="566"/>
      <c r="K429" s="566"/>
      <c r="L429" s="566"/>
      <c r="M429" s="566"/>
      <c r="N429" s="566"/>
      <c r="O429" s="566"/>
      <c r="P429" s="566"/>
      <c r="Q429" s="566"/>
      <c r="R429" s="566"/>
      <c r="S429" s="566"/>
      <c r="T429" s="566"/>
      <c r="U429" s="566"/>
      <c r="V429" s="566"/>
      <c r="W429" s="566"/>
      <c r="X429" s="566"/>
      <c r="Y429" s="566"/>
    </row>
    <row r="430" spans="2:25" x14ac:dyDescent="0.25">
      <c r="B430" s="566"/>
      <c r="C430" s="566"/>
      <c r="D430" s="566"/>
      <c r="E430" s="566"/>
      <c r="F430" s="566"/>
      <c r="G430" s="566"/>
      <c r="H430" s="566"/>
      <c r="I430" s="566"/>
      <c r="J430" s="566"/>
      <c r="K430" s="566"/>
      <c r="L430" s="566"/>
      <c r="M430" s="566"/>
      <c r="N430" s="566"/>
      <c r="O430" s="566"/>
      <c r="P430" s="566"/>
      <c r="Q430" s="566"/>
      <c r="R430" s="566"/>
      <c r="S430" s="566"/>
      <c r="T430" s="566"/>
      <c r="U430" s="566"/>
      <c r="V430" s="566"/>
      <c r="W430" s="566"/>
      <c r="X430" s="566"/>
      <c r="Y430" s="566"/>
    </row>
    <row r="431" spans="2:25" x14ac:dyDescent="0.25">
      <c r="B431" s="566"/>
      <c r="C431" s="566"/>
      <c r="D431" s="566"/>
      <c r="E431" s="566"/>
      <c r="F431" s="566"/>
      <c r="G431" s="566"/>
      <c r="H431" s="566"/>
      <c r="I431" s="566"/>
      <c r="J431" s="566"/>
      <c r="K431" s="566"/>
      <c r="L431" s="566"/>
      <c r="M431" s="566"/>
      <c r="N431" s="566"/>
      <c r="O431" s="566"/>
      <c r="P431" s="566"/>
      <c r="Q431" s="566"/>
      <c r="R431" s="566"/>
      <c r="S431" s="566"/>
      <c r="T431" s="566"/>
      <c r="U431" s="566"/>
      <c r="V431" s="566"/>
      <c r="W431" s="566"/>
      <c r="X431" s="566"/>
      <c r="Y431" s="566"/>
    </row>
    <row r="432" spans="2:25" x14ac:dyDescent="0.25">
      <c r="B432" s="566"/>
      <c r="C432" s="566"/>
      <c r="D432" s="566"/>
      <c r="E432" s="566"/>
      <c r="F432" s="566"/>
      <c r="G432" s="566"/>
      <c r="H432" s="566"/>
      <c r="I432" s="566"/>
      <c r="J432" s="566"/>
      <c r="K432" s="566"/>
      <c r="L432" s="566"/>
      <c r="M432" s="566"/>
      <c r="N432" s="566"/>
      <c r="O432" s="566"/>
      <c r="P432" s="566"/>
      <c r="Q432" s="566"/>
      <c r="R432" s="566"/>
      <c r="S432" s="566"/>
      <c r="T432" s="566"/>
      <c r="U432" s="566"/>
      <c r="V432" s="566"/>
      <c r="W432" s="566"/>
      <c r="X432" s="566"/>
      <c r="Y432" s="566"/>
    </row>
    <row r="433" spans="2:25" x14ac:dyDescent="0.25">
      <c r="B433" s="566"/>
      <c r="C433" s="566"/>
      <c r="D433" s="566"/>
      <c r="E433" s="566"/>
      <c r="F433" s="566"/>
      <c r="G433" s="566"/>
      <c r="H433" s="566"/>
      <c r="I433" s="566"/>
      <c r="J433" s="566"/>
      <c r="K433" s="566"/>
      <c r="L433" s="566"/>
      <c r="M433" s="566"/>
      <c r="N433" s="566"/>
      <c r="O433" s="566"/>
      <c r="P433" s="566"/>
      <c r="Q433" s="566"/>
      <c r="R433" s="566"/>
      <c r="S433" s="566"/>
      <c r="T433" s="566"/>
      <c r="U433" s="566"/>
      <c r="V433" s="566"/>
      <c r="W433" s="566"/>
      <c r="X433" s="566"/>
      <c r="Y433" s="566"/>
    </row>
    <row r="434" spans="2:25" x14ac:dyDescent="0.25">
      <c r="B434" s="566"/>
      <c r="C434" s="566"/>
      <c r="D434" s="566"/>
      <c r="E434" s="566"/>
      <c r="F434" s="566"/>
      <c r="G434" s="566"/>
      <c r="H434" s="566"/>
      <c r="I434" s="566"/>
      <c r="J434" s="566"/>
      <c r="K434" s="566"/>
      <c r="L434" s="566"/>
      <c r="M434" s="566"/>
      <c r="N434" s="566"/>
      <c r="O434" s="566"/>
      <c r="P434" s="566"/>
      <c r="Q434" s="566"/>
      <c r="R434" s="566"/>
      <c r="S434" s="566"/>
      <c r="T434" s="566"/>
      <c r="U434" s="566"/>
      <c r="V434" s="566"/>
      <c r="W434" s="566"/>
      <c r="X434" s="566"/>
      <c r="Y434" s="566"/>
    </row>
    <row r="435" spans="2:25" x14ac:dyDescent="0.25">
      <c r="B435" s="566"/>
      <c r="C435" s="566"/>
      <c r="D435" s="566"/>
      <c r="E435" s="566"/>
      <c r="F435" s="566"/>
      <c r="G435" s="566"/>
      <c r="H435" s="566"/>
      <c r="I435" s="566"/>
      <c r="J435" s="566"/>
      <c r="K435" s="566"/>
      <c r="L435" s="566"/>
      <c r="M435" s="566"/>
      <c r="N435" s="566"/>
      <c r="O435" s="566"/>
      <c r="P435" s="566"/>
      <c r="Q435" s="566"/>
      <c r="R435" s="566"/>
      <c r="S435" s="566"/>
      <c r="T435" s="566"/>
      <c r="U435" s="566"/>
      <c r="V435" s="566"/>
      <c r="W435" s="566"/>
      <c r="X435" s="566"/>
      <c r="Y435" s="566"/>
    </row>
    <row r="436" spans="2:25" x14ac:dyDescent="0.25">
      <c r="B436" s="566"/>
      <c r="C436" s="566"/>
      <c r="D436" s="566"/>
      <c r="E436" s="566"/>
      <c r="F436" s="566"/>
      <c r="G436" s="566"/>
      <c r="H436" s="566"/>
      <c r="I436" s="566"/>
      <c r="J436" s="566"/>
      <c r="K436" s="566"/>
      <c r="L436" s="566"/>
      <c r="M436" s="566"/>
      <c r="N436" s="566"/>
      <c r="O436" s="566"/>
      <c r="P436" s="566"/>
      <c r="Q436" s="566"/>
      <c r="R436" s="566"/>
      <c r="S436" s="566"/>
      <c r="T436" s="566"/>
      <c r="U436" s="566"/>
      <c r="V436" s="566"/>
      <c r="W436" s="566"/>
      <c r="X436" s="566"/>
      <c r="Y436" s="566"/>
    </row>
    <row r="437" spans="2:25" x14ac:dyDescent="0.25">
      <c r="B437" s="566"/>
      <c r="C437" s="566"/>
      <c r="D437" s="566"/>
      <c r="E437" s="566"/>
      <c r="F437" s="566"/>
      <c r="G437" s="566"/>
      <c r="H437" s="566"/>
      <c r="I437" s="566"/>
      <c r="J437" s="566"/>
      <c r="K437" s="566"/>
      <c r="L437" s="566"/>
      <c r="M437" s="566"/>
      <c r="N437" s="566"/>
      <c r="O437" s="566"/>
      <c r="P437" s="566"/>
      <c r="Q437" s="566"/>
      <c r="R437" s="566"/>
      <c r="S437" s="566"/>
      <c r="T437" s="566"/>
      <c r="U437" s="566"/>
      <c r="V437" s="566"/>
      <c r="W437" s="566"/>
      <c r="X437" s="566"/>
      <c r="Y437" s="566"/>
    </row>
    <row r="438" spans="2:25" x14ac:dyDescent="0.25">
      <c r="B438" s="566"/>
      <c r="C438" s="566"/>
      <c r="D438" s="566"/>
      <c r="E438" s="566"/>
      <c r="F438" s="566"/>
      <c r="G438" s="566"/>
      <c r="H438" s="566"/>
      <c r="I438" s="566"/>
      <c r="J438" s="566"/>
      <c r="K438" s="566"/>
      <c r="L438" s="566"/>
      <c r="M438" s="566"/>
      <c r="N438" s="566"/>
      <c r="O438" s="566"/>
      <c r="P438" s="566"/>
      <c r="Q438" s="566"/>
      <c r="R438" s="566"/>
      <c r="S438" s="566"/>
      <c r="T438" s="566"/>
      <c r="U438" s="566"/>
      <c r="V438" s="566"/>
      <c r="W438" s="566"/>
      <c r="X438" s="566"/>
      <c r="Y438" s="566"/>
    </row>
    <row r="439" spans="2:25" x14ac:dyDescent="0.25">
      <c r="B439" s="566"/>
      <c r="C439" s="566"/>
      <c r="D439" s="566"/>
      <c r="E439" s="566"/>
      <c r="F439" s="566"/>
      <c r="G439" s="566"/>
      <c r="H439" s="566"/>
      <c r="I439" s="566"/>
      <c r="J439" s="566"/>
      <c r="K439" s="566"/>
      <c r="L439" s="566"/>
      <c r="M439" s="566"/>
      <c r="N439" s="566"/>
      <c r="O439" s="566"/>
      <c r="P439" s="566"/>
      <c r="Q439" s="566"/>
      <c r="R439" s="566"/>
      <c r="S439" s="566"/>
      <c r="T439" s="566"/>
      <c r="U439" s="566"/>
      <c r="V439" s="566"/>
      <c r="W439" s="566"/>
      <c r="X439" s="566"/>
      <c r="Y439" s="566"/>
    </row>
    <row r="440" spans="2:25" x14ac:dyDescent="0.25">
      <c r="B440" s="566"/>
      <c r="C440" s="566"/>
      <c r="D440" s="566"/>
      <c r="E440" s="566"/>
      <c r="F440" s="566"/>
      <c r="G440" s="566"/>
      <c r="H440" s="566"/>
      <c r="I440" s="566"/>
      <c r="J440" s="566"/>
      <c r="K440" s="566"/>
      <c r="L440" s="566"/>
      <c r="M440" s="566"/>
      <c r="N440" s="566"/>
      <c r="O440" s="566"/>
      <c r="P440" s="566"/>
      <c r="Q440" s="566"/>
      <c r="R440" s="566"/>
      <c r="S440" s="566"/>
      <c r="T440" s="566"/>
      <c r="U440" s="566"/>
      <c r="V440" s="566"/>
      <c r="W440" s="566"/>
      <c r="X440" s="566"/>
      <c r="Y440" s="566"/>
    </row>
    <row r="441" spans="2:25" x14ac:dyDescent="0.25">
      <c r="B441" s="566"/>
      <c r="C441" s="566"/>
      <c r="D441" s="566"/>
      <c r="E441" s="566"/>
      <c r="F441" s="566"/>
      <c r="G441" s="566"/>
      <c r="H441" s="566"/>
      <c r="I441" s="566"/>
      <c r="J441" s="566"/>
      <c r="K441" s="566"/>
      <c r="L441" s="566"/>
      <c r="M441" s="566"/>
      <c r="N441" s="566"/>
      <c r="O441" s="566"/>
      <c r="P441" s="566"/>
      <c r="Q441" s="566"/>
      <c r="R441" s="566"/>
      <c r="S441" s="566"/>
      <c r="T441" s="566"/>
      <c r="U441" s="566"/>
      <c r="V441" s="566"/>
      <c r="W441" s="566"/>
      <c r="X441" s="566"/>
      <c r="Y441" s="566"/>
    </row>
    <row r="442" spans="2:25" x14ac:dyDescent="0.25">
      <c r="B442" s="566"/>
      <c r="C442" s="566"/>
      <c r="D442" s="566"/>
      <c r="E442" s="566"/>
      <c r="F442" s="566"/>
      <c r="G442" s="566"/>
      <c r="H442" s="566"/>
      <c r="I442" s="566"/>
      <c r="J442" s="566"/>
      <c r="K442" s="566"/>
      <c r="L442" s="566"/>
      <c r="M442" s="566"/>
      <c r="N442" s="566"/>
      <c r="O442" s="566"/>
      <c r="P442" s="566"/>
      <c r="Q442" s="566"/>
      <c r="R442" s="566"/>
      <c r="S442" s="566"/>
      <c r="T442" s="566"/>
      <c r="U442" s="566"/>
      <c r="V442" s="566"/>
      <c r="W442" s="566"/>
      <c r="X442" s="566"/>
      <c r="Y442" s="566"/>
    </row>
    <row r="443" spans="2:25" x14ac:dyDescent="0.25">
      <c r="B443" s="566"/>
      <c r="C443" s="566"/>
      <c r="D443" s="566"/>
      <c r="E443" s="566"/>
      <c r="F443" s="566"/>
      <c r="G443" s="566"/>
      <c r="H443" s="566"/>
      <c r="I443" s="566"/>
      <c r="J443" s="566"/>
      <c r="K443" s="566"/>
      <c r="L443" s="566"/>
      <c r="M443" s="566"/>
      <c r="N443" s="566"/>
      <c r="O443" s="566"/>
      <c r="P443" s="566"/>
      <c r="Q443" s="566"/>
      <c r="R443" s="566"/>
      <c r="S443" s="566"/>
      <c r="T443" s="566"/>
      <c r="U443" s="566"/>
      <c r="V443" s="566"/>
      <c r="W443" s="566"/>
      <c r="X443" s="566"/>
      <c r="Y443" s="566"/>
    </row>
    <row r="444" spans="2:25" x14ac:dyDescent="0.25">
      <c r="B444" s="566"/>
      <c r="C444" s="566"/>
      <c r="D444" s="566"/>
      <c r="E444" s="566"/>
      <c r="F444" s="566"/>
      <c r="G444" s="566"/>
      <c r="H444" s="566"/>
      <c r="I444" s="566"/>
      <c r="J444" s="566"/>
      <c r="K444" s="566"/>
      <c r="L444" s="566"/>
      <c r="M444" s="566"/>
      <c r="N444" s="566"/>
      <c r="O444" s="566"/>
      <c r="P444" s="566"/>
      <c r="Q444" s="566"/>
      <c r="R444" s="566"/>
      <c r="S444" s="566"/>
      <c r="T444" s="566"/>
      <c r="U444" s="566"/>
      <c r="V444" s="566"/>
      <c r="W444" s="566"/>
      <c r="X444" s="566"/>
      <c r="Y444" s="566"/>
    </row>
    <row r="445" spans="2:25" x14ac:dyDescent="0.25">
      <c r="B445" s="566"/>
      <c r="C445" s="566"/>
      <c r="D445" s="566"/>
      <c r="E445" s="566"/>
      <c r="F445" s="566"/>
      <c r="G445" s="566"/>
      <c r="H445" s="566"/>
      <c r="I445" s="566"/>
      <c r="J445" s="566"/>
      <c r="K445" s="566"/>
      <c r="L445" s="566"/>
      <c r="M445" s="566"/>
      <c r="N445" s="566"/>
      <c r="O445" s="566"/>
      <c r="P445" s="566"/>
      <c r="Q445" s="566"/>
      <c r="R445" s="566"/>
      <c r="S445" s="566"/>
      <c r="T445" s="566"/>
      <c r="U445" s="566"/>
      <c r="V445" s="566"/>
      <c r="W445" s="566"/>
      <c r="X445" s="566"/>
      <c r="Y445" s="566"/>
    </row>
    <row r="446" spans="2:25" x14ac:dyDescent="0.25">
      <c r="B446" s="566"/>
      <c r="C446" s="566"/>
      <c r="D446" s="566"/>
      <c r="E446" s="566"/>
      <c r="F446" s="566"/>
      <c r="G446" s="566"/>
      <c r="H446" s="566"/>
      <c r="I446" s="566"/>
      <c r="J446" s="566"/>
      <c r="K446" s="566"/>
      <c r="L446" s="566"/>
      <c r="M446" s="566"/>
      <c r="N446" s="566"/>
      <c r="O446" s="566"/>
      <c r="P446" s="566"/>
      <c r="Q446" s="566"/>
      <c r="R446" s="566"/>
      <c r="S446" s="566"/>
      <c r="T446" s="566"/>
      <c r="U446" s="566"/>
      <c r="V446" s="566"/>
      <c r="W446" s="566"/>
      <c r="X446" s="566"/>
      <c r="Y446" s="566"/>
    </row>
    <row r="447" spans="2:25" x14ac:dyDescent="0.25">
      <c r="B447" s="566"/>
      <c r="C447" s="566"/>
      <c r="D447" s="566"/>
      <c r="E447" s="566"/>
      <c r="F447" s="566"/>
      <c r="G447" s="566"/>
      <c r="H447" s="566"/>
      <c r="I447" s="566"/>
      <c r="J447" s="566"/>
      <c r="K447" s="566"/>
      <c r="L447" s="566"/>
      <c r="M447" s="566"/>
      <c r="N447" s="566"/>
      <c r="O447" s="566"/>
      <c r="P447" s="566"/>
      <c r="Q447" s="566"/>
      <c r="R447" s="566"/>
      <c r="S447" s="566"/>
      <c r="T447" s="566"/>
      <c r="U447" s="566"/>
      <c r="V447" s="566"/>
      <c r="W447" s="566"/>
      <c r="X447" s="566"/>
      <c r="Y447" s="566"/>
    </row>
    <row r="448" spans="2:25" x14ac:dyDescent="0.25">
      <c r="B448" s="566"/>
      <c r="C448" s="566"/>
      <c r="D448" s="566"/>
      <c r="E448" s="566"/>
      <c r="F448" s="566"/>
      <c r="G448" s="566"/>
      <c r="H448" s="566"/>
      <c r="I448" s="566"/>
      <c r="J448" s="566"/>
      <c r="K448" s="566"/>
      <c r="L448" s="566"/>
      <c r="M448" s="566"/>
      <c r="N448" s="566"/>
      <c r="O448" s="566"/>
      <c r="P448" s="566"/>
      <c r="Q448" s="566"/>
      <c r="R448" s="566"/>
      <c r="S448" s="566"/>
      <c r="T448" s="566"/>
      <c r="U448" s="566"/>
      <c r="V448" s="566"/>
      <c r="W448" s="566"/>
      <c r="X448" s="566"/>
      <c r="Y448" s="566"/>
    </row>
    <row r="449" spans="2:25" x14ac:dyDescent="0.25">
      <c r="B449" s="566"/>
      <c r="C449" s="566"/>
      <c r="D449" s="566"/>
      <c r="E449" s="566"/>
      <c r="F449" s="566"/>
      <c r="G449" s="566"/>
      <c r="H449" s="566"/>
      <c r="I449" s="566"/>
      <c r="J449" s="566"/>
      <c r="K449" s="566"/>
      <c r="L449" s="566"/>
      <c r="M449" s="566"/>
      <c r="N449" s="566"/>
      <c r="O449" s="566"/>
      <c r="P449" s="566"/>
      <c r="Q449" s="566"/>
      <c r="R449" s="566"/>
      <c r="S449" s="566"/>
      <c r="T449" s="566"/>
      <c r="U449" s="566"/>
      <c r="V449" s="566"/>
      <c r="W449" s="566"/>
      <c r="X449" s="566"/>
      <c r="Y449" s="566"/>
    </row>
    <row r="450" spans="2:25" x14ac:dyDescent="0.25">
      <c r="B450" s="566"/>
      <c r="C450" s="566"/>
      <c r="D450" s="566"/>
      <c r="E450" s="566"/>
      <c r="F450" s="566"/>
      <c r="G450" s="566"/>
      <c r="H450" s="566"/>
      <c r="I450" s="566"/>
      <c r="J450" s="566"/>
      <c r="K450" s="566"/>
      <c r="L450" s="566"/>
      <c r="M450" s="566"/>
      <c r="N450" s="566"/>
      <c r="O450" s="566"/>
      <c r="P450" s="566"/>
      <c r="Q450" s="566"/>
      <c r="R450" s="566"/>
      <c r="S450" s="566"/>
      <c r="T450" s="566"/>
      <c r="U450" s="566"/>
      <c r="V450" s="566"/>
      <c r="W450" s="566"/>
      <c r="X450" s="566"/>
      <c r="Y450" s="566"/>
    </row>
    <row r="451" spans="2:25" x14ac:dyDescent="0.25">
      <c r="B451" s="566"/>
      <c r="C451" s="566"/>
      <c r="D451" s="566"/>
      <c r="E451" s="566"/>
      <c r="F451" s="566"/>
      <c r="G451" s="566"/>
      <c r="H451" s="566"/>
      <c r="I451" s="566"/>
      <c r="J451" s="566"/>
      <c r="K451" s="566"/>
      <c r="L451" s="566"/>
      <c r="M451" s="566"/>
      <c r="N451" s="566"/>
      <c r="O451" s="566"/>
      <c r="P451" s="566"/>
      <c r="Q451" s="566"/>
      <c r="R451" s="566"/>
      <c r="S451" s="566"/>
      <c r="T451" s="566"/>
      <c r="U451" s="566"/>
      <c r="V451" s="566"/>
      <c r="W451" s="566"/>
      <c r="X451" s="566"/>
      <c r="Y451" s="566"/>
    </row>
    <row r="452" spans="2:25" x14ac:dyDescent="0.25">
      <c r="B452" s="566"/>
      <c r="C452" s="566"/>
      <c r="D452" s="566"/>
      <c r="E452" s="566"/>
      <c r="F452" s="566"/>
      <c r="G452" s="566"/>
      <c r="H452" s="566"/>
      <c r="I452" s="566"/>
      <c r="J452" s="566"/>
      <c r="K452" s="566"/>
      <c r="L452" s="566"/>
      <c r="M452" s="566"/>
      <c r="N452" s="566"/>
      <c r="O452" s="566"/>
      <c r="P452" s="566"/>
      <c r="Q452" s="566"/>
      <c r="R452" s="566"/>
      <c r="S452" s="566"/>
      <c r="T452" s="566"/>
      <c r="U452" s="566"/>
      <c r="V452" s="566"/>
      <c r="W452" s="566"/>
      <c r="X452" s="566"/>
      <c r="Y452" s="566"/>
    </row>
    <row r="453" spans="2:25" x14ac:dyDescent="0.25">
      <c r="B453" s="566"/>
      <c r="C453" s="566"/>
      <c r="D453" s="566"/>
      <c r="E453" s="566"/>
      <c r="F453" s="566"/>
      <c r="G453" s="566"/>
      <c r="H453" s="566"/>
      <c r="I453" s="566"/>
      <c r="J453" s="566"/>
      <c r="K453" s="566"/>
      <c r="L453" s="566"/>
      <c r="M453" s="566"/>
      <c r="N453" s="566"/>
      <c r="O453" s="566"/>
      <c r="P453" s="566"/>
      <c r="Q453" s="566"/>
      <c r="R453" s="566"/>
      <c r="S453" s="566"/>
      <c r="T453" s="566"/>
      <c r="U453" s="566"/>
      <c r="V453" s="566"/>
      <c r="W453" s="566"/>
      <c r="X453" s="566"/>
      <c r="Y453" s="566"/>
    </row>
    <row r="454" spans="2:25" x14ac:dyDescent="0.25">
      <c r="B454" s="566"/>
      <c r="C454" s="566"/>
      <c r="D454" s="566"/>
      <c r="E454" s="566"/>
      <c r="F454" s="566"/>
      <c r="G454" s="566"/>
      <c r="H454" s="566"/>
      <c r="I454" s="566"/>
      <c r="J454" s="566"/>
      <c r="K454" s="566"/>
      <c r="L454" s="566"/>
      <c r="M454" s="566"/>
      <c r="N454" s="566"/>
      <c r="O454" s="566"/>
      <c r="P454" s="566"/>
      <c r="Q454" s="566"/>
      <c r="R454" s="566"/>
      <c r="S454" s="566"/>
      <c r="T454" s="566"/>
      <c r="U454" s="566"/>
      <c r="V454" s="566"/>
      <c r="W454" s="566"/>
      <c r="X454" s="566"/>
      <c r="Y454" s="566"/>
    </row>
    <row r="455" spans="2:25" x14ac:dyDescent="0.25">
      <c r="B455" s="566"/>
      <c r="C455" s="566"/>
      <c r="D455" s="566"/>
      <c r="E455" s="566"/>
      <c r="F455" s="566"/>
      <c r="G455" s="566"/>
      <c r="H455" s="566"/>
      <c r="I455" s="566"/>
      <c r="J455" s="566"/>
      <c r="K455" s="566"/>
      <c r="L455" s="566"/>
      <c r="M455" s="566"/>
      <c r="N455" s="566"/>
      <c r="O455" s="566"/>
      <c r="P455" s="566"/>
      <c r="Q455" s="566"/>
      <c r="R455" s="566"/>
      <c r="S455" s="566"/>
      <c r="T455" s="566"/>
      <c r="U455" s="566"/>
      <c r="V455" s="566"/>
      <c r="W455" s="566"/>
      <c r="X455" s="566"/>
      <c r="Y455" s="566"/>
    </row>
    <row r="456" spans="2:25" x14ac:dyDescent="0.25">
      <c r="B456" s="566"/>
      <c r="C456" s="566"/>
      <c r="D456" s="566"/>
      <c r="E456" s="566"/>
      <c r="F456" s="566"/>
      <c r="G456" s="566"/>
      <c r="H456" s="566"/>
      <c r="I456" s="566"/>
      <c r="J456" s="566"/>
      <c r="K456" s="566"/>
      <c r="L456" s="566"/>
      <c r="M456" s="566"/>
      <c r="N456" s="566"/>
      <c r="O456" s="566"/>
      <c r="P456" s="566"/>
      <c r="Q456" s="566"/>
      <c r="R456" s="566"/>
      <c r="S456" s="566"/>
      <c r="T456" s="566"/>
      <c r="U456" s="566"/>
      <c r="V456" s="566"/>
      <c r="W456" s="566"/>
      <c r="X456" s="566"/>
      <c r="Y456" s="566"/>
    </row>
    <row r="457" spans="2:25" x14ac:dyDescent="0.25">
      <c r="B457" s="566"/>
      <c r="C457" s="566"/>
      <c r="D457" s="566"/>
      <c r="E457" s="566"/>
      <c r="F457" s="566"/>
      <c r="G457" s="566"/>
      <c r="H457" s="566"/>
      <c r="I457" s="566"/>
      <c r="J457" s="566"/>
      <c r="K457" s="566"/>
      <c r="L457" s="566"/>
      <c r="M457" s="566"/>
      <c r="N457" s="566"/>
      <c r="O457" s="566"/>
      <c r="P457" s="566"/>
      <c r="Q457" s="566"/>
      <c r="R457" s="566"/>
      <c r="S457" s="566"/>
      <c r="T457" s="566"/>
      <c r="U457" s="566"/>
      <c r="V457" s="566"/>
      <c r="W457" s="566"/>
      <c r="X457" s="566"/>
      <c r="Y457" s="566"/>
    </row>
    <row r="458" spans="2:25" x14ac:dyDescent="0.25">
      <c r="B458" s="566"/>
      <c r="C458" s="566"/>
      <c r="D458" s="566"/>
      <c r="E458" s="566"/>
      <c r="F458" s="566"/>
      <c r="G458" s="566"/>
      <c r="H458" s="566"/>
      <c r="I458" s="566"/>
      <c r="J458" s="566"/>
      <c r="K458" s="566"/>
      <c r="L458" s="566"/>
      <c r="M458" s="566"/>
      <c r="N458" s="566"/>
      <c r="O458" s="566"/>
      <c r="P458" s="566"/>
      <c r="Q458" s="566"/>
      <c r="R458" s="566"/>
      <c r="S458" s="566"/>
      <c r="T458" s="566"/>
      <c r="U458" s="566"/>
      <c r="V458" s="566"/>
      <c r="W458" s="566"/>
      <c r="X458" s="566"/>
      <c r="Y458" s="566"/>
    </row>
    <row r="459" spans="2:25" x14ac:dyDescent="0.25">
      <c r="B459" s="566"/>
      <c r="C459" s="566"/>
      <c r="D459" s="566"/>
      <c r="E459" s="566"/>
      <c r="F459" s="566"/>
      <c r="G459" s="566"/>
      <c r="H459" s="566"/>
      <c r="I459" s="566"/>
      <c r="J459" s="566"/>
      <c r="K459" s="566"/>
      <c r="L459" s="566"/>
      <c r="M459" s="566"/>
      <c r="N459" s="566"/>
      <c r="O459" s="566"/>
      <c r="P459" s="566"/>
      <c r="Q459" s="566"/>
      <c r="R459" s="566"/>
      <c r="S459" s="566"/>
      <c r="T459" s="566"/>
      <c r="U459" s="566"/>
      <c r="V459" s="566"/>
      <c r="W459" s="566"/>
      <c r="X459" s="566"/>
      <c r="Y459" s="566"/>
    </row>
    <row r="460" spans="2:25" x14ac:dyDescent="0.25">
      <c r="B460" s="566"/>
      <c r="C460" s="566"/>
      <c r="D460" s="566"/>
      <c r="E460" s="566"/>
      <c r="F460" s="566"/>
      <c r="G460" s="566"/>
      <c r="H460" s="566"/>
      <c r="I460" s="566"/>
      <c r="J460" s="566"/>
      <c r="K460" s="566"/>
      <c r="L460" s="566"/>
      <c r="M460" s="566"/>
      <c r="N460" s="566"/>
      <c r="O460" s="566"/>
      <c r="P460" s="566"/>
      <c r="Q460" s="566"/>
      <c r="R460" s="566"/>
      <c r="S460" s="566"/>
      <c r="T460" s="566"/>
      <c r="U460" s="566"/>
      <c r="V460" s="566"/>
      <c r="W460" s="566"/>
      <c r="X460" s="566"/>
      <c r="Y460" s="566"/>
    </row>
    <row r="461" spans="2:25" x14ac:dyDescent="0.25">
      <c r="B461" s="566"/>
      <c r="C461" s="566"/>
      <c r="D461" s="566"/>
      <c r="E461" s="566"/>
      <c r="F461" s="566"/>
      <c r="G461" s="566"/>
      <c r="H461" s="566"/>
      <c r="I461" s="566"/>
      <c r="J461" s="566"/>
      <c r="K461" s="566"/>
      <c r="L461" s="566"/>
      <c r="M461" s="566"/>
      <c r="N461" s="566"/>
      <c r="O461" s="566"/>
      <c r="P461" s="566"/>
      <c r="Q461" s="566"/>
      <c r="R461" s="566"/>
      <c r="S461" s="566"/>
      <c r="T461" s="566"/>
      <c r="U461" s="566"/>
      <c r="V461" s="566"/>
      <c r="W461" s="566"/>
      <c r="X461" s="566"/>
      <c r="Y461" s="566"/>
    </row>
    <row r="462" spans="2:25" x14ac:dyDescent="0.25">
      <c r="B462" s="566"/>
      <c r="C462" s="566"/>
      <c r="D462" s="566"/>
      <c r="E462" s="566"/>
      <c r="F462" s="566"/>
      <c r="G462" s="566"/>
      <c r="H462" s="566"/>
      <c r="I462" s="566"/>
      <c r="J462" s="566"/>
      <c r="K462" s="566"/>
      <c r="L462" s="566"/>
      <c r="M462" s="566"/>
      <c r="N462" s="566"/>
      <c r="O462" s="566"/>
      <c r="P462" s="566"/>
      <c r="Q462" s="566"/>
      <c r="R462" s="566"/>
      <c r="S462" s="566"/>
      <c r="T462" s="566"/>
      <c r="U462" s="566"/>
      <c r="V462" s="566"/>
      <c r="W462" s="566"/>
      <c r="X462" s="566"/>
      <c r="Y462" s="566"/>
    </row>
    <row r="463" spans="2:25" x14ac:dyDescent="0.25">
      <c r="B463" s="566"/>
      <c r="C463" s="566"/>
      <c r="D463" s="566"/>
      <c r="E463" s="566"/>
      <c r="F463" s="566"/>
      <c r="G463" s="566"/>
      <c r="H463" s="566"/>
      <c r="I463" s="566"/>
      <c r="J463" s="566"/>
      <c r="K463" s="566"/>
      <c r="L463" s="566"/>
      <c r="M463" s="566"/>
      <c r="N463" s="566"/>
      <c r="O463" s="566"/>
      <c r="P463" s="566"/>
      <c r="Q463" s="566"/>
      <c r="R463" s="566"/>
      <c r="S463" s="566"/>
      <c r="T463" s="566"/>
      <c r="U463" s="566"/>
      <c r="V463" s="566"/>
      <c r="W463" s="566"/>
      <c r="X463" s="566"/>
      <c r="Y463" s="566"/>
    </row>
    <row r="464" spans="2:25" x14ac:dyDescent="0.25">
      <c r="B464" s="566"/>
      <c r="C464" s="566"/>
      <c r="D464" s="566"/>
      <c r="E464" s="566"/>
      <c r="F464" s="566"/>
      <c r="G464" s="566"/>
      <c r="H464" s="566"/>
      <c r="I464" s="566"/>
      <c r="J464" s="566"/>
      <c r="K464" s="566"/>
      <c r="L464" s="566"/>
      <c r="M464" s="566"/>
      <c r="N464" s="566"/>
      <c r="O464" s="566"/>
      <c r="P464" s="566"/>
      <c r="Q464" s="566"/>
      <c r="R464" s="566"/>
      <c r="S464" s="566"/>
      <c r="T464" s="566"/>
      <c r="U464" s="566"/>
      <c r="V464" s="566"/>
      <c r="W464" s="566"/>
      <c r="X464" s="566"/>
      <c r="Y464" s="566"/>
    </row>
    <row r="465" spans="2:25" x14ac:dyDescent="0.25">
      <c r="B465" s="566"/>
      <c r="C465" s="566"/>
      <c r="D465" s="566"/>
      <c r="E465" s="566"/>
      <c r="F465" s="566"/>
      <c r="G465" s="566"/>
      <c r="H465" s="566"/>
      <c r="I465" s="566"/>
      <c r="J465" s="566"/>
      <c r="K465" s="566"/>
      <c r="L465" s="566"/>
      <c r="M465" s="566"/>
      <c r="N465" s="566"/>
      <c r="O465" s="566"/>
      <c r="P465" s="566"/>
      <c r="Q465" s="566"/>
      <c r="R465" s="566"/>
      <c r="S465" s="566"/>
      <c r="T465" s="566"/>
      <c r="U465" s="566"/>
      <c r="V465" s="566"/>
      <c r="W465" s="566"/>
      <c r="X465" s="566"/>
      <c r="Y465" s="566"/>
    </row>
    <row r="466" spans="2:25" x14ac:dyDescent="0.25">
      <c r="B466" s="566"/>
      <c r="C466" s="566"/>
      <c r="D466" s="566"/>
      <c r="E466" s="566"/>
      <c r="F466" s="566"/>
      <c r="G466" s="566"/>
      <c r="H466" s="566"/>
      <c r="I466" s="566"/>
      <c r="J466" s="566"/>
      <c r="K466" s="566"/>
      <c r="L466" s="566"/>
      <c r="M466" s="566"/>
      <c r="N466" s="566"/>
      <c r="O466" s="566"/>
      <c r="P466" s="566"/>
      <c r="Q466" s="566"/>
      <c r="R466" s="566"/>
      <c r="S466" s="566"/>
      <c r="T466" s="566"/>
      <c r="U466" s="566"/>
      <c r="V466" s="566"/>
      <c r="W466" s="566"/>
      <c r="X466" s="566"/>
      <c r="Y466" s="566"/>
    </row>
    <row r="467" spans="2:25" x14ac:dyDescent="0.25">
      <c r="B467" s="566"/>
      <c r="C467" s="566"/>
      <c r="D467" s="566"/>
      <c r="E467" s="566"/>
      <c r="F467" s="566"/>
      <c r="G467" s="566"/>
      <c r="H467" s="566"/>
      <c r="I467" s="566"/>
      <c r="J467" s="566"/>
      <c r="K467" s="566"/>
      <c r="L467" s="566"/>
      <c r="M467" s="566"/>
      <c r="N467" s="566"/>
      <c r="O467" s="566"/>
      <c r="P467" s="566"/>
      <c r="Q467" s="566"/>
      <c r="R467" s="566"/>
      <c r="S467" s="566"/>
      <c r="T467" s="566"/>
      <c r="U467" s="566"/>
      <c r="V467" s="566"/>
      <c r="W467" s="566"/>
      <c r="X467" s="566"/>
      <c r="Y467" s="566"/>
    </row>
    <row r="468" spans="2:25" x14ac:dyDescent="0.25">
      <c r="B468" s="566"/>
      <c r="C468" s="566"/>
      <c r="D468" s="566"/>
      <c r="E468" s="566"/>
      <c r="F468" s="566"/>
      <c r="G468" s="566"/>
      <c r="H468" s="566"/>
      <c r="I468" s="566"/>
      <c r="J468" s="566"/>
      <c r="K468" s="566"/>
      <c r="L468" s="566"/>
      <c r="M468" s="566"/>
      <c r="N468" s="566"/>
      <c r="O468" s="566"/>
      <c r="P468" s="566"/>
      <c r="Q468" s="566"/>
      <c r="R468" s="566"/>
      <c r="S468" s="566"/>
      <c r="T468" s="566"/>
      <c r="U468" s="566"/>
      <c r="V468" s="566"/>
      <c r="W468" s="566"/>
      <c r="X468" s="566"/>
      <c r="Y468" s="566"/>
    </row>
    <row r="469" spans="2:25" x14ac:dyDescent="0.25">
      <c r="B469" s="566"/>
      <c r="C469" s="566"/>
      <c r="D469" s="566"/>
      <c r="E469" s="566"/>
      <c r="F469" s="566"/>
      <c r="G469" s="566"/>
      <c r="H469" s="566"/>
      <c r="I469" s="566"/>
      <c r="J469" s="566"/>
      <c r="K469" s="566"/>
      <c r="L469" s="566"/>
      <c r="M469" s="566"/>
      <c r="N469" s="566"/>
      <c r="O469" s="566"/>
      <c r="P469" s="566"/>
      <c r="Q469" s="566"/>
      <c r="R469" s="566"/>
      <c r="S469" s="566"/>
      <c r="T469" s="566"/>
      <c r="U469" s="566"/>
      <c r="V469" s="566"/>
      <c r="W469" s="566"/>
      <c r="X469" s="566"/>
      <c r="Y469" s="566"/>
    </row>
    <row r="470" spans="2:25" x14ac:dyDescent="0.25">
      <c r="B470" s="566"/>
      <c r="C470" s="566"/>
      <c r="D470" s="566"/>
      <c r="E470" s="566"/>
      <c r="F470" s="566"/>
      <c r="G470" s="566"/>
      <c r="H470" s="566"/>
      <c r="I470" s="566"/>
      <c r="J470" s="566"/>
      <c r="K470" s="566"/>
      <c r="L470" s="566"/>
      <c r="M470" s="566"/>
      <c r="N470" s="566"/>
      <c r="O470" s="566"/>
      <c r="P470" s="566"/>
      <c r="Q470" s="566"/>
      <c r="R470" s="566"/>
      <c r="S470" s="566"/>
      <c r="T470" s="566"/>
      <c r="U470" s="566"/>
      <c r="V470" s="566"/>
      <c r="W470" s="566"/>
      <c r="X470" s="566"/>
      <c r="Y470" s="566"/>
    </row>
    <row r="471" spans="2:25" x14ac:dyDescent="0.25">
      <c r="B471" s="566"/>
      <c r="C471" s="566"/>
      <c r="D471" s="566"/>
      <c r="E471" s="566"/>
      <c r="F471" s="566"/>
      <c r="G471" s="566"/>
      <c r="H471" s="566"/>
      <c r="I471" s="566"/>
      <c r="J471" s="566"/>
      <c r="K471" s="566"/>
      <c r="L471" s="566"/>
      <c r="M471" s="566"/>
      <c r="N471" s="566"/>
      <c r="O471" s="566"/>
      <c r="P471" s="566"/>
      <c r="Q471" s="566"/>
      <c r="R471" s="566"/>
      <c r="S471" s="566"/>
      <c r="T471" s="566"/>
      <c r="U471" s="566"/>
      <c r="V471" s="566"/>
      <c r="W471" s="566"/>
      <c r="X471" s="566"/>
      <c r="Y471" s="566"/>
    </row>
    <row r="472" spans="2:25" x14ac:dyDescent="0.25">
      <c r="B472" s="566"/>
      <c r="C472" s="566"/>
      <c r="D472" s="566"/>
      <c r="E472" s="566"/>
      <c r="F472" s="566"/>
      <c r="G472" s="566"/>
      <c r="H472" s="566"/>
      <c r="I472" s="566"/>
      <c r="J472" s="566"/>
      <c r="K472" s="566"/>
      <c r="L472" s="566"/>
      <c r="M472" s="566"/>
      <c r="N472" s="566"/>
      <c r="O472" s="566"/>
      <c r="P472" s="566"/>
      <c r="Q472" s="566"/>
      <c r="R472" s="566"/>
      <c r="S472" s="566"/>
      <c r="T472" s="566"/>
      <c r="U472" s="566"/>
      <c r="V472" s="566"/>
      <c r="W472" s="566"/>
      <c r="X472" s="566"/>
      <c r="Y472" s="566"/>
    </row>
    <row r="473" spans="2:25" x14ac:dyDescent="0.25">
      <c r="B473" s="566"/>
      <c r="C473" s="566"/>
      <c r="D473" s="566"/>
      <c r="E473" s="566"/>
      <c r="F473" s="566"/>
      <c r="G473" s="566"/>
      <c r="H473" s="566"/>
      <c r="I473" s="566"/>
      <c r="J473" s="566"/>
      <c r="K473" s="566"/>
      <c r="L473" s="566"/>
      <c r="M473" s="566"/>
      <c r="N473" s="566"/>
      <c r="O473" s="566"/>
      <c r="P473" s="566"/>
      <c r="Q473" s="566"/>
      <c r="R473" s="566"/>
      <c r="S473" s="566"/>
      <c r="T473" s="566"/>
      <c r="U473" s="566"/>
      <c r="V473" s="566"/>
      <c r="W473" s="566"/>
      <c r="X473" s="566"/>
      <c r="Y473" s="566"/>
    </row>
    <row r="474" spans="2:25" x14ac:dyDescent="0.25">
      <c r="B474" s="566"/>
      <c r="C474" s="566"/>
      <c r="D474" s="566"/>
      <c r="E474" s="566"/>
      <c r="F474" s="566"/>
      <c r="G474" s="566"/>
      <c r="H474" s="566"/>
      <c r="I474" s="566"/>
      <c r="J474" s="566"/>
      <c r="K474" s="566"/>
      <c r="L474" s="566"/>
      <c r="M474" s="566"/>
      <c r="N474" s="566"/>
      <c r="O474" s="566"/>
      <c r="P474" s="566"/>
      <c r="Q474" s="566"/>
      <c r="R474" s="566"/>
      <c r="S474" s="566"/>
      <c r="T474" s="566"/>
      <c r="U474" s="566"/>
      <c r="V474" s="566"/>
      <c r="W474" s="566"/>
      <c r="X474" s="566"/>
      <c r="Y474" s="566"/>
    </row>
    <row r="475" spans="2:25" x14ac:dyDescent="0.25">
      <c r="B475" s="566"/>
      <c r="C475" s="566"/>
      <c r="D475" s="566"/>
      <c r="E475" s="566"/>
      <c r="F475" s="566"/>
      <c r="G475" s="566"/>
      <c r="H475" s="566"/>
      <c r="I475" s="566"/>
      <c r="J475" s="566"/>
      <c r="K475" s="566"/>
      <c r="L475" s="566"/>
      <c r="M475" s="566"/>
      <c r="N475" s="566"/>
      <c r="O475" s="566"/>
      <c r="P475" s="566"/>
      <c r="Q475" s="566"/>
      <c r="R475" s="566"/>
      <c r="S475" s="566"/>
      <c r="T475" s="566"/>
      <c r="U475" s="566"/>
      <c r="V475" s="566"/>
      <c r="W475" s="566"/>
      <c r="X475" s="566"/>
      <c r="Y475" s="566"/>
    </row>
    <row r="476" spans="2:25" x14ac:dyDescent="0.25">
      <c r="B476" s="566"/>
      <c r="C476" s="566"/>
      <c r="D476" s="566"/>
      <c r="E476" s="566"/>
      <c r="F476" s="566"/>
      <c r="G476" s="566"/>
      <c r="H476" s="566"/>
      <c r="I476" s="566"/>
      <c r="J476" s="566"/>
      <c r="K476" s="566"/>
      <c r="L476" s="566"/>
      <c r="M476" s="566"/>
      <c r="N476" s="566"/>
      <c r="O476" s="566"/>
      <c r="P476" s="566"/>
      <c r="Q476" s="566"/>
      <c r="R476" s="566"/>
      <c r="S476" s="566"/>
      <c r="T476" s="566"/>
      <c r="U476" s="566"/>
      <c r="V476" s="566"/>
      <c r="W476" s="566"/>
      <c r="X476" s="566"/>
      <c r="Y476" s="566"/>
    </row>
    <row r="477" spans="2:25" x14ac:dyDescent="0.25">
      <c r="B477" s="566"/>
      <c r="C477" s="566"/>
      <c r="D477" s="566"/>
      <c r="E477" s="566"/>
      <c r="F477" s="566"/>
      <c r="G477" s="566"/>
      <c r="H477" s="566"/>
      <c r="I477" s="566"/>
      <c r="J477" s="566"/>
      <c r="K477" s="566"/>
      <c r="L477" s="566"/>
      <c r="M477" s="566"/>
      <c r="N477" s="566"/>
      <c r="O477" s="566"/>
      <c r="P477" s="566"/>
      <c r="Q477" s="566"/>
      <c r="R477" s="566"/>
      <c r="S477" s="566"/>
      <c r="T477" s="566"/>
      <c r="U477" s="566"/>
      <c r="V477" s="566"/>
      <c r="W477" s="566"/>
      <c r="X477" s="566"/>
      <c r="Y477" s="566"/>
    </row>
    <row r="478" spans="2:25" x14ac:dyDescent="0.25">
      <c r="B478" s="566"/>
      <c r="C478" s="566"/>
      <c r="D478" s="566"/>
      <c r="E478" s="566"/>
      <c r="F478" s="566"/>
      <c r="G478" s="566"/>
      <c r="H478" s="566"/>
      <c r="I478" s="566"/>
      <c r="J478" s="566"/>
      <c r="K478" s="566"/>
      <c r="L478" s="566"/>
      <c r="M478" s="566"/>
      <c r="N478" s="566"/>
      <c r="O478" s="566"/>
      <c r="P478" s="566"/>
      <c r="Q478" s="566"/>
      <c r="R478" s="566"/>
      <c r="S478" s="566"/>
      <c r="T478" s="566"/>
      <c r="U478" s="566"/>
      <c r="V478" s="566"/>
      <c r="W478" s="566"/>
      <c r="X478" s="566"/>
      <c r="Y478" s="566"/>
    </row>
    <row r="479" spans="2:25" x14ac:dyDescent="0.25">
      <c r="B479" s="566"/>
      <c r="C479" s="566"/>
      <c r="D479" s="566"/>
      <c r="E479" s="566"/>
      <c r="F479" s="566"/>
      <c r="G479" s="566"/>
      <c r="H479" s="566"/>
      <c r="I479" s="566"/>
      <c r="J479" s="566"/>
      <c r="K479" s="566"/>
      <c r="L479" s="566"/>
      <c r="M479" s="566"/>
      <c r="N479" s="566"/>
      <c r="O479" s="566"/>
      <c r="P479" s="566"/>
      <c r="Q479" s="566"/>
      <c r="R479" s="566"/>
      <c r="S479" s="566"/>
      <c r="T479" s="566"/>
      <c r="U479" s="566"/>
      <c r="V479" s="566"/>
      <c r="W479" s="566"/>
      <c r="X479" s="566"/>
      <c r="Y479" s="566"/>
    </row>
    <row r="480" spans="2:25" x14ac:dyDescent="0.25">
      <c r="B480" s="566"/>
      <c r="C480" s="566"/>
      <c r="D480" s="566"/>
      <c r="E480" s="566"/>
      <c r="F480" s="566"/>
      <c r="G480" s="566"/>
      <c r="H480" s="566"/>
      <c r="I480" s="566"/>
      <c r="J480" s="566"/>
      <c r="K480" s="566"/>
      <c r="L480" s="566"/>
      <c r="M480" s="566"/>
      <c r="N480" s="566"/>
      <c r="O480" s="566"/>
      <c r="P480" s="566"/>
      <c r="Q480" s="566"/>
      <c r="R480" s="566"/>
      <c r="S480" s="566"/>
      <c r="T480" s="566"/>
      <c r="U480" s="566"/>
      <c r="V480" s="566"/>
      <c r="W480" s="566"/>
      <c r="X480" s="566"/>
      <c r="Y480" s="566"/>
    </row>
    <row r="481" spans="2:25" x14ac:dyDescent="0.25">
      <c r="B481" s="566"/>
      <c r="C481" s="566"/>
      <c r="D481" s="566"/>
      <c r="E481" s="566"/>
      <c r="F481" s="566"/>
      <c r="G481" s="566"/>
      <c r="H481" s="566"/>
      <c r="I481" s="566"/>
      <c r="J481" s="566"/>
      <c r="K481" s="566"/>
      <c r="L481" s="566"/>
      <c r="M481" s="566"/>
      <c r="N481" s="566"/>
      <c r="O481" s="566"/>
      <c r="P481" s="566"/>
      <c r="Q481" s="566"/>
      <c r="R481" s="566"/>
      <c r="S481" s="566"/>
      <c r="T481" s="566"/>
      <c r="U481" s="566"/>
      <c r="V481" s="566"/>
      <c r="W481" s="566"/>
      <c r="X481" s="566"/>
      <c r="Y481" s="566"/>
    </row>
    <row r="482" spans="2:25" x14ac:dyDescent="0.25">
      <c r="B482" s="566"/>
      <c r="C482" s="566"/>
      <c r="D482" s="566"/>
      <c r="E482" s="566"/>
      <c r="F482" s="566"/>
      <c r="G482" s="566"/>
      <c r="H482" s="566"/>
      <c r="I482" s="566"/>
      <c r="J482" s="566"/>
      <c r="K482" s="566"/>
      <c r="L482" s="566"/>
      <c r="M482" s="566"/>
      <c r="N482" s="566"/>
      <c r="O482" s="566"/>
      <c r="P482" s="566"/>
      <c r="Q482" s="566"/>
      <c r="R482" s="566"/>
      <c r="S482" s="566"/>
      <c r="T482" s="566"/>
      <c r="U482" s="566"/>
      <c r="V482" s="566"/>
      <c r="W482" s="566"/>
      <c r="X482" s="566"/>
      <c r="Y482" s="566"/>
    </row>
    <row r="483" spans="2:25" x14ac:dyDescent="0.25">
      <c r="B483" s="566"/>
      <c r="C483" s="566"/>
      <c r="D483" s="566"/>
      <c r="E483" s="566"/>
      <c r="F483" s="566"/>
      <c r="G483" s="566"/>
      <c r="H483" s="566"/>
      <c r="I483" s="566"/>
      <c r="J483" s="566"/>
      <c r="K483" s="566"/>
      <c r="L483" s="566"/>
      <c r="M483" s="566"/>
      <c r="N483" s="566"/>
      <c r="O483" s="566"/>
      <c r="P483" s="566"/>
      <c r="Q483" s="566"/>
      <c r="R483" s="566"/>
      <c r="S483" s="566"/>
      <c r="T483" s="566"/>
      <c r="U483" s="566"/>
      <c r="V483" s="566"/>
      <c r="W483" s="566"/>
      <c r="X483" s="566"/>
      <c r="Y483" s="566"/>
    </row>
    <row r="484" spans="2:25" x14ac:dyDescent="0.25">
      <c r="B484" s="566"/>
      <c r="C484" s="566"/>
      <c r="D484" s="566"/>
      <c r="E484" s="566"/>
      <c r="F484" s="566"/>
      <c r="G484" s="566"/>
      <c r="H484" s="566"/>
      <c r="I484" s="566"/>
      <c r="J484" s="566"/>
      <c r="K484" s="566"/>
      <c r="L484" s="566"/>
      <c r="M484" s="566"/>
      <c r="N484" s="566"/>
      <c r="O484" s="566"/>
      <c r="P484" s="566"/>
      <c r="Q484" s="566"/>
      <c r="R484" s="566"/>
      <c r="S484" s="566"/>
      <c r="T484" s="566"/>
      <c r="U484" s="566"/>
      <c r="V484" s="566"/>
      <c r="W484" s="566"/>
      <c r="X484" s="566"/>
      <c r="Y484" s="566"/>
    </row>
    <row r="485" spans="2:25" x14ac:dyDescent="0.25">
      <c r="B485" s="566"/>
      <c r="C485" s="566"/>
      <c r="D485" s="566"/>
      <c r="E485" s="566"/>
      <c r="F485" s="566"/>
      <c r="G485" s="566"/>
      <c r="H485" s="566"/>
      <c r="I485" s="566"/>
      <c r="J485" s="566"/>
      <c r="K485" s="566"/>
      <c r="L485" s="566"/>
      <c r="M485" s="566"/>
      <c r="N485" s="566"/>
      <c r="O485" s="566"/>
      <c r="P485" s="566"/>
      <c r="Q485" s="566"/>
      <c r="R485" s="566"/>
      <c r="S485" s="566"/>
      <c r="T485" s="566"/>
      <c r="U485" s="566"/>
      <c r="V485" s="566"/>
      <c r="W485" s="566"/>
      <c r="X485" s="566"/>
      <c r="Y485" s="566"/>
    </row>
    <row r="486" spans="2:25" x14ac:dyDescent="0.25">
      <c r="B486" s="566"/>
      <c r="C486" s="566"/>
      <c r="D486" s="566"/>
      <c r="E486" s="566"/>
      <c r="F486" s="566"/>
      <c r="G486" s="566"/>
      <c r="H486" s="566"/>
      <c r="I486" s="566"/>
      <c r="J486" s="566"/>
      <c r="K486" s="566"/>
      <c r="L486" s="566"/>
      <c r="M486" s="566"/>
      <c r="N486" s="566"/>
      <c r="O486" s="566"/>
      <c r="P486" s="566"/>
      <c r="Q486" s="566"/>
      <c r="R486" s="566"/>
      <c r="S486" s="566"/>
      <c r="T486" s="566"/>
      <c r="U486" s="566"/>
      <c r="V486" s="566"/>
      <c r="W486" s="566"/>
      <c r="X486" s="566"/>
      <c r="Y486" s="566"/>
    </row>
    <row r="487" spans="2:25" x14ac:dyDescent="0.25">
      <c r="B487" s="566"/>
      <c r="C487" s="566"/>
      <c r="D487" s="566"/>
      <c r="E487" s="566"/>
      <c r="F487" s="566"/>
      <c r="G487" s="566"/>
      <c r="H487" s="566"/>
      <c r="I487" s="566"/>
      <c r="J487" s="566"/>
      <c r="K487" s="566"/>
      <c r="L487" s="566"/>
      <c r="M487" s="566"/>
      <c r="N487" s="566"/>
      <c r="O487" s="566"/>
      <c r="P487" s="566"/>
      <c r="Q487" s="566"/>
      <c r="R487" s="566"/>
      <c r="S487" s="566"/>
      <c r="T487" s="566"/>
      <c r="U487" s="566"/>
      <c r="V487" s="566"/>
      <c r="W487" s="566"/>
      <c r="X487" s="566"/>
      <c r="Y487" s="566"/>
    </row>
    <row r="488" spans="2:25" x14ac:dyDescent="0.25">
      <c r="B488" s="566"/>
      <c r="C488" s="566"/>
      <c r="D488" s="566"/>
      <c r="E488" s="566"/>
      <c r="F488" s="566"/>
      <c r="G488" s="566"/>
      <c r="H488" s="566"/>
      <c r="I488" s="566"/>
      <c r="J488" s="566"/>
      <c r="K488" s="566"/>
      <c r="L488" s="566"/>
      <c r="M488" s="566"/>
      <c r="N488" s="566"/>
      <c r="O488" s="566"/>
      <c r="P488" s="566"/>
      <c r="Q488" s="566"/>
      <c r="R488" s="566"/>
      <c r="S488" s="566"/>
      <c r="T488" s="566"/>
      <c r="U488" s="566"/>
      <c r="V488" s="566"/>
      <c r="W488" s="566"/>
      <c r="X488" s="566"/>
      <c r="Y488" s="566"/>
    </row>
    <row r="489" spans="2:25" x14ac:dyDescent="0.25">
      <c r="B489" s="566"/>
      <c r="C489" s="566"/>
      <c r="D489" s="566"/>
      <c r="E489" s="566"/>
      <c r="F489" s="566"/>
      <c r="G489" s="566"/>
      <c r="H489" s="566"/>
      <c r="I489" s="566"/>
      <c r="J489" s="566"/>
      <c r="K489" s="566"/>
      <c r="L489" s="566"/>
      <c r="M489" s="566"/>
      <c r="N489" s="566"/>
      <c r="O489" s="566"/>
      <c r="P489" s="566"/>
      <c r="Q489" s="566"/>
      <c r="R489" s="566"/>
      <c r="S489" s="566"/>
      <c r="T489" s="566"/>
      <c r="U489" s="566"/>
      <c r="V489" s="566"/>
      <c r="W489" s="566"/>
      <c r="X489" s="566"/>
      <c r="Y489" s="566"/>
    </row>
    <row r="490" spans="2:25" x14ac:dyDescent="0.25">
      <c r="B490" s="566"/>
      <c r="C490" s="566"/>
      <c r="D490" s="566"/>
      <c r="E490" s="566"/>
      <c r="F490" s="566"/>
      <c r="G490" s="566"/>
      <c r="H490" s="566"/>
      <c r="I490" s="566"/>
      <c r="J490" s="566"/>
      <c r="K490" s="566"/>
      <c r="L490" s="566"/>
      <c r="M490" s="566"/>
      <c r="N490" s="566"/>
      <c r="O490" s="566"/>
      <c r="P490" s="566"/>
      <c r="Q490" s="566"/>
      <c r="R490" s="566"/>
      <c r="S490" s="566"/>
      <c r="T490" s="566"/>
      <c r="U490" s="566"/>
      <c r="V490" s="566"/>
      <c r="W490" s="566"/>
      <c r="X490" s="566"/>
      <c r="Y490" s="566"/>
    </row>
    <row r="491" spans="2:25" x14ac:dyDescent="0.25">
      <c r="B491" s="566"/>
      <c r="C491" s="566"/>
      <c r="D491" s="566"/>
      <c r="E491" s="566"/>
      <c r="F491" s="566"/>
      <c r="G491" s="566"/>
      <c r="H491" s="566"/>
      <c r="I491" s="566"/>
      <c r="J491" s="566"/>
      <c r="K491" s="566"/>
      <c r="L491" s="566"/>
      <c r="M491" s="566"/>
      <c r="N491" s="566"/>
      <c r="O491" s="566"/>
      <c r="P491" s="566"/>
      <c r="Q491" s="566"/>
      <c r="R491" s="566"/>
      <c r="S491" s="566"/>
      <c r="T491" s="566"/>
      <c r="U491" s="566"/>
      <c r="V491" s="566"/>
      <c r="W491" s="566"/>
      <c r="X491" s="566"/>
      <c r="Y491" s="566"/>
    </row>
    <row r="492" spans="2:25" x14ac:dyDescent="0.25">
      <c r="B492" s="566"/>
      <c r="C492" s="566"/>
      <c r="D492" s="566"/>
      <c r="E492" s="566"/>
      <c r="F492" s="566"/>
      <c r="G492" s="566"/>
      <c r="H492" s="566"/>
      <c r="I492" s="566"/>
      <c r="J492" s="566"/>
      <c r="K492" s="566"/>
      <c r="L492" s="566"/>
      <c r="M492" s="566"/>
      <c r="N492" s="566"/>
      <c r="O492" s="566"/>
      <c r="P492" s="566"/>
      <c r="Q492" s="566"/>
      <c r="R492" s="566"/>
      <c r="S492" s="566"/>
      <c r="T492" s="566"/>
      <c r="U492" s="566"/>
      <c r="V492" s="566"/>
      <c r="W492" s="566"/>
      <c r="X492" s="566"/>
      <c r="Y492" s="566"/>
    </row>
    <row r="493" spans="2:25" x14ac:dyDescent="0.25">
      <c r="B493" s="566"/>
      <c r="C493" s="566"/>
      <c r="D493" s="566"/>
      <c r="E493" s="566"/>
      <c r="F493" s="566"/>
      <c r="G493" s="566"/>
      <c r="H493" s="566"/>
      <c r="I493" s="566"/>
      <c r="J493" s="566"/>
      <c r="K493" s="566"/>
      <c r="L493" s="566"/>
      <c r="M493" s="566"/>
      <c r="N493" s="566"/>
      <c r="O493" s="566"/>
      <c r="P493" s="566"/>
      <c r="Q493" s="566"/>
      <c r="R493" s="566"/>
      <c r="S493" s="566"/>
      <c r="T493" s="566"/>
      <c r="U493" s="566"/>
      <c r="V493" s="566"/>
      <c r="W493" s="566"/>
      <c r="X493" s="566"/>
      <c r="Y493" s="566"/>
    </row>
    <row r="494" spans="2:25" x14ac:dyDescent="0.25">
      <c r="B494" s="566"/>
      <c r="C494" s="566"/>
      <c r="D494" s="566"/>
      <c r="E494" s="566"/>
      <c r="F494" s="566"/>
      <c r="G494" s="566"/>
      <c r="H494" s="566"/>
      <c r="I494" s="566"/>
      <c r="J494" s="566"/>
      <c r="K494" s="566"/>
      <c r="L494" s="566"/>
      <c r="M494" s="566"/>
      <c r="N494" s="566"/>
      <c r="O494" s="566"/>
      <c r="P494" s="566"/>
      <c r="Q494" s="566"/>
      <c r="R494" s="566"/>
      <c r="S494" s="566"/>
      <c r="T494" s="566"/>
      <c r="U494" s="566"/>
      <c r="V494" s="566"/>
      <c r="W494" s="566"/>
      <c r="X494" s="566"/>
      <c r="Y494" s="566"/>
    </row>
    <row r="495" spans="2:25" x14ac:dyDescent="0.25">
      <c r="B495" s="566"/>
      <c r="C495" s="566"/>
      <c r="D495" s="566"/>
      <c r="E495" s="566"/>
      <c r="F495" s="566"/>
      <c r="G495" s="566"/>
      <c r="H495" s="566"/>
      <c r="I495" s="566"/>
      <c r="J495" s="566"/>
      <c r="K495" s="566"/>
      <c r="L495" s="566"/>
      <c r="M495" s="566"/>
      <c r="N495" s="566"/>
      <c r="O495" s="566"/>
      <c r="P495" s="566"/>
      <c r="Q495" s="566"/>
      <c r="R495" s="566"/>
      <c r="S495" s="566"/>
      <c r="T495" s="566"/>
      <c r="U495" s="566"/>
      <c r="V495" s="566"/>
      <c r="W495" s="566"/>
      <c r="X495" s="566"/>
      <c r="Y495" s="566"/>
    </row>
    <row r="496" spans="2:25" x14ac:dyDescent="0.25">
      <c r="B496" s="566"/>
      <c r="C496" s="566"/>
      <c r="D496" s="566"/>
      <c r="E496" s="566"/>
      <c r="F496" s="566"/>
      <c r="G496" s="566"/>
      <c r="H496" s="566"/>
      <c r="I496" s="566"/>
      <c r="J496" s="566"/>
      <c r="K496" s="566"/>
      <c r="L496" s="566"/>
      <c r="M496" s="566"/>
      <c r="N496" s="566"/>
      <c r="O496" s="566"/>
      <c r="P496" s="566"/>
      <c r="Q496" s="566"/>
      <c r="R496" s="566"/>
      <c r="S496" s="566"/>
      <c r="T496" s="566"/>
      <c r="U496" s="566"/>
      <c r="V496" s="566"/>
      <c r="W496" s="566"/>
      <c r="X496" s="566"/>
      <c r="Y496" s="566"/>
    </row>
    <row r="497" spans="2:25" x14ac:dyDescent="0.25">
      <c r="B497" s="566"/>
      <c r="C497" s="566"/>
      <c r="D497" s="566"/>
      <c r="E497" s="566"/>
      <c r="F497" s="566"/>
      <c r="G497" s="566"/>
      <c r="H497" s="566"/>
      <c r="I497" s="566"/>
      <c r="J497" s="566"/>
      <c r="K497" s="566"/>
      <c r="L497" s="566"/>
      <c r="M497" s="566"/>
      <c r="N497" s="566"/>
      <c r="O497" s="566"/>
      <c r="P497" s="566"/>
      <c r="Q497" s="566"/>
      <c r="R497" s="566"/>
      <c r="S497" s="566"/>
      <c r="T497" s="566"/>
      <c r="U497" s="566"/>
      <c r="V497" s="566"/>
      <c r="W497" s="566"/>
      <c r="X497" s="566"/>
      <c r="Y497" s="566"/>
    </row>
    <row r="498" spans="2:25" x14ac:dyDescent="0.25">
      <c r="B498" s="566"/>
      <c r="C498" s="566"/>
      <c r="D498" s="566"/>
      <c r="E498" s="566"/>
      <c r="F498" s="566"/>
      <c r="G498" s="566"/>
      <c r="H498" s="566"/>
      <c r="I498" s="566"/>
      <c r="J498" s="566"/>
      <c r="K498" s="566"/>
      <c r="L498" s="566"/>
      <c r="M498" s="566"/>
      <c r="N498" s="566"/>
      <c r="O498" s="566"/>
      <c r="P498" s="566"/>
      <c r="Q498" s="566"/>
      <c r="R498" s="566"/>
      <c r="S498" s="566"/>
      <c r="T498" s="566"/>
      <c r="U498" s="566"/>
      <c r="V498" s="566"/>
      <c r="W498" s="566"/>
      <c r="X498" s="566"/>
      <c r="Y498" s="566"/>
    </row>
    <row r="499" spans="2:25" x14ac:dyDescent="0.25">
      <c r="B499" s="566"/>
      <c r="C499" s="566"/>
      <c r="D499" s="566"/>
      <c r="E499" s="566"/>
      <c r="F499" s="566"/>
      <c r="G499" s="566"/>
      <c r="H499" s="566"/>
      <c r="I499" s="566"/>
      <c r="J499" s="566"/>
      <c r="K499" s="566"/>
      <c r="L499" s="566"/>
      <c r="M499" s="566"/>
      <c r="N499" s="566"/>
      <c r="O499" s="566"/>
      <c r="P499" s="566"/>
      <c r="Q499" s="566"/>
      <c r="R499" s="566"/>
      <c r="S499" s="566"/>
      <c r="T499" s="566"/>
      <c r="U499" s="566"/>
      <c r="V499" s="566"/>
      <c r="W499" s="566"/>
      <c r="X499" s="566"/>
      <c r="Y499" s="566"/>
    </row>
    <row r="500" spans="2:25" x14ac:dyDescent="0.25">
      <c r="B500" s="566"/>
      <c r="C500" s="566"/>
      <c r="D500" s="566"/>
      <c r="E500" s="566"/>
      <c r="F500" s="566"/>
      <c r="G500" s="566"/>
      <c r="H500" s="566"/>
      <c r="I500" s="566"/>
      <c r="J500" s="566"/>
      <c r="K500" s="566"/>
      <c r="L500" s="566"/>
      <c r="M500" s="566"/>
      <c r="N500" s="566"/>
      <c r="O500" s="566"/>
      <c r="P500" s="566"/>
      <c r="Q500" s="566"/>
      <c r="R500" s="566"/>
      <c r="S500" s="566"/>
      <c r="T500" s="566"/>
      <c r="U500" s="566"/>
      <c r="V500" s="566"/>
      <c r="W500" s="566"/>
      <c r="X500" s="566"/>
      <c r="Y500" s="566"/>
    </row>
    <row r="501" spans="2:25" x14ac:dyDescent="0.25">
      <c r="B501" s="566"/>
      <c r="C501" s="566"/>
      <c r="D501" s="566"/>
      <c r="E501" s="566"/>
      <c r="F501" s="566"/>
      <c r="G501" s="566"/>
      <c r="H501" s="566"/>
      <c r="I501" s="566"/>
      <c r="J501" s="566"/>
      <c r="K501" s="566"/>
      <c r="L501" s="566"/>
      <c r="M501" s="566"/>
      <c r="N501" s="566"/>
      <c r="O501" s="566"/>
      <c r="P501" s="566"/>
      <c r="Q501" s="566"/>
      <c r="R501" s="566"/>
      <c r="S501" s="566"/>
      <c r="T501" s="566"/>
      <c r="U501" s="566"/>
      <c r="V501" s="566"/>
      <c r="W501" s="566"/>
      <c r="X501" s="566"/>
      <c r="Y501" s="566"/>
    </row>
    <row r="502" spans="2:25" x14ac:dyDescent="0.25">
      <c r="B502" s="566"/>
      <c r="C502" s="566"/>
      <c r="D502" s="566"/>
      <c r="E502" s="566"/>
      <c r="F502" s="566"/>
      <c r="G502" s="566"/>
      <c r="H502" s="566"/>
      <c r="I502" s="566"/>
      <c r="J502" s="566"/>
      <c r="K502" s="566"/>
      <c r="L502" s="566"/>
      <c r="M502" s="566"/>
      <c r="N502" s="566"/>
      <c r="O502" s="566"/>
      <c r="P502" s="566"/>
      <c r="Q502" s="566"/>
      <c r="R502" s="566"/>
      <c r="S502" s="566"/>
      <c r="T502" s="566"/>
      <c r="U502" s="566"/>
      <c r="V502" s="566"/>
      <c r="W502" s="566"/>
      <c r="X502" s="566"/>
      <c r="Y502" s="566"/>
    </row>
    <row r="503" spans="2:25" x14ac:dyDescent="0.25">
      <c r="B503" s="566"/>
      <c r="C503" s="566"/>
      <c r="D503" s="566"/>
      <c r="E503" s="566"/>
      <c r="F503" s="566"/>
      <c r="G503" s="566"/>
      <c r="H503" s="566"/>
      <c r="I503" s="566"/>
      <c r="J503" s="566"/>
      <c r="K503" s="566"/>
      <c r="L503" s="566"/>
      <c r="M503" s="566"/>
      <c r="N503" s="566"/>
      <c r="O503" s="566"/>
      <c r="P503" s="566"/>
      <c r="Q503" s="566"/>
      <c r="R503" s="566"/>
      <c r="S503" s="566"/>
      <c r="T503" s="566"/>
      <c r="U503" s="566"/>
      <c r="V503" s="566"/>
      <c r="W503" s="566"/>
      <c r="X503" s="566"/>
      <c r="Y503" s="566"/>
    </row>
    <row r="504" spans="2:25" x14ac:dyDescent="0.25">
      <c r="B504" s="566"/>
      <c r="C504" s="566"/>
      <c r="D504" s="566"/>
      <c r="E504" s="566"/>
      <c r="F504" s="566"/>
      <c r="G504" s="566"/>
      <c r="H504" s="566"/>
      <c r="I504" s="566"/>
      <c r="J504" s="566"/>
      <c r="K504" s="566"/>
      <c r="L504" s="566"/>
      <c r="M504" s="566"/>
      <c r="N504" s="566"/>
      <c r="O504" s="566"/>
      <c r="P504" s="566"/>
      <c r="Q504" s="566"/>
      <c r="R504" s="566"/>
      <c r="S504" s="566"/>
      <c r="T504" s="566"/>
      <c r="U504" s="566"/>
      <c r="V504" s="566"/>
      <c r="W504" s="566"/>
      <c r="X504" s="566"/>
      <c r="Y504" s="566"/>
    </row>
    <row r="505" spans="2:25" x14ac:dyDescent="0.25">
      <c r="B505" s="566"/>
      <c r="C505" s="566"/>
      <c r="D505" s="566"/>
      <c r="E505" s="566"/>
      <c r="F505" s="566"/>
      <c r="G505" s="566"/>
      <c r="H505" s="566"/>
      <c r="I505" s="566"/>
      <c r="J505" s="566"/>
      <c r="K505" s="566"/>
      <c r="L505" s="566"/>
      <c r="M505" s="566"/>
      <c r="N505" s="566"/>
      <c r="O505" s="566"/>
      <c r="P505" s="566"/>
      <c r="Q505" s="566"/>
      <c r="R505" s="566"/>
      <c r="S505" s="566"/>
      <c r="T505" s="566"/>
      <c r="U505" s="566"/>
      <c r="V505" s="566"/>
      <c r="W505" s="566"/>
      <c r="X505" s="566"/>
      <c r="Y505" s="566"/>
    </row>
    <row r="506" spans="2:25" x14ac:dyDescent="0.25">
      <c r="B506" s="566"/>
      <c r="C506" s="566"/>
      <c r="D506" s="566"/>
      <c r="E506" s="566"/>
      <c r="F506" s="566"/>
      <c r="G506" s="566"/>
      <c r="H506" s="566"/>
      <c r="I506" s="566"/>
      <c r="J506" s="566"/>
      <c r="K506" s="566"/>
      <c r="L506" s="566"/>
      <c r="M506" s="566"/>
      <c r="N506" s="566"/>
      <c r="O506" s="566"/>
      <c r="P506" s="566"/>
      <c r="Q506" s="566"/>
      <c r="R506" s="566"/>
      <c r="S506" s="566"/>
      <c r="T506" s="566"/>
      <c r="U506" s="566"/>
      <c r="V506" s="566"/>
      <c r="W506" s="566"/>
      <c r="X506" s="566"/>
      <c r="Y506" s="566"/>
    </row>
    <row r="507" spans="2:25" x14ac:dyDescent="0.25">
      <c r="B507" s="566"/>
      <c r="C507" s="566"/>
      <c r="D507" s="566"/>
      <c r="E507" s="566"/>
      <c r="F507" s="566"/>
      <c r="G507" s="566"/>
      <c r="H507" s="566"/>
      <c r="I507" s="566"/>
      <c r="J507" s="566"/>
      <c r="K507" s="566"/>
      <c r="L507" s="566"/>
      <c r="M507" s="566"/>
      <c r="N507" s="566"/>
      <c r="O507" s="566"/>
      <c r="P507" s="566"/>
      <c r="Q507" s="566"/>
      <c r="R507" s="566"/>
      <c r="S507" s="566"/>
      <c r="T507" s="566"/>
      <c r="U507" s="566"/>
      <c r="V507" s="566"/>
      <c r="W507" s="566"/>
      <c r="X507" s="566"/>
      <c r="Y507" s="566"/>
    </row>
    <row r="508" spans="2:25" x14ac:dyDescent="0.25">
      <c r="B508" s="566"/>
      <c r="C508" s="566"/>
      <c r="D508" s="566"/>
      <c r="E508" s="566"/>
      <c r="F508" s="566"/>
      <c r="G508" s="566"/>
      <c r="H508" s="566"/>
      <c r="I508" s="566"/>
      <c r="J508" s="566"/>
      <c r="K508" s="566"/>
      <c r="L508" s="566"/>
      <c r="M508" s="566"/>
      <c r="N508" s="566"/>
      <c r="O508" s="566"/>
      <c r="P508" s="566"/>
      <c r="Q508" s="566"/>
      <c r="R508" s="566"/>
      <c r="S508" s="566"/>
      <c r="T508" s="566"/>
      <c r="U508" s="566"/>
      <c r="V508" s="566"/>
      <c r="W508" s="566"/>
      <c r="X508" s="566"/>
      <c r="Y508" s="566"/>
    </row>
    <row r="509" spans="2:25" x14ac:dyDescent="0.25">
      <c r="B509" s="566"/>
      <c r="C509" s="566"/>
      <c r="D509" s="566"/>
      <c r="E509" s="566"/>
      <c r="F509" s="566"/>
      <c r="G509" s="566"/>
      <c r="H509" s="566"/>
      <c r="I509" s="566"/>
      <c r="J509" s="566"/>
      <c r="K509" s="566"/>
      <c r="L509" s="566"/>
      <c r="M509" s="566"/>
      <c r="N509" s="566"/>
      <c r="O509" s="566"/>
      <c r="P509" s="566"/>
      <c r="Q509" s="566"/>
      <c r="R509" s="566"/>
      <c r="S509" s="566"/>
      <c r="T509" s="566"/>
      <c r="U509" s="566"/>
      <c r="V509" s="566"/>
      <c r="W509" s="566"/>
      <c r="X509" s="566"/>
      <c r="Y509" s="566"/>
    </row>
    <row r="510" spans="2:25" x14ac:dyDescent="0.25">
      <c r="B510" s="566"/>
      <c r="C510" s="566"/>
      <c r="D510" s="566"/>
      <c r="E510" s="566"/>
      <c r="F510" s="566"/>
      <c r="G510" s="566"/>
      <c r="H510" s="566"/>
      <c r="I510" s="566"/>
      <c r="J510" s="566"/>
      <c r="K510" s="566"/>
      <c r="L510" s="566"/>
      <c r="M510" s="566"/>
      <c r="N510" s="566"/>
      <c r="O510" s="566"/>
      <c r="P510" s="566"/>
      <c r="Q510" s="566"/>
      <c r="R510" s="566"/>
      <c r="S510" s="566"/>
      <c r="T510" s="566"/>
      <c r="U510" s="566"/>
      <c r="V510" s="566"/>
      <c r="W510" s="566"/>
      <c r="X510" s="566"/>
      <c r="Y510" s="566"/>
    </row>
    <row r="511" spans="2:25" x14ac:dyDescent="0.25">
      <c r="B511" s="566"/>
      <c r="C511" s="566"/>
      <c r="D511" s="566"/>
      <c r="E511" s="566"/>
      <c r="F511" s="566"/>
      <c r="G511" s="566"/>
      <c r="H511" s="566"/>
      <c r="I511" s="566"/>
      <c r="J511" s="566"/>
      <c r="K511" s="566"/>
      <c r="L511" s="566"/>
      <c r="M511" s="566"/>
      <c r="N511" s="566"/>
      <c r="O511" s="566"/>
      <c r="P511" s="566"/>
      <c r="Q511" s="566"/>
      <c r="R511" s="566"/>
      <c r="S511" s="566"/>
      <c r="T511" s="566"/>
      <c r="U511" s="566"/>
      <c r="V511" s="566"/>
      <c r="W511" s="566"/>
      <c r="X511" s="566"/>
      <c r="Y511" s="566"/>
    </row>
    <row r="512" spans="2:25" x14ac:dyDescent="0.25">
      <c r="B512" s="566"/>
      <c r="C512" s="566"/>
      <c r="D512" s="566"/>
      <c r="E512" s="566"/>
      <c r="F512" s="566"/>
      <c r="G512" s="566"/>
      <c r="H512" s="566"/>
      <c r="I512" s="566"/>
      <c r="J512" s="566"/>
      <c r="K512" s="566"/>
      <c r="L512" s="566"/>
      <c r="M512" s="566"/>
      <c r="N512" s="566"/>
      <c r="O512" s="566"/>
      <c r="P512" s="566"/>
      <c r="Q512" s="566"/>
      <c r="R512" s="566"/>
      <c r="S512" s="566"/>
      <c r="T512" s="566"/>
      <c r="U512" s="566"/>
      <c r="V512" s="566"/>
      <c r="W512" s="566"/>
      <c r="X512" s="566"/>
      <c r="Y512" s="566"/>
    </row>
    <row r="513" spans="2:25" x14ac:dyDescent="0.25">
      <c r="B513" s="566"/>
      <c r="C513" s="566"/>
      <c r="D513" s="566"/>
      <c r="E513" s="566"/>
      <c r="F513" s="566"/>
      <c r="G513" s="566"/>
      <c r="H513" s="566"/>
      <c r="I513" s="566"/>
      <c r="J513" s="566"/>
      <c r="K513" s="566"/>
      <c r="L513" s="566"/>
      <c r="M513" s="566"/>
      <c r="N513" s="566"/>
      <c r="O513" s="566"/>
      <c r="P513" s="566"/>
      <c r="Q513" s="566"/>
      <c r="R513" s="566"/>
      <c r="S513" s="566"/>
      <c r="T513" s="566"/>
      <c r="U513" s="566"/>
      <c r="V513" s="566"/>
      <c r="W513" s="566"/>
      <c r="X513" s="566"/>
      <c r="Y513" s="566"/>
    </row>
    <row r="514" spans="2:25" x14ac:dyDescent="0.25">
      <c r="B514" s="566"/>
      <c r="C514" s="566"/>
      <c r="D514" s="566"/>
      <c r="E514" s="566"/>
      <c r="F514" s="566"/>
      <c r="G514" s="566"/>
      <c r="H514" s="566"/>
      <c r="I514" s="566"/>
      <c r="J514" s="566"/>
      <c r="K514" s="566"/>
      <c r="L514" s="566"/>
      <c r="M514" s="566"/>
      <c r="N514" s="566"/>
      <c r="O514" s="566"/>
      <c r="P514" s="566"/>
      <c r="Q514" s="566"/>
      <c r="R514" s="566"/>
      <c r="S514" s="566"/>
      <c r="T514" s="566"/>
      <c r="U514" s="566"/>
      <c r="V514" s="566"/>
      <c r="W514" s="566"/>
      <c r="X514" s="566"/>
      <c r="Y514" s="566"/>
    </row>
    <row r="515" spans="2:25" x14ac:dyDescent="0.25">
      <c r="B515" s="566"/>
      <c r="C515" s="566"/>
      <c r="D515" s="566"/>
      <c r="E515" s="566"/>
      <c r="F515" s="566"/>
      <c r="G515" s="566"/>
      <c r="H515" s="566"/>
      <c r="I515" s="566"/>
      <c r="J515" s="566"/>
      <c r="K515" s="566"/>
      <c r="L515" s="566"/>
      <c r="M515" s="566"/>
      <c r="N515" s="566"/>
      <c r="O515" s="566"/>
      <c r="P515" s="566"/>
      <c r="Q515" s="566"/>
      <c r="R515" s="566"/>
      <c r="S515" s="566"/>
      <c r="T515" s="566"/>
      <c r="U515" s="566"/>
      <c r="V515" s="566"/>
      <c r="W515" s="566"/>
      <c r="X515" s="566"/>
      <c r="Y515" s="566"/>
    </row>
    <row r="516" spans="2:25" x14ac:dyDescent="0.25">
      <c r="B516" s="566"/>
      <c r="C516" s="566"/>
      <c r="D516" s="566"/>
      <c r="E516" s="566"/>
      <c r="F516" s="566"/>
      <c r="G516" s="566"/>
      <c r="H516" s="566"/>
      <c r="I516" s="566"/>
      <c r="J516" s="566"/>
      <c r="K516" s="566"/>
      <c r="L516" s="566"/>
      <c r="M516" s="566"/>
      <c r="N516" s="566"/>
      <c r="O516" s="566"/>
      <c r="P516" s="566"/>
      <c r="Q516" s="566"/>
      <c r="R516" s="566"/>
      <c r="S516" s="566"/>
      <c r="T516" s="566"/>
      <c r="U516" s="566"/>
      <c r="V516" s="566"/>
      <c r="W516" s="566"/>
      <c r="X516" s="566"/>
      <c r="Y516" s="566"/>
    </row>
    <row r="517" spans="2:25" x14ac:dyDescent="0.25">
      <c r="B517" s="566"/>
      <c r="C517" s="566"/>
      <c r="D517" s="566"/>
      <c r="E517" s="566"/>
      <c r="F517" s="566"/>
      <c r="G517" s="566"/>
      <c r="H517" s="566"/>
      <c r="I517" s="566"/>
      <c r="J517" s="566"/>
      <c r="K517" s="566"/>
      <c r="L517" s="566"/>
      <c r="M517" s="566"/>
      <c r="N517" s="566"/>
      <c r="O517" s="566"/>
      <c r="P517" s="566"/>
      <c r="Q517" s="566"/>
      <c r="R517" s="566"/>
      <c r="S517" s="566"/>
      <c r="T517" s="566"/>
      <c r="U517" s="566"/>
      <c r="V517" s="566"/>
      <c r="W517" s="566"/>
      <c r="X517" s="566"/>
      <c r="Y517" s="566"/>
    </row>
    <row r="518" spans="2:25" x14ac:dyDescent="0.25">
      <c r="B518" s="566"/>
      <c r="C518" s="566"/>
      <c r="D518" s="566"/>
      <c r="E518" s="566"/>
      <c r="F518" s="566"/>
      <c r="G518" s="566"/>
      <c r="H518" s="566"/>
      <c r="I518" s="566"/>
      <c r="J518" s="566"/>
      <c r="K518" s="566"/>
      <c r="L518" s="566"/>
      <c r="M518" s="566"/>
      <c r="N518" s="566"/>
      <c r="O518" s="566"/>
      <c r="P518" s="566"/>
      <c r="Q518" s="566"/>
      <c r="R518" s="566"/>
      <c r="S518" s="566"/>
      <c r="T518" s="566"/>
      <c r="U518" s="566"/>
      <c r="V518" s="566"/>
      <c r="W518" s="566"/>
      <c r="X518" s="566"/>
      <c r="Y518" s="566"/>
    </row>
    <row r="519" spans="2:25" x14ac:dyDescent="0.25">
      <c r="B519" s="566"/>
      <c r="C519" s="566"/>
      <c r="D519" s="566"/>
      <c r="E519" s="566"/>
      <c r="F519" s="566"/>
      <c r="G519" s="566"/>
      <c r="H519" s="566"/>
      <c r="I519" s="566"/>
      <c r="J519" s="566"/>
      <c r="K519" s="566"/>
      <c r="L519" s="566"/>
      <c r="M519" s="566"/>
      <c r="N519" s="566"/>
      <c r="O519" s="566"/>
      <c r="P519" s="566"/>
      <c r="Q519" s="566"/>
      <c r="R519" s="566"/>
      <c r="S519" s="566"/>
      <c r="T519" s="566"/>
      <c r="U519" s="566"/>
      <c r="V519" s="566"/>
      <c r="W519" s="566"/>
      <c r="X519" s="566"/>
      <c r="Y519" s="566"/>
    </row>
    <row r="520" spans="2:25" x14ac:dyDescent="0.25">
      <c r="B520" s="566"/>
      <c r="C520" s="566"/>
      <c r="D520" s="566"/>
      <c r="E520" s="566"/>
      <c r="F520" s="566"/>
      <c r="G520" s="566"/>
      <c r="H520" s="566"/>
      <c r="I520" s="566"/>
      <c r="J520" s="566"/>
      <c r="K520" s="566"/>
      <c r="L520" s="566"/>
      <c r="M520" s="566"/>
      <c r="N520" s="566"/>
      <c r="O520" s="566"/>
      <c r="P520" s="566"/>
      <c r="Q520" s="566"/>
      <c r="R520" s="566"/>
      <c r="S520" s="566"/>
      <c r="T520" s="566"/>
      <c r="U520" s="566"/>
      <c r="V520" s="566"/>
      <c r="W520" s="566"/>
      <c r="X520" s="566"/>
      <c r="Y520" s="566"/>
    </row>
    <row r="521" spans="2:25" x14ac:dyDescent="0.25">
      <c r="B521" s="566"/>
      <c r="C521" s="566"/>
      <c r="D521" s="566"/>
      <c r="E521" s="566"/>
      <c r="F521" s="566"/>
      <c r="G521" s="566"/>
      <c r="H521" s="566"/>
      <c r="I521" s="566"/>
      <c r="J521" s="566"/>
      <c r="K521" s="566"/>
      <c r="L521" s="566"/>
      <c r="M521" s="566"/>
      <c r="N521" s="566"/>
      <c r="O521" s="566"/>
      <c r="P521" s="566"/>
      <c r="Q521" s="566"/>
      <c r="R521" s="566"/>
      <c r="S521" s="566"/>
      <c r="T521" s="566"/>
      <c r="U521" s="566"/>
      <c r="V521" s="566"/>
      <c r="W521" s="566"/>
      <c r="X521" s="566"/>
      <c r="Y521" s="566"/>
    </row>
    <row r="522" spans="2:25" x14ac:dyDescent="0.25">
      <c r="B522" s="566"/>
      <c r="C522" s="566"/>
      <c r="D522" s="566"/>
      <c r="E522" s="566"/>
      <c r="F522" s="566"/>
      <c r="G522" s="566"/>
      <c r="H522" s="566"/>
      <c r="I522" s="566"/>
      <c r="J522" s="566"/>
      <c r="K522" s="566"/>
      <c r="L522" s="566"/>
      <c r="M522" s="566"/>
      <c r="N522" s="566"/>
      <c r="O522" s="566"/>
      <c r="P522" s="566"/>
      <c r="Q522" s="566"/>
      <c r="R522" s="566"/>
      <c r="S522" s="566"/>
      <c r="T522" s="566"/>
      <c r="U522" s="566"/>
      <c r="V522" s="566"/>
      <c r="W522" s="566"/>
      <c r="X522" s="566"/>
      <c r="Y522" s="566"/>
    </row>
    <row r="523" spans="2:25" x14ac:dyDescent="0.25">
      <c r="B523" s="566"/>
      <c r="C523" s="566"/>
      <c r="D523" s="566"/>
      <c r="E523" s="566"/>
      <c r="F523" s="566"/>
      <c r="G523" s="566"/>
      <c r="H523" s="566"/>
      <c r="I523" s="566"/>
      <c r="J523" s="566"/>
      <c r="K523" s="566"/>
      <c r="L523" s="566"/>
      <c r="M523" s="566"/>
      <c r="N523" s="566"/>
      <c r="O523" s="566"/>
      <c r="P523" s="566"/>
      <c r="Q523" s="566"/>
      <c r="R523" s="566"/>
      <c r="S523" s="566"/>
      <c r="T523" s="566"/>
      <c r="U523" s="566"/>
      <c r="V523" s="566"/>
      <c r="W523" s="566"/>
      <c r="X523" s="566"/>
      <c r="Y523" s="566"/>
    </row>
    <row r="524" spans="2:25" x14ac:dyDescent="0.25">
      <c r="B524" s="566"/>
      <c r="C524" s="566"/>
      <c r="D524" s="566"/>
      <c r="E524" s="566"/>
      <c r="F524" s="566"/>
      <c r="G524" s="566"/>
      <c r="H524" s="566"/>
      <c r="I524" s="566"/>
      <c r="J524" s="566"/>
      <c r="K524" s="566"/>
      <c r="L524" s="566"/>
      <c r="M524" s="566"/>
      <c r="N524" s="566"/>
      <c r="O524" s="566"/>
      <c r="P524" s="566"/>
      <c r="Q524" s="566"/>
      <c r="R524" s="566"/>
      <c r="S524" s="566"/>
      <c r="T524" s="566"/>
      <c r="U524" s="566"/>
      <c r="V524" s="566"/>
      <c r="W524" s="566"/>
      <c r="X524" s="566"/>
      <c r="Y524" s="566"/>
    </row>
    <row r="525" spans="2:25" x14ac:dyDescent="0.25">
      <c r="B525" s="566"/>
      <c r="C525" s="566"/>
      <c r="D525" s="566"/>
      <c r="E525" s="566"/>
      <c r="F525" s="566"/>
      <c r="G525" s="566"/>
      <c r="H525" s="566"/>
      <c r="I525" s="566"/>
      <c r="J525" s="566"/>
      <c r="K525" s="566"/>
      <c r="L525" s="566"/>
      <c r="M525" s="566"/>
      <c r="N525" s="566"/>
      <c r="O525" s="566"/>
      <c r="P525" s="566"/>
      <c r="Q525" s="566"/>
      <c r="R525" s="566"/>
      <c r="S525" s="566"/>
      <c r="T525" s="566"/>
      <c r="U525" s="566"/>
      <c r="V525" s="566"/>
      <c r="W525" s="566"/>
      <c r="X525" s="566"/>
      <c r="Y525" s="566"/>
    </row>
    <row r="526" spans="2:25" x14ac:dyDescent="0.25">
      <c r="B526" s="566"/>
      <c r="C526" s="566"/>
      <c r="D526" s="566"/>
      <c r="E526" s="566"/>
      <c r="F526" s="566"/>
      <c r="G526" s="566"/>
      <c r="H526" s="566"/>
      <c r="I526" s="566"/>
      <c r="J526" s="566"/>
      <c r="K526" s="566"/>
      <c r="L526" s="566"/>
      <c r="M526" s="566"/>
      <c r="N526" s="566"/>
      <c r="O526" s="566"/>
      <c r="P526" s="566"/>
      <c r="Q526" s="566"/>
      <c r="R526" s="566"/>
      <c r="S526" s="566"/>
      <c r="T526" s="566"/>
      <c r="U526" s="566"/>
      <c r="V526" s="566"/>
      <c r="W526" s="566"/>
      <c r="X526" s="566"/>
      <c r="Y526" s="566"/>
    </row>
    <row r="527" spans="2:25" x14ac:dyDescent="0.25">
      <c r="B527" s="566"/>
      <c r="C527" s="566"/>
      <c r="D527" s="566"/>
      <c r="E527" s="566"/>
      <c r="F527" s="566"/>
      <c r="G527" s="566"/>
      <c r="H527" s="566"/>
      <c r="I527" s="566"/>
      <c r="J527" s="566"/>
      <c r="K527" s="566"/>
      <c r="L527" s="566"/>
      <c r="M527" s="566"/>
      <c r="N527" s="566"/>
      <c r="O527" s="566"/>
      <c r="P527" s="566"/>
      <c r="Q527" s="566"/>
      <c r="R527" s="566"/>
      <c r="S527" s="566"/>
      <c r="T527" s="566"/>
      <c r="U527" s="566"/>
      <c r="V527" s="566"/>
      <c r="W527" s="566"/>
      <c r="X527" s="566"/>
      <c r="Y527" s="566"/>
    </row>
    <row r="528" spans="2:25" x14ac:dyDescent="0.25">
      <c r="B528" s="566"/>
      <c r="C528" s="566"/>
      <c r="D528" s="566"/>
      <c r="E528" s="566"/>
      <c r="F528" s="566"/>
      <c r="G528" s="566"/>
      <c r="H528" s="566"/>
      <c r="I528" s="566"/>
      <c r="J528" s="566"/>
      <c r="K528" s="566"/>
      <c r="L528" s="566"/>
      <c r="M528" s="566"/>
      <c r="N528" s="566"/>
      <c r="O528" s="566"/>
      <c r="P528" s="566"/>
      <c r="Q528" s="566"/>
      <c r="R528" s="566"/>
      <c r="S528" s="566"/>
      <c r="T528" s="566"/>
      <c r="U528" s="566"/>
      <c r="V528" s="566"/>
      <c r="W528" s="566"/>
      <c r="X528" s="566"/>
      <c r="Y528" s="566"/>
    </row>
    <row r="529" spans="2:25" x14ac:dyDescent="0.25">
      <c r="B529" s="566"/>
      <c r="C529" s="566"/>
      <c r="D529" s="566"/>
      <c r="E529" s="566"/>
      <c r="F529" s="566"/>
      <c r="G529" s="566"/>
      <c r="H529" s="566"/>
      <c r="I529" s="566"/>
      <c r="J529" s="566"/>
      <c r="K529" s="566"/>
      <c r="L529" s="566"/>
      <c r="M529" s="566"/>
      <c r="N529" s="566"/>
      <c r="O529" s="566"/>
      <c r="P529" s="566"/>
      <c r="Q529" s="566"/>
      <c r="R529" s="566"/>
      <c r="S529" s="566"/>
      <c r="T529" s="566"/>
      <c r="U529" s="566"/>
      <c r="V529" s="566"/>
      <c r="W529" s="566"/>
      <c r="X529" s="566"/>
      <c r="Y529" s="566"/>
    </row>
    <row r="530" spans="2:25" x14ac:dyDescent="0.25">
      <c r="B530" s="566"/>
      <c r="C530" s="566"/>
      <c r="D530" s="566"/>
      <c r="E530" s="566"/>
      <c r="F530" s="566"/>
      <c r="G530" s="566"/>
      <c r="H530" s="566"/>
      <c r="I530" s="566"/>
      <c r="J530" s="566"/>
      <c r="K530" s="566"/>
      <c r="L530" s="566"/>
      <c r="M530" s="566"/>
      <c r="N530" s="566"/>
      <c r="O530" s="566"/>
      <c r="P530" s="566"/>
      <c r="Q530" s="566"/>
      <c r="R530" s="566"/>
      <c r="S530" s="566"/>
      <c r="T530" s="566"/>
      <c r="U530" s="566"/>
      <c r="V530" s="566"/>
      <c r="W530" s="566"/>
      <c r="X530" s="566"/>
      <c r="Y530" s="566"/>
    </row>
    <row r="531" spans="2:25" x14ac:dyDescent="0.25">
      <c r="B531" s="566"/>
      <c r="C531" s="566"/>
      <c r="D531" s="566"/>
      <c r="E531" s="566"/>
      <c r="F531" s="566"/>
      <c r="G531" s="566"/>
      <c r="H531" s="566"/>
      <c r="I531" s="566"/>
      <c r="J531" s="566"/>
      <c r="K531" s="566"/>
      <c r="L531" s="566"/>
      <c r="M531" s="566"/>
      <c r="N531" s="566"/>
      <c r="O531" s="566"/>
      <c r="P531" s="566"/>
      <c r="Q531" s="566"/>
      <c r="R531" s="566"/>
      <c r="S531" s="566"/>
      <c r="T531" s="566"/>
      <c r="U531" s="566"/>
      <c r="V531" s="566"/>
      <c r="W531" s="566"/>
      <c r="X531" s="566"/>
      <c r="Y531" s="566"/>
    </row>
    <row r="532" spans="2:25" x14ac:dyDescent="0.25">
      <c r="B532" s="566"/>
      <c r="C532" s="566"/>
      <c r="D532" s="566"/>
      <c r="E532" s="566"/>
      <c r="F532" s="566"/>
      <c r="G532" s="566"/>
      <c r="H532" s="566"/>
      <c r="I532" s="566"/>
      <c r="J532" s="566"/>
      <c r="K532" s="566"/>
      <c r="L532" s="566"/>
      <c r="M532" s="566"/>
      <c r="N532" s="566"/>
      <c r="O532" s="566"/>
      <c r="P532" s="566"/>
      <c r="Q532" s="566"/>
      <c r="R532" s="566"/>
      <c r="S532" s="566"/>
      <c r="T532" s="566"/>
      <c r="U532" s="566"/>
      <c r="V532" s="566"/>
      <c r="W532" s="566"/>
      <c r="X532" s="566"/>
      <c r="Y532" s="566"/>
    </row>
    <row r="533" spans="2:25" x14ac:dyDescent="0.25">
      <c r="B533" s="566"/>
      <c r="C533" s="566"/>
      <c r="D533" s="566"/>
      <c r="E533" s="566"/>
      <c r="F533" s="566"/>
      <c r="G533" s="566"/>
      <c r="H533" s="566"/>
      <c r="I533" s="566"/>
      <c r="J533" s="566"/>
      <c r="K533" s="566"/>
      <c r="L533" s="566"/>
      <c r="M533" s="566"/>
      <c r="N533" s="566"/>
      <c r="O533" s="566"/>
      <c r="P533" s="566"/>
      <c r="Q533" s="566"/>
      <c r="R533" s="566"/>
      <c r="S533" s="566"/>
      <c r="T533" s="566"/>
      <c r="U533" s="566"/>
      <c r="V533" s="566"/>
      <c r="W533" s="566"/>
      <c r="X533" s="566"/>
      <c r="Y533" s="566"/>
    </row>
    <row r="534" spans="2:25" x14ac:dyDescent="0.25">
      <c r="B534" s="566"/>
      <c r="C534" s="566"/>
      <c r="D534" s="566"/>
      <c r="E534" s="566"/>
      <c r="F534" s="566"/>
      <c r="G534" s="566"/>
      <c r="H534" s="566"/>
      <c r="I534" s="566"/>
      <c r="J534" s="566"/>
      <c r="K534" s="566"/>
      <c r="L534" s="566"/>
      <c r="M534" s="566"/>
      <c r="N534" s="566"/>
      <c r="O534" s="566"/>
      <c r="P534" s="566"/>
      <c r="Q534" s="566"/>
      <c r="R534" s="566"/>
      <c r="S534" s="566"/>
      <c r="T534" s="566"/>
      <c r="U534" s="566"/>
      <c r="V534" s="566"/>
      <c r="W534" s="566"/>
      <c r="X534" s="566"/>
      <c r="Y534" s="566"/>
    </row>
    <row r="535" spans="2:25" x14ac:dyDescent="0.25">
      <c r="B535" s="566"/>
      <c r="C535" s="566"/>
      <c r="D535" s="566"/>
      <c r="E535" s="566"/>
      <c r="F535" s="566"/>
      <c r="G535" s="566"/>
      <c r="H535" s="566"/>
      <c r="I535" s="566"/>
      <c r="J535" s="566"/>
      <c r="K535" s="566"/>
      <c r="L535" s="566"/>
      <c r="M535" s="566"/>
      <c r="N535" s="566"/>
      <c r="O535" s="566"/>
      <c r="P535" s="566"/>
      <c r="Q535" s="566"/>
      <c r="R535" s="566"/>
      <c r="S535" s="566"/>
      <c r="T535" s="566"/>
      <c r="U535" s="566"/>
      <c r="V535" s="566"/>
      <c r="W535" s="566"/>
      <c r="X535" s="566"/>
      <c r="Y535" s="566"/>
    </row>
    <row r="536" spans="2:25" x14ac:dyDescent="0.25">
      <c r="B536" s="566"/>
      <c r="C536" s="566"/>
      <c r="D536" s="566"/>
      <c r="E536" s="566"/>
      <c r="F536" s="566"/>
      <c r="G536" s="566"/>
      <c r="H536" s="566"/>
      <c r="I536" s="566"/>
      <c r="J536" s="566"/>
      <c r="K536" s="566"/>
      <c r="L536" s="566"/>
      <c r="M536" s="566"/>
      <c r="N536" s="566"/>
      <c r="O536" s="566"/>
      <c r="P536" s="566"/>
      <c r="Q536" s="566"/>
      <c r="R536" s="566"/>
      <c r="S536" s="566"/>
      <c r="T536" s="566"/>
      <c r="U536" s="566"/>
      <c r="V536" s="566"/>
      <c r="W536" s="566"/>
      <c r="X536" s="566"/>
      <c r="Y536" s="566"/>
    </row>
    <row r="537" spans="2:25" x14ac:dyDescent="0.25">
      <c r="B537" s="566"/>
      <c r="C537" s="566"/>
      <c r="D537" s="566"/>
      <c r="E537" s="566"/>
      <c r="F537" s="566"/>
      <c r="G537" s="566"/>
      <c r="H537" s="566"/>
      <c r="I537" s="566"/>
      <c r="J537" s="566"/>
      <c r="K537" s="566"/>
      <c r="L537" s="566"/>
      <c r="M537" s="566"/>
      <c r="N537" s="566"/>
      <c r="O537" s="566"/>
      <c r="P537" s="566"/>
      <c r="Q537" s="566"/>
      <c r="R537" s="566"/>
      <c r="S537" s="566"/>
      <c r="T537" s="566"/>
      <c r="U537" s="566"/>
      <c r="V537" s="566"/>
      <c r="W537" s="566"/>
      <c r="X537" s="566"/>
      <c r="Y537" s="566"/>
    </row>
    <row r="538" spans="2:25" x14ac:dyDescent="0.25">
      <c r="B538" s="566"/>
      <c r="C538" s="566"/>
      <c r="D538" s="566"/>
      <c r="E538" s="566"/>
      <c r="F538" s="566"/>
      <c r="G538" s="566"/>
      <c r="H538" s="566"/>
      <c r="I538" s="566"/>
      <c r="J538" s="566"/>
      <c r="K538" s="566"/>
      <c r="L538" s="566"/>
      <c r="M538" s="566"/>
      <c r="N538" s="566"/>
      <c r="O538" s="566"/>
      <c r="P538" s="566"/>
      <c r="Q538" s="566"/>
      <c r="R538" s="566"/>
      <c r="S538" s="566"/>
      <c r="T538" s="566"/>
      <c r="U538" s="566"/>
      <c r="V538" s="566"/>
      <c r="W538" s="566"/>
      <c r="X538" s="566"/>
      <c r="Y538" s="566"/>
    </row>
    <row r="539" spans="2:25" x14ac:dyDescent="0.25">
      <c r="B539" s="566"/>
      <c r="C539" s="566"/>
      <c r="D539" s="566"/>
      <c r="E539" s="566"/>
      <c r="F539" s="566"/>
      <c r="G539" s="566"/>
      <c r="H539" s="566"/>
      <c r="I539" s="566"/>
      <c r="J539" s="566"/>
      <c r="K539" s="566"/>
      <c r="L539" s="566"/>
      <c r="M539" s="566"/>
      <c r="N539" s="566"/>
      <c r="O539" s="566"/>
      <c r="P539" s="566"/>
      <c r="Q539" s="566"/>
      <c r="R539" s="566"/>
      <c r="S539" s="566"/>
      <c r="T539" s="566"/>
      <c r="U539" s="566"/>
      <c r="V539" s="566"/>
      <c r="W539" s="566"/>
      <c r="X539" s="566"/>
      <c r="Y539" s="566"/>
    </row>
    <row r="540" spans="2:25" x14ac:dyDescent="0.25">
      <c r="B540" s="566"/>
      <c r="C540" s="566"/>
      <c r="D540" s="566"/>
      <c r="E540" s="566"/>
      <c r="F540" s="566"/>
      <c r="G540" s="566"/>
      <c r="H540" s="566"/>
      <c r="I540" s="566"/>
      <c r="J540" s="566"/>
      <c r="K540" s="566"/>
      <c r="L540" s="566"/>
      <c r="M540" s="566"/>
      <c r="N540" s="566"/>
      <c r="O540" s="566"/>
      <c r="P540" s="566"/>
      <c r="Q540" s="566"/>
      <c r="R540" s="566"/>
      <c r="S540" s="566"/>
      <c r="T540" s="566"/>
      <c r="U540" s="566"/>
      <c r="V540" s="566"/>
      <c r="W540" s="566"/>
      <c r="X540" s="566"/>
      <c r="Y540" s="566"/>
    </row>
    <row r="541" spans="2:25" x14ac:dyDescent="0.25">
      <c r="B541" s="566"/>
      <c r="C541" s="566"/>
      <c r="D541" s="566"/>
      <c r="E541" s="566"/>
      <c r="F541" s="566"/>
      <c r="G541" s="566"/>
      <c r="H541" s="566"/>
      <c r="I541" s="566"/>
      <c r="J541" s="566"/>
      <c r="K541" s="566"/>
      <c r="L541" s="566"/>
      <c r="M541" s="566"/>
      <c r="N541" s="566"/>
      <c r="O541" s="566"/>
      <c r="P541" s="566"/>
      <c r="Q541" s="566"/>
      <c r="R541" s="566"/>
      <c r="S541" s="566"/>
      <c r="T541" s="566"/>
      <c r="U541" s="566"/>
      <c r="V541" s="566"/>
      <c r="W541" s="566"/>
      <c r="X541" s="566"/>
      <c r="Y541" s="566"/>
    </row>
    <row r="542" spans="2:25" x14ac:dyDescent="0.25">
      <c r="B542" s="566"/>
      <c r="C542" s="566"/>
      <c r="D542" s="566"/>
      <c r="E542" s="566"/>
      <c r="F542" s="566"/>
      <c r="G542" s="566"/>
      <c r="H542" s="566"/>
      <c r="I542" s="566"/>
      <c r="J542" s="566"/>
      <c r="K542" s="566"/>
      <c r="L542" s="566"/>
      <c r="M542" s="566"/>
      <c r="N542" s="566"/>
      <c r="O542" s="566"/>
      <c r="P542" s="566"/>
      <c r="Q542" s="566"/>
      <c r="R542" s="566"/>
      <c r="S542" s="566"/>
      <c r="T542" s="566"/>
      <c r="U542" s="566"/>
      <c r="V542" s="566"/>
      <c r="W542" s="566"/>
      <c r="X542" s="566"/>
      <c r="Y542" s="566"/>
    </row>
    <row r="543" spans="2:25" x14ac:dyDescent="0.25">
      <c r="B543" s="566"/>
      <c r="C543" s="566"/>
      <c r="D543" s="566"/>
      <c r="E543" s="566"/>
      <c r="F543" s="566"/>
      <c r="G543" s="566"/>
      <c r="H543" s="566"/>
      <c r="I543" s="566"/>
      <c r="J543" s="566"/>
      <c r="K543" s="566"/>
      <c r="L543" s="566"/>
      <c r="M543" s="566"/>
      <c r="N543" s="566"/>
      <c r="O543" s="566"/>
      <c r="P543" s="566"/>
      <c r="Q543" s="566"/>
      <c r="R543" s="566"/>
      <c r="S543" s="566"/>
      <c r="T543" s="566"/>
      <c r="U543" s="566"/>
      <c r="V543" s="566"/>
      <c r="W543" s="566"/>
      <c r="X543" s="566"/>
      <c r="Y543" s="566"/>
    </row>
    <row r="544" spans="2:25" x14ac:dyDescent="0.25">
      <c r="B544" s="566"/>
      <c r="C544" s="566"/>
      <c r="D544" s="566"/>
      <c r="E544" s="566"/>
      <c r="F544" s="566"/>
      <c r="G544" s="566"/>
      <c r="H544" s="566"/>
      <c r="I544" s="566"/>
      <c r="J544" s="566"/>
      <c r="K544" s="566"/>
      <c r="L544" s="566"/>
      <c r="M544" s="566"/>
      <c r="N544" s="566"/>
      <c r="O544" s="566"/>
      <c r="P544" s="566"/>
      <c r="Q544" s="566"/>
      <c r="R544" s="566"/>
      <c r="S544" s="566"/>
      <c r="T544" s="566"/>
      <c r="U544" s="566"/>
      <c r="V544" s="566"/>
      <c r="W544" s="566"/>
      <c r="X544" s="566"/>
      <c r="Y544" s="566"/>
    </row>
    <row r="545" spans="2:25" x14ac:dyDescent="0.25">
      <c r="B545" s="566"/>
      <c r="C545" s="566"/>
      <c r="D545" s="566"/>
      <c r="E545" s="566"/>
      <c r="F545" s="566"/>
      <c r="G545" s="566"/>
      <c r="H545" s="566"/>
      <c r="I545" s="566"/>
      <c r="J545" s="566"/>
      <c r="K545" s="566"/>
      <c r="L545" s="566"/>
      <c r="M545" s="566"/>
      <c r="N545" s="566"/>
      <c r="O545" s="566"/>
      <c r="P545" s="566"/>
      <c r="Q545" s="566"/>
      <c r="R545" s="566"/>
      <c r="S545" s="566"/>
      <c r="T545" s="566"/>
      <c r="U545" s="566"/>
      <c r="V545" s="566"/>
      <c r="W545" s="566"/>
      <c r="X545" s="566"/>
      <c r="Y545" s="566"/>
    </row>
    <row r="546" spans="2:25" x14ac:dyDescent="0.25">
      <c r="B546" s="566"/>
      <c r="C546" s="566"/>
      <c r="D546" s="566"/>
      <c r="E546" s="566"/>
      <c r="F546" s="566"/>
      <c r="G546" s="566"/>
      <c r="H546" s="566"/>
      <c r="I546" s="566"/>
      <c r="J546" s="566"/>
      <c r="K546" s="566"/>
      <c r="L546" s="566"/>
      <c r="M546" s="566"/>
      <c r="N546" s="566"/>
      <c r="O546" s="566"/>
      <c r="P546" s="566"/>
      <c r="Q546" s="566"/>
      <c r="R546" s="566"/>
      <c r="S546" s="566"/>
      <c r="T546" s="566"/>
      <c r="U546" s="566"/>
      <c r="V546" s="566"/>
      <c r="W546" s="566"/>
      <c r="X546" s="566"/>
      <c r="Y546" s="566"/>
    </row>
    <row r="547" spans="2:25" x14ac:dyDescent="0.25">
      <c r="B547" s="566"/>
      <c r="C547" s="566"/>
      <c r="D547" s="566"/>
      <c r="E547" s="566"/>
      <c r="F547" s="566"/>
      <c r="G547" s="566"/>
      <c r="H547" s="566"/>
      <c r="I547" s="566"/>
      <c r="J547" s="566"/>
      <c r="K547" s="566"/>
      <c r="L547" s="566"/>
      <c r="M547" s="566"/>
      <c r="N547" s="566"/>
      <c r="O547" s="566"/>
      <c r="P547" s="566"/>
      <c r="Q547" s="566"/>
      <c r="R547" s="566"/>
      <c r="S547" s="566"/>
      <c r="T547" s="566"/>
      <c r="U547" s="566"/>
      <c r="V547" s="566"/>
      <c r="W547" s="566"/>
      <c r="X547" s="566"/>
      <c r="Y547" s="566"/>
    </row>
    <row r="548" spans="2:25" x14ac:dyDescent="0.25">
      <c r="B548" s="566"/>
      <c r="C548" s="566"/>
      <c r="D548" s="566"/>
      <c r="E548" s="566"/>
      <c r="F548" s="566"/>
      <c r="G548" s="566"/>
      <c r="H548" s="566"/>
      <c r="I548" s="566"/>
      <c r="J548" s="566"/>
      <c r="K548" s="566"/>
      <c r="L548" s="566"/>
      <c r="M548" s="566"/>
      <c r="N548" s="566"/>
      <c r="O548" s="566"/>
      <c r="P548" s="566"/>
      <c r="Q548" s="566"/>
      <c r="R548" s="566"/>
      <c r="S548" s="566"/>
      <c r="T548" s="566"/>
      <c r="U548" s="566"/>
      <c r="V548" s="566"/>
      <c r="W548" s="566"/>
      <c r="X548" s="566"/>
      <c r="Y548" s="566"/>
    </row>
    <row r="549" spans="2:25" x14ac:dyDescent="0.25">
      <c r="B549" s="566"/>
      <c r="C549" s="566"/>
      <c r="D549" s="566"/>
      <c r="E549" s="566"/>
      <c r="F549" s="566"/>
      <c r="G549" s="566"/>
      <c r="H549" s="566"/>
      <c r="I549" s="566"/>
      <c r="J549" s="566"/>
      <c r="K549" s="566"/>
      <c r="L549" s="566"/>
      <c r="M549" s="566"/>
      <c r="N549" s="566"/>
      <c r="O549" s="566"/>
      <c r="P549" s="566"/>
      <c r="Q549" s="566"/>
      <c r="R549" s="566"/>
      <c r="S549" s="566"/>
      <c r="T549" s="566"/>
      <c r="U549" s="566"/>
      <c r="V549" s="566"/>
      <c r="W549" s="566"/>
      <c r="X549" s="566"/>
      <c r="Y549" s="566"/>
    </row>
    <row r="550" spans="2:25" x14ac:dyDescent="0.25">
      <c r="B550" s="566"/>
      <c r="C550" s="566"/>
      <c r="D550" s="566"/>
      <c r="E550" s="566"/>
      <c r="F550" s="566"/>
      <c r="G550" s="566"/>
      <c r="H550" s="566"/>
      <c r="I550" s="566"/>
      <c r="J550" s="566"/>
      <c r="K550" s="566"/>
      <c r="L550" s="566"/>
      <c r="M550" s="566"/>
      <c r="N550" s="566"/>
      <c r="O550" s="566"/>
      <c r="P550" s="566"/>
      <c r="Q550" s="566"/>
      <c r="R550" s="566"/>
      <c r="S550" s="566"/>
      <c r="T550" s="566"/>
      <c r="U550" s="566"/>
      <c r="V550" s="566"/>
      <c r="W550" s="566"/>
      <c r="X550" s="566"/>
      <c r="Y550" s="566"/>
    </row>
    <row r="551" spans="2:25" x14ac:dyDescent="0.25">
      <c r="B551" s="566"/>
      <c r="C551" s="566"/>
      <c r="D551" s="566"/>
      <c r="E551" s="566"/>
      <c r="F551" s="566"/>
      <c r="G551" s="566"/>
      <c r="H551" s="566"/>
      <c r="I551" s="566"/>
      <c r="J551" s="566"/>
      <c r="K551" s="566"/>
      <c r="L551" s="566"/>
      <c r="M551" s="566"/>
      <c r="N551" s="566"/>
      <c r="O551" s="566"/>
      <c r="P551" s="566"/>
      <c r="Q551" s="566"/>
      <c r="R551" s="566"/>
      <c r="S551" s="566"/>
      <c r="T551" s="566"/>
      <c r="U551" s="566"/>
      <c r="V551" s="566"/>
      <c r="W551" s="566"/>
      <c r="X551" s="566"/>
      <c r="Y551" s="566"/>
    </row>
    <row r="552" spans="2:25" x14ac:dyDescent="0.25">
      <c r="B552" s="566"/>
      <c r="C552" s="566"/>
      <c r="D552" s="566"/>
      <c r="E552" s="566"/>
      <c r="F552" s="566"/>
      <c r="G552" s="566"/>
      <c r="H552" s="566"/>
      <c r="I552" s="566"/>
      <c r="J552" s="566"/>
      <c r="K552" s="566"/>
      <c r="L552" s="566"/>
      <c r="M552" s="566"/>
      <c r="N552" s="566"/>
      <c r="O552" s="566"/>
      <c r="P552" s="566"/>
      <c r="Q552" s="566"/>
      <c r="R552" s="566"/>
      <c r="S552" s="566"/>
      <c r="T552" s="566"/>
      <c r="U552" s="566"/>
      <c r="V552" s="566"/>
      <c r="W552" s="566"/>
      <c r="X552" s="566"/>
      <c r="Y552" s="566"/>
    </row>
    <row r="553" spans="2:25" x14ac:dyDescent="0.25">
      <c r="B553" s="566"/>
      <c r="C553" s="566"/>
      <c r="D553" s="566"/>
      <c r="E553" s="566"/>
      <c r="F553" s="566"/>
      <c r="G553" s="566"/>
      <c r="H553" s="566"/>
      <c r="I553" s="566"/>
      <c r="J553" s="566"/>
      <c r="K553" s="566"/>
      <c r="L553" s="566"/>
      <c r="M553" s="566"/>
      <c r="N553" s="566"/>
      <c r="O553" s="566"/>
      <c r="P553" s="566"/>
      <c r="Q553" s="566"/>
      <c r="R553" s="566"/>
      <c r="S553" s="566"/>
      <c r="T553" s="566"/>
      <c r="U553" s="566"/>
      <c r="V553" s="566"/>
      <c r="W553" s="566"/>
      <c r="X553" s="566"/>
      <c r="Y553" s="566"/>
    </row>
    <row r="554" spans="2:25" x14ac:dyDescent="0.25">
      <c r="B554" s="566"/>
      <c r="C554" s="566"/>
      <c r="D554" s="566"/>
      <c r="E554" s="566"/>
      <c r="F554" s="566"/>
      <c r="G554" s="566"/>
      <c r="H554" s="566"/>
      <c r="I554" s="566"/>
      <c r="J554" s="566"/>
      <c r="K554" s="566"/>
      <c r="L554" s="566"/>
      <c r="M554" s="566"/>
      <c r="N554" s="566"/>
      <c r="O554" s="566"/>
      <c r="P554" s="566"/>
      <c r="Q554" s="566"/>
      <c r="R554" s="566"/>
      <c r="S554" s="566"/>
      <c r="T554" s="566"/>
      <c r="U554" s="566"/>
      <c r="V554" s="566"/>
      <c r="W554" s="566"/>
      <c r="X554" s="566"/>
      <c r="Y554" s="566"/>
    </row>
    <row r="555" spans="2:25" x14ac:dyDescent="0.25">
      <c r="B555" s="566"/>
      <c r="C555" s="566"/>
      <c r="D555" s="566"/>
      <c r="E555" s="566"/>
      <c r="F555" s="566"/>
      <c r="G555" s="566"/>
      <c r="H555" s="566"/>
      <c r="I555" s="566"/>
      <c r="J555" s="566"/>
      <c r="K555" s="566"/>
      <c r="L555" s="566"/>
      <c r="M555" s="566"/>
      <c r="N555" s="566"/>
      <c r="O555" s="566"/>
      <c r="P555" s="566"/>
      <c r="Q555" s="566"/>
      <c r="R555" s="566"/>
      <c r="S555" s="566"/>
      <c r="T555" s="566"/>
      <c r="U555" s="566"/>
      <c r="V555" s="566"/>
      <c r="W555" s="566"/>
      <c r="X555" s="566"/>
      <c r="Y555" s="566"/>
    </row>
    <row r="556" spans="2:25" x14ac:dyDescent="0.25">
      <c r="B556" s="566"/>
      <c r="C556" s="566"/>
      <c r="D556" s="566"/>
      <c r="E556" s="566"/>
      <c r="F556" s="566"/>
      <c r="G556" s="566"/>
      <c r="H556" s="566"/>
      <c r="I556" s="566"/>
      <c r="J556" s="566"/>
      <c r="K556" s="566"/>
      <c r="L556" s="566"/>
      <c r="M556" s="566"/>
      <c r="N556" s="566"/>
      <c r="O556" s="566"/>
      <c r="P556" s="566"/>
      <c r="Q556" s="566"/>
      <c r="R556" s="566"/>
      <c r="S556" s="566"/>
      <c r="T556" s="566"/>
      <c r="U556" s="566"/>
      <c r="V556" s="566"/>
      <c r="W556" s="566"/>
      <c r="X556" s="566"/>
      <c r="Y556" s="566"/>
    </row>
    <row r="557" spans="2:25" x14ac:dyDescent="0.25">
      <c r="B557" s="566"/>
      <c r="C557" s="566"/>
      <c r="D557" s="566"/>
      <c r="E557" s="566"/>
      <c r="F557" s="566"/>
      <c r="G557" s="566"/>
      <c r="H557" s="566"/>
      <c r="I557" s="566"/>
      <c r="J557" s="566"/>
      <c r="K557" s="566"/>
      <c r="L557" s="566"/>
      <c r="M557" s="566"/>
      <c r="N557" s="566"/>
      <c r="O557" s="566"/>
      <c r="P557" s="566"/>
      <c r="Q557" s="566"/>
      <c r="R557" s="566"/>
      <c r="S557" s="566"/>
      <c r="T557" s="566"/>
      <c r="U557" s="566"/>
      <c r="V557" s="566"/>
      <c r="W557" s="566"/>
      <c r="X557" s="566"/>
      <c r="Y557" s="566"/>
    </row>
    <row r="558" spans="2:25" x14ac:dyDescent="0.25">
      <c r="B558" s="566"/>
      <c r="C558" s="566"/>
      <c r="D558" s="566"/>
      <c r="E558" s="566"/>
      <c r="F558" s="566"/>
      <c r="G558" s="566"/>
      <c r="H558" s="566"/>
      <c r="I558" s="566"/>
      <c r="J558" s="566"/>
      <c r="K558" s="566"/>
      <c r="L558" s="566"/>
      <c r="M558" s="566"/>
      <c r="N558" s="566"/>
      <c r="O558" s="566"/>
      <c r="P558" s="566"/>
      <c r="Q558" s="566"/>
      <c r="R558" s="566"/>
      <c r="S558" s="566"/>
      <c r="T558" s="566"/>
      <c r="U558" s="566"/>
      <c r="V558" s="566"/>
      <c r="W558" s="566"/>
      <c r="X558" s="566"/>
      <c r="Y558" s="566"/>
    </row>
    <row r="559" spans="2:25" x14ac:dyDescent="0.25">
      <c r="B559" s="566"/>
      <c r="C559" s="566"/>
      <c r="D559" s="566"/>
      <c r="E559" s="566"/>
      <c r="F559" s="566"/>
      <c r="G559" s="566"/>
      <c r="H559" s="566"/>
      <c r="I559" s="566"/>
      <c r="J559" s="566"/>
      <c r="K559" s="566"/>
      <c r="L559" s="566"/>
      <c r="M559" s="566"/>
      <c r="N559" s="566"/>
      <c r="O559" s="566"/>
      <c r="P559" s="566"/>
      <c r="Q559" s="566"/>
      <c r="R559" s="566"/>
      <c r="S559" s="566"/>
      <c r="T559" s="566"/>
      <c r="U559" s="566"/>
      <c r="V559" s="566"/>
      <c r="W559" s="566"/>
      <c r="X559" s="566"/>
      <c r="Y559" s="566"/>
    </row>
    <row r="560" spans="2:25" x14ac:dyDescent="0.25">
      <c r="B560" s="566"/>
      <c r="C560" s="566"/>
      <c r="D560" s="566"/>
      <c r="E560" s="566"/>
      <c r="F560" s="566"/>
      <c r="G560" s="566"/>
      <c r="H560" s="566"/>
      <c r="I560" s="566"/>
      <c r="J560" s="566"/>
      <c r="K560" s="566"/>
      <c r="L560" s="566"/>
      <c r="M560" s="566"/>
      <c r="N560" s="566"/>
      <c r="O560" s="566"/>
      <c r="P560" s="566"/>
      <c r="Q560" s="566"/>
      <c r="R560" s="566"/>
      <c r="S560" s="566"/>
      <c r="T560" s="566"/>
      <c r="U560" s="566"/>
      <c r="V560" s="566"/>
      <c r="W560" s="566"/>
      <c r="X560" s="566"/>
      <c r="Y560" s="566"/>
    </row>
    <row r="561" spans="2:25" x14ac:dyDescent="0.25">
      <c r="B561" s="566"/>
      <c r="C561" s="566"/>
      <c r="D561" s="566"/>
      <c r="E561" s="566"/>
      <c r="F561" s="566"/>
      <c r="G561" s="566"/>
      <c r="H561" s="566"/>
      <c r="I561" s="566"/>
      <c r="J561" s="566"/>
      <c r="K561" s="566"/>
      <c r="L561" s="566"/>
      <c r="M561" s="566"/>
      <c r="N561" s="566"/>
      <c r="O561" s="566"/>
      <c r="P561" s="566"/>
      <c r="Q561" s="566"/>
      <c r="R561" s="566"/>
      <c r="S561" s="566"/>
      <c r="T561" s="566"/>
      <c r="U561" s="566"/>
      <c r="V561" s="566"/>
      <c r="W561" s="566"/>
      <c r="X561" s="566"/>
      <c r="Y561" s="566"/>
    </row>
    <row r="562" spans="2:25" x14ac:dyDescent="0.25">
      <c r="B562" s="566"/>
      <c r="C562" s="566"/>
      <c r="D562" s="566"/>
      <c r="E562" s="566"/>
      <c r="F562" s="566"/>
      <c r="G562" s="566"/>
      <c r="H562" s="566"/>
      <c r="I562" s="566"/>
      <c r="J562" s="566"/>
      <c r="K562" s="566"/>
      <c r="L562" s="566"/>
      <c r="M562" s="566"/>
      <c r="N562" s="566"/>
      <c r="O562" s="566"/>
      <c r="P562" s="566"/>
      <c r="Q562" s="566"/>
      <c r="R562" s="566"/>
      <c r="S562" s="566"/>
      <c r="T562" s="566"/>
      <c r="U562" s="566"/>
      <c r="V562" s="566"/>
      <c r="W562" s="566"/>
      <c r="X562" s="566"/>
      <c r="Y562" s="566"/>
    </row>
    <row r="563" spans="2:25" x14ac:dyDescent="0.25">
      <c r="B563" s="566"/>
      <c r="C563" s="566"/>
      <c r="D563" s="566"/>
      <c r="E563" s="566"/>
      <c r="F563" s="566"/>
      <c r="G563" s="566"/>
      <c r="H563" s="566"/>
      <c r="I563" s="566"/>
      <c r="J563" s="566"/>
      <c r="K563" s="566"/>
      <c r="L563" s="566"/>
      <c r="M563" s="566"/>
      <c r="N563" s="566"/>
      <c r="O563" s="566"/>
      <c r="P563" s="566"/>
      <c r="Q563" s="566"/>
      <c r="R563" s="566"/>
      <c r="S563" s="566"/>
      <c r="T563" s="566"/>
      <c r="U563" s="566"/>
      <c r="V563" s="566"/>
      <c r="W563" s="566"/>
      <c r="X563" s="566"/>
      <c r="Y563" s="566"/>
    </row>
    <row r="564" spans="2:25" x14ac:dyDescent="0.25">
      <c r="B564" s="566"/>
      <c r="C564" s="566"/>
      <c r="D564" s="566"/>
      <c r="E564" s="566"/>
      <c r="F564" s="566"/>
      <c r="G564" s="566"/>
      <c r="H564" s="566"/>
      <c r="I564" s="566"/>
      <c r="J564" s="566"/>
      <c r="K564" s="566"/>
      <c r="L564" s="566"/>
      <c r="M564" s="566"/>
      <c r="N564" s="566"/>
      <c r="O564" s="566"/>
      <c r="P564" s="566"/>
      <c r="Q564" s="566"/>
      <c r="R564" s="566"/>
      <c r="S564" s="566"/>
      <c r="T564" s="566"/>
      <c r="U564" s="566"/>
      <c r="V564" s="566"/>
      <c r="W564" s="566"/>
      <c r="X564" s="566"/>
      <c r="Y564" s="566"/>
    </row>
    <row r="565" spans="2:25" x14ac:dyDescent="0.25">
      <c r="B565" s="566"/>
      <c r="C565" s="566"/>
      <c r="D565" s="566"/>
      <c r="E565" s="566"/>
      <c r="F565" s="566"/>
      <c r="G565" s="566"/>
      <c r="H565" s="566"/>
      <c r="I565" s="566"/>
      <c r="J565" s="566"/>
      <c r="K565" s="566"/>
      <c r="L565" s="566"/>
      <c r="M565" s="566"/>
      <c r="N565" s="566"/>
      <c r="O565" s="566"/>
      <c r="P565" s="566"/>
      <c r="Q565" s="566"/>
      <c r="R565" s="566"/>
      <c r="S565" s="566"/>
      <c r="T565" s="566"/>
      <c r="U565" s="566"/>
      <c r="V565" s="566"/>
      <c r="W565" s="566"/>
      <c r="X565" s="566"/>
      <c r="Y565" s="566"/>
    </row>
    <row r="566" spans="2:25" x14ac:dyDescent="0.25">
      <c r="B566" s="566"/>
      <c r="C566" s="566"/>
      <c r="D566" s="566"/>
      <c r="E566" s="566"/>
      <c r="F566" s="566"/>
      <c r="G566" s="566"/>
      <c r="H566" s="566"/>
      <c r="I566" s="566"/>
      <c r="J566" s="566"/>
      <c r="K566" s="566"/>
      <c r="L566" s="566"/>
      <c r="M566" s="566"/>
      <c r="N566" s="566"/>
      <c r="O566" s="566"/>
      <c r="P566" s="566"/>
      <c r="Q566" s="566"/>
      <c r="R566" s="566"/>
      <c r="S566" s="566"/>
      <c r="T566" s="566"/>
      <c r="U566" s="566"/>
      <c r="V566" s="566"/>
      <c r="W566" s="566"/>
      <c r="X566" s="566"/>
      <c r="Y566" s="566"/>
    </row>
    <row r="567" spans="2:25" x14ac:dyDescent="0.25">
      <c r="B567" s="566"/>
      <c r="C567" s="566"/>
      <c r="D567" s="566"/>
      <c r="E567" s="566"/>
      <c r="F567" s="566"/>
      <c r="G567" s="566"/>
      <c r="H567" s="566"/>
      <c r="I567" s="566"/>
      <c r="J567" s="566"/>
      <c r="K567" s="566"/>
      <c r="L567" s="566"/>
      <c r="M567" s="566"/>
      <c r="N567" s="566"/>
      <c r="O567" s="566"/>
      <c r="P567" s="566"/>
      <c r="Q567" s="566"/>
      <c r="R567" s="566"/>
      <c r="S567" s="566"/>
      <c r="T567" s="566"/>
      <c r="U567" s="566"/>
      <c r="V567" s="566"/>
      <c r="W567" s="566"/>
      <c r="X567" s="566"/>
      <c r="Y567" s="566"/>
    </row>
    <row r="568" spans="2:25" x14ac:dyDescent="0.25">
      <c r="B568" s="566"/>
      <c r="C568" s="566"/>
      <c r="D568" s="566"/>
      <c r="E568" s="566"/>
      <c r="F568" s="566"/>
      <c r="G568" s="566"/>
      <c r="H568" s="566"/>
      <c r="I568" s="566"/>
      <c r="J568" s="566"/>
      <c r="K568" s="566"/>
      <c r="L568" s="566"/>
      <c r="M568" s="566"/>
      <c r="N568" s="566"/>
      <c r="O568" s="566"/>
      <c r="P568" s="566"/>
      <c r="Q568" s="566"/>
      <c r="R568" s="566"/>
      <c r="S568" s="566"/>
      <c r="T568" s="566"/>
      <c r="U568" s="566"/>
      <c r="V568" s="566"/>
      <c r="W568" s="566"/>
      <c r="X568" s="566"/>
      <c r="Y568" s="566"/>
    </row>
    <row r="569" spans="2:25" x14ac:dyDescent="0.25">
      <c r="B569" s="566"/>
      <c r="C569" s="566"/>
      <c r="D569" s="566"/>
      <c r="E569" s="566"/>
      <c r="F569" s="566"/>
      <c r="G569" s="566"/>
      <c r="H569" s="566"/>
      <c r="I569" s="566"/>
      <c r="J569" s="566"/>
      <c r="K569" s="566"/>
      <c r="L569" s="566"/>
      <c r="M569" s="566"/>
      <c r="N569" s="566"/>
      <c r="O569" s="566"/>
      <c r="P569" s="566"/>
      <c r="Q569" s="566"/>
      <c r="R569" s="566"/>
      <c r="S569" s="566"/>
      <c r="T569" s="566"/>
      <c r="U569" s="566"/>
      <c r="V569" s="566"/>
      <c r="W569" s="566"/>
      <c r="X569" s="566"/>
      <c r="Y569" s="566"/>
    </row>
    <row r="570" spans="2:25" x14ac:dyDescent="0.25">
      <c r="B570" s="566"/>
      <c r="C570" s="566"/>
      <c r="D570" s="566"/>
      <c r="E570" s="566"/>
      <c r="F570" s="566"/>
      <c r="G570" s="566"/>
      <c r="H570" s="566"/>
      <c r="I570" s="566"/>
      <c r="J570" s="566"/>
      <c r="K570" s="566"/>
      <c r="L570" s="566"/>
      <c r="M570" s="566"/>
      <c r="N570" s="566"/>
      <c r="O570" s="566"/>
      <c r="P570" s="566"/>
      <c r="Q570" s="566"/>
      <c r="R570" s="566"/>
      <c r="S570" s="566"/>
      <c r="T570" s="566"/>
      <c r="U570" s="566"/>
      <c r="V570" s="566"/>
      <c r="W570" s="566"/>
      <c r="X570" s="566"/>
      <c r="Y570" s="566"/>
    </row>
    <row r="571" spans="2:25" x14ac:dyDescent="0.25">
      <c r="B571" s="566"/>
      <c r="C571" s="566"/>
      <c r="D571" s="566"/>
      <c r="E571" s="566"/>
      <c r="F571" s="566"/>
      <c r="G571" s="566"/>
      <c r="H571" s="566"/>
      <c r="I571" s="566"/>
      <c r="J571" s="566"/>
      <c r="K571" s="566"/>
      <c r="L571" s="566"/>
      <c r="M571" s="566"/>
      <c r="N571" s="566"/>
      <c r="O571" s="566"/>
      <c r="P571" s="566"/>
      <c r="Q571" s="566"/>
      <c r="R571" s="566"/>
      <c r="S571" s="566"/>
      <c r="T571" s="566"/>
      <c r="U571" s="566"/>
      <c r="V571" s="566"/>
      <c r="W571" s="566"/>
      <c r="X571" s="566"/>
      <c r="Y571" s="566"/>
    </row>
    <row r="572" spans="2:25" x14ac:dyDescent="0.25">
      <c r="B572" s="566"/>
      <c r="C572" s="566"/>
      <c r="D572" s="566"/>
      <c r="E572" s="566"/>
      <c r="F572" s="566"/>
      <c r="G572" s="566"/>
      <c r="H572" s="566"/>
      <c r="I572" s="566"/>
      <c r="J572" s="566"/>
      <c r="K572" s="566"/>
      <c r="L572" s="566"/>
      <c r="M572" s="566"/>
      <c r="N572" s="566"/>
      <c r="O572" s="566"/>
      <c r="P572" s="566"/>
      <c r="Q572" s="566"/>
      <c r="R572" s="566"/>
      <c r="S572" s="566"/>
      <c r="T572" s="566"/>
      <c r="U572" s="566"/>
      <c r="V572" s="566"/>
      <c r="W572" s="566"/>
      <c r="X572" s="566"/>
      <c r="Y572" s="566"/>
    </row>
    <row r="573" spans="2:25" x14ac:dyDescent="0.25">
      <c r="B573" s="566"/>
      <c r="C573" s="566"/>
      <c r="D573" s="566"/>
      <c r="E573" s="566"/>
      <c r="F573" s="566"/>
      <c r="G573" s="566"/>
      <c r="H573" s="566"/>
      <c r="I573" s="566"/>
      <c r="J573" s="566"/>
      <c r="K573" s="566"/>
      <c r="L573" s="566"/>
      <c r="M573" s="566"/>
      <c r="N573" s="566"/>
      <c r="O573" s="566"/>
      <c r="P573" s="566"/>
      <c r="Q573" s="566"/>
      <c r="R573" s="566"/>
      <c r="S573" s="566"/>
      <c r="T573" s="566"/>
      <c r="U573" s="566"/>
      <c r="V573" s="566"/>
      <c r="W573" s="566"/>
      <c r="X573" s="566"/>
      <c r="Y573" s="566"/>
    </row>
    <row r="574" spans="2:25" x14ac:dyDescent="0.25">
      <c r="B574" s="566"/>
      <c r="C574" s="566"/>
      <c r="D574" s="566"/>
      <c r="E574" s="566"/>
      <c r="F574" s="566"/>
      <c r="G574" s="566"/>
      <c r="H574" s="566"/>
      <c r="I574" s="566"/>
      <c r="J574" s="566"/>
      <c r="K574" s="566"/>
      <c r="L574" s="566"/>
      <c r="M574" s="566"/>
      <c r="N574" s="566"/>
      <c r="O574" s="566"/>
      <c r="P574" s="566"/>
      <c r="Q574" s="566"/>
      <c r="R574" s="566"/>
      <c r="S574" s="566"/>
      <c r="T574" s="566"/>
      <c r="U574" s="566"/>
      <c r="V574" s="566"/>
      <c r="W574" s="566"/>
      <c r="X574" s="566"/>
      <c r="Y574" s="566"/>
    </row>
    <row r="575" spans="2:25" x14ac:dyDescent="0.25">
      <c r="B575" s="566"/>
      <c r="C575" s="566"/>
      <c r="D575" s="566"/>
      <c r="E575" s="566"/>
      <c r="F575" s="566"/>
      <c r="G575" s="566"/>
      <c r="H575" s="566"/>
      <c r="I575" s="566"/>
      <c r="J575" s="566"/>
      <c r="K575" s="566"/>
      <c r="L575" s="566"/>
      <c r="M575" s="566"/>
      <c r="N575" s="566"/>
      <c r="O575" s="566"/>
      <c r="P575" s="566"/>
      <c r="Q575" s="566"/>
      <c r="R575" s="566"/>
      <c r="S575" s="566"/>
      <c r="T575" s="566"/>
      <c r="U575" s="566"/>
      <c r="V575" s="566"/>
      <c r="W575" s="566"/>
      <c r="X575" s="566"/>
      <c r="Y575" s="566"/>
    </row>
    <row r="576" spans="2:25" x14ac:dyDescent="0.25">
      <c r="B576" s="566"/>
      <c r="C576" s="566"/>
      <c r="D576" s="566"/>
      <c r="E576" s="566"/>
      <c r="F576" s="566"/>
      <c r="G576" s="566"/>
      <c r="H576" s="566"/>
      <c r="I576" s="566"/>
      <c r="J576" s="566"/>
      <c r="K576" s="566"/>
      <c r="L576" s="566"/>
      <c r="M576" s="566"/>
      <c r="N576" s="566"/>
      <c r="O576" s="566"/>
      <c r="P576" s="566"/>
      <c r="Q576" s="566"/>
      <c r="R576" s="566"/>
      <c r="S576" s="566"/>
      <c r="T576" s="566"/>
      <c r="U576" s="566"/>
      <c r="V576" s="566"/>
      <c r="W576" s="566"/>
      <c r="X576" s="566"/>
      <c r="Y576" s="566"/>
    </row>
    <row r="577" spans="2:25" x14ac:dyDescent="0.25">
      <c r="B577" s="566"/>
      <c r="C577" s="566"/>
      <c r="D577" s="566"/>
      <c r="E577" s="566"/>
      <c r="F577" s="566"/>
      <c r="G577" s="566"/>
      <c r="H577" s="566"/>
      <c r="I577" s="566"/>
      <c r="J577" s="566"/>
      <c r="K577" s="566"/>
      <c r="L577" s="566"/>
      <c r="M577" s="566"/>
      <c r="N577" s="566"/>
      <c r="O577" s="566"/>
      <c r="P577" s="566"/>
      <c r="Q577" s="566"/>
      <c r="R577" s="566"/>
      <c r="S577" s="566"/>
      <c r="T577" s="566"/>
      <c r="U577" s="566"/>
      <c r="V577" s="566"/>
      <c r="W577" s="566"/>
      <c r="X577" s="566"/>
      <c r="Y577" s="566"/>
    </row>
    <row r="578" spans="2:25" x14ac:dyDescent="0.25">
      <c r="B578" s="566"/>
      <c r="C578" s="566"/>
      <c r="D578" s="566"/>
      <c r="E578" s="566"/>
      <c r="F578" s="566"/>
      <c r="G578" s="566"/>
      <c r="H578" s="566"/>
      <c r="I578" s="566"/>
      <c r="J578" s="566"/>
      <c r="K578" s="566"/>
      <c r="L578" s="566"/>
      <c r="M578" s="566"/>
      <c r="N578" s="566"/>
      <c r="O578" s="566"/>
      <c r="P578" s="566"/>
      <c r="Q578" s="566"/>
      <c r="R578" s="566"/>
      <c r="S578" s="566"/>
      <c r="T578" s="566"/>
      <c r="U578" s="566"/>
      <c r="V578" s="566"/>
      <c r="W578" s="566"/>
      <c r="X578" s="566"/>
      <c r="Y578" s="566"/>
    </row>
    <row r="579" spans="2:25" x14ac:dyDescent="0.25">
      <c r="B579" s="566"/>
      <c r="C579" s="566"/>
      <c r="D579" s="566"/>
      <c r="E579" s="566"/>
      <c r="F579" s="566"/>
      <c r="G579" s="566"/>
      <c r="H579" s="566"/>
      <c r="I579" s="566"/>
      <c r="J579" s="566"/>
      <c r="K579" s="566"/>
      <c r="L579" s="566"/>
      <c r="M579" s="566"/>
      <c r="N579" s="566"/>
      <c r="O579" s="566"/>
      <c r="P579" s="566"/>
      <c r="Q579" s="566"/>
      <c r="R579" s="566"/>
      <c r="S579" s="566"/>
      <c r="T579" s="566"/>
      <c r="U579" s="566"/>
      <c r="V579" s="566"/>
      <c r="W579" s="566"/>
      <c r="X579" s="566"/>
      <c r="Y579" s="566"/>
    </row>
    <row r="580" spans="2:25" x14ac:dyDescent="0.25">
      <c r="B580" s="566"/>
      <c r="C580" s="566"/>
      <c r="D580" s="566"/>
      <c r="E580" s="566"/>
      <c r="F580" s="566"/>
      <c r="G580" s="566"/>
      <c r="H580" s="566"/>
      <c r="I580" s="566"/>
      <c r="J580" s="566"/>
      <c r="K580" s="566"/>
      <c r="L580" s="566"/>
      <c r="M580" s="566"/>
      <c r="N580" s="566"/>
      <c r="O580" s="566"/>
      <c r="P580" s="566"/>
      <c r="Q580" s="566"/>
      <c r="R580" s="566"/>
      <c r="S580" s="566"/>
      <c r="T580" s="566"/>
      <c r="U580" s="566"/>
      <c r="V580" s="566"/>
      <c r="W580" s="566"/>
      <c r="X580" s="566"/>
      <c r="Y580" s="566"/>
    </row>
    <row r="581" spans="2:25" x14ac:dyDescent="0.25">
      <c r="B581" s="566"/>
      <c r="C581" s="566"/>
      <c r="D581" s="566"/>
      <c r="E581" s="566"/>
      <c r="F581" s="566"/>
      <c r="G581" s="566"/>
      <c r="H581" s="566"/>
      <c r="I581" s="566"/>
      <c r="J581" s="566"/>
      <c r="K581" s="566"/>
      <c r="L581" s="566"/>
      <c r="M581" s="566"/>
      <c r="N581" s="566"/>
      <c r="O581" s="566"/>
      <c r="P581" s="566"/>
      <c r="Q581" s="566"/>
      <c r="R581" s="566"/>
      <c r="S581" s="566"/>
      <c r="T581" s="566"/>
      <c r="U581" s="566"/>
      <c r="V581" s="566"/>
      <c r="W581" s="566"/>
      <c r="X581" s="566"/>
      <c r="Y581" s="566"/>
    </row>
    <row r="582" spans="2:25" x14ac:dyDescent="0.25">
      <c r="B582" s="566"/>
      <c r="C582" s="566"/>
      <c r="D582" s="566"/>
      <c r="E582" s="566"/>
      <c r="F582" s="566"/>
      <c r="G582" s="566"/>
      <c r="H582" s="566"/>
      <c r="I582" s="566"/>
      <c r="J582" s="566"/>
      <c r="K582" s="566"/>
      <c r="L582" s="566"/>
      <c r="M582" s="566"/>
      <c r="N582" s="566"/>
      <c r="O582" s="566"/>
      <c r="P582" s="566"/>
      <c r="Q582" s="566"/>
      <c r="R582" s="566"/>
      <c r="S582" s="566"/>
      <c r="T582" s="566"/>
      <c r="U582" s="566"/>
      <c r="V582" s="566"/>
      <c r="W582" s="566"/>
      <c r="X582" s="566"/>
      <c r="Y582" s="566"/>
    </row>
    <row r="583" spans="2:25" x14ac:dyDescent="0.25">
      <c r="B583" s="566"/>
      <c r="C583" s="566"/>
      <c r="D583" s="566"/>
      <c r="E583" s="566"/>
      <c r="F583" s="566"/>
      <c r="G583" s="566"/>
      <c r="H583" s="566"/>
      <c r="I583" s="566"/>
      <c r="J583" s="566"/>
      <c r="K583" s="566"/>
      <c r="L583" s="566"/>
      <c r="M583" s="566"/>
      <c r="N583" s="566"/>
      <c r="O583" s="566"/>
      <c r="P583" s="566"/>
      <c r="Q583" s="566"/>
      <c r="R583" s="566"/>
      <c r="S583" s="566"/>
      <c r="T583" s="566"/>
      <c r="U583" s="566"/>
      <c r="V583" s="566"/>
      <c r="W583" s="566"/>
      <c r="X583" s="566"/>
      <c r="Y583" s="566"/>
    </row>
    <row r="584" spans="2:25" x14ac:dyDescent="0.25">
      <c r="B584" s="566"/>
      <c r="C584" s="566"/>
      <c r="D584" s="566"/>
      <c r="E584" s="566"/>
      <c r="F584" s="566"/>
      <c r="G584" s="566"/>
      <c r="H584" s="566"/>
      <c r="I584" s="566"/>
      <c r="J584" s="566"/>
      <c r="K584" s="566"/>
      <c r="L584" s="566"/>
      <c r="M584" s="566"/>
      <c r="N584" s="566"/>
      <c r="O584" s="566"/>
      <c r="P584" s="566"/>
      <c r="Q584" s="566"/>
      <c r="R584" s="566"/>
      <c r="S584" s="566"/>
      <c r="T584" s="566"/>
      <c r="U584" s="566"/>
      <c r="V584" s="566"/>
      <c r="W584" s="566"/>
      <c r="X584" s="566"/>
      <c r="Y584" s="566"/>
    </row>
    <row r="585" spans="2:25" x14ac:dyDescent="0.25">
      <c r="B585" s="566"/>
      <c r="C585" s="566"/>
      <c r="D585" s="566"/>
      <c r="E585" s="566"/>
      <c r="F585" s="566"/>
      <c r="G585" s="566"/>
      <c r="H585" s="566"/>
      <c r="I585" s="566"/>
      <c r="J585" s="566"/>
      <c r="K585" s="566"/>
      <c r="L585" s="566"/>
      <c r="M585" s="566"/>
      <c r="N585" s="566"/>
      <c r="O585" s="566"/>
      <c r="P585" s="566"/>
      <c r="Q585" s="566"/>
      <c r="R585" s="566"/>
      <c r="S585" s="566"/>
      <c r="T585" s="566"/>
      <c r="U585" s="566"/>
      <c r="V585" s="566"/>
      <c r="W585" s="566"/>
      <c r="X585" s="566"/>
      <c r="Y585" s="566"/>
    </row>
    <row r="586" spans="2:25" x14ac:dyDescent="0.25">
      <c r="B586" s="566"/>
      <c r="C586" s="566"/>
      <c r="D586" s="566"/>
      <c r="E586" s="566"/>
      <c r="F586" s="566"/>
      <c r="G586" s="566"/>
      <c r="H586" s="566"/>
      <c r="I586" s="566"/>
      <c r="J586" s="566"/>
      <c r="K586" s="566"/>
      <c r="L586" s="566"/>
      <c r="M586" s="566"/>
      <c r="N586" s="566"/>
      <c r="O586" s="566"/>
      <c r="P586" s="566"/>
      <c r="Q586" s="566"/>
      <c r="R586" s="566"/>
      <c r="S586" s="566"/>
      <c r="T586" s="566"/>
      <c r="U586" s="566"/>
      <c r="V586" s="566"/>
      <c r="W586" s="566"/>
      <c r="X586" s="566"/>
      <c r="Y586" s="566"/>
    </row>
    <row r="587" spans="2:25" x14ac:dyDescent="0.25">
      <c r="B587" s="566"/>
      <c r="C587" s="566"/>
      <c r="D587" s="566"/>
      <c r="E587" s="566"/>
      <c r="F587" s="566"/>
      <c r="G587" s="566"/>
      <c r="H587" s="566"/>
      <c r="I587" s="566"/>
      <c r="J587" s="566"/>
      <c r="K587" s="566"/>
      <c r="L587" s="566"/>
      <c r="M587" s="566"/>
      <c r="N587" s="566"/>
      <c r="O587" s="566"/>
      <c r="P587" s="566"/>
      <c r="Q587" s="566"/>
      <c r="R587" s="566"/>
      <c r="S587" s="566"/>
      <c r="T587" s="566"/>
      <c r="U587" s="566"/>
      <c r="V587" s="566"/>
      <c r="W587" s="566"/>
      <c r="X587" s="566"/>
      <c r="Y587" s="566"/>
    </row>
    <row r="588" spans="2:25" x14ac:dyDescent="0.25">
      <c r="B588" s="566"/>
      <c r="C588" s="566"/>
      <c r="D588" s="566"/>
      <c r="E588" s="566"/>
      <c r="F588" s="566"/>
      <c r="G588" s="566"/>
      <c r="H588" s="566"/>
      <c r="I588" s="566"/>
      <c r="J588" s="566"/>
      <c r="K588" s="566"/>
      <c r="L588" s="566"/>
      <c r="M588" s="566"/>
      <c r="N588" s="566"/>
      <c r="O588" s="566"/>
      <c r="P588" s="566"/>
      <c r="Q588" s="566"/>
      <c r="R588" s="566"/>
      <c r="S588" s="566"/>
      <c r="T588" s="566"/>
      <c r="U588" s="566"/>
      <c r="V588" s="566"/>
      <c r="W588" s="566"/>
      <c r="X588" s="566"/>
      <c r="Y588" s="566"/>
    </row>
    <row r="589" spans="2:25" x14ac:dyDescent="0.25">
      <c r="B589" s="566"/>
      <c r="C589" s="566"/>
      <c r="D589" s="566"/>
      <c r="E589" s="566"/>
      <c r="F589" s="566"/>
      <c r="G589" s="566"/>
      <c r="H589" s="566"/>
      <c r="I589" s="566"/>
      <c r="J589" s="566"/>
      <c r="K589" s="566"/>
      <c r="L589" s="566"/>
      <c r="M589" s="566"/>
      <c r="N589" s="566"/>
      <c r="O589" s="566"/>
      <c r="P589" s="566"/>
      <c r="Q589" s="566"/>
      <c r="R589" s="566"/>
      <c r="S589" s="566"/>
      <c r="T589" s="566"/>
      <c r="U589" s="566"/>
      <c r="V589" s="566"/>
      <c r="W589" s="566"/>
      <c r="X589" s="566"/>
      <c r="Y589" s="566"/>
    </row>
    <row r="590" spans="2:25" x14ac:dyDescent="0.25">
      <c r="B590" s="566"/>
      <c r="C590" s="566"/>
      <c r="D590" s="566"/>
      <c r="E590" s="566"/>
      <c r="F590" s="566"/>
      <c r="G590" s="566"/>
      <c r="H590" s="566"/>
      <c r="I590" s="566"/>
      <c r="J590" s="566"/>
      <c r="K590" s="566"/>
      <c r="L590" s="566"/>
      <c r="M590" s="566"/>
      <c r="N590" s="566"/>
      <c r="O590" s="566"/>
      <c r="P590" s="566"/>
      <c r="Q590" s="566"/>
      <c r="R590" s="566"/>
      <c r="S590" s="566"/>
      <c r="T590" s="566"/>
      <c r="U590" s="566"/>
      <c r="V590" s="566"/>
      <c r="W590" s="566"/>
      <c r="X590" s="566"/>
      <c r="Y590" s="566"/>
    </row>
    <row r="591" spans="2:25" x14ac:dyDescent="0.25">
      <c r="B591" s="566"/>
      <c r="C591" s="566"/>
      <c r="D591" s="566"/>
      <c r="E591" s="566"/>
      <c r="F591" s="566"/>
      <c r="G591" s="566"/>
      <c r="H591" s="566"/>
      <c r="I591" s="566"/>
      <c r="J591" s="566"/>
      <c r="K591" s="566"/>
      <c r="L591" s="566"/>
      <c r="M591" s="566"/>
      <c r="N591" s="566"/>
      <c r="O591" s="566"/>
      <c r="P591" s="566"/>
      <c r="Q591" s="566"/>
      <c r="R591" s="566"/>
      <c r="S591" s="566"/>
      <c r="T591" s="566"/>
      <c r="U591" s="566"/>
      <c r="V591" s="566"/>
      <c r="W591" s="566"/>
      <c r="X591" s="566"/>
      <c r="Y591" s="566"/>
    </row>
    <row r="592" spans="2:25" x14ac:dyDescent="0.25">
      <c r="B592" s="566"/>
      <c r="C592" s="566"/>
      <c r="D592" s="566"/>
      <c r="E592" s="566"/>
      <c r="F592" s="566"/>
      <c r="G592" s="566"/>
      <c r="H592" s="566"/>
      <c r="I592" s="566"/>
      <c r="J592" s="566"/>
      <c r="K592" s="566"/>
      <c r="L592" s="566"/>
      <c r="M592" s="566"/>
      <c r="N592" s="566"/>
      <c r="O592" s="566"/>
      <c r="P592" s="566"/>
      <c r="Q592" s="566"/>
      <c r="R592" s="566"/>
      <c r="S592" s="566"/>
      <c r="T592" s="566"/>
      <c r="U592" s="566"/>
      <c r="V592" s="566"/>
      <c r="W592" s="566"/>
      <c r="X592" s="566"/>
      <c r="Y592" s="566"/>
    </row>
    <row r="593" spans="2:25" x14ac:dyDescent="0.25">
      <c r="B593" s="566"/>
      <c r="C593" s="566"/>
      <c r="D593" s="566"/>
      <c r="E593" s="566"/>
      <c r="F593" s="566"/>
      <c r="G593" s="566"/>
      <c r="H593" s="566"/>
      <c r="I593" s="566"/>
      <c r="J593" s="566"/>
      <c r="K593" s="566"/>
      <c r="L593" s="566"/>
      <c r="M593" s="566"/>
      <c r="N593" s="566"/>
      <c r="O593" s="566"/>
      <c r="P593" s="566"/>
      <c r="Q593" s="566"/>
      <c r="R593" s="566"/>
      <c r="S593" s="566"/>
      <c r="T593" s="566"/>
      <c r="U593" s="566"/>
      <c r="V593" s="566"/>
      <c r="W593" s="566"/>
      <c r="X593" s="566"/>
      <c r="Y593" s="566"/>
    </row>
    <row r="594" spans="2:25" x14ac:dyDescent="0.25">
      <c r="B594" s="566"/>
      <c r="C594" s="566"/>
      <c r="D594" s="566"/>
      <c r="E594" s="566"/>
      <c r="F594" s="566"/>
      <c r="G594" s="566"/>
      <c r="H594" s="566"/>
      <c r="I594" s="566"/>
      <c r="J594" s="566"/>
      <c r="K594" s="566"/>
      <c r="L594" s="566"/>
      <c r="M594" s="566"/>
      <c r="N594" s="566"/>
      <c r="O594" s="566"/>
      <c r="P594" s="566"/>
      <c r="Q594" s="566"/>
      <c r="R594" s="566"/>
      <c r="S594" s="566"/>
      <c r="T594" s="566"/>
      <c r="U594" s="566"/>
      <c r="V594" s="566"/>
      <c r="W594" s="566"/>
      <c r="X594" s="566"/>
      <c r="Y594" s="566"/>
    </row>
    <row r="595" spans="2:25" x14ac:dyDescent="0.25">
      <c r="B595" s="566"/>
      <c r="C595" s="566"/>
      <c r="D595" s="566"/>
      <c r="E595" s="566"/>
      <c r="F595" s="566"/>
      <c r="G595" s="566"/>
      <c r="H595" s="566"/>
      <c r="I595" s="566"/>
      <c r="J595" s="566"/>
      <c r="K595" s="566"/>
      <c r="L595" s="566"/>
      <c r="M595" s="566"/>
      <c r="N595" s="566"/>
      <c r="O595" s="566"/>
      <c r="P595" s="566"/>
      <c r="Q595" s="566"/>
      <c r="R595" s="566"/>
      <c r="S595" s="566"/>
      <c r="T595" s="566"/>
      <c r="U595" s="566"/>
      <c r="V595" s="566"/>
      <c r="W595" s="566"/>
      <c r="X595" s="566"/>
      <c r="Y595" s="566"/>
    </row>
    <row r="596" spans="2:25" x14ac:dyDescent="0.25">
      <c r="B596" s="566"/>
      <c r="C596" s="566"/>
      <c r="D596" s="566"/>
      <c r="E596" s="566"/>
      <c r="F596" s="566"/>
      <c r="G596" s="566"/>
      <c r="H596" s="566"/>
      <c r="I596" s="566"/>
      <c r="J596" s="566"/>
      <c r="K596" s="566"/>
      <c r="L596" s="566"/>
      <c r="M596" s="566"/>
      <c r="N596" s="566"/>
      <c r="O596" s="566"/>
      <c r="P596" s="566"/>
      <c r="Q596" s="566"/>
      <c r="R596" s="566"/>
      <c r="S596" s="566"/>
      <c r="T596" s="566"/>
      <c r="U596" s="566"/>
      <c r="V596" s="566"/>
      <c r="W596" s="566"/>
      <c r="X596" s="566"/>
      <c r="Y596" s="566"/>
    </row>
    <row r="597" spans="2:25" x14ac:dyDescent="0.25">
      <c r="B597" s="566"/>
      <c r="C597" s="566"/>
      <c r="D597" s="566"/>
      <c r="E597" s="566"/>
      <c r="F597" s="566"/>
      <c r="G597" s="566"/>
      <c r="H597" s="566"/>
      <c r="I597" s="566"/>
      <c r="J597" s="566"/>
      <c r="K597" s="566"/>
      <c r="L597" s="566"/>
      <c r="M597" s="566"/>
      <c r="N597" s="566"/>
      <c r="O597" s="566"/>
      <c r="P597" s="566"/>
      <c r="Q597" s="566"/>
      <c r="R597" s="566"/>
      <c r="S597" s="566"/>
      <c r="T597" s="566"/>
      <c r="U597" s="566"/>
      <c r="V597" s="566"/>
      <c r="W597" s="566"/>
      <c r="X597" s="566"/>
      <c r="Y597" s="566"/>
    </row>
    <row r="598" spans="2:25" x14ac:dyDescent="0.25">
      <c r="B598" s="566"/>
      <c r="C598" s="566"/>
      <c r="D598" s="566"/>
      <c r="E598" s="566"/>
      <c r="F598" s="566"/>
      <c r="G598" s="566"/>
      <c r="H598" s="566"/>
      <c r="I598" s="566"/>
      <c r="J598" s="566"/>
      <c r="K598" s="566"/>
      <c r="L598" s="566"/>
      <c r="M598" s="566"/>
      <c r="N598" s="566"/>
      <c r="O598" s="566"/>
      <c r="P598" s="566"/>
      <c r="Q598" s="566"/>
      <c r="R598" s="566"/>
      <c r="S598" s="566"/>
      <c r="T598" s="566"/>
      <c r="U598" s="566"/>
      <c r="V598" s="566"/>
      <c r="W598" s="566"/>
      <c r="X598" s="566"/>
      <c r="Y598" s="566"/>
    </row>
    <row r="599" spans="2:25" x14ac:dyDescent="0.25">
      <c r="B599" s="566"/>
      <c r="C599" s="566"/>
      <c r="D599" s="566"/>
      <c r="E599" s="566"/>
      <c r="F599" s="566"/>
      <c r="G599" s="566"/>
      <c r="H599" s="566"/>
      <c r="I599" s="566"/>
      <c r="J599" s="566"/>
      <c r="K599" s="566"/>
      <c r="L599" s="566"/>
      <c r="M599" s="566"/>
      <c r="N599" s="566"/>
      <c r="O599" s="566"/>
      <c r="P599" s="566"/>
      <c r="Q599" s="566"/>
      <c r="R599" s="566"/>
      <c r="S599" s="566"/>
      <c r="T599" s="566"/>
      <c r="U599" s="566"/>
      <c r="V599" s="566"/>
      <c r="W599" s="566"/>
      <c r="X599" s="566"/>
      <c r="Y599" s="566"/>
    </row>
    <row r="600" spans="2:25" x14ac:dyDescent="0.25">
      <c r="B600" s="566"/>
      <c r="C600" s="566"/>
      <c r="D600" s="566"/>
      <c r="E600" s="566"/>
      <c r="F600" s="566"/>
      <c r="G600" s="566"/>
      <c r="H600" s="566"/>
      <c r="I600" s="566"/>
      <c r="J600" s="566"/>
      <c r="K600" s="566"/>
      <c r="L600" s="566"/>
      <c r="M600" s="566"/>
      <c r="N600" s="566"/>
      <c r="O600" s="566"/>
      <c r="P600" s="566"/>
      <c r="Q600" s="566"/>
      <c r="R600" s="566"/>
      <c r="S600" s="566"/>
      <c r="T600" s="566"/>
      <c r="U600" s="566"/>
      <c r="V600" s="566"/>
      <c r="W600" s="566"/>
      <c r="X600" s="566"/>
      <c r="Y600" s="566"/>
    </row>
    <row r="601" spans="2:25" x14ac:dyDescent="0.25">
      <c r="B601" s="566"/>
      <c r="C601" s="566"/>
      <c r="D601" s="566"/>
      <c r="E601" s="566"/>
      <c r="F601" s="566"/>
      <c r="G601" s="566"/>
      <c r="H601" s="566"/>
      <c r="I601" s="566"/>
      <c r="J601" s="566"/>
      <c r="K601" s="566"/>
      <c r="L601" s="566"/>
      <c r="M601" s="566"/>
      <c r="N601" s="566"/>
      <c r="O601" s="566"/>
      <c r="P601" s="566"/>
      <c r="Q601" s="566"/>
      <c r="R601" s="566"/>
      <c r="S601" s="566"/>
      <c r="T601" s="566"/>
      <c r="U601" s="566"/>
      <c r="V601" s="566"/>
      <c r="W601" s="566"/>
      <c r="X601" s="566"/>
      <c r="Y601" s="566"/>
    </row>
    <row r="602" spans="2:25" x14ac:dyDescent="0.25">
      <c r="B602" s="566"/>
      <c r="C602" s="566"/>
      <c r="D602" s="566"/>
      <c r="E602" s="566"/>
      <c r="F602" s="566"/>
      <c r="G602" s="566"/>
      <c r="H602" s="566"/>
      <c r="I602" s="566"/>
      <c r="J602" s="566"/>
      <c r="K602" s="566"/>
      <c r="L602" s="566"/>
      <c r="M602" s="566"/>
      <c r="N602" s="566"/>
      <c r="O602" s="566"/>
      <c r="P602" s="566"/>
      <c r="Q602" s="566"/>
      <c r="R602" s="566"/>
      <c r="S602" s="566"/>
      <c r="T602" s="566"/>
      <c r="U602" s="566"/>
      <c r="V602" s="566"/>
      <c r="W602" s="566"/>
      <c r="X602" s="566"/>
      <c r="Y602" s="566"/>
    </row>
    <row r="603" spans="2:25" x14ac:dyDescent="0.25">
      <c r="B603" s="566"/>
      <c r="C603" s="566"/>
      <c r="D603" s="566"/>
      <c r="E603" s="566"/>
      <c r="F603" s="566"/>
      <c r="G603" s="566"/>
      <c r="H603" s="566"/>
      <c r="I603" s="566"/>
      <c r="J603" s="566"/>
      <c r="K603" s="566"/>
      <c r="L603" s="566"/>
      <c r="M603" s="566"/>
      <c r="N603" s="566"/>
      <c r="O603" s="566"/>
      <c r="P603" s="566"/>
      <c r="Q603" s="566"/>
      <c r="R603" s="566"/>
      <c r="S603" s="566"/>
      <c r="T603" s="566"/>
      <c r="U603" s="566"/>
      <c r="V603" s="566"/>
      <c r="W603" s="566"/>
      <c r="X603" s="566"/>
      <c r="Y603" s="566"/>
    </row>
    <row r="604" spans="2:25" x14ac:dyDescent="0.25">
      <c r="B604" s="566"/>
      <c r="C604" s="566"/>
      <c r="D604" s="566"/>
      <c r="E604" s="566"/>
      <c r="F604" s="566"/>
      <c r="G604" s="566"/>
      <c r="H604" s="566"/>
      <c r="I604" s="566"/>
      <c r="J604" s="566"/>
      <c r="K604" s="566"/>
      <c r="L604" s="566"/>
      <c r="M604" s="566"/>
      <c r="N604" s="566"/>
      <c r="O604" s="566"/>
      <c r="P604" s="566"/>
      <c r="Q604" s="566"/>
      <c r="R604" s="566"/>
      <c r="S604" s="566"/>
      <c r="T604" s="566"/>
      <c r="U604" s="566"/>
      <c r="V604" s="566"/>
      <c r="W604" s="566"/>
      <c r="X604" s="566"/>
      <c r="Y604" s="566"/>
    </row>
    <row r="605" spans="2:25" x14ac:dyDescent="0.25">
      <c r="B605" s="566"/>
      <c r="C605" s="566"/>
      <c r="D605" s="566"/>
      <c r="E605" s="566"/>
      <c r="F605" s="566"/>
      <c r="G605" s="566"/>
      <c r="H605" s="566"/>
      <c r="I605" s="566"/>
      <c r="J605" s="566"/>
      <c r="K605" s="566"/>
      <c r="L605" s="566"/>
      <c r="M605" s="566"/>
      <c r="N605" s="566"/>
      <c r="O605" s="566"/>
      <c r="P605" s="566"/>
      <c r="Q605" s="566"/>
      <c r="R605" s="566"/>
      <c r="S605" s="566"/>
      <c r="T605" s="566"/>
      <c r="U605" s="566"/>
      <c r="V605" s="566"/>
      <c r="W605" s="566"/>
      <c r="X605" s="566"/>
      <c r="Y605" s="566"/>
    </row>
    <row r="606" spans="2:25" x14ac:dyDescent="0.25">
      <c r="B606" s="566"/>
      <c r="C606" s="566"/>
      <c r="D606" s="566"/>
      <c r="E606" s="566"/>
      <c r="F606" s="566"/>
      <c r="G606" s="566"/>
      <c r="H606" s="566"/>
      <c r="I606" s="566"/>
      <c r="J606" s="566"/>
      <c r="K606" s="566"/>
      <c r="L606" s="566"/>
      <c r="M606" s="566"/>
      <c r="N606" s="566"/>
      <c r="O606" s="566"/>
      <c r="P606" s="566"/>
      <c r="Q606" s="566"/>
      <c r="R606" s="566"/>
      <c r="S606" s="566"/>
      <c r="T606" s="566"/>
      <c r="U606" s="566"/>
      <c r="V606" s="566"/>
      <c r="W606" s="566"/>
      <c r="X606" s="566"/>
      <c r="Y606" s="566"/>
    </row>
    <row r="607" spans="2:25" x14ac:dyDescent="0.25">
      <c r="B607" s="566"/>
      <c r="C607" s="566"/>
      <c r="D607" s="566"/>
      <c r="E607" s="566"/>
      <c r="F607" s="566"/>
      <c r="G607" s="566"/>
      <c r="H607" s="566"/>
      <c r="I607" s="566"/>
      <c r="J607" s="566"/>
      <c r="K607" s="566"/>
      <c r="L607" s="566"/>
      <c r="M607" s="566"/>
      <c r="N607" s="566"/>
      <c r="O607" s="566"/>
      <c r="P607" s="566"/>
      <c r="Q607" s="566"/>
      <c r="R607" s="566"/>
      <c r="S607" s="566"/>
      <c r="T607" s="566"/>
      <c r="U607" s="566"/>
      <c r="V607" s="566"/>
      <c r="W607" s="566"/>
      <c r="X607" s="566"/>
      <c r="Y607" s="566"/>
    </row>
    <row r="608" spans="2:25" x14ac:dyDescent="0.25">
      <c r="B608" s="566"/>
      <c r="C608" s="566"/>
      <c r="D608" s="566"/>
      <c r="E608" s="566"/>
      <c r="F608" s="566"/>
      <c r="G608" s="566"/>
      <c r="H608" s="566"/>
      <c r="I608" s="566"/>
      <c r="J608" s="566"/>
      <c r="K608" s="566"/>
      <c r="L608" s="566"/>
      <c r="M608" s="566"/>
      <c r="N608" s="566"/>
      <c r="O608" s="566"/>
      <c r="P608" s="566"/>
      <c r="Q608" s="566"/>
      <c r="R608" s="566"/>
      <c r="S608" s="566"/>
      <c r="T608" s="566"/>
      <c r="U608" s="566"/>
      <c r="V608" s="566"/>
      <c r="W608" s="566"/>
      <c r="X608" s="566"/>
      <c r="Y608" s="566"/>
    </row>
    <row r="609" spans="2:25" x14ac:dyDescent="0.25">
      <c r="B609" s="566"/>
      <c r="C609" s="566"/>
      <c r="D609" s="566"/>
      <c r="E609" s="566"/>
      <c r="F609" s="566"/>
      <c r="G609" s="566"/>
      <c r="H609" s="566"/>
      <c r="I609" s="566"/>
      <c r="J609" s="566"/>
      <c r="K609" s="566"/>
      <c r="L609" s="566"/>
      <c r="M609" s="566"/>
      <c r="N609" s="566"/>
      <c r="O609" s="566"/>
      <c r="P609" s="566"/>
      <c r="Q609" s="566"/>
      <c r="R609" s="566"/>
      <c r="S609" s="566"/>
      <c r="T609" s="566"/>
      <c r="U609" s="566"/>
      <c r="V609" s="566"/>
      <c r="W609" s="566"/>
      <c r="X609" s="566"/>
      <c r="Y609" s="566"/>
    </row>
    <row r="610" spans="2:25" x14ac:dyDescent="0.25">
      <c r="B610" s="566"/>
      <c r="C610" s="566"/>
      <c r="D610" s="566"/>
      <c r="E610" s="566"/>
      <c r="F610" s="566"/>
      <c r="G610" s="566"/>
      <c r="H610" s="566"/>
      <c r="I610" s="566"/>
      <c r="J610" s="566"/>
      <c r="K610" s="566"/>
      <c r="L610" s="566"/>
      <c r="M610" s="566"/>
      <c r="N610" s="566"/>
      <c r="O610" s="566"/>
      <c r="P610" s="566"/>
      <c r="Q610" s="566"/>
      <c r="R610" s="566"/>
      <c r="S610" s="566"/>
      <c r="T610" s="566"/>
      <c r="U610" s="566"/>
      <c r="V610" s="566"/>
      <c r="W610" s="566"/>
      <c r="X610" s="566"/>
      <c r="Y610" s="566"/>
    </row>
    <row r="611" spans="2:25" x14ac:dyDescent="0.25">
      <c r="B611" s="566"/>
      <c r="C611" s="566"/>
      <c r="D611" s="566"/>
      <c r="E611" s="566"/>
      <c r="F611" s="566"/>
      <c r="G611" s="566"/>
      <c r="H611" s="566"/>
      <c r="I611" s="566"/>
      <c r="J611" s="566"/>
      <c r="K611" s="566"/>
      <c r="L611" s="566"/>
      <c r="M611" s="566"/>
      <c r="N611" s="566"/>
      <c r="O611" s="566"/>
      <c r="P611" s="566"/>
      <c r="Q611" s="566"/>
      <c r="R611" s="566"/>
      <c r="S611" s="566"/>
      <c r="T611" s="566"/>
      <c r="U611" s="566"/>
      <c r="V611" s="566"/>
      <c r="W611" s="566"/>
      <c r="X611" s="566"/>
      <c r="Y611" s="566"/>
    </row>
    <row r="612" spans="2:25" x14ac:dyDescent="0.25">
      <c r="B612" s="566"/>
      <c r="C612" s="566"/>
      <c r="D612" s="566"/>
      <c r="E612" s="566"/>
      <c r="F612" s="566"/>
      <c r="G612" s="566"/>
      <c r="H612" s="566"/>
      <c r="I612" s="566"/>
      <c r="J612" s="566"/>
      <c r="K612" s="566"/>
      <c r="L612" s="566"/>
      <c r="M612" s="566"/>
      <c r="N612" s="566"/>
      <c r="O612" s="566"/>
      <c r="P612" s="566"/>
      <c r="Q612" s="566"/>
      <c r="R612" s="566"/>
      <c r="S612" s="566"/>
      <c r="T612" s="566"/>
      <c r="U612" s="566"/>
      <c r="V612" s="566"/>
      <c r="W612" s="566"/>
      <c r="X612" s="566"/>
      <c r="Y612" s="566"/>
    </row>
    <row r="613" spans="2:25" x14ac:dyDescent="0.25">
      <c r="B613" s="566"/>
      <c r="C613" s="566"/>
      <c r="D613" s="566"/>
      <c r="E613" s="566"/>
      <c r="F613" s="566"/>
      <c r="G613" s="566"/>
      <c r="H613" s="566"/>
      <c r="I613" s="566"/>
      <c r="J613" s="566"/>
      <c r="K613" s="566"/>
      <c r="L613" s="566"/>
      <c r="M613" s="566"/>
      <c r="N613" s="566"/>
      <c r="O613" s="566"/>
      <c r="P613" s="566"/>
      <c r="Q613" s="566"/>
      <c r="R613" s="566"/>
      <c r="S613" s="566"/>
      <c r="T613" s="566"/>
      <c r="U613" s="566"/>
      <c r="V613" s="566"/>
      <c r="W613" s="566"/>
      <c r="X613" s="566"/>
      <c r="Y613" s="566"/>
    </row>
    <row r="614" spans="2:25" x14ac:dyDescent="0.25">
      <c r="B614" s="566"/>
      <c r="C614" s="566"/>
      <c r="D614" s="566"/>
      <c r="E614" s="566"/>
      <c r="F614" s="566"/>
      <c r="G614" s="566"/>
      <c r="H614" s="566"/>
      <c r="I614" s="566"/>
      <c r="J614" s="566"/>
      <c r="K614" s="566"/>
      <c r="L614" s="566"/>
      <c r="M614" s="566"/>
      <c r="N614" s="566"/>
      <c r="O614" s="566"/>
      <c r="P614" s="566"/>
      <c r="Q614" s="566"/>
      <c r="R614" s="566"/>
      <c r="S614" s="566"/>
      <c r="T614" s="566"/>
      <c r="U614" s="566"/>
      <c r="V614" s="566"/>
      <c r="W614" s="566"/>
      <c r="X614" s="566"/>
      <c r="Y614" s="566"/>
    </row>
    <row r="615" spans="2:25" x14ac:dyDescent="0.25">
      <c r="B615" s="566"/>
      <c r="C615" s="566"/>
      <c r="D615" s="566"/>
      <c r="E615" s="566"/>
      <c r="F615" s="566"/>
      <c r="G615" s="566"/>
      <c r="H615" s="566"/>
      <c r="I615" s="566"/>
      <c r="J615" s="566"/>
      <c r="K615" s="566"/>
      <c r="L615" s="566"/>
      <c r="M615" s="566"/>
      <c r="N615" s="566"/>
      <c r="O615" s="566"/>
      <c r="P615" s="566"/>
      <c r="Q615" s="566"/>
      <c r="R615" s="566"/>
      <c r="S615" s="566"/>
      <c r="T615" s="566"/>
      <c r="U615" s="566"/>
      <c r="V615" s="566"/>
      <c r="W615" s="566"/>
      <c r="X615" s="566"/>
      <c r="Y615" s="566"/>
    </row>
    <row r="616" spans="2:25" x14ac:dyDescent="0.25">
      <c r="B616" s="566"/>
      <c r="C616" s="566"/>
      <c r="D616" s="566"/>
      <c r="E616" s="566"/>
      <c r="F616" s="566"/>
      <c r="G616" s="566"/>
      <c r="H616" s="566"/>
      <c r="I616" s="566"/>
      <c r="J616" s="566"/>
      <c r="K616" s="566"/>
      <c r="L616" s="566"/>
      <c r="M616" s="566"/>
      <c r="N616" s="566"/>
      <c r="O616" s="566"/>
      <c r="P616" s="566"/>
      <c r="Q616" s="566"/>
      <c r="R616" s="566"/>
      <c r="S616" s="566"/>
      <c r="T616" s="566"/>
      <c r="U616" s="566"/>
      <c r="V616" s="566"/>
      <c r="W616" s="566"/>
      <c r="X616" s="566"/>
      <c r="Y616" s="566"/>
    </row>
    <row r="617" spans="2:25" x14ac:dyDescent="0.25">
      <c r="B617" s="566"/>
      <c r="C617" s="566"/>
      <c r="D617" s="566"/>
      <c r="E617" s="566"/>
      <c r="F617" s="566"/>
      <c r="G617" s="566"/>
      <c r="H617" s="566"/>
      <c r="I617" s="566"/>
      <c r="J617" s="566"/>
      <c r="K617" s="566"/>
      <c r="L617" s="566"/>
      <c r="M617" s="566"/>
      <c r="N617" s="566"/>
      <c r="O617" s="566"/>
      <c r="P617" s="566"/>
      <c r="Q617" s="566"/>
      <c r="R617" s="566"/>
      <c r="S617" s="566"/>
      <c r="T617" s="566"/>
      <c r="U617" s="566"/>
      <c r="V617" s="566"/>
      <c r="W617" s="566"/>
      <c r="X617" s="566"/>
      <c r="Y617" s="566"/>
    </row>
    <row r="618" spans="2:25" x14ac:dyDescent="0.25">
      <c r="B618" s="566"/>
      <c r="C618" s="566"/>
      <c r="D618" s="566"/>
      <c r="E618" s="566"/>
      <c r="F618" s="566"/>
      <c r="G618" s="566"/>
      <c r="H618" s="566"/>
      <c r="I618" s="566"/>
      <c r="J618" s="566"/>
      <c r="K618" s="566"/>
      <c r="L618" s="566"/>
      <c r="M618" s="566"/>
      <c r="N618" s="566"/>
      <c r="O618" s="566"/>
      <c r="P618" s="566"/>
      <c r="Q618" s="566"/>
      <c r="R618" s="566"/>
      <c r="S618" s="566"/>
      <c r="T618" s="566"/>
      <c r="U618" s="566"/>
      <c r="V618" s="566"/>
      <c r="W618" s="566"/>
      <c r="X618" s="566"/>
      <c r="Y618" s="566"/>
    </row>
    <row r="619" spans="2:25" x14ac:dyDescent="0.25">
      <c r="B619" s="566"/>
      <c r="C619" s="566"/>
      <c r="D619" s="566"/>
      <c r="E619" s="566"/>
      <c r="F619" s="566"/>
      <c r="G619" s="566"/>
      <c r="H619" s="566"/>
      <c r="I619" s="566"/>
      <c r="J619" s="566"/>
      <c r="K619" s="566"/>
      <c r="L619" s="566"/>
      <c r="M619" s="566"/>
      <c r="N619" s="566"/>
      <c r="O619" s="566"/>
      <c r="P619" s="566"/>
      <c r="Q619" s="566"/>
      <c r="R619" s="566"/>
      <c r="S619" s="566"/>
      <c r="T619" s="566"/>
      <c r="U619" s="566"/>
      <c r="V619" s="566"/>
      <c r="W619" s="566"/>
      <c r="X619" s="566"/>
      <c r="Y619" s="566"/>
    </row>
    <row r="620" spans="2:25" x14ac:dyDescent="0.25">
      <c r="B620" s="566"/>
      <c r="C620" s="566"/>
      <c r="D620" s="566"/>
      <c r="E620" s="566"/>
      <c r="F620" s="566"/>
      <c r="G620" s="566"/>
      <c r="H620" s="566"/>
      <c r="I620" s="566"/>
      <c r="J620" s="566"/>
      <c r="K620" s="566"/>
      <c r="L620" s="566"/>
      <c r="M620" s="566"/>
      <c r="N620" s="566"/>
      <c r="O620" s="566"/>
      <c r="P620" s="566"/>
      <c r="Q620" s="566"/>
      <c r="R620" s="566"/>
      <c r="S620" s="566"/>
      <c r="T620" s="566"/>
      <c r="U620" s="566"/>
      <c r="V620" s="566"/>
      <c r="W620" s="566"/>
      <c r="X620" s="566"/>
      <c r="Y620" s="566"/>
    </row>
    <row r="621" spans="2:25" x14ac:dyDescent="0.25">
      <c r="B621" s="566"/>
      <c r="C621" s="566"/>
      <c r="D621" s="566"/>
      <c r="E621" s="566"/>
      <c r="F621" s="566"/>
      <c r="G621" s="566"/>
      <c r="H621" s="566"/>
      <c r="I621" s="566"/>
      <c r="J621" s="566"/>
      <c r="K621" s="566"/>
      <c r="L621" s="566"/>
      <c r="M621" s="566"/>
      <c r="N621" s="566"/>
      <c r="O621" s="566"/>
      <c r="P621" s="566"/>
      <c r="Q621" s="566"/>
      <c r="R621" s="566"/>
      <c r="S621" s="566"/>
      <c r="T621" s="566"/>
      <c r="U621" s="566"/>
      <c r="V621" s="566"/>
      <c r="W621" s="566"/>
      <c r="X621" s="566"/>
      <c r="Y621" s="566"/>
    </row>
    <row r="622" spans="2:25" x14ac:dyDescent="0.25">
      <c r="B622" s="566"/>
      <c r="C622" s="566"/>
      <c r="D622" s="566"/>
      <c r="E622" s="566"/>
      <c r="F622" s="566"/>
      <c r="G622" s="566"/>
      <c r="H622" s="566"/>
      <c r="I622" s="566"/>
      <c r="J622" s="566"/>
      <c r="K622" s="566"/>
      <c r="L622" s="566"/>
      <c r="M622" s="566"/>
      <c r="N622" s="566"/>
      <c r="O622" s="566"/>
      <c r="P622" s="566"/>
      <c r="Q622" s="566"/>
      <c r="R622" s="566"/>
      <c r="S622" s="566"/>
      <c r="T622" s="566"/>
      <c r="U622" s="566"/>
      <c r="V622" s="566"/>
      <c r="W622" s="566"/>
      <c r="X622" s="566"/>
      <c r="Y622" s="566"/>
    </row>
    <row r="623" spans="2:25" x14ac:dyDescent="0.25">
      <c r="B623" s="566"/>
      <c r="C623" s="566"/>
      <c r="D623" s="566"/>
      <c r="E623" s="566"/>
      <c r="F623" s="566"/>
      <c r="G623" s="566"/>
      <c r="H623" s="566"/>
      <c r="I623" s="566"/>
      <c r="J623" s="566"/>
      <c r="K623" s="566"/>
      <c r="L623" s="566"/>
      <c r="M623" s="566"/>
      <c r="N623" s="566"/>
      <c r="O623" s="566"/>
      <c r="P623" s="566"/>
      <c r="Q623" s="566"/>
      <c r="R623" s="566"/>
      <c r="S623" s="566"/>
      <c r="T623" s="566"/>
      <c r="U623" s="566"/>
      <c r="V623" s="566"/>
      <c r="W623" s="566"/>
      <c r="X623" s="566"/>
      <c r="Y623" s="566"/>
    </row>
    <row r="624" spans="2:25" x14ac:dyDescent="0.25">
      <c r="B624" s="566"/>
      <c r="C624" s="566"/>
      <c r="D624" s="566"/>
      <c r="E624" s="566"/>
      <c r="F624" s="566"/>
      <c r="G624" s="566"/>
      <c r="H624" s="566"/>
      <c r="I624" s="566"/>
      <c r="J624" s="566"/>
      <c r="K624" s="566"/>
      <c r="L624" s="566"/>
      <c r="M624" s="566"/>
      <c r="N624" s="566"/>
      <c r="O624" s="566"/>
      <c r="P624" s="566"/>
      <c r="Q624" s="566"/>
      <c r="R624" s="566"/>
      <c r="S624" s="566"/>
      <c r="T624" s="566"/>
      <c r="U624" s="566"/>
      <c r="V624" s="566"/>
      <c r="W624" s="566"/>
      <c r="X624" s="566"/>
      <c r="Y624" s="566"/>
    </row>
    <row r="625" spans="2:25" x14ac:dyDescent="0.25">
      <c r="B625" s="566"/>
      <c r="C625" s="566"/>
      <c r="D625" s="566"/>
      <c r="E625" s="566"/>
      <c r="F625" s="566"/>
      <c r="G625" s="566"/>
      <c r="H625" s="566"/>
      <c r="I625" s="566"/>
      <c r="J625" s="566"/>
      <c r="K625" s="566"/>
      <c r="L625" s="566"/>
      <c r="M625" s="566"/>
      <c r="N625" s="566"/>
      <c r="O625" s="566"/>
      <c r="P625" s="566"/>
      <c r="Q625" s="566"/>
      <c r="R625" s="566"/>
      <c r="S625" s="566"/>
      <c r="T625" s="566"/>
      <c r="U625" s="566"/>
      <c r="V625" s="566"/>
      <c r="W625" s="566"/>
      <c r="X625" s="566"/>
      <c r="Y625" s="566"/>
    </row>
    <row r="626" spans="2:25" x14ac:dyDescent="0.25">
      <c r="B626" s="566"/>
      <c r="C626" s="566"/>
      <c r="D626" s="566"/>
      <c r="E626" s="566"/>
      <c r="F626" s="566"/>
      <c r="G626" s="566"/>
      <c r="H626" s="566"/>
      <c r="I626" s="566"/>
      <c r="J626" s="566"/>
      <c r="K626" s="566"/>
      <c r="L626" s="566"/>
      <c r="M626" s="566"/>
      <c r="N626" s="566"/>
      <c r="O626" s="566"/>
      <c r="P626" s="566"/>
      <c r="Q626" s="566"/>
      <c r="R626" s="566"/>
      <c r="S626" s="566"/>
      <c r="T626" s="566"/>
      <c r="U626" s="566"/>
      <c r="V626" s="566"/>
      <c r="W626" s="566"/>
      <c r="X626" s="566"/>
      <c r="Y626" s="566"/>
    </row>
    <row r="627" spans="2:25" x14ac:dyDescent="0.25">
      <c r="B627" s="566"/>
      <c r="C627" s="566"/>
      <c r="D627" s="566"/>
      <c r="E627" s="566"/>
      <c r="F627" s="566"/>
      <c r="G627" s="566"/>
      <c r="H627" s="566"/>
      <c r="I627" s="566"/>
      <c r="J627" s="566"/>
      <c r="K627" s="566"/>
      <c r="L627" s="566"/>
      <c r="M627" s="566"/>
      <c r="N627" s="566"/>
      <c r="O627" s="566"/>
      <c r="P627" s="566"/>
      <c r="Q627" s="566"/>
      <c r="R627" s="566"/>
      <c r="S627" s="566"/>
      <c r="T627" s="566"/>
      <c r="U627" s="566"/>
      <c r="V627" s="566"/>
      <c r="W627" s="566"/>
      <c r="X627" s="566"/>
      <c r="Y627" s="566"/>
    </row>
    <row r="628" spans="2:25" x14ac:dyDescent="0.25">
      <c r="B628" s="566"/>
      <c r="C628" s="566"/>
      <c r="D628" s="566"/>
      <c r="E628" s="566"/>
      <c r="F628" s="566"/>
      <c r="G628" s="566"/>
      <c r="H628" s="566"/>
      <c r="I628" s="566"/>
      <c r="J628" s="566"/>
      <c r="K628" s="566"/>
      <c r="L628" s="566"/>
      <c r="M628" s="566"/>
      <c r="N628" s="566"/>
      <c r="O628" s="566"/>
      <c r="P628" s="566"/>
      <c r="Q628" s="566"/>
      <c r="R628" s="566"/>
      <c r="S628" s="566"/>
      <c r="T628" s="566"/>
      <c r="U628" s="566"/>
      <c r="V628" s="566"/>
      <c r="W628" s="566"/>
      <c r="X628" s="566"/>
      <c r="Y628" s="566"/>
    </row>
    <row r="629" spans="2:25" x14ac:dyDescent="0.25">
      <c r="B629" s="566"/>
      <c r="C629" s="566"/>
      <c r="D629" s="566"/>
      <c r="E629" s="566"/>
      <c r="F629" s="566"/>
      <c r="G629" s="566"/>
      <c r="H629" s="566"/>
      <c r="I629" s="566"/>
      <c r="J629" s="566"/>
      <c r="K629" s="566"/>
      <c r="L629" s="566"/>
      <c r="M629" s="566"/>
      <c r="N629" s="566"/>
      <c r="O629" s="566"/>
      <c r="P629" s="566"/>
      <c r="Q629" s="566"/>
      <c r="R629" s="566"/>
      <c r="S629" s="566"/>
      <c r="T629" s="566"/>
      <c r="U629" s="566"/>
      <c r="V629" s="566"/>
      <c r="W629" s="566"/>
      <c r="X629" s="566"/>
      <c r="Y629" s="566"/>
    </row>
    <row r="630" spans="2:25" x14ac:dyDescent="0.25">
      <c r="B630" s="566"/>
      <c r="C630" s="566"/>
      <c r="D630" s="566"/>
      <c r="E630" s="566"/>
      <c r="F630" s="566"/>
      <c r="G630" s="566"/>
      <c r="H630" s="566"/>
      <c r="I630" s="566"/>
      <c r="J630" s="566"/>
      <c r="K630" s="566"/>
      <c r="L630" s="566"/>
      <c r="M630" s="566"/>
      <c r="N630" s="566"/>
      <c r="O630" s="566"/>
      <c r="P630" s="566"/>
      <c r="Q630" s="566"/>
      <c r="R630" s="566"/>
      <c r="S630" s="566"/>
      <c r="T630" s="566"/>
      <c r="U630" s="566"/>
      <c r="V630" s="566"/>
      <c r="W630" s="566"/>
      <c r="X630" s="566"/>
      <c r="Y630" s="566"/>
    </row>
    <row r="631" spans="2:25" x14ac:dyDescent="0.25">
      <c r="B631" s="566"/>
      <c r="C631" s="566"/>
      <c r="D631" s="566"/>
      <c r="E631" s="566"/>
      <c r="F631" s="566"/>
      <c r="G631" s="566"/>
      <c r="H631" s="566"/>
      <c r="I631" s="566"/>
      <c r="J631" s="566"/>
      <c r="K631" s="566"/>
      <c r="L631" s="566"/>
      <c r="M631" s="566"/>
      <c r="N631" s="566"/>
      <c r="O631" s="566"/>
      <c r="P631" s="566"/>
      <c r="Q631" s="566"/>
      <c r="R631" s="566"/>
      <c r="S631" s="566"/>
      <c r="T631" s="566"/>
      <c r="U631" s="566"/>
      <c r="V631" s="566"/>
      <c r="W631" s="566"/>
      <c r="X631" s="566"/>
      <c r="Y631" s="566"/>
    </row>
    <row r="632" spans="2:25" x14ac:dyDescent="0.25">
      <c r="B632" s="566"/>
      <c r="C632" s="566"/>
      <c r="D632" s="566"/>
      <c r="E632" s="566"/>
      <c r="F632" s="566"/>
      <c r="G632" s="566"/>
      <c r="H632" s="566"/>
      <c r="I632" s="566"/>
      <c r="J632" s="566"/>
      <c r="K632" s="566"/>
      <c r="L632" s="566"/>
      <c r="M632" s="566"/>
      <c r="N632" s="566"/>
      <c r="O632" s="566"/>
      <c r="P632" s="566"/>
      <c r="Q632" s="566"/>
      <c r="R632" s="566"/>
      <c r="S632" s="566"/>
      <c r="T632" s="566"/>
      <c r="U632" s="566"/>
      <c r="V632" s="566"/>
      <c r="W632" s="566"/>
      <c r="X632" s="566"/>
      <c r="Y632" s="566"/>
    </row>
    <row r="633" spans="2:25" x14ac:dyDescent="0.25">
      <c r="B633" s="566"/>
      <c r="C633" s="566"/>
      <c r="D633" s="566"/>
      <c r="E633" s="566"/>
      <c r="F633" s="566"/>
      <c r="G633" s="566"/>
      <c r="H633" s="566"/>
      <c r="I633" s="566"/>
      <c r="J633" s="566"/>
      <c r="K633" s="566"/>
      <c r="L633" s="566"/>
      <c r="M633" s="566"/>
      <c r="N633" s="566"/>
      <c r="O633" s="566"/>
      <c r="P633" s="566"/>
      <c r="Q633" s="566"/>
      <c r="R633" s="566"/>
      <c r="S633" s="566"/>
      <c r="T633" s="566"/>
      <c r="U633" s="566"/>
      <c r="V633" s="566"/>
      <c r="W633" s="566"/>
      <c r="X633" s="566"/>
      <c r="Y633" s="566"/>
    </row>
    <row r="634" spans="2:25" x14ac:dyDescent="0.25">
      <c r="B634" s="566"/>
      <c r="C634" s="566"/>
      <c r="D634" s="566"/>
      <c r="E634" s="566"/>
      <c r="F634" s="566"/>
      <c r="G634" s="566"/>
      <c r="H634" s="566"/>
      <c r="I634" s="566"/>
      <c r="J634" s="566"/>
      <c r="K634" s="566"/>
      <c r="L634" s="566"/>
      <c r="M634" s="566"/>
      <c r="N634" s="566"/>
      <c r="O634" s="566"/>
      <c r="P634" s="566"/>
      <c r="Q634" s="566"/>
      <c r="R634" s="566"/>
      <c r="S634" s="566"/>
      <c r="T634" s="566"/>
      <c r="U634" s="566"/>
      <c r="V634" s="566"/>
      <c r="W634" s="566"/>
      <c r="X634" s="566"/>
      <c r="Y634" s="566"/>
    </row>
    <row r="635" spans="2:25" x14ac:dyDescent="0.25">
      <c r="B635" s="566"/>
      <c r="C635" s="566"/>
      <c r="D635" s="566"/>
      <c r="E635" s="566"/>
      <c r="F635" s="566"/>
      <c r="G635" s="566"/>
      <c r="H635" s="566"/>
      <c r="I635" s="566"/>
      <c r="J635" s="566"/>
      <c r="K635" s="566"/>
      <c r="L635" s="566"/>
      <c r="M635" s="566"/>
      <c r="N635" s="566"/>
      <c r="O635" s="566"/>
      <c r="P635" s="566"/>
      <c r="Q635" s="566"/>
      <c r="R635" s="566"/>
      <c r="S635" s="566"/>
      <c r="T635" s="566"/>
      <c r="U635" s="566"/>
      <c r="V635" s="566"/>
      <c r="W635" s="566"/>
      <c r="X635" s="566"/>
      <c r="Y635" s="566"/>
    </row>
    <row r="636" spans="2:25" x14ac:dyDescent="0.25">
      <c r="B636" s="566"/>
      <c r="C636" s="566"/>
      <c r="D636" s="566"/>
      <c r="E636" s="566"/>
      <c r="F636" s="566"/>
      <c r="G636" s="566"/>
      <c r="H636" s="566"/>
      <c r="I636" s="566"/>
      <c r="J636" s="566"/>
      <c r="K636" s="566"/>
      <c r="L636" s="566"/>
      <c r="M636" s="566"/>
      <c r="N636" s="566"/>
      <c r="O636" s="566"/>
      <c r="P636" s="566"/>
      <c r="Q636" s="566"/>
      <c r="R636" s="566"/>
      <c r="S636" s="566"/>
      <c r="T636" s="566"/>
      <c r="U636" s="566"/>
      <c r="V636" s="566"/>
      <c r="W636" s="566"/>
      <c r="X636" s="566"/>
      <c r="Y636" s="566"/>
    </row>
    <row r="637" spans="2:25" x14ac:dyDescent="0.25">
      <c r="B637" s="566"/>
      <c r="C637" s="566"/>
      <c r="D637" s="566"/>
      <c r="E637" s="566"/>
      <c r="F637" s="566"/>
      <c r="G637" s="566"/>
      <c r="H637" s="566"/>
      <c r="I637" s="566"/>
      <c r="J637" s="566"/>
      <c r="K637" s="566"/>
      <c r="L637" s="566"/>
      <c r="M637" s="566"/>
      <c r="N637" s="566"/>
      <c r="O637" s="566"/>
      <c r="P637" s="566"/>
      <c r="Q637" s="566"/>
      <c r="R637" s="566"/>
      <c r="S637" s="566"/>
      <c r="T637" s="566"/>
      <c r="U637" s="566"/>
      <c r="V637" s="566"/>
      <c r="W637" s="566"/>
      <c r="X637" s="566"/>
      <c r="Y637" s="566"/>
    </row>
    <row r="638" spans="2:25" x14ac:dyDescent="0.25">
      <c r="B638" s="566"/>
      <c r="C638" s="566"/>
      <c r="D638" s="566"/>
      <c r="E638" s="566"/>
      <c r="F638" s="566"/>
      <c r="G638" s="566"/>
      <c r="H638" s="566"/>
      <c r="I638" s="566"/>
      <c r="J638" s="566"/>
      <c r="K638" s="566"/>
      <c r="L638" s="566"/>
      <c r="M638" s="566"/>
      <c r="N638" s="566"/>
      <c r="O638" s="566"/>
      <c r="P638" s="566"/>
      <c r="Q638" s="566"/>
      <c r="R638" s="566"/>
      <c r="S638" s="566"/>
      <c r="T638" s="566"/>
      <c r="U638" s="566"/>
      <c r="V638" s="566"/>
      <c r="W638" s="566"/>
      <c r="X638" s="566"/>
      <c r="Y638" s="566"/>
    </row>
    <row r="639" spans="2:25" x14ac:dyDescent="0.25">
      <c r="B639" s="566"/>
      <c r="C639" s="566"/>
      <c r="D639" s="566"/>
      <c r="E639" s="566"/>
      <c r="F639" s="566"/>
      <c r="G639" s="566"/>
      <c r="H639" s="566"/>
      <c r="I639" s="566"/>
      <c r="J639" s="566"/>
      <c r="K639" s="566"/>
      <c r="L639" s="566"/>
      <c r="M639" s="566"/>
      <c r="N639" s="566"/>
      <c r="O639" s="566"/>
      <c r="P639" s="566"/>
      <c r="Q639" s="566"/>
      <c r="R639" s="566"/>
      <c r="S639" s="566"/>
      <c r="T639" s="566"/>
      <c r="U639" s="566"/>
      <c r="V639" s="566"/>
      <c r="W639" s="566"/>
      <c r="X639" s="566"/>
      <c r="Y639" s="566"/>
    </row>
    <row r="640" spans="2:25" x14ac:dyDescent="0.25">
      <c r="B640" s="566"/>
      <c r="C640" s="566"/>
      <c r="D640" s="566"/>
      <c r="E640" s="566"/>
      <c r="F640" s="566"/>
      <c r="G640" s="566"/>
      <c r="H640" s="566"/>
      <c r="I640" s="566"/>
      <c r="J640" s="566"/>
      <c r="K640" s="566"/>
      <c r="L640" s="566"/>
      <c r="M640" s="566"/>
      <c r="N640" s="566"/>
      <c r="O640" s="566"/>
      <c r="P640" s="566"/>
      <c r="Q640" s="566"/>
      <c r="R640" s="566"/>
      <c r="S640" s="566"/>
      <c r="T640" s="566"/>
      <c r="U640" s="566"/>
      <c r="V640" s="566"/>
      <c r="W640" s="566"/>
      <c r="X640" s="566"/>
      <c r="Y640" s="566"/>
    </row>
    <row r="641" spans="2:25" x14ac:dyDescent="0.25">
      <c r="B641" s="566"/>
      <c r="C641" s="566"/>
      <c r="D641" s="566"/>
      <c r="E641" s="566"/>
      <c r="F641" s="566"/>
      <c r="G641" s="566"/>
      <c r="H641" s="566"/>
      <c r="I641" s="566"/>
      <c r="J641" s="566"/>
      <c r="K641" s="566"/>
      <c r="L641" s="566"/>
      <c r="M641" s="566"/>
      <c r="N641" s="566"/>
      <c r="O641" s="566"/>
      <c r="P641" s="566"/>
      <c r="Q641" s="566"/>
      <c r="R641" s="566"/>
      <c r="S641" s="566"/>
      <c r="T641" s="566"/>
      <c r="U641" s="566"/>
      <c r="V641" s="566"/>
      <c r="W641" s="566"/>
      <c r="X641" s="566"/>
      <c r="Y641" s="566"/>
    </row>
    <row r="642" spans="2:25" x14ac:dyDescent="0.25">
      <c r="B642" s="566"/>
      <c r="C642" s="566"/>
      <c r="D642" s="566"/>
      <c r="E642" s="566"/>
      <c r="F642" s="566"/>
      <c r="G642" s="566"/>
      <c r="H642" s="566"/>
      <c r="I642" s="566"/>
      <c r="J642" s="566"/>
      <c r="K642" s="566"/>
      <c r="L642" s="566"/>
      <c r="M642" s="566"/>
      <c r="N642" s="566"/>
      <c r="O642" s="566"/>
      <c r="P642" s="566"/>
      <c r="Q642" s="566"/>
      <c r="R642" s="566"/>
      <c r="S642" s="566"/>
      <c r="T642" s="566"/>
      <c r="U642" s="566"/>
      <c r="V642" s="566"/>
      <c r="W642" s="566"/>
      <c r="X642" s="566"/>
      <c r="Y642" s="566"/>
    </row>
    <row r="643" spans="2:25" x14ac:dyDescent="0.25">
      <c r="B643" s="566"/>
      <c r="C643" s="566"/>
      <c r="D643" s="566"/>
      <c r="E643" s="566"/>
      <c r="F643" s="566"/>
      <c r="G643" s="566"/>
      <c r="H643" s="566"/>
      <c r="I643" s="566"/>
      <c r="J643" s="566"/>
      <c r="K643" s="566"/>
      <c r="L643" s="566"/>
      <c r="M643" s="566"/>
      <c r="N643" s="566"/>
      <c r="O643" s="566"/>
      <c r="P643" s="566"/>
      <c r="Q643" s="566"/>
      <c r="R643" s="566"/>
      <c r="S643" s="566"/>
      <c r="T643" s="566"/>
      <c r="U643" s="566"/>
      <c r="V643" s="566"/>
      <c r="W643" s="566"/>
      <c r="X643" s="566"/>
      <c r="Y643" s="566"/>
    </row>
    <row r="644" spans="2:25" x14ac:dyDescent="0.25">
      <c r="B644" s="566"/>
      <c r="C644" s="566"/>
      <c r="D644" s="566"/>
      <c r="E644" s="566"/>
      <c r="F644" s="566"/>
      <c r="G644" s="566"/>
      <c r="H644" s="566"/>
      <c r="I644" s="566"/>
      <c r="J644" s="566"/>
      <c r="K644" s="566"/>
      <c r="L644" s="566"/>
      <c r="M644" s="566"/>
      <c r="N644" s="566"/>
      <c r="O644" s="566"/>
      <c r="P644" s="566"/>
      <c r="Q644" s="566"/>
      <c r="R644" s="566"/>
      <c r="S644" s="566"/>
      <c r="T644" s="566"/>
      <c r="U644" s="566"/>
      <c r="V644" s="566"/>
      <c r="W644" s="566"/>
      <c r="X644" s="566"/>
      <c r="Y644" s="566"/>
    </row>
    <row r="645" spans="2:25" x14ac:dyDescent="0.25">
      <c r="B645" s="566"/>
      <c r="C645" s="566"/>
      <c r="D645" s="566"/>
      <c r="E645" s="566"/>
      <c r="F645" s="566"/>
      <c r="G645" s="566"/>
      <c r="H645" s="566"/>
      <c r="I645" s="566"/>
      <c r="J645" s="566"/>
      <c r="K645" s="566"/>
      <c r="L645" s="566"/>
      <c r="M645" s="566"/>
      <c r="N645" s="566"/>
      <c r="O645" s="566"/>
      <c r="P645" s="566"/>
      <c r="Q645" s="566"/>
      <c r="R645" s="566"/>
      <c r="S645" s="566"/>
      <c r="T645" s="566"/>
      <c r="U645" s="566"/>
      <c r="V645" s="566"/>
      <c r="W645" s="566"/>
      <c r="X645" s="566"/>
      <c r="Y645" s="566"/>
    </row>
    <row r="646" spans="2:25" x14ac:dyDescent="0.25">
      <c r="B646" s="566"/>
      <c r="C646" s="566"/>
      <c r="D646" s="566"/>
      <c r="E646" s="566"/>
      <c r="F646" s="566"/>
      <c r="G646" s="566"/>
      <c r="H646" s="566"/>
      <c r="I646" s="566"/>
      <c r="J646" s="566"/>
      <c r="K646" s="566"/>
      <c r="L646" s="566"/>
      <c r="M646" s="566"/>
      <c r="N646" s="566"/>
      <c r="O646" s="566"/>
      <c r="P646" s="566"/>
      <c r="Q646" s="566"/>
      <c r="R646" s="566"/>
      <c r="S646" s="566"/>
      <c r="T646" s="566"/>
      <c r="U646" s="566"/>
      <c r="V646" s="566"/>
      <c r="W646" s="566"/>
      <c r="X646" s="566"/>
      <c r="Y646" s="566"/>
    </row>
    <row r="647" spans="2:25" x14ac:dyDescent="0.25">
      <c r="B647" s="566"/>
      <c r="C647" s="566"/>
      <c r="D647" s="566"/>
      <c r="E647" s="566"/>
      <c r="F647" s="566"/>
      <c r="G647" s="566"/>
      <c r="H647" s="566"/>
      <c r="I647" s="566"/>
      <c r="J647" s="566"/>
      <c r="K647" s="566"/>
      <c r="L647" s="566"/>
      <c r="M647" s="566"/>
      <c r="N647" s="566"/>
      <c r="O647" s="566"/>
      <c r="P647" s="566"/>
      <c r="Q647" s="566"/>
      <c r="R647" s="566"/>
      <c r="S647" s="566"/>
      <c r="T647" s="566"/>
      <c r="U647" s="566"/>
      <c r="V647" s="566"/>
      <c r="W647" s="566"/>
      <c r="X647" s="566"/>
      <c r="Y647" s="566"/>
    </row>
    <row r="648" spans="2:25" x14ac:dyDescent="0.25">
      <c r="B648" s="566"/>
      <c r="C648" s="566"/>
      <c r="D648" s="566"/>
      <c r="E648" s="566"/>
      <c r="F648" s="566"/>
      <c r="G648" s="566"/>
      <c r="H648" s="566"/>
      <c r="I648" s="566"/>
      <c r="J648" s="566"/>
      <c r="K648" s="566"/>
      <c r="L648" s="566"/>
      <c r="M648" s="566"/>
      <c r="N648" s="566"/>
      <c r="O648" s="566"/>
      <c r="P648" s="566"/>
      <c r="Q648" s="566"/>
      <c r="R648" s="566"/>
      <c r="S648" s="566"/>
      <c r="T648" s="566"/>
      <c r="U648" s="566"/>
      <c r="V648" s="566"/>
      <c r="W648" s="566"/>
      <c r="X648" s="566"/>
      <c r="Y648" s="566"/>
    </row>
    <row r="649" spans="2:25" x14ac:dyDescent="0.25">
      <c r="B649" s="566"/>
      <c r="C649" s="566"/>
      <c r="D649" s="566"/>
      <c r="E649" s="566"/>
      <c r="F649" s="566"/>
      <c r="G649" s="566"/>
      <c r="H649" s="566"/>
      <c r="I649" s="566"/>
      <c r="J649" s="566"/>
      <c r="K649" s="566"/>
      <c r="L649" s="566"/>
      <c r="M649" s="566"/>
      <c r="N649" s="566"/>
      <c r="O649" s="566"/>
      <c r="P649" s="566"/>
      <c r="Q649" s="566"/>
      <c r="R649" s="566"/>
      <c r="S649" s="566"/>
      <c r="T649" s="566"/>
      <c r="U649" s="566"/>
      <c r="V649" s="566"/>
      <c r="W649" s="566"/>
      <c r="X649" s="566"/>
      <c r="Y649" s="566"/>
    </row>
    <row r="650" spans="2:25" x14ac:dyDescent="0.25">
      <c r="B650" s="566"/>
      <c r="C650" s="566"/>
      <c r="D650" s="566"/>
      <c r="E650" s="566"/>
      <c r="F650" s="566"/>
      <c r="G650" s="566"/>
      <c r="H650" s="566"/>
      <c r="I650" s="566"/>
      <c r="J650" s="566"/>
      <c r="K650" s="566"/>
      <c r="L650" s="566"/>
      <c r="M650" s="566"/>
      <c r="N650" s="566"/>
      <c r="O650" s="566"/>
      <c r="P650" s="566"/>
      <c r="Q650" s="566"/>
      <c r="R650" s="566"/>
      <c r="S650" s="566"/>
      <c r="T650" s="566"/>
      <c r="U650" s="566"/>
      <c r="V650" s="566"/>
      <c r="W650" s="566"/>
      <c r="X650" s="566"/>
      <c r="Y650" s="566"/>
    </row>
    <row r="651" spans="2:25" x14ac:dyDescent="0.25">
      <c r="B651" s="566"/>
      <c r="C651" s="566"/>
      <c r="D651" s="566"/>
      <c r="E651" s="566"/>
      <c r="F651" s="566"/>
      <c r="G651" s="566"/>
      <c r="H651" s="566"/>
      <c r="I651" s="566"/>
      <c r="J651" s="566"/>
      <c r="K651" s="566"/>
      <c r="L651" s="566"/>
      <c r="M651" s="566"/>
      <c r="N651" s="566"/>
      <c r="O651" s="566"/>
      <c r="P651" s="566"/>
      <c r="Q651" s="566"/>
      <c r="R651" s="566"/>
      <c r="S651" s="566"/>
      <c r="T651" s="566"/>
      <c r="U651" s="566"/>
      <c r="V651" s="566"/>
      <c r="W651" s="566"/>
      <c r="X651" s="566"/>
      <c r="Y651" s="566"/>
    </row>
    <row r="652" spans="2:25" x14ac:dyDescent="0.25">
      <c r="B652" s="566"/>
      <c r="C652" s="566"/>
      <c r="D652" s="566"/>
      <c r="E652" s="566"/>
      <c r="F652" s="566"/>
      <c r="G652" s="566"/>
      <c r="H652" s="566"/>
      <c r="I652" s="566"/>
      <c r="J652" s="566"/>
      <c r="K652" s="566"/>
      <c r="L652" s="566"/>
      <c r="M652" s="566"/>
      <c r="N652" s="566"/>
      <c r="O652" s="566"/>
      <c r="P652" s="566"/>
      <c r="Q652" s="566"/>
      <c r="R652" s="566"/>
      <c r="S652" s="566"/>
      <c r="T652" s="566"/>
      <c r="U652" s="566"/>
      <c r="V652" s="566"/>
      <c r="W652" s="566"/>
      <c r="X652" s="566"/>
      <c r="Y652" s="566"/>
    </row>
    <row r="653" spans="2:25" x14ac:dyDescent="0.25">
      <c r="B653" s="566"/>
      <c r="C653" s="566"/>
      <c r="D653" s="566"/>
      <c r="E653" s="566"/>
      <c r="F653" s="566"/>
      <c r="G653" s="566"/>
      <c r="H653" s="566"/>
      <c r="I653" s="566"/>
      <c r="J653" s="566"/>
      <c r="K653" s="566"/>
      <c r="L653" s="566"/>
      <c r="M653" s="566"/>
      <c r="N653" s="566"/>
      <c r="O653" s="566"/>
      <c r="P653" s="566"/>
      <c r="Q653" s="566"/>
      <c r="R653" s="566"/>
      <c r="S653" s="566"/>
      <c r="T653" s="566"/>
      <c r="U653" s="566"/>
      <c r="V653" s="566"/>
      <c r="W653" s="566"/>
      <c r="X653" s="566"/>
      <c r="Y653" s="566"/>
    </row>
    <row r="654" spans="2:25" x14ac:dyDescent="0.25">
      <c r="B654" s="566"/>
      <c r="C654" s="566"/>
      <c r="D654" s="566"/>
      <c r="E654" s="566"/>
      <c r="F654" s="566"/>
      <c r="G654" s="566"/>
      <c r="H654" s="566"/>
      <c r="I654" s="566"/>
      <c r="J654" s="566"/>
      <c r="K654" s="566"/>
      <c r="L654" s="566"/>
      <c r="M654" s="566"/>
      <c r="N654" s="566"/>
      <c r="O654" s="566"/>
      <c r="P654" s="566"/>
      <c r="Q654" s="566"/>
      <c r="R654" s="566"/>
      <c r="S654" s="566"/>
      <c r="T654" s="566"/>
      <c r="U654" s="566"/>
      <c r="V654" s="566"/>
      <c r="W654" s="566"/>
      <c r="X654" s="566"/>
      <c r="Y654" s="566"/>
    </row>
    <row r="655" spans="2:25" x14ac:dyDescent="0.25">
      <c r="B655" s="566"/>
      <c r="C655" s="566"/>
      <c r="D655" s="566"/>
      <c r="E655" s="566"/>
      <c r="F655" s="566"/>
      <c r="G655" s="566"/>
      <c r="H655" s="566"/>
      <c r="I655" s="566"/>
      <c r="J655" s="566"/>
      <c r="K655" s="566"/>
      <c r="L655" s="566"/>
      <c r="M655" s="566"/>
      <c r="N655" s="566"/>
      <c r="O655" s="566"/>
      <c r="P655" s="566"/>
      <c r="Q655" s="566"/>
      <c r="R655" s="566"/>
      <c r="S655" s="566"/>
      <c r="T655" s="566"/>
      <c r="U655" s="566"/>
      <c r="V655" s="566"/>
      <c r="W655" s="566"/>
      <c r="X655" s="566"/>
      <c r="Y655" s="566"/>
    </row>
    <row r="656" spans="2:25" x14ac:dyDescent="0.25">
      <c r="B656" s="566"/>
      <c r="C656" s="566"/>
      <c r="D656" s="566"/>
      <c r="E656" s="566"/>
      <c r="F656" s="566"/>
      <c r="G656" s="566"/>
      <c r="H656" s="566"/>
      <c r="I656" s="566"/>
      <c r="J656" s="566"/>
      <c r="K656" s="566"/>
      <c r="L656" s="566"/>
      <c r="M656" s="566"/>
      <c r="N656" s="566"/>
      <c r="O656" s="566"/>
      <c r="P656" s="566"/>
      <c r="Q656" s="566"/>
      <c r="R656" s="566"/>
      <c r="S656" s="566"/>
      <c r="T656" s="566"/>
      <c r="U656" s="566"/>
      <c r="V656" s="566"/>
      <c r="W656" s="566"/>
      <c r="X656" s="566"/>
      <c r="Y656" s="566"/>
    </row>
    <row r="657" spans="2:25" x14ac:dyDescent="0.25">
      <c r="B657" s="566"/>
      <c r="C657" s="566"/>
      <c r="D657" s="566"/>
      <c r="E657" s="566"/>
      <c r="F657" s="566"/>
      <c r="G657" s="566"/>
      <c r="H657" s="566"/>
      <c r="I657" s="566"/>
      <c r="J657" s="566"/>
      <c r="K657" s="566"/>
      <c r="L657" s="566"/>
      <c r="M657" s="566"/>
      <c r="N657" s="566"/>
      <c r="O657" s="566"/>
      <c r="P657" s="566"/>
      <c r="Q657" s="566"/>
      <c r="R657" s="566"/>
      <c r="S657" s="566"/>
      <c r="T657" s="566"/>
      <c r="U657" s="566"/>
      <c r="V657" s="566"/>
      <c r="W657" s="566"/>
      <c r="X657" s="566"/>
      <c r="Y657" s="566"/>
    </row>
    <row r="658" spans="2:25" x14ac:dyDescent="0.25">
      <c r="B658" s="566"/>
      <c r="C658" s="566"/>
      <c r="D658" s="566"/>
      <c r="E658" s="566"/>
      <c r="F658" s="566"/>
      <c r="G658" s="566"/>
      <c r="H658" s="566"/>
      <c r="I658" s="566"/>
      <c r="J658" s="566"/>
      <c r="K658" s="566"/>
      <c r="L658" s="566"/>
      <c r="M658" s="566"/>
      <c r="N658" s="566"/>
      <c r="O658" s="566"/>
      <c r="P658" s="566"/>
      <c r="Q658" s="566"/>
      <c r="R658" s="566"/>
      <c r="S658" s="566"/>
      <c r="T658" s="566"/>
      <c r="U658" s="566"/>
      <c r="V658" s="566"/>
      <c r="W658" s="566"/>
      <c r="X658" s="566"/>
      <c r="Y658" s="566"/>
    </row>
    <row r="659" spans="2:25" x14ac:dyDescent="0.25">
      <c r="B659" s="566"/>
      <c r="C659" s="566"/>
      <c r="D659" s="566"/>
      <c r="E659" s="566"/>
      <c r="F659" s="566"/>
      <c r="G659" s="566"/>
      <c r="H659" s="566"/>
      <c r="I659" s="566"/>
      <c r="J659" s="566"/>
      <c r="K659" s="566"/>
      <c r="L659" s="566"/>
      <c r="M659" s="566"/>
      <c r="N659" s="566"/>
      <c r="O659" s="566"/>
      <c r="P659" s="566"/>
      <c r="Q659" s="566"/>
      <c r="R659" s="566"/>
      <c r="S659" s="566"/>
      <c r="T659" s="566"/>
      <c r="U659" s="566"/>
      <c r="V659" s="566"/>
      <c r="W659" s="566"/>
      <c r="X659" s="566"/>
      <c r="Y659" s="566"/>
    </row>
    <row r="660" spans="2:25" x14ac:dyDescent="0.25">
      <c r="B660" s="566"/>
      <c r="C660" s="566"/>
      <c r="D660" s="566"/>
      <c r="E660" s="566"/>
      <c r="F660" s="566"/>
      <c r="G660" s="566"/>
      <c r="H660" s="566"/>
      <c r="I660" s="566"/>
      <c r="J660" s="566"/>
      <c r="K660" s="566"/>
      <c r="L660" s="566"/>
      <c r="M660" s="566"/>
      <c r="N660" s="566"/>
      <c r="O660" s="566"/>
      <c r="P660" s="566"/>
      <c r="Q660" s="566"/>
      <c r="R660" s="566"/>
      <c r="S660" s="566"/>
      <c r="T660" s="566"/>
      <c r="U660" s="566"/>
      <c r="V660" s="566"/>
      <c r="W660" s="566"/>
      <c r="X660" s="566"/>
      <c r="Y660" s="566"/>
    </row>
    <row r="661" spans="2:25" x14ac:dyDescent="0.25">
      <c r="B661" s="566"/>
      <c r="C661" s="566"/>
      <c r="D661" s="566"/>
      <c r="E661" s="566"/>
      <c r="F661" s="566"/>
      <c r="G661" s="566"/>
      <c r="H661" s="566"/>
      <c r="I661" s="566"/>
      <c r="J661" s="566"/>
      <c r="K661" s="566"/>
      <c r="L661" s="566"/>
      <c r="M661" s="566"/>
      <c r="N661" s="566"/>
      <c r="O661" s="566"/>
      <c r="P661" s="566"/>
      <c r="Q661" s="566"/>
      <c r="R661" s="566"/>
      <c r="S661" s="566"/>
      <c r="T661" s="566"/>
      <c r="U661" s="566"/>
      <c r="V661" s="566"/>
      <c r="W661" s="566"/>
      <c r="X661" s="566"/>
      <c r="Y661" s="566"/>
    </row>
    <row r="662" spans="2:25" x14ac:dyDescent="0.25">
      <c r="B662" s="566"/>
      <c r="C662" s="566"/>
      <c r="D662" s="566"/>
      <c r="E662" s="566"/>
      <c r="F662" s="566"/>
      <c r="G662" s="566"/>
      <c r="H662" s="566"/>
      <c r="I662" s="566"/>
      <c r="J662" s="566"/>
      <c r="K662" s="566"/>
      <c r="L662" s="566"/>
      <c r="M662" s="566"/>
      <c r="N662" s="566"/>
      <c r="O662" s="566"/>
      <c r="P662" s="566"/>
      <c r="Q662" s="566"/>
      <c r="R662" s="566"/>
      <c r="S662" s="566"/>
      <c r="T662" s="566"/>
      <c r="U662" s="566"/>
      <c r="V662" s="566"/>
      <c r="W662" s="566"/>
      <c r="X662" s="566"/>
      <c r="Y662" s="566"/>
    </row>
    <row r="663" spans="2:25" x14ac:dyDescent="0.25">
      <c r="B663" s="566"/>
      <c r="C663" s="566"/>
      <c r="D663" s="566"/>
      <c r="E663" s="566"/>
      <c r="F663" s="566"/>
      <c r="G663" s="566"/>
      <c r="H663" s="566"/>
      <c r="I663" s="566"/>
      <c r="J663" s="566"/>
      <c r="K663" s="566"/>
      <c r="L663" s="566"/>
      <c r="M663" s="566"/>
      <c r="N663" s="566"/>
      <c r="O663" s="566"/>
      <c r="P663" s="566"/>
      <c r="Q663" s="566"/>
      <c r="R663" s="566"/>
      <c r="S663" s="566"/>
      <c r="T663" s="566"/>
      <c r="U663" s="566"/>
      <c r="V663" s="566"/>
      <c r="W663" s="566"/>
      <c r="X663" s="566"/>
      <c r="Y663" s="566"/>
    </row>
    <row r="664" spans="2:25" x14ac:dyDescent="0.25">
      <c r="B664" s="566"/>
      <c r="C664" s="566"/>
      <c r="D664" s="566"/>
      <c r="E664" s="566"/>
      <c r="F664" s="566"/>
      <c r="G664" s="566"/>
      <c r="H664" s="566"/>
      <c r="I664" s="566"/>
      <c r="J664" s="566"/>
      <c r="K664" s="566"/>
      <c r="L664" s="566"/>
      <c r="M664" s="566"/>
      <c r="N664" s="566"/>
      <c r="O664" s="566"/>
      <c r="P664" s="566"/>
      <c r="Q664" s="566"/>
      <c r="R664" s="566"/>
      <c r="S664" s="566"/>
      <c r="T664" s="566"/>
      <c r="U664" s="566"/>
      <c r="V664" s="566"/>
      <c r="W664" s="566"/>
      <c r="X664" s="566"/>
      <c r="Y664" s="566"/>
    </row>
    <row r="665" spans="2:25" x14ac:dyDescent="0.25">
      <c r="B665" s="566"/>
      <c r="C665" s="566"/>
      <c r="D665" s="566"/>
      <c r="E665" s="566"/>
      <c r="F665" s="566"/>
      <c r="G665" s="566"/>
      <c r="H665" s="566"/>
      <c r="I665" s="566"/>
      <c r="J665" s="566"/>
      <c r="K665" s="566"/>
      <c r="L665" s="566"/>
      <c r="M665" s="566"/>
      <c r="N665" s="566"/>
      <c r="O665" s="566"/>
      <c r="P665" s="566"/>
      <c r="Q665" s="566"/>
      <c r="R665" s="566"/>
      <c r="S665" s="566"/>
      <c r="T665" s="566"/>
      <c r="U665" s="566"/>
      <c r="V665" s="566"/>
      <c r="W665" s="566"/>
      <c r="X665" s="566"/>
      <c r="Y665" s="566"/>
    </row>
    <row r="666" spans="2:25" x14ac:dyDescent="0.25">
      <c r="B666" s="566"/>
      <c r="C666" s="566"/>
      <c r="D666" s="566"/>
      <c r="E666" s="566"/>
      <c r="F666" s="566"/>
      <c r="G666" s="566"/>
      <c r="H666" s="566"/>
      <c r="I666" s="566"/>
      <c r="J666" s="566"/>
      <c r="K666" s="566"/>
      <c r="L666" s="566"/>
      <c r="M666" s="566"/>
      <c r="N666" s="566"/>
      <c r="O666" s="566"/>
      <c r="P666" s="566"/>
      <c r="Q666" s="566"/>
      <c r="R666" s="566"/>
      <c r="S666" s="566"/>
      <c r="T666" s="566"/>
      <c r="U666" s="566"/>
      <c r="V666" s="566"/>
      <c r="W666" s="566"/>
      <c r="X666" s="566"/>
      <c r="Y666" s="566"/>
    </row>
    <row r="667" spans="2:25" x14ac:dyDescent="0.25">
      <c r="B667" s="566"/>
      <c r="C667" s="566"/>
      <c r="D667" s="566"/>
      <c r="E667" s="566"/>
      <c r="F667" s="566"/>
      <c r="G667" s="566"/>
      <c r="H667" s="566"/>
      <c r="I667" s="566"/>
      <c r="J667" s="566"/>
      <c r="K667" s="566"/>
      <c r="L667" s="566"/>
      <c r="M667" s="566"/>
      <c r="N667" s="566"/>
      <c r="O667" s="566"/>
      <c r="P667" s="566"/>
      <c r="Q667" s="566"/>
      <c r="R667" s="566"/>
      <c r="S667" s="566"/>
      <c r="T667" s="566"/>
      <c r="U667" s="566"/>
      <c r="V667" s="566"/>
      <c r="W667" s="566"/>
      <c r="X667" s="566"/>
      <c r="Y667" s="566"/>
    </row>
    <row r="668" spans="2:25" x14ac:dyDescent="0.25">
      <c r="B668" s="566"/>
      <c r="C668" s="566"/>
      <c r="D668" s="566"/>
      <c r="E668" s="566"/>
      <c r="F668" s="566"/>
      <c r="G668" s="566"/>
      <c r="H668" s="566"/>
      <c r="I668" s="566"/>
      <c r="J668" s="566"/>
      <c r="K668" s="566"/>
      <c r="L668" s="566"/>
      <c r="M668" s="566"/>
      <c r="N668" s="566"/>
      <c r="O668" s="566"/>
      <c r="P668" s="566"/>
      <c r="Q668" s="566"/>
      <c r="R668" s="566"/>
      <c r="S668" s="566"/>
      <c r="T668" s="566"/>
      <c r="U668" s="566"/>
      <c r="V668" s="566"/>
      <c r="W668" s="566"/>
      <c r="X668" s="566"/>
      <c r="Y668" s="566"/>
    </row>
    <row r="669" spans="2:25" x14ac:dyDescent="0.25">
      <c r="B669" s="566"/>
      <c r="C669" s="566"/>
      <c r="D669" s="566"/>
      <c r="E669" s="566"/>
      <c r="F669" s="566"/>
      <c r="G669" s="566"/>
      <c r="H669" s="566"/>
      <c r="I669" s="566"/>
      <c r="J669" s="566"/>
      <c r="K669" s="566"/>
      <c r="L669" s="566"/>
      <c r="M669" s="566"/>
      <c r="N669" s="566"/>
      <c r="O669" s="566"/>
      <c r="P669" s="566"/>
      <c r="Q669" s="566"/>
      <c r="R669" s="566"/>
      <c r="S669" s="566"/>
      <c r="T669" s="566"/>
      <c r="U669" s="566"/>
      <c r="V669" s="566"/>
      <c r="W669" s="566"/>
      <c r="X669" s="566"/>
      <c r="Y669" s="566"/>
    </row>
    <row r="670" spans="2:25" x14ac:dyDescent="0.25">
      <c r="B670" s="566"/>
      <c r="C670" s="566"/>
      <c r="D670" s="566"/>
      <c r="E670" s="566"/>
      <c r="F670" s="566"/>
      <c r="G670" s="566"/>
      <c r="H670" s="566"/>
      <c r="I670" s="566"/>
      <c r="J670" s="566"/>
      <c r="K670" s="566"/>
      <c r="L670" s="566"/>
      <c r="M670" s="566"/>
      <c r="N670" s="566"/>
      <c r="O670" s="566"/>
      <c r="P670" s="566"/>
      <c r="Q670" s="566"/>
      <c r="R670" s="566"/>
      <c r="S670" s="566"/>
      <c r="T670" s="566"/>
      <c r="U670" s="566"/>
      <c r="V670" s="566"/>
      <c r="W670" s="566"/>
      <c r="X670" s="566"/>
      <c r="Y670" s="566"/>
    </row>
    <row r="671" spans="2:25" x14ac:dyDescent="0.25">
      <c r="B671" s="566"/>
      <c r="C671" s="566"/>
      <c r="D671" s="566"/>
      <c r="E671" s="566"/>
      <c r="F671" s="566"/>
      <c r="G671" s="566"/>
      <c r="H671" s="566"/>
      <c r="I671" s="566"/>
      <c r="J671" s="566"/>
      <c r="K671" s="566"/>
      <c r="L671" s="566"/>
      <c r="M671" s="566"/>
      <c r="N671" s="566"/>
      <c r="O671" s="566"/>
      <c r="P671" s="566"/>
      <c r="Q671" s="566"/>
      <c r="R671" s="566"/>
      <c r="S671" s="566"/>
      <c r="T671" s="566"/>
      <c r="U671" s="566"/>
      <c r="V671" s="566"/>
      <c r="W671" s="566"/>
      <c r="X671" s="566"/>
      <c r="Y671" s="566"/>
    </row>
    <row r="672" spans="2:25" x14ac:dyDescent="0.25">
      <c r="B672" s="566"/>
      <c r="C672" s="566"/>
      <c r="D672" s="566"/>
      <c r="E672" s="566"/>
      <c r="F672" s="566"/>
      <c r="G672" s="566"/>
      <c r="H672" s="566"/>
      <c r="I672" s="566"/>
      <c r="J672" s="566"/>
      <c r="K672" s="566"/>
      <c r="L672" s="566"/>
      <c r="M672" s="566"/>
      <c r="N672" s="566"/>
      <c r="O672" s="566"/>
      <c r="P672" s="566"/>
      <c r="Q672" s="566"/>
      <c r="R672" s="566"/>
      <c r="S672" s="566"/>
      <c r="T672" s="566"/>
      <c r="U672" s="566"/>
      <c r="V672" s="566"/>
      <c r="W672" s="566"/>
      <c r="X672" s="566"/>
      <c r="Y672" s="566"/>
    </row>
    <row r="673" spans="2:25" x14ac:dyDescent="0.25">
      <c r="B673" s="566"/>
      <c r="C673" s="566"/>
      <c r="D673" s="566"/>
      <c r="E673" s="566"/>
      <c r="F673" s="566"/>
      <c r="G673" s="566"/>
      <c r="H673" s="566"/>
      <c r="I673" s="566"/>
      <c r="J673" s="566"/>
      <c r="K673" s="566"/>
      <c r="L673" s="566"/>
      <c r="M673" s="566"/>
      <c r="N673" s="566"/>
      <c r="O673" s="566"/>
      <c r="P673" s="566"/>
      <c r="Q673" s="566"/>
      <c r="R673" s="566"/>
      <c r="S673" s="566"/>
      <c r="T673" s="566"/>
      <c r="U673" s="566"/>
      <c r="V673" s="566"/>
      <c r="W673" s="566"/>
      <c r="X673" s="566"/>
      <c r="Y673" s="566"/>
    </row>
    <row r="674" spans="2:25" x14ac:dyDescent="0.25">
      <c r="B674" s="566"/>
      <c r="C674" s="566"/>
      <c r="D674" s="566"/>
      <c r="E674" s="566"/>
      <c r="F674" s="566"/>
      <c r="G674" s="566"/>
      <c r="H674" s="566"/>
      <c r="I674" s="566"/>
      <c r="J674" s="566"/>
      <c r="K674" s="566"/>
      <c r="L674" s="566"/>
      <c r="M674" s="566"/>
      <c r="N674" s="566"/>
      <c r="O674" s="566"/>
      <c r="P674" s="566"/>
      <c r="Q674" s="566"/>
      <c r="R674" s="566"/>
      <c r="S674" s="566"/>
      <c r="T674" s="566"/>
      <c r="U674" s="566"/>
      <c r="V674" s="566"/>
      <c r="W674" s="566"/>
      <c r="X674" s="566"/>
      <c r="Y674" s="566"/>
    </row>
    <row r="675" spans="2:25" x14ac:dyDescent="0.25">
      <c r="B675" s="566"/>
      <c r="C675" s="566"/>
      <c r="D675" s="566"/>
      <c r="E675" s="566"/>
      <c r="F675" s="566"/>
      <c r="G675" s="566"/>
      <c r="H675" s="566"/>
      <c r="I675" s="566"/>
      <c r="J675" s="566"/>
      <c r="K675" s="566"/>
      <c r="L675" s="566"/>
      <c r="M675" s="566"/>
      <c r="N675" s="566"/>
      <c r="O675" s="566"/>
      <c r="P675" s="566"/>
      <c r="Q675" s="566"/>
      <c r="R675" s="566"/>
      <c r="S675" s="566"/>
      <c r="T675" s="566"/>
      <c r="U675" s="566"/>
      <c r="V675" s="566"/>
      <c r="W675" s="566"/>
      <c r="X675" s="566"/>
      <c r="Y675" s="566"/>
    </row>
    <row r="676" spans="2:25" x14ac:dyDescent="0.25">
      <c r="B676" s="566"/>
      <c r="C676" s="566"/>
      <c r="D676" s="566"/>
      <c r="E676" s="566"/>
      <c r="F676" s="566"/>
      <c r="G676" s="566"/>
      <c r="H676" s="566"/>
      <c r="I676" s="566"/>
      <c r="J676" s="566"/>
      <c r="K676" s="566"/>
      <c r="L676" s="566"/>
      <c r="M676" s="566"/>
      <c r="N676" s="566"/>
      <c r="O676" s="566"/>
      <c r="P676" s="566"/>
      <c r="Q676" s="566"/>
      <c r="R676" s="566"/>
      <c r="S676" s="566"/>
      <c r="T676" s="566"/>
      <c r="U676" s="566"/>
      <c r="V676" s="566"/>
      <c r="W676" s="566"/>
      <c r="X676" s="566"/>
      <c r="Y676" s="566"/>
    </row>
    <row r="677" spans="2:25" x14ac:dyDescent="0.25">
      <c r="B677" s="566"/>
      <c r="C677" s="566"/>
      <c r="D677" s="566"/>
      <c r="E677" s="566"/>
      <c r="F677" s="566"/>
      <c r="G677" s="566"/>
      <c r="H677" s="566"/>
      <c r="I677" s="566"/>
      <c r="J677" s="566"/>
      <c r="K677" s="566"/>
      <c r="L677" s="566"/>
      <c r="M677" s="566"/>
      <c r="N677" s="566"/>
      <c r="O677" s="566"/>
      <c r="P677" s="566"/>
      <c r="Q677" s="566"/>
      <c r="R677" s="566"/>
      <c r="S677" s="566"/>
      <c r="T677" s="566"/>
      <c r="U677" s="566"/>
      <c r="V677" s="566"/>
      <c r="W677" s="566"/>
      <c r="X677" s="566"/>
      <c r="Y677" s="566"/>
    </row>
    <row r="678" spans="2:25" x14ac:dyDescent="0.25">
      <c r="B678" s="566"/>
      <c r="C678" s="566"/>
      <c r="D678" s="566"/>
      <c r="E678" s="566"/>
      <c r="F678" s="566"/>
      <c r="G678" s="566"/>
      <c r="H678" s="566"/>
      <c r="I678" s="566"/>
      <c r="J678" s="566"/>
      <c r="K678" s="566"/>
      <c r="L678" s="566"/>
      <c r="M678" s="566"/>
      <c r="N678" s="566"/>
      <c r="O678" s="566"/>
      <c r="P678" s="566"/>
      <c r="Q678" s="566"/>
      <c r="R678" s="566"/>
      <c r="S678" s="566"/>
      <c r="T678" s="566"/>
      <c r="U678" s="566"/>
      <c r="V678" s="566"/>
      <c r="W678" s="566"/>
      <c r="X678" s="566"/>
      <c r="Y678" s="566"/>
    </row>
    <row r="679" spans="2:25" x14ac:dyDescent="0.25">
      <c r="B679" s="566"/>
      <c r="C679" s="566"/>
      <c r="D679" s="566"/>
      <c r="E679" s="566"/>
      <c r="F679" s="566"/>
      <c r="G679" s="566"/>
      <c r="H679" s="566"/>
      <c r="I679" s="566"/>
      <c r="J679" s="566"/>
      <c r="K679" s="566"/>
      <c r="L679" s="566"/>
      <c r="M679" s="566"/>
      <c r="N679" s="566"/>
      <c r="O679" s="566"/>
      <c r="P679" s="566"/>
      <c r="Q679" s="566"/>
      <c r="R679" s="566"/>
      <c r="S679" s="566"/>
      <c r="T679" s="566"/>
      <c r="U679" s="566"/>
      <c r="V679" s="566"/>
      <c r="W679" s="566"/>
      <c r="X679" s="566"/>
      <c r="Y679" s="566"/>
    </row>
    <row r="680" spans="2:25" x14ac:dyDescent="0.25">
      <c r="B680" s="566"/>
      <c r="C680" s="566"/>
      <c r="D680" s="566"/>
      <c r="E680" s="566"/>
      <c r="F680" s="566"/>
      <c r="G680" s="566"/>
      <c r="H680" s="566"/>
      <c r="I680" s="566"/>
      <c r="J680" s="566"/>
      <c r="K680" s="566"/>
      <c r="L680" s="566"/>
      <c r="M680" s="566"/>
      <c r="N680" s="566"/>
      <c r="O680" s="566"/>
      <c r="P680" s="566"/>
      <c r="Q680" s="566"/>
      <c r="R680" s="566"/>
      <c r="S680" s="566"/>
      <c r="T680" s="566"/>
      <c r="U680" s="566"/>
      <c r="V680" s="566"/>
      <c r="W680" s="566"/>
      <c r="X680" s="566"/>
      <c r="Y680" s="566"/>
    </row>
    <row r="681" spans="2:25" x14ac:dyDescent="0.25">
      <c r="B681" s="566"/>
      <c r="C681" s="566"/>
      <c r="D681" s="566"/>
      <c r="E681" s="566"/>
      <c r="F681" s="566"/>
      <c r="G681" s="566"/>
      <c r="H681" s="566"/>
      <c r="I681" s="566"/>
      <c r="J681" s="566"/>
      <c r="K681" s="566"/>
      <c r="L681" s="566"/>
      <c r="M681" s="566"/>
      <c r="N681" s="566"/>
      <c r="O681" s="566"/>
      <c r="P681" s="566"/>
      <c r="Q681" s="566"/>
      <c r="R681" s="566"/>
      <c r="S681" s="566"/>
      <c r="T681" s="566"/>
      <c r="U681" s="566"/>
      <c r="V681" s="566"/>
      <c r="W681" s="566"/>
      <c r="X681" s="566"/>
      <c r="Y681" s="566"/>
    </row>
    <row r="682" spans="2:25" x14ac:dyDescent="0.25">
      <c r="B682" s="566"/>
      <c r="C682" s="566"/>
      <c r="D682" s="566"/>
      <c r="E682" s="566"/>
      <c r="F682" s="566"/>
      <c r="G682" s="566"/>
      <c r="H682" s="566"/>
      <c r="I682" s="566"/>
      <c r="J682" s="566"/>
      <c r="K682" s="566"/>
      <c r="L682" s="566"/>
      <c r="M682" s="566"/>
      <c r="N682" s="566"/>
      <c r="O682" s="566"/>
      <c r="P682" s="566"/>
      <c r="Q682" s="566"/>
      <c r="R682" s="566"/>
      <c r="S682" s="566"/>
      <c r="T682" s="566"/>
      <c r="U682" s="566"/>
      <c r="V682" s="566"/>
      <c r="W682" s="566"/>
      <c r="X682" s="566"/>
      <c r="Y682" s="566"/>
    </row>
    <row r="683" spans="2:25" x14ac:dyDescent="0.25">
      <c r="B683" s="566"/>
      <c r="C683" s="566"/>
      <c r="D683" s="566"/>
      <c r="E683" s="566"/>
      <c r="F683" s="566"/>
      <c r="G683" s="566"/>
      <c r="H683" s="566"/>
      <c r="I683" s="566"/>
      <c r="J683" s="566"/>
      <c r="K683" s="566"/>
      <c r="L683" s="566"/>
      <c r="M683" s="566"/>
      <c r="N683" s="566"/>
      <c r="O683" s="566"/>
      <c r="P683" s="566"/>
      <c r="Q683" s="566"/>
      <c r="R683" s="566"/>
      <c r="S683" s="566"/>
      <c r="T683" s="566"/>
      <c r="U683" s="566"/>
      <c r="V683" s="566"/>
      <c r="W683" s="566"/>
      <c r="X683" s="566"/>
      <c r="Y683" s="566"/>
    </row>
    <row r="684" spans="2:25" x14ac:dyDescent="0.25">
      <c r="B684" s="566"/>
      <c r="C684" s="566"/>
      <c r="D684" s="566"/>
      <c r="E684" s="566"/>
      <c r="F684" s="566"/>
      <c r="G684" s="566"/>
      <c r="H684" s="566"/>
      <c r="I684" s="566"/>
      <c r="J684" s="566"/>
      <c r="K684" s="566"/>
      <c r="L684" s="566"/>
      <c r="M684" s="566"/>
      <c r="N684" s="566"/>
      <c r="O684" s="566"/>
      <c r="P684" s="566"/>
      <c r="Q684" s="566"/>
      <c r="R684" s="566"/>
      <c r="S684" s="566"/>
      <c r="T684" s="566"/>
      <c r="U684" s="566"/>
      <c r="V684" s="566"/>
      <c r="W684" s="566"/>
      <c r="X684" s="566"/>
      <c r="Y684" s="566"/>
    </row>
    <row r="685" spans="2:25" x14ac:dyDescent="0.25">
      <c r="B685" s="566"/>
      <c r="C685" s="566"/>
      <c r="D685" s="566"/>
      <c r="E685" s="566"/>
      <c r="F685" s="566"/>
      <c r="G685" s="566"/>
      <c r="H685" s="566"/>
      <c r="I685" s="566"/>
      <c r="J685" s="566"/>
      <c r="K685" s="566"/>
      <c r="L685" s="566"/>
      <c r="M685" s="566"/>
      <c r="N685" s="566"/>
      <c r="O685" s="566"/>
      <c r="P685" s="566"/>
      <c r="Q685" s="566"/>
      <c r="R685" s="566"/>
      <c r="S685" s="566"/>
      <c r="T685" s="566"/>
      <c r="U685" s="566"/>
      <c r="V685" s="566"/>
      <c r="W685" s="566"/>
      <c r="X685" s="566"/>
      <c r="Y685" s="566"/>
    </row>
    <row r="686" spans="2:25" x14ac:dyDescent="0.25">
      <c r="B686" s="566"/>
      <c r="C686" s="566"/>
      <c r="D686" s="566"/>
      <c r="E686" s="566"/>
      <c r="F686" s="566"/>
      <c r="G686" s="566"/>
      <c r="H686" s="566"/>
      <c r="I686" s="566"/>
      <c r="J686" s="566"/>
      <c r="K686" s="566"/>
      <c r="L686" s="566"/>
      <c r="M686" s="566"/>
      <c r="N686" s="566"/>
      <c r="O686" s="566"/>
      <c r="P686" s="566"/>
      <c r="Q686" s="566"/>
      <c r="R686" s="566"/>
      <c r="S686" s="566"/>
      <c r="T686" s="566"/>
      <c r="U686" s="566"/>
      <c r="V686" s="566"/>
      <c r="W686" s="566"/>
      <c r="X686" s="566"/>
      <c r="Y686" s="566"/>
    </row>
    <row r="687" spans="2:25" x14ac:dyDescent="0.25">
      <c r="B687" s="566"/>
      <c r="C687" s="566"/>
      <c r="D687" s="566"/>
      <c r="E687" s="566"/>
      <c r="F687" s="566"/>
      <c r="G687" s="566"/>
      <c r="H687" s="566"/>
      <c r="I687" s="566"/>
      <c r="J687" s="566"/>
      <c r="K687" s="566"/>
      <c r="L687" s="566"/>
      <c r="M687" s="566"/>
      <c r="N687" s="566"/>
      <c r="O687" s="566"/>
      <c r="P687" s="566"/>
      <c r="Q687" s="566"/>
      <c r="R687" s="566"/>
      <c r="S687" s="566"/>
      <c r="T687" s="566"/>
      <c r="U687" s="566"/>
      <c r="V687" s="566"/>
      <c r="W687" s="566"/>
      <c r="X687" s="566"/>
      <c r="Y687" s="566"/>
    </row>
    <row r="688" spans="2:25" x14ac:dyDescent="0.25">
      <c r="B688" s="566"/>
      <c r="C688" s="566"/>
      <c r="D688" s="566"/>
      <c r="E688" s="566"/>
      <c r="F688" s="566"/>
      <c r="G688" s="566"/>
      <c r="H688" s="566"/>
      <c r="I688" s="566"/>
      <c r="J688" s="566"/>
      <c r="K688" s="566"/>
      <c r="L688" s="566"/>
      <c r="M688" s="566"/>
      <c r="N688" s="566"/>
      <c r="O688" s="566"/>
      <c r="P688" s="566"/>
      <c r="Q688" s="566"/>
      <c r="R688" s="566"/>
      <c r="S688" s="566"/>
      <c r="T688" s="566"/>
      <c r="U688" s="566"/>
      <c r="V688" s="566"/>
      <c r="W688" s="566"/>
      <c r="X688" s="566"/>
      <c r="Y688" s="566"/>
    </row>
    <row r="689" spans="2:25" x14ac:dyDescent="0.25">
      <c r="B689" s="566"/>
      <c r="C689" s="566"/>
      <c r="D689" s="566"/>
      <c r="E689" s="566"/>
      <c r="F689" s="566"/>
      <c r="G689" s="566"/>
      <c r="H689" s="566"/>
      <c r="I689" s="566"/>
      <c r="J689" s="566"/>
      <c r="K689" s="566"/>
      <c r="L689" s="566"/>
      <c r="M689" s="566"/>
      <c r="N689" s="566"/>
      <c r="O689" s="566"/>
      <c r="P689" s="566"/>
      <c r="Q689" s="566"/>
      <c r="R689" s="566"/>
      <c r="S689" s="566"/>
      <c r="T689" s="566"/>
      <c r="U689" s="566"/>
      <c r="V689" s="566"/>
      <c r="W689" s="566"/>
      <c r="X689" s="566"/>
      <c r="Y689" s="566"/>
    </row>
    <row r="690" spans="2:25" x14ac:dyDescent="0.25">
      <c r="B690" s="566"/>
      <c r="C690" s="566"/>
      <c r="D690" s="566"/>
      <c r="E690" s="566"/>
      <c r="F690" s="566"/>
      <c r="G690" s="566"/>
      <c r="H690" s="566"/>
      <c r="I690" s="566"/>
      <c r="J690" s="566"/>
      <c r="K690" s="566"/>
      <c r="L690" s="566"/>
      <c r="M690" s="566"/>
      <c r="N690" s="566"/>
      <c r="O690" s="566"/>
      <c r="P690" s="566"/>
      <c r="Q690" s="566"/>
      <c r="R690" s="566"/>
      <c r="S690" s="566"/>
      <c r="T690" s="566"/>
      <c r="U690" s="566"/>
      <c r="V690" s="566"/>
      <c r="W690" s="566"/>
      <c r="X690" s="566"/>
      <c r="Y690" s="566"/>
    </row>
    <row r="691" spans="2:25" x14ac:dyDescent="0.25">
      <c r="B691" s="566"/>
      <c r="C691" s="566"/>
      <c r="D691" s="566"/>
      <c r="E691" s="566"/>
      <c r="F691" s="566"/>
      <c r="G691" s="566"/>
      <c r="H691" s="566"/>
      <c r="I691" s="566"/>
      <c r="J691" s="566"/>
      <c r="K691" s="566"/>
      <c r="L691" s="566"/>
      <c r="M691" s="566"/>
      <c r="N691" s="566"/>
      <c r="O691" s="566"/>
      <c r="P691" s="566"/>
      <c r="Q691" s="566"/>
      <c r="R691" s="566"/>
      <c r="S691" s="566"/>
      <c r="T691" s="566"/>
      <c r="U691" s="566"/>
      <c r="V691" s="566"/>
      <c r="W691" s="566"/>
      <c r="X691" s="566"/>
      <c r="Y691" s="566"/>
    </row>
    <row r="692" spans="2:25" x14ac:dyDescent="0.25">
      <c r="B692" s="566"/>
      <c r="C692" s="566"/>
      <c r="D692" s="566"/>
      <c r="E692" s="566"/>
      <c r="F692" s="566"/>
      <c r="G692" s="566"/>
      <c r="H692" s="566"/>
      <c r="I692" s="566"/>
      <c r="J692" s="566"/>
      <c r="K692" s="566"/>
      <c r="L692" s="566"/>
      <c r="M692" s="566"/>
      <c r="N692" s="566"/>
      <c r="O692" s="566"/>
      <c r="P692" s="566"/>
      <c r="Q692" s="566"/>
      <c r="R692" s="566"/>
      <c r="S692" s="566"/>
      <c r="T692" s="566"/>
      <c r="U692" s="566"/>
      <c r="V692" s="566"/>
      <c r="W692" s="566"/>
      <c r="X692" s="566"/>
      <c r="Y692" s="566"/>
    </row>
    <row r="693" spans="2:25" x14ac:dyDescent="0.25">
      <c r="B693" s="566"/>
      <c r="C693" s="566"/>
      <c r="D693" s="566"/>
      <c r="E693" s="566"/>
      <c r="F693" s="566"/>
      <c r="G693" s="566"/>
      <c r="H693" s="566"/>
      <c r="I693" s="566"/>
      <c r="J693" s="566"/>
      <c r="K693" s="566"/>
      <c r="L693" s="566"/>
      <c r="M693" s="566"/>
      <c r="N693" s="566"/>
      <c r="O693" s="566"/>
      <c r="P693" s="566"/>
      <c r="Q693" s="566"/>
      <c r="R693" s="566"/>
      <c r="S693" s="566"/>
      <c r="T693" s="566"/>
      <c r="U693" s="566"/>
      <c r="V693" s="566"/>
      <c r="W693" s="566"/>
      <c r="X693" s="566"/>
      <c r="Y693" s="566"/>
    </row>
    <row r="694" spans="2:25" x14ac:dyDescent="0.25">
      <c r="B694" s="566"/>
      <c r="C694" s="566"/>
      <c r="D694" s="566"/>
      <c r="E694" s="566"/>
      <c r="F694" s="566"/>
      <c r="G694" s="566"/>
      <c r="H694" s="566"/>
      <c r="I694" s="566"/>
      <c r="J694" s="566"/>
      <c r="K694" s="566"/>
      <c r="L694" s="566"/>
      <c r="M694" s="566"/>
      <c r="N694" s="566"/>
      <c r="O694" s="566"/>
      <c r="P694" s="566"/>
      <c r="Q694" s="566"/>
      <c r="R694" s="566"/>
      <c r="S694" s="566"/>
      <c r="T694" s="566"/>
      <c r="U694" s="566"/>
      <c r="V694" s="566"/>
      <c r="W694" s="566"/>
      <c r="X694" s="566"/>
      <c r="Y694" s="566"/>
    </row>
    <row r="695" spans="2:25" x14ac:dyDescent="0.25">
      <c r="B695" s="566"/>
      <c r="C695" s="566"/>
      <c r="D695" s="566"/>
      <c r="E695" s="566"/>
      <c r="F695" s="566"/>
      <c r="G695" s="566"/>
      <c r="H695" s="566"/>
      <c r="I695" s="566"/>
      <c r="J695" s="566"/>
      <c r="K695" s="566"/>
      <c r="L695" s="566"/>
      <c r="M695" s="566"/>
      <c r="N695" s="566"/>
      <c r="O695" s="566"/>
      <c r="P695" s="566"/>
      <c r="Q695" s="566"/>
      <c r="R695" s="566"/>
      <c r="S695" s="566"/>
      <c r="T695" s="566"/>
      <c r="U695" s="566"/>
      <c r="V695" s="566"/>
      <c r="W695" s="566"/>
      <c r="X695" s="566"/>
      <c r="Y695" s="566"/>
    </row>
    <row r="696" spans="2:25" x14ac:dyDescent="0.25">
      <c r="B696" s="566"/>
      <c r="C696" s="566"/>
      <c r="D696" s="566"/>
      <c r="E696" s="566"/>
      <c r="F696" s="566"/>
      <c r="G696" s="566"/>
      <c r="H696" s="566"/>
      <c r="I696" s="566"/>
      <c r="J696" s="566"/>
      <c r="K696" s="566"/>
      <c r="L696" s="566"/>
      <c r="M696" s="566"/>
      <c r="N696" s="566"/>
      <c r="O696" s="566"/>
      <c r="P696" s="566"/>
      <c r="Q696" s="566"/>
      <c r="R696" s="566"/>
      <c r="S696" s="566"/>
      <c r="T696" s="566"/>
      <c r="U696" s="566"/>
      <c r="V696" s="566"/>
      <c r="W696" s="566"/>
      <c r="X696" s="566"/>
      <c r="Y696" s="566"/>
    </row>
    <row r="697" spans="2:25" x14ac:dyDescent="0.25">
      <c r="B697" s="566"/>
      <c r="C697" s="566"/>
      <c r="D697" s="566"/>
      <c r="E697" s="566"/>
      <c r="F697" s="566"/>
      <c r="G697" s="566"/>
      <c r="H697" s="566"/>
      <c r="I697" s="566"/>
      <c r="J697" s="566"/>
      <c r="K697" s="566"/>
      <c r="L697" s="566"/>
      <c r="M697" s="566"/>
      <c r="N697" s="566"/>
      <c r="O697" s="566"/>
      <c r="P697" s="566"/>
      <c r="Q697" s="566"/>
      <c r="R697" s="566"/>
      <c r="S697" s="566"/>
      <c r="T697" s="566"/>
      <c r="U697" s="566"/>
      <c r="V697" s="566"/>
      <c r="W697" s="566"/>
      <c r="X697" s="566"/>
      <c r="Y697" s="566"/>
    </row>
    <row r="698" spans="2:25" x14ac:dyDescent="0.25">
      <c r="B698" s="566"/>
      <c r="C698" s="566"/>
      <c r="D698" s="566"/>
      <c r="E698" s="566"/>
      <c r="F698" s="566"/>
      <c r="G698" s="566"/>
      <c r="H698" s="566"/>
      <c r="I698" s="566"/>
      <c r="J698" s="566"/>
      <c r="K698" s="566"/>
      <c r="L698" s="566"/>
      <c r="M698" s="566"/>
      <c r="N698" s="566"/>
      <c r="O698" s="566"/>
      <c r="P698" s="566"/>
      <c r="Q698" s="566"/>
      <c r="R698" s="566"/>
      <c r="S698" s="566"/>
      <c r="T698" s="566"/>
      <c r="U698" s="566"/>
      <c r="V698" s="566"/>
      <c r="W698" s="566"/>
      <c r="X698" s="566"/>
      <c r="Y698" s="566"/>
    </row>
    <row r="699" spans="2:25" x14ac:dyDescent="0.25">
      <c r="B699" s="566"/>
      <c r="C699" s="566"/>
      <c r="D699" s="566"/>
      <c r="E699" s="566"/>
      <c r="F699" s="566"/>
      <c r="G699" s="566"/>
      <c r="H699" s="566"/>
      <c r="I699" s="566"/>
      <c r="J699" s="566"/>
      <c r="K699" s="566"/>
      <c r="L699" s="566"/>
      <c r="M699" s="566"/>
      <c r="N699" s="566"/>
      <c r="O699" s="566"/>
      <c r="P699" s="566"/>
      <c r="Q699" s="566"/>
      <c r="R699" s="566"/>
      <c r="S699" s="566"/>
      <c r="T699" s="566"/>
      <c r="U699" s="566"/>
      <c r="V699" s="566"/>
      <c r="W699" s="566"/>
      <c r="X699" s="566"/>
      <c r="Y699" s="566"/>
    </row>
    <row r="700" spans="2:25" x14ac:dyDescent="0.25">
      <c r="B700" s="566"/>
      <c r="C700" s="566"/>
      <c r="D700" s="566"/>
      <c r="E700" s="566"/>
      <c r="F700" s="566"/>
      <c r="G700" s="566"/>
      <c r="H700" s="566"/>
      <c r="I700" s="566"/>
      <c r="J700" s="566"/>
      <c r="K700" s="566"/>
      <c r="L700" s="566"/>
      <c r="M700" s="566"/>
      <c r="N700" s="566"/>
      <c r="O700" s="566"/>
      <c r="P700" s="566"/>
      <c r="Q700" s="566"/>
      <c r="R700" s="566"/>
      <c r="S700" s="566"/>
      <c r="T700" s="566"/>
      <c r="U700" s="566"/>
      <c r="V700" s="566"/>
      <c r="W700" s="566"/>
      <c r="X700" s="566"/>
      <c r="Y700" s="566"/>
    </row>
    <row r="701" spans="2:25" x14ac:dyDescent="0.25">
      <c r="B701" s="566"/>
      <c r="C701" s="566"/>
      <c r="D701" s="566"/>
      <c r="E701" s="566"/>
      <c r="F701" s="566"/>
      <c r="G701" s="566"/>
      <c r="H701" s="566"/>
      <c r="I701" s="566"/>
      <c r="J701" s="566"/>
      <c r="K701" s="566"/>
      <c r="L701" s="566"/>
      <c r="M701" s="566"/>
      <c r="N701" s="566"/>
      <c r="O701" s="566"/>
      <c r="P701" s="566"/>
      <c r="Q701" s="566"/>
      <c r="R701" s="566"/>
      <c r="S701" s="566"/>
      <c r="T701" s="566"/>
      <c r="U701" s="566"/>
      <c r="V701" s="566"/>
      <c r="W701" s="566"/>
      <c r="X701" s="566"/>
      <c r="Y701" s="566"/>
    </row>
    <row r="702" spans="2:25" x14ac:dyDescent="0.25">
      <c r="B702" s="566"/>
      <c r="C702" s="566"/>
      <c r="D702" s="566"/>
      <c r="E702" s="566"/>
      <c r="F702" s="566"/>
      <c r="G702" s="566"/>
      <c r="H702" s="566"/>
      <c r="I702" s="566"/>
      <c r="J702" s="566"/>
      <c r="K702" s="566"/>
      <c r="L702" s="566"/>
      <c r="M702" s="566"/>
      <c r="N702" s="566"/>
      <c r="O702" s="566"/>
      <c r="P702" s="566"/>
      <c r="Q702" s="566"/>
      <c r="R702" s="566"/>
      <c r="S702" s="566"/>
      <c r="T702" s="566"/>
      <c r="U702" s="566"/>
      <c r="V702" s="566"/>
      <c r="W702" s="566"/>
      <c r="X702" s="566"/>
      <c r="Y702" s="566"/>
    </row>
    <row r="703" spans="2:25" x14ac:dyDescent="0.25">
      <c r="B703" s="566"/>
      <c r="C703" s="566"/>
      <c r="D703" s="566"/>
      <c r="E703" s="566"/>
      <c r="F703" s="566"/>
      <c r="G703" s="566"/>
      <c r="H703" s="566"/>
      <c r="I703" s="566"/>
      <c r="J703" s="566"/>
      <c r="K703" s="566"/>
      <c r="L703" s="566"/>
      <c r="M703" s="566"/>
      <c r="N703" s="566"/>
      <c r="O703" s="566"/>
      <c r="P703" s="566"/>
      <c r="Q703" s="566"/>
      <c r="R703" s="566"/>
      <c r="S703" s="566"/>
      <c r="T703" s="566"/>
      <c r="U703" s="566"/>
      <c r="V703" s="566"/>
      <c r="W703" s="566"/>
      <c r="X703" s="566"/>
      <c r="Y703" s="566"/>
    </row>
    <row r="704" spans="2:25" x14ac:dyDescent="0.25">
      <c r="B704" s="566"/>
      <c r="C704" s="566"/>
      <c r="D704" s="566"/>
      <c r="E704" s="566"/>
      <c r="F704" s="566"/>
      <c r="G704" s="566"/>
      <c r="H704" s="566"/>
      <c r="I704" s="566"/>
      <c r="J704" s="566"/>
      <c r="K704" s="566"/>
      <c r="L704" s="566"/>
      <c r="M704" s="566"/>
      <c r="N704" s="566"/>
      <c r="O704" s="566"/>
      <c r="P704" s="566"/>
      <c r="Q704" s="566"/>
      <c r="R704" s="566"/>
      <c r="S704" s="566"/>
      <c r="T704" s="566"/>
      <c r="U704" s="566"/>
      <c r="V704" s="566"/>
      <c r="W704" s="566"/>
      <c r="X704" s="566"/>
      <c r="Y704" s="566"/>
    </row>
    <row r="705" spans="2:25" x14ac:dyDescent="0.25">
      <c r="B705" s="566"/>
      <c r="C705" s="566"/>
      <c r="D705" s="566"/>
      <c r="E705" s="566"/>
      <c r="F705" s="566"/>
      <c r="G705" s="566"/>
      <c r="H705" s="566"/>
      <c r="I705" s="566"/>
      <c r="J705" s="566"/>
      <c r="K705" s="566"/>
      <c r="L705" s="566"/>
      <c r="M705" s="566"/>
      <c r="N705" s="566"/>
      <c r="O705" s="566"/>
      <c r="P705" s="566"/>
      <c r="Q705" s="566"/>
      <c r="R705" s="566"/>
      <c r="S705" s="566"/>
      <c r="T705" s="566"/>
      <c r="U705" s="566"/>
      <c r="V705" s="566"/>
      <c r="W705" s="566"/>
      <c r="X705" s="566"/>
      <c r="Y705" s="566"/>
    </row>
    <row r="706" spans="2:25" x14ac:dyDescent="0.25">
      <c r="B706" s="566"/>
      <c r="C706" s="566"/>
      <c r="D706" s="566"/>
      <c r="E706" s="566"/>
      <c r="F706" s="566"/>
      <c r="G706" s="566"/>
      <c r="H706" s="566"/>
      <c r="I706" s="566"/>
      <c r="J706" s="566"/>
      <c r="K706" s="566"/>
      <c r="L706" s="566"/>
      <c r="M706" s="566"/>
      <c r="N706" s="566"/>
      <c r="O706" s="566"/>
      <c r="P706" s="566"/>
      <c r="Q706" s="566"/>
      <c r="R706" s="566"/>
      <c r="S706" s="566"/>
      <c r="T706" s="566"/>
      <c r="U706" s="566"/>
      <c r="V706" s="566"/>
      <c r="W706" s="566"/>
      <c r="X706" s="566"/>
      <c r="Y706" s="566"/>
    </row>
    <row r="707" spans="2:25" x14ac:dyDescent="0.25">
      <c r="B707" s="566"/>
      <c r="C707" s="566"/>
      <c r="D707" s="566"/>
      <c r="E707" s="566"/>
      <c r="F707" s="566"/>
      <c r="G707" s="566"/>
      <c r="H707" s="566"/>
      <c r="I707" s="566"/>
      <c r="J707" s="566"/>
      <c r="K707" s="566"/>
      <c r="L707" s="566"/>
      <c r="M707" s="566"/>
      <c r="N707" s="566"/>
      <c r="O707" s="566"/>
      <c r="P707" s="566"/>
      <c r="Q707" s="566"/>
      <c r="R707" s="566"/>
      <c r="S707" s="566"/>
      <c r="T707" s="566"/>
      <c r="U707" s="566"/>
      <c r="V707" s="566"/>
      <c r="W707" s="566"/>
      <c r="X707" s="566"/>
      <c r="Y707" s="566"/>
    </row>
    <row r="708" spans="2:25" x14ac:dyDescent="0.25">
      <c r="B708" s="566"/>
      <c r="C708" s="566"/>
      <c r="D708" s="566"/>
      <c r="E708" s="566"/>
      <c r="F708" s="566"/>
      <c r="G708" s="566"/>
      <c r="H708" s="566"/>
      <c r="I708" s="566"/>
      <c r="J708" s="566"/>
      <c r="K708" s="566"/>
      <c r="L708" s="566"/>
      <c r="M708" s="566"/>
      <c r="N708" s="566"/>
      <c r="O708" s="566"/>
      <c r="P708" s="566"/>
      <c r="Q708" s="566"/>
      <c r="R708" s="566"/>
      <c r="S708" s="566"/>
      <c r="T708" s="566"/>
      <c r="U708" s="566"/>
      <c r="V708" s="566"/>
      <c r="W708" s="566"/>
      <c r="X708" s="566"/>
      <c r="Y708" s="566"/>
    </row>
    <row r="709" spans="2:25" x14ac:dyDescent="0.25">
      <c r="B709" s="566"/>
      <c r="C709" s="566"/>
      <c r="D709" s="566"/>
      <c r="E709" s="566"/>
      <c r="F709" s="566"/>
      <c r="G709" s="566"/>
      <c r="H709" s="566"/>
      <c r="I709" s="566"/>
      <c r="J709" s="566"/>
      <c r="K709" s="566"/>
      <c r="L709" s="566"/>
      <c r="M709" s="566"/>
      <c r="N709" s="566"/>
      <c r="O709" s="566"/>
      <c r="P709" s="566"/>
      <c r="Q709" s="566"/>
      <c r="R709" s="566"/>
      <c r="S709" s="566"/>
      <c r="T709" s="566"/>
      <c r="U709" s="566"/>
      <c r="V709" s="566"/>
      <c r="W709" s="566"/>
      <c r="X709" s="566"/>
      <c r="Y709" s="566"/>
    </row>
    <row r="710" spans="2:25" x14ac:dyDescent="0.25">
      <c r="B710" s="566"/>
      <c r="C710" s="566"/>
      <c r="D710" s="566"/>
      <c r="E710" s="566"/>
      <c r="F710" s="566"/>
      <c r="G710" s="566"/>
      <c r="H710" s="566"/>
      <c r="I710" s="566"/>
      <c r="J710" s="566"/>
      <c r="K710" s="566"/>
      <c r="L710" s="566"/>
      <c r="M710" s="566"/>
      <c r="N710" s="566"/>
      <c r="O710" s="566"/>
      <c r="P710" s="566"/>
      <c r="Q710" s="566"/>
      <c r="R710" s="566"/>
      <c r="S710" s="566"/>
      <c r="T710" s="566"/>
      <c r="U710" s="566"/>
      <c r="V710" s="566"/>
      <c r="W710" s="566"/>
      <c r="X710" s="566"/>
      <c r="Y710" s="566"/>
    </row>
    <row r="711" spans="2:25" x14ac:dyDescent="0.25">
      <c r="B711" s="566"/>
      <c r="C711" s="566"/>
      <c r="D711" s="566"/>
      <c r="E711" s="566"/>
      <c r="F711" s="566"/>
      <c r="G711" s="566"/>
      <c r="H711" s="566"/>
      <c r="I711" s="566"/>
      <c r="J711" s="566"/>
      <c r="K711" s="566"/>
      <c r="L711" s="566"/>
      <c r="M711" s="566"/>
      <c r="N711" s="566"/>
      <c r="O711" s="566"/>
      <c r="P711" s="566"/>
      <c r="Q711" s="566"/>
      <c r="R711" s="566"/>
      <c r="S711" s="566"/>
      <c r="T711" s="566"/>
      <c r="U711" s="566"/>
      <c r="V711" s="566"/>
      <c r="W711" s="566"/>
      <c r="X711" s="566"/>
      <c r="Y711" s="566"/>
    </row>
    <row r="712" spans="2:25" x14ac:dyDescent="0.25">
      <c r="B712" s="566"/>
      <c r="C712" s="566"/>
      <c r="D712" s="566"/>
      <c r="E712" s="566"/>
      <c r="F712" s="566"/>
      <c r="G712" s="566"/>
      <c r="H712" s="566"/>
      <c r="I712" s="566"/>
      <c r="J712" s="566"/>
      <c r="K712" s="566"/>
      <c r="L712" s="566"/>
      <c r="M712" s="566"/>
      <c r="N712" s="566"/>
      <c r="O712" s="566"/>
      <c r="P712" s="566"/>
      <c r="Q712" s="566"/>
      <c r="R712" s="566"/>
      <c r="S712" s="566"/>
      <c r="T712" s="566"/>
      <c r="U712" s="566"/>
      <c r="V712" s="566"/>
      <c r="W712" s="566"/>
      <c r="X712" s="566"/>
      <c r="Y712" s="566"/>
    </row>
    <row r="713" spans="2:25" x14ac:dyDescent="0.25">
      <c r="B713" s="566"/>
      <c r="C713" s="566"/>
      <c r="D713" s="566"/>
      <c r="E713" s="566"/>
      <c r="F713" s="566"/>
      <c r="G713" s="566"/>
      <c r="H713" s="566"/>
      <c r="I713" s="566"/>
      <c r="J713" s="566"/>
      <c r="K713" s="566"/>
      <c r="L713" s="566"/>
      <c r="M713" s="566"/>
      <c r="N713" s="566"/>
      <c r="O713" s="566"/>
      <c r="P713" s="566"/>
      <c r="Q713" s="566"/>
      <c r="R713" s="566"/>
      <c r="S713" s="566"/>
      <c r="T713" s="566"/>
      <c r="U713" s="566"/>
      <c r="V713" s="566"/>
      <c r="W713" s="566"/>
      <c r="X713" s="566"/>
      <c r="Y713" s="566"/>
    </row>
    <row r="714" spans="2:25" x14ac:dyDescent="0.25">
      <c r="B714" s="566"/>
      <c r="C714" s="566"/>
      <c r="D714" s="566"/>
      <c r="E714" s="566"/>
      <c r="F714" s="566"/>
      <c r="G714" s="566"/>
      <c r="H714" s="566"/>
      <c r="I714" s="566"/>
      <c r="J714" s="566"/>
      <c r="K714" s="566"/>
      <c r="L714" s="566"/>
      <c r="M714" s="566"/>
      <c r="N714" s="566"/>
      <c r="O714" s="566"/>
      <c r="P714" s="566"/>
      <c r="Q714" s="566"/>
      <c r="R714" s="566"/>
      <c r="S714" s="566"/>
      <c r="T714" s="566"/>
      <c r="U714" s="566"/>
      <c r="V714" s="566"/>
      <c r="W714" s="566"/>
      <c r="X714" s="566"/>
      <c r="Y714" s="566"/>
    </row>
    <row r="715" spans="2:25" x14ac:dyDescent="0.25">
      <c r="B715" s="566"/>
      <c r="C715" s="566"/>
      <c r="D715" s="566"/>
      <c r="E715" s="566"/>
      <c r="F715" s="566"/>
      <c r="G715" s="566"/>
      <c r="H715" s="566"/>
      <c r="I715" s="566"/>
      <c r="J715" s="566"/>
      <c r="K715" s="566"/>
      <c r="L715" s="566"/>
      <c r="M715" s="566"/>
      <c r="N715" s="566"/>
      <c r="O715" s="566"/>
      <c r="P715" s="566"/>
      <c r="Q715" s="566"/>
      <c r="R715" s="566"/>
      <c r="S715" s="566"/>
      <c r="T715" s="566"/>
      <c r="U715" s="566"/>
      <c r="V715" s="566"/>
      <c r="W715" s="566"/>
      <c r="X715" s="566"/>
      <c r="Y715" s="566"/>
    </row>
    <row r="716" spans="2:25" x14ac:dyDescent="0.25">
      <c r="B716" s="566"/>
      <c r="C716" s="566"/>
      <c r="D716" s="566"/>
      <c r="E716" s="566"/>
      <c r="F716" s="566"/>
      <c r="G716" s="566"/>
      <c r="H716" s="566"/>
      <c r="I716" s="566"/>
      <c r="J716" s="566"/>
      <c r="K716" s="566"/>
      <c r="L716" s="566"/>
      <c r="M716" s="566"/>
      <c r="N716" s="566"/>
      <c r="O716" s="566"/>
      <c r="P716" s="566"/>
      <c r="Q716" s="566"/>
      <c r="R716" s="566"/>
      <c r="S716" s="566"/>
      <c r="T716" s="566"/>
      <c r="U716" s="566"/>
      <c r="V716" s="566"/>
      <c r="W716" s="566"/>
      <c r="X716" s="566"/>
      <c r="Y716" s="566"/>
    </row>
    <row r="717" spans="2:25" x14ac:dyDescent="0.25">
      <c r="B717" s="566"/>
      <c r="C717" s="566"/>
      <c r="D717" s="566"/>
      <c r="E717" s="566"/>
      <c r="F717" s="566"/>
      <c r="G717" s="566"/>
      <c r="H717" s="566"/>
      <c r="I717" s="566"/>
      <c r="J717" s="566"/>
      <c r="K717" s="566"/>
      <c r="L717" s="566"/>
      <c r="M717" s="566"/>
      <c r="N717" s="566"/>
      <c r="O717" s="566"/>
      <c r="P717" s="566"/>
      <c r="Q717" s="566"/>
      <c r="R717" s="566"/>
      <c r="S717" s="566"/>
      <c r="T717" s="566"/>
      <c r="U717" s="566"/>
      <c r="V717" s="566"/>
      <c r="W717" s="566"/>
      <c r="X717" s="566"/>
      <c r="Y717" s="566"/>
    </row>
    <row r="718" spans="2:25" x14ac:dyDescent="0.25">
      <c r="B718" s="566"/>
      <c r="C718" s="566"/>
      <c r="D718" s="566"/>
      <c r="E718" s="566"/>
      <c r="F718" s="566"/>
      <c r="G718" s="566"/>
      <c r="H718" s="566"/>
      <c r="I718" s="566"/>
      <c r="J718" s="566"/>
      <c r="K718" s="566"/>
      <c r="L718" s="566"/>
      <c r="M718" s="566"/>
      <c r="N718" s="566"/>
      <c r="O718" s="566"/>
      <c r="P718" s="566"/>
      <c r="Q718" s="566"/>
      <c r="R718" s="566"/>
      <c r="S718" s="566"/>
      <c r="T718" s="566"/>
      <c r="U718" s="566"/>
      <c r="V718" s="566"/>
      <c r="W718" s="566"/>
      <c r="X718" s="566"/>
      <c r="Y718" s="566"/>
    </row>
    <row r="719" spans="2:25" x14ac:dyDescent="0.25">
      <c r="B719" s="566"/>
      <c r="C719" s="566"/>
      <c r="D719" s="566"/>
      <c r="E719" s="566"/>
      <c r="F719" s="566"/>
      <c r="G719" s="566"/>
      <c r="H719" s="566"/>
      <c r="I719" s="566"/>
      <c r="J719" s="566"/>
      <c r="K719" s="566"/>
      <c r="L719" s="566"/>
      <c r="M719" s="566"/>
      <c r="N719" s="566"/>
      <c r="O719" s="566"/>
      <c r="P719" s="566"/>
      <c r="Q719" s="566"/>
      <c r="R719" s="566"/>
      <c r="S719" s="566"/>
      <c r="T719" s="566"/>
      <c r="U719" s="566"/>
      <c r="V719" s="566"/>
      <c r="W719" s="566"/>
      <c r="X719" s="566"/>
      <c r="Y719" s="566"/>
    </row>
    <row r="720" spans="2:25" x14ac:dyDescent="0.25">
      <c r="B720" s="566"/>
      <c r="C720" s="566"/>
      <c r="D720" s="566"/>
      <c r="E720" s="566"/>
      <c r="F720" s="566"/>
      <c r="G720" s="566"/>
      <c r="H720" s="566"/>
      <c r="I720" s="566"/>
      <c r="J720" s="566"/>
      <c r="K720" s="566"/>
      <c r="L720" s="566"/>
      <c r="M720" s="566"/>
      <c r="N720" s="566"/>
      <c r="O720" s="566"/>
      <c r="P720" s="566"/>
      <c r="Q720" s="566"/>
      <c r="R720" s="566"/>
      <c r="S720" s="566"/>
      <c r="T720" s="566"/>
      <c r="U720" s="566"/>
      <c r="V720" s="566"/>
      <c r="W720" s="566"/>
      <c r="X720" s="566"/>
      <c r="Y720" s="566"/>
    </row>
    <row r="721" spans="2:25" x14ac:dyDescent="0.25">
      <c r="B721" s="566"/>
      <c r="C721" s="566"/>
      <c r="D721" s="566"/>
      <c r="E721" s="566"/>
      <c r="F721" s="566"/>
      <c r="G721" s="566"/>
      <c r="H721" s="566"/>
      <c r="I721" s="566"/>
      <c r="J721" s="566"/>
      <c r="K721" s="566"/>
      <c r="L721" s="566"/>
      <c r="M721" s="566"/>
      <c r="N721" s="566"/>
      <c r="O721" s="566"/>
      <c r="P721" s="566"/>
      <c r="Q721" s="566"/>
      <c r="R721" s="566"/>
      <c r="S721" s="566"/>
      <c r="T721" s="566"/>
      <c r="U721" s="566"/>
      <c r="V721" s="566"/>
      <c r="W721" s="566"/>
      <c r="X721" s="566"/>
      <c r="Y721" s="566"/>
    </row>
    <row r="722" spans="2:25" x14ac:dyDescent="0.25">
      <c r="B722" s="566"/>
      <c r="C722" s="566"/>
      <c r="D722" s="566"/>
      <c r="E722" s="566"/>
      <c r="F722" s="566"/>
      <c r="G722" s="566"/>
      <c r="H722" s="566"/>
      <c r="I722" s="566"/>
      <c r="J722" s="566"/>
      <c r="K722" s="566"/>
      <c r="L722" s="566"/>
      <c r="M722" s="566"/>
      <c r="N722" s="566"/>
      <c r="O722" s="566"/>
      <c r="P722" s="566"/>
      <c r="Q722" s="566"/>
      <c r="R722" s="566"/>
      <c r="S722" s="566"/>
      <c r="T722" s="566"/>
      <c r="U722" s="566"/>
      <c r="V722" s="566"/>
      <c r="W722" s="566"/>
      <c r="X722" s="566"/>
      <c r="Y722" s="566"/>
    </row>
    <row r="723" spans="2:25" x14ac:dyDescent="0.25">
      <c r="B723" s="566"/>
      <c r="C723" s="566"/>
      <c r="D723" s="566"/>
      <c r="E723" s="566"/>
      <c r="F723" s="566"/>
      <c r="G723" s="566"/>
      <c r="H723" s="566"/>
      <c r="I723" s="566"/>
      <c r="J723" s="566"/>
      <c r="K723" s="566"/>
      <c r="L723" s="566"/>
      <c r="M723" s="566"/>
      <c r="N723" s="566"/>
      <c r="O723" s="566"/>
      <c r="P723" s="566"/>
      <c r="Q723" s="566"/>
      <c r="R723" s="566"/>
      <c r="S723" s="566"/>
      <c r="T723" s="566"/>
      <c r="U723" s="566"/>
      <c r="V723" s="566"/>
      <c r="W723" s="566"/>
      <c r="X723" s="566"/>
      <c r="Y723" s="566"/>
    </row>
    <row r="724" spans="2:25" x14ac:dyDescent="0.25">
      <c r="B724" s="566"/>
      <c r="C724" s="566"/>
      <c r="D724" s="566"/>
      <c r="E724" s="566"/>
      <c r="F724" s="566"/>
      <c r="G724" s="566"/>
      <c r="H724" s="566"/>
      <c r="I724" s="566"/>
      <c r="J724" s="566"/>
      <c r="K724" s="566"/>
      <c r="L724" s="566"/>
      <c r="M724" s="566"/>
      <c r="N724" s="566"/>
      <c r="O724" s="566"/>
      <c r="P724" s="566"/>
      <c r="Q724" s="566"/>
      <c r="R724" s="566"/>
      <c r="S724" s="566"/>
      <c r="T724" s="566"/>
      <c r="U724" s="566"/>
      <c r="V724" s="566"/>
      <c r="W724" s="566"/>
      <c r="X724" s="566"/>
      <c r="Y724" s="566"/>
    </row>
    <row r="725" spans="2:25" x14ac:dyDescent="0.25">
      <c r="B725" s="566"/>
      <c r="C725" s="566"/>
      <c r="D725" s="566"/>
      <c r="E725" s="566"/>
      <c r="F725" s="566"/>
      <c r="G725" s="566"/>
      <c r="H725" s="566"/>
      <c r="I725" s="566"/>
      <c r="J725" s="566"/>
      <c r="K725" s="566"/>
      <c r="L725" s="566"/>
      <c r="M725" s="566"/>
      <c r="N725" s="566"/>
      <c r="O725" s="566"/>
      <c r="P725" s="566"/>
      <c r="Q725" s="566"/>
      <c r="R725" s="566"/>
      <c r="S725" s="566"/>
      <c r="T725" s="566"/>
      <c r="U725" s="566"/>
      <c r="V725" s="566"/>
      <c r="W725" s="566"/>
      <c r="X725" s="566"/>
      <c r="Y725" s="566"/>
    </row>
    <row r="726" spans="2:25" x14ac:dyDescent="0.25">
      <c r="B726" s="566"/>
      <c r="C726" s="566"/>
      <c r="D726" s="566"/>
      <c r="E726" s="566"/>
      <c r="F726" s="566"/>
      <c r="G726" s="566"/>
      <c r="H726" s="566"/>
      <c r="I726" s="566"/>
      <c r="J726" s="566"/>
      <c r="K726" s="566"/>
      <c r="L726" s="566"/>
      <c r="M726" s="566"/>
      <c r="N726" s="566"/>
      <c r="O726" s="566"/>
      <c r="P726" s="566"/>
      <c r="Q726" s="566"/>
      <c r="R726" s="566"/>
      <c r="S726" s="566"/>
      <c r="T726" s="566"/>
      <c r="U726" s="566"/>
      <c r="V726" s="566"/>
      <c r="W726" s="566"/>
      <c r="X726" s="566"/>
      <c r="Y726" s="566"/>
    </row>
    <row r="727" spans="2:25" x14ac:dyDescent="0.25">
      <c r="B727" s="566"/>
      <c r="C727" s="566"/>
      <c r="D727" s="566"/>
      <c r="E727" s="566"/>
      <c r="F727" s="566"/>
      <c r="G727" s="566"/>
      <c r="H727" s="566"/>
      <c r="I727" s="566"/>
      <c r="J727" s="566"/>
      <c r="K727" s="566"/>
      <c r="L727" s="566"/>
      <c r="M727" s="566"/>
      <c r="N727" s="566"/>
      <c r="O727" s="566"/>
      <c r="P727" s="566"/>
      <c r="Q727" s="566"/>
      <c r="R727" s="566"/>
      <c r="S727" s="566"/>
      <c r="T727" s="566"/>
      <c r="U727" s="566"/>
      <c r="V727" s="566"/>
      <c r="W727" s="566"/>
      <c r="X727" s="566"/>
      <c r="Y727" s="566"/>
    </row>
    <row r="728" spans="2:25" x14ac:dyDescent="0.25">
      <c r="B728" s="566"/>
      <c r="C728" s="566"/>
      <c r="D728" s="566"/>
      <c r="E728" s="566"/>
      <c r="F728" s="566"/>
      <c r="G728" s="566"/>
      <c r="H728" s="566"/>
      <c r="I728" s="566"/>
      <c r="J728" s="566"/>
      <c r="K728" s="566"/>
      <c r="L728" s="566"/>
      <c r="M728" s="566"/>
      <c r="N728" s="566"/>
      <c r="O728" s="566"/>
      <c r="P728" s="566"/>
      <c r="Q728" s="566"/>
      <c r="R728" s="566"/>
      <c r="S728" s="566"/>
      <c r="T728" s="566"/>
      <c r="U728" s="566"/>
      <c r="V728" s="566"/>
      <c r="W728" s="566"/>
      <c r="X728" s="566"/>
      <c r="Y728" s="566"/>
    </row>
    <row r="729" spans="2:25" x14ac:dyDescent="0.25">
      <c r="B729" s="566"/>
      <c r="C729" s="566"/>
      <c r="D729" s="566"/>
      <c r="E729" s="566"/>
      <c r="F729" s="566"/>
      <c r="G729" s="566"/>
      <c r="H729" s="566"/>
      <c r="I729" s="566"/>
      <c r="J729" s="566"/>
      <c r="K729" s="566"/>
      <c r="L729" s="566"/>
      <c r="M729" s="566"/>
      <c r="N729" s="566"/>
      <c r="O729" s="566"/>
      <c r="P729" s="566"/>
      <c r="Q729" s="566"/>
      <c r="R729" s="566"/>
      <c r="S729" s="566"/>
      <c r="T729" s="566"/>
      <c r="U729" s="566"/>
      <c r="V729" s="566"/>
      <c r="W729" s="566"/>
      <c r="X729" s="566"/>
      <c r="Y729" s="566"/>
    </row>
    <row r="730" spans="2:25" x14ac:dyDescent="0.25">
      <c r="B730" s="566"/>
      <c r="C730" s="566"/>
      <c r="D730" s="566"/>
      <c r="E730" s="566"/>
      <c r="F730" s="566"/>
      <c r="G730" s="566"/>
      <c r="H730" s="566"/>
      <c r="I730" s="566"/>
      <c r="J730" s="566"/>
      <c r="K730" s="566"/>
      <c r="L730" s="566"/>
      <c r="M730" s="566"/>
      <c r="N730" s="566"/>
      <c r="O730" s="566"/>
      <c r="P730" s="566"/>
      <c r="Q730" s="566"/>
      <c r="R730" s="566"/>
      <c r="S730" s="566"/>
      <c r="T730" s="566"/>
      <c r="U730" s="566"/>
      <c r="V730" s="566"/>
      <c r="W730" s="566"/>
      <c r="X730" s="566"/>
      <c r="Y730" s="566"/>
    </row>
    <row r="731" spans="2:25" x14ac:dyDescent="0.25">
      <c r="B731" s="566"/>
      <c r="C731" s="566"/>
      <c r="D731" s="566"/>
      <c r="E731" s="566"/>
      <c r="F731" s="566"/>
      <c r="G731" s="566"/>
      <c r="H731" s="566"/>
      <c r="I731" s="566"/>
      <c r="J731" s="566"/>
      <c r="K731" s="566"/>
      <c r="L731" s="566"/>
      <c r="M731" s="566"/>
      <c r="N731" s="566"/>
      <c r="O731" s="566"/>
      <c r="P731" s="566"/>
      <c r="Q731" s="566"/>
      <c r="R731" s="566"/>
      <c r="S731" s="566"/>
      <c r="T731" s="566"/>
      <c r="U731" s="566"/>
      <c r="V731" s="566"/>
      <c r="W731" s="566"/>
      <c r="X731" s="566"/>
      <c r="Y731" s="566"/>
    </row>
    <row r="732" spans="2:25" x14ac:dyDescent="0.25">
      <c r="B732" s="566"/>
      <c r="C732" s="566"/>
      <c r="D732" s="566"/>
      <c r="E732" s="566"/>
      <c r="F732" s="566"/>
      <c r="G732" s="566"/>
      <c r="H732" s="566"/>
      <c r="I732" s="566"/>
      <c r="J732" s="566"/>
      <c r="K732" s="566"/>
      <c r="L732" s="566"/>
      <c r="M732" s="566"/>
      <c r="N732" s="566"/>
      <c r="O732" s="566"/>
      <c r="P732" s="566"/>
      <c r="Q732" s="566"/>
      <c r="R732" s="566"/>
      <c r="S732" s="566"/>
      <c r="T732" s="566"/>
      <c r="U732" s="566"/>
      <c r="V732" s="566"/>
      <c r="W732" s="566"/>
      <c r="X732" s="566"/>
      <c r="Y732" s="566"/>
    </row>
    <row r="733" spans="2:25" x14ac:dyDescent="0.25">
      <c r="B733" s="566"/>
      <c r="C733" s="566"/>
      <c r="D733" s="566"/>
      <c r="E733" s="566"/>
      <c r="F733" s="566"/>
      <c r="G733" s="566"/>
      <c r="H733" s="566"/>
      <c r="I733" s="566"/>
      <c r="J733" s="566"/>
      <c r="K733" s="566"/>
      <c r="L733" s="566"/>
      <c r="M733" s="566"/>
      <c r="N733" s="566"/>
      <c r="O733" s="566"/>
      <c r="P733" s="566"/>
      <c r="Q733" s="566"/>
      <c r="R733" s="566"/>
      <c r="S733" s="566"/>
      <c r="T733" s="566"/>
      <c r="U733" s="566"/>
      <c r="V733" s="566"/>
      <c r="W733" s="566"/>
      <c r="X733" s="566"/>
      <c r="Y733" s="566"/>
    </row>
    <row r="734" spans="2:25" x14ac:dyDescent="0.25">
      <c r="B734" s="566"/>
      <c r="C734" s="566"/>
      <c r="D734" s="566"/>
      <c r="E734" s="566"/>
      <c r="F734" s="566"/>
      <c r="G734" s="566"/>
      <c r="H734" s="566"/>
      <c r="I734" s="566"/>
      <c r="J734" s="566"/>
      <c r="K734" s="566"/>
      <c r="L734" s="566"/>
      <c r="M734" s="566"/>
      <c r="N734" s="566"/>
      <c r="O734" s="566"/>
      <c r="P734" s="566"/>
      <c r="Q734" s="566"/>
      <c r="R734" s="566"/>
      <c r="S734" s="566"/>
      <c r="T734" s="566"/>
      <c r="U734" s="566"/>
      <c r="V734" s="566"/>
      <c r="W734" s="566"/>
      <c r="X734" s="566"/>
      <c r="Y734" s="566"/>
    </row>
    <row r="735" spans="2:25" x14ac:dyDescent="0.25">
      <c r="B735" s="566"/>
      <c r="C735" s="566"/>
      <c r="D735" s="566"/>
      <c r="E735" s="566"/>
      <c r="F735" s="566"/>
      <c r="G735" s="566"/>
      <c r="H735" s="566"/>
      <c r="I735" s="566"/>
      <c r="J735" s="566"/>
      <c r="K735" s="566"/>
      <c r="L735" s="566"/>
      <c r="M735" s="566"/>
      <c r="N735" s="566"/>
      <c r="O735" s="566"/>
      <c r="P735" s="566"/>
      <c r="Q735" s="566"/>
      <c r="R735" s="566"/>
      <c r="S735" s="566"/>
      <c r="T735" s="566"/>
      <c r="U735" s="566"/>
      <c r="V735" s="566"/>
      <c r="W735" s="566"/>
      <c r="X735" s="566"/>
      <c r="Y735" s="566"/>
    </row>
    <row r="736" spans="2:25" x14ac:dyDescent="0.25">
      <c r="B736" s="566"/>
      <c r="C736" s="566"/>
      <c r="D736" s="566"/>
      <c r="E736" s="566"/>
      <c r="F736" s="566"/>
      <c r="G736" s="566"/>
      <c r="H736" s="566"/>
      <c r="I736" s="566"/>
      <c r="J736" s="566"/>
      <c r="K736" s="566"/>
      <c r="L736" s="566"/>
      <c r="M736" s="566"/>
      <c r="N736" s="566"/>
      <c r="O736" s="566"/>
      <c r="P736" s="566"/>
      <c r="Q736" s="566"/>
      <c r="R736" s="566"/>
      <c r="S736" s="566"/>
      <c r="T736" s="566"/>
      <c r="U736" s="566"/>
      <c r="V736" s="566"/>
      <c r="W736" s="566"/>
      <c r="X736" s="566"/>
      <c r="Y736" s="566"/>
    </row>
    <row r="737" spans="2:25" x14ac:dyDescent="0.25">
      <c r="B737" s="566"/>
      <c r="C737" s="566"/>
      <c r="D737" s="566"/>
      <c r="E737" s="566"/>
      <c r="F737" s="566"/>
      <c r="G737" s="566"/>
      <c r="H737" s="566"/>
      <c r="I737" s="566"/>
      <c r="J737" s="566"/>
      <c r="K737" s="566"/>
      <c r="L737" s="566"/>
      <c r="M737" s="566"/>
      <c r="N737" s="566"/>
      <c r="O737" s="566"/>
      <c r="P737" s="566"/>
      <c r="Q737" s="566"/>
      <c r="R737" s="566"/>
      <c r="S737" s="566"/>
      <c r="T737" s="566"/>
      <c r="U737" s="566"/>
      <c r="V737" s="566"/>
      <c r="W737" s="566"/>
      <c r="X737" s="566"/>
      <c r="Y737" s="566"/>
    </row>
    <row r="738" spans="2:25" x14ac:dyDescent="0.25">
      <c r="B738" s="566"/>
      <c r="C738" s="566"/>
      <c r="D738" s="566"/>
      <c r="E738" s="566"/>
      <c r="F738" s="566"/>
      <c r="G738" s="566"/>
      <c r="H738" s="566"/>
      <c r="I738" s="566"/>
      <c r="J738" s="566"/>
      <c r="K738" s="566"/>
      <c r="L738" s="566"/>
      <c r="M738" s="566"/>
      <c r="N738" s="566"/>
      <c r="O738" s="566"/>
      <c r="P738" s="566"/>
      <c r="Q738" s="566"/>
      <c r="R738" s="566"/>
      <c r="S738" s="566"/>
      <c r="T738" s="566"/>
      <c r="U738" s="566"/>
      <c r="V738" s="566"/>
      <c r="W738" s="566"/>
      <c r="X738" s="566"/>
      <c r="Y738" s="566"/>
    </row>
    <row r="739" spans="2:25" x14ac:dyDescent="0.25">
      <c r="B739" s="566"/>
      <c r="C739" s="566"/>
      <c r="D739" s="566"/>
      <c r="E739" s="566"/>
      <c r="F739" s="566"/>
      <c r="G739" s="566"/>
      <c r="H739" s="566"/>
      <c r="I739" s="566"/>
      <c r="J739" s="566"/>
      <c r="K739" s="566"/>
      <c r="L739" s="566"/>
      <c r="M739" s="566"/>
      <c r="N739" s="566"/>
      <c r="O739" s="566"/>
      <c r="P739" s="566"/>
      <c r="Q739" s="566"/>
      <c r="R739" s="566"/>
      <c r="S739" s="566"/>
      <c r="T739" s="566"/>
      <c r="U739" s="566"/>
      <c r="V739" s="566"/>
      <c r="W739" s="566"/>
      <c r="X739" s="566"/>
      <c r="Y739" s="566"/>
    </row>
    <row r="740" spans="2:25" x14ac:dyDescent="0.25">
      <c r="B740" s="566"/>
      <c r="C740" s="566"/>
      <c r="D740" s="566"/>
      <c r="E740" s="566"/>
      <c r="F740" s="566"/>
      <c r="G740" s="566"/>
      <c r="H740" s="566"/>
      <c r="I740" s="566"/>
      <c r="J740" s="566"/>
      <c r="K740" s="566"/>
      <c r="L740" s="566"/>
      <c r="M740" s="566"/>
      <c r="N740" s="566"/>
      <c r="O740" s="566"/>
      <c r="P740" s="566"/>
      <c r="Q740" s="566"/>
      <c r="R740" s="566"/>
      <c r="S740" s="566"/>
      <c r="T740" s="566"/>
      <c r="U740" s="566"/>
      <c r="V740" s="566"/>
      <c r="W740" s="566"/>
      <c r="X740" s="566"/>
      <c r="Y740" s="566"/>
    </row>
    <row r="741" spans="2:25" x14ac:dyDescent="0.25">
      <c r="B741" s="566"/>
      <c r="C741" s="566"/>
      <c r="D741" s="566"/>
      <c r="E741" s="566"/>
      <c r="F741" s="566"/>
      <c r="G741" s="566"/>
      <c r="H741" s="566"/>
      <c r="I741" s="566"/>
      <c r="J741" s="566"/>
      <c r="K741" s="566"/>
      <c r="L741" s="566"/>
      <c r="M741" s="566"/>
      <c r="N741" s="566"/>
      <c r="O741" s="566"/>
      <c r="P741" s="566"/>
      <c r="Q741" s="566"/>
      <c r="R741" s="566"/>
      <c r="S741" s="566"/>
      <c r="T741" s="566"/>
      <c r="U741" s="566"/>
      <c r="V741" s="566"/>
      <c r="W741" s="566"/>
      <c r="X741" s="566"/>
      <c r="Y741" s="566"/>
    </row>
    <row r="742" spans="2:25" x14ac:dyDescent="0.25">
      <c r="B742" s="566"/>
      <c r="C742" s="566"/>
      <c r="D742" s="566"/>
      <c r="E742" s="566"/>
      <c r="F742" s="566"/>
      <c r="G742" s="566"/>
      <c r="H742" s="566"/>
      <c r="I742" s="566"/>
      <c r="J742" s="566"/>
      <c r="K742" s="566"/>
      <c r="L742" s="566"/>
      <c r="M742" s="566"/>
      <c r="N742" s="566"/>
      <c r="O742" s="566"/>
      <c r="P742" s="566"/>
      <c r="Q742" s="566"/>
      <c r="R742" s="566"/>
      <c r="S742" s="566"/>
      <c r="T742" s="566"/>
      <c r="U742" s="566"/>
      <c r="V742" s="566"/>
      <c r="W742" s="566"/>
      <c r="X742" s="566"/>
      <c r="Y742" s="566"/>
    </row>
    <row r="743" spans="2:25" x14ac:dyDescent="0.25">
      <c r="B743" s="566"/>
      <c r="C743" s="566"/>
      <c r="D743" s="566"/>
      <c r="E743" s="566"/>
      <c r="F743" s="566"/>
      <c r="G743" s="566"/>
      <c r="H743" s="566"/>
      <c r="I743" s="566"/>
      <c r="J743" s="566"/>
      <c r="K743" s="566"/>
      <c r="L743" s="566"/>
      <c r="M743" s="566"/>
      <c r="N743" s="566"/>
      <c r="O743" s="566"/>
      <c r="P743" s="566"/>
      <c r="Q743" s="566"/>
      <c r="R743" s="566"/>
      <c r="S743" s="566"/>
      <c r="T743" s="566"/>
      <c r="U743" s="566"/>
      <c r="V743" s="566"/>
      <c r="W743" s="566"/>
      <c r="X743" s="566"/>
      <c r="Y743" s="566"/>
    </row>
    <row r="744" spans="2:25" x14ac:dyDescent="0.25">
      <c r="B744" s="566"/>
      <c r="C744" s="566"/>
      <c r="D744" s="566"/>
      <c r="E744" s="566"/>
      <c r="F744" s="566"/>
      <c r="G744" s="566"/>
      <c r="H744" s="566"/>
      <c r="I744" s="566"/>
      <c r="J744" s="566"/>
      <c r="K744" s="566"/>
      <c r="L744" s="566"/>
      <c r="M744" s="566"/>
      <c r="N744" s="566"/>
      <c r="O744" s="566"/>
      <c r="P744" s="566"/>
      <c r="Q744" s="566"/>
      <c r="R744" s="566"/>
      <c r="S744" s="566"/>
      <c r="T744" s="566"/>
      <c r="U744" s="566"/>
      <c r="V744" s="566"/>
      <c r="W744" s="566"/>
      <c r="X744" s="566"/>
      <c r="Y744" s="566"/>
    </row>
    <row r="745" spans="2:25" x14ac:dyDescent="0.25">
      <c r="B745" s="566"/>
      <c r="C745" s="566"/>
      <c r="D745" s="566"/>
      <c r="E745" s="566"/>
      <c r="F745" s="566"/>
      <c r="G745" s="566"/>
      <c r="H745" s="566"/>
      <c r="I745" s="566"/>
      <c r="J745" s="566"/>
      <c r="K745" s="566"/>
      <c r="L745" s="566"/>
      <c r="M745" s="566"/>
      <c r="N745" s="566"/>
      <c r="O745" s="566"/>
      <c r="P745" s="566"/>
      <c r="Q745" s="566"/>
      <c r="R745" s="566"/>
      <c r="S745" s="566"/>
      <c r="T745" s="566"/>
      <c r="U745" s="566"/>
      <c r="V745" s="566"/>
      <c r="W745" s="566"/>
      <c r="X745" s="566"/>
      <c r="Y745" s="566"/>
    </row>
    <row r="746" spans="2:25" x14ac:dyDescent="0.25">
      <c r="B746" s="566"/>
      <c r="C746" s="566"/>
      <c r="D746" s="566"/>
      <c r="E746" s="566"/>
      <c r="F746" s="566"/>
      <c r="G746" s="566"/>
      <c r="H746" s="566"/>
      <c r="I746" s="566"/>
      <c r="J746" s="566"/>
      <c r="K746" s="566"/>
      <c r="L746" s="566"/>
      <c r="M746" s="566"/>
      <c r="N746" s="566"/>
      <c r="O746" s="566"/>
      <c r="P746" s="566"/>
      <c r="Q746" s="566"/>
      <c r="R746" s="566"/>
      <c r="S746" s="566"/>
      <c r="T746" s="566"/>
      <c r="U746" s="566"/>
      <c r="V746" s="566"/>
      <c r="W746" s="566"/>
      <c r="X746" s="566"/>
      <c r="Y746" s="566"/>
    </row>
    <row r="747" spans="2:25" x14ac:dyDescent="0.25">
      <c r="B747" s="566"/>
      <c r="C747" s="566"/>
      <c r="D747" s="566"/>
      <c r="E747" s="566"/>
      <c r="F747" s="566"/>
      <c r="G747" s="566"/>
      <c r="H747" s="566"/>
      <c r="I747" s="566"/>
      <c r="J747" s="566"/>
      <c r="K747" s="566"/>
      <c r="L747" s="566"/>
      <c r="M747" s="566"/>
      <c r="N747" s="566"/>
      <c r="O747" s="566"/>
      <c r="P747" s="566"/>
      <c r="Q747" s="566"/>
      <c r="R747" s="566"/>
      <c r="S747" s="566"/>
      <c r="T747" s="566"/>
      <c r="U747" s="566"/>
      <c r="V747" s="566"/>
      <c r="W747" s="566"/>
      <c r="X747" s="566"/>
      <c r="Y747" s="566"/>
    </row>
    <row r="748" spans="2:25" x14ac:dyDescent="0.25">
      <c r="B748" s="566"/>
      <c r="C748" s="566"/>
      <c r="D748" s="566"/>
      <c r="E748" s="566"/>
      <c r="F748" s="566"/>
      <c r="G748" s="566"/>
      <c r="H748" s="566"/>
      <c r="I748" s="566"/>
      <c r="J748" s="566"/>
      <c r="K748" s="566"/>
      <c r="L748" s="566"/>
      <c r="M748" s="566"/>
      <c r="N748" s="566"/>
      <c r="O748" s="566"/>
      <c r="P748" s="566"/>
      <c r="Q748" s="566"/>
      <c r="R748" s="566"/>
      <c r="S748" s="566"/>
      <c r="T748" s="566"/>
      <c r="U748" s="566"/>
      <c r="V748" s="566"/>
      <c r="W748" s="566"/>
      <c r="X748" s="566"/>
      <c r="Y748" s="566"/>
    </row>
    <row r="749" spans="2:25" x14ac:dyDescent="0.25">
      <c r="B749" s="566"/>
      <c r="C749" s="566"/>
      <c r="D749" s="566"/>
      <c r="E749" s="566"/>
      <c r="F749" s="566"/>
      <c r="G749" s="566"/>
      <c r="H749" s="566"/>
      <c r="I749" s="566"/>
      <c r="J749" s="566"/>
      <c r="K749" s="566"/>
      <c r="L749" s="566"/>
      <c r="M749" s="566"/>
      <c r="N749" s="566"/>
      <c r="O749" s="566"/>
      <c r="P749" s="566"/>
      <c r="Q749" s="566"/>
      <c r="R749" s="566"/>
      <c r="S749" s="566"/>
      <c r="T749" s="566"/>
      <c r="U749" s="566"/>
      <c r="V749" s="566"/>
      <c r="W749" s="566"/>
      <c r="X749" s="566"/>
      <c r="Y749" s="566"/>
    </row>
    <row r="750" spans="2:25" x14ac:dyDescent="0.25">
      <c r="B750" s="566"/>
      <c r="C750" s="566"/>
      <c r="D750" s="566"/>
      <c r="E750" s="566"/>
      <c r="F750" s="566"/>
      <c r="G750" s="566"/>
      <c r="H750" s="566"/>
      <c r="I750" s="566"/>
      <c r="J750" s="566"/>
      <c r="K750" s="566"/>
      <c r="L750" s="566"/>
      <c r="M750" s="566"/>
      <c r="N750" s="566"/>
      <c r="O750" s="566"/>
      <c r="P750" s="566"/>
      <c r="Q750" s="566"/>
      <c r="R750" s="566"/>
      <c r="S750" s="566"/>
      <c r="T750" s="566"/>
      <c r="U750" s="566"/>
      <c r="V750" s="566"/>
      <c r="W750" s="566"/>
      <c r="X750" s="566"/>
      <c r="Y750" s="566"/>
    </row>
    <row r="751" spans="2:25" x14ac:dyDescent="0.25">
      <c r="B751" s="566"/>
      <c r="C751" s="566"/>
      <c r="D751" s="566"/>
      <c r="E751" s="566"/>
      <c r="F751" s="566"/>
      <c r="G751" s="566"/>
      <c r="H751" s="566"/>
      <c r="I751" s="566"/>
      <c r="J751" s="566"/>
      <c r="K751" s="566"/>
      <c r="L751" s="566"/>
      <c r="M751" s="566"/>
      <c r="N751" s="566"/>
      <c r="O751" s="566"/>
      <c r="P751" s="566"/>
      <c r="Q751" s="566"/>
      <c r="R751" s="566"/>
      <c r="S751" s="566"/>
      <c r="T751" s="566"/>
      <c r="U751" s="566"/>
      <c r="V751" s="566"/>
      <c r="W751" s="566"/>
      <c r="X751" s="566"/>
      <c r="Y751" s="566"/>
    </row>
    <row r="752" spans="2:25" x14ac:dyDescent="0.25">
      <c r="B752" s="566"/>
      <c r="C752" s="566"/>
      <c r="D752" s="566"/>
      <c r="E752" s="566"/>
      <c r="F752" s="566"/>
      <c r="G752" s="566"/>
      <c r="H752" s="566"/>
      <c r="I752" s="566"/>
      <c r="J752" s="566"/>
      <c r="K752" s="566"/>
      <c r="L752" s="566"/>
      <c r="M752" s="566"/>
      <c r="N752" s="566"/>
      <c r="O752" s="566"/>
      <c r="P752" s="566"/>
      <c r="Q752" s="566"/>
      <c r="R752" s="566"/>
      <c r="S752" s="566"/>
      <c r="T752" s="566"/>
      <c r="U752" s="566"/>
      <c r="V752" s="566"/>
      <c r="W752" s="566"/>
      <c r="X752" s="566"/>
      <c r="Y752" s="566"/>
    </row>
    <row r="753" spans="2:25" x14ac:dyDescent="0.25">
      <c r="B753" s="566"/>
      <c r="C753" s="566"/>
      <c r="D753" s="566"/>
      <c r="E753" s="566"/>
      <c r="F753" s="566"/>
      <c r="G753" s="566"/>
      <c r="H753" s="566"/>
      <c r="I753" s="566"/>
      <c r="J753" s="566"/>
      <c r="K753" s="566"/>
      <c r="L753" s="566"/>
      <c r="M753" s="566"/>
      <c r="N753" s="566"/>
      <c r="O753" s="566"/>
      <c r="P753" s="566"/>
      <c r="Q753" s="566"/>
      <c r="R753" s="566"/>
      <c r="S753" s="566"/>
      <c r="T753" s="566"/>
      <c r="U753" s="566"/>
      <c r="V753" s="566"/>
      <c r="W753" s="566"/>
      <c r="X753" s="566"/>
      <c r="Y753" s="566"/>
    </row>
    <row r="754" spans="2:25" x14ac:dyDescent="0.25">
      <c r="B754" s="566"/>
      <c r="C754" s="566"/>
      <c r="D754" s="566"/>
      <c r="E754" s="566"/>
      <c r="F754" s="566"/>
      <c r="G754" s="566"/>
      <c r="H754" s="566"/>
      <c r="I754" s="566"/>
      <c r="J754" s="566"/>
      <c r="K754" s="566"/>
      <c r="L754" s="566"/>
      <c r="M754" s="566"/>
      <c r="N754" s="566"/>
      <c r="O754" s="566"/>
      <c r="P754" s="566"/>
      <c r="Q754" s="566"/>
      <c r="R754" s="566"/>
      <c r="S754" s="566"/>
      <c r="T754" s="566"/>
      <c r="U754" s="566"/>
      <c r="V754" s="566"/>
      <c r="W754" s="566"/>
      <c r="X754" s="566"/>
      <c r="Y754" s="566"/>
    </row>
    <row r="755" spans="2:25" x14ac:dyDescent="0.25">
      <c r="B755" s="566"/>
      <c r="C755" s="566"/>
      <c r="D755" s="566"/>
      <c r="E755" s="566"/>
      <c r="F755" s="566"/>
      <c r="G755" s="566"/>
      <c r="H755" s="566"/>
      <c r="I755" s="566"/>
      <c r="J755" s="566"/>
      <c r="K755" s="566"/>
      <c r="L755" s="566"/>
      <c r="M755" s="566"/>
      <c r="N755" s="566"/>
      <c r="O755" s="566"/>
      <c r="P755" s="566"/>
      <c r="Q755" s="566"/>
      <c r="R755" s="566"/>
      <c r="S755" s="566"/>
      <c r="T755" s="566"/>
      <c r="U755" s="566"/>
      <c r="V755" s="566"/>
      <c r="W755" s="566"/>
      <c r="X755" s="566"/>
      <c r="Y755" s="566"/>
    </row>
    <row r="756" spans="2:25" x14ac:dyDescent="0.25">
      <c r="B756" s="566"/>
      <c r="C756" s="566"/>
      <c r="D756" s="566"/>
      <c r="E756" s="566"/>
      <c r="F756" s="566"/>
      <c r="G756" s="566"/>
      <c r="H756" s="566"/>
      <c r="I756" s="566"/>
      <c r="J756" s="566"/>
      <c r="K756" s="566"/>
      <c r="L756" s="566"/>
      <c r="M756" s="566"/>
      <c r="N756" s="566"/>
      <c r="O756" s="566"/>
      <c r="P756" s="566"/>
      <c r="Q756" s="566"/>
      <c r="R756" s="566"/>
      <c r="S756" s="566"/>
      <c r="T756" s="566"/>
      <c r="U756" s="566"/>
      <c r="V756" s="566"/>
      <c r="W756" s="566"/>
      <c r="X756" s="566"/>
      <c r="Y756" s="566"/>
    </row>
    <row r="757" spans="2:25" x14ac:dyDescent="0.25">
      <c r="B757" s="566"/>
      <c r="C757" s="566"/>
      <c r="D757" s="566"/>
      <c r="E757" s="566"/>
      <c r="F757" s="566"/>
      <c r="G757" s="566"/>
      <c r="H757" s="566"/>
      <c r="I757" s="566"/>
      <c r="J757" s="566"/>
      <c r="K757" s="566"/>
      <c r="L757" s="566"/>
      <c r="M757" s="566"/>
      <c r="N757" s="566"/>
      <c r="O757" s="566"/>
      <c r="P757" s="566"/>
      <c r="Q757" s="566"/>
      <c r="R757" s="566"/>
      <c r="S757" s="566"/>
      <c r="T757" s="566"/>
      <c r="U757" s="566"/>
      <c r="V757" s="566"/>
      <c r="W757" s="566"/>
      <c r="X757" s="566"/>
      <c r="Y757" s="566"/>
    </row>
    <row r="758" spans="2:25" x14ac:dyDescent="0.25">
      <c r="B758" s="566"/>
      <c r="C758" s="566"/>
      <c r="D758" s="566"/>
      <c r="E758" s="566"/>
      <c r="F758" s="566"/>
      <c r="G758" s="566"/>
      <c r="H758" s="566"/>
      <c r="I758" s="566"/>
      <c r="J758" s="566"/>
      <c r="K758" s="566"/>
      <c r="L758" s="566"/>
      <c r="M758" s="566"/>
      <c r="N758" s="566"/>
      <c r="O758" s="566"/>
      <c r="P758" s="566"/>
      <c r="Q758" s="566"/>
      <c r="R758" s="566"/>
      <c r="S758" s="566"/>
      <c r="T758" s="566"/>
      <c r="U758" s="566"/>
      <c r="V758" s="566"/>
      <c r="W758" s="566"/>
      <c r="X758" s="566"/>
      <c r="Y758" s="566"/>
    </row>
    <row r="759" spans="2:25" x14ac:dyDescent="0.25">
      <c r="B759" s="566"/>
      <c r="C759" s="566"/>
      <c r="D759" s="566"/>
      <c r="E759" s="566"/>
      <c r="F759" s="566"/>
      <c r="G759" s="566"/>
      <c r="H759" s="566"/>
      <c r="I759" s="566"/>
      <c r="J759" s="566"/>
      <c r="K759" s="566"/>
      <c r="L759" s="566"/>
      <c r="M759" s="566"/>
      <c r="N759" s="566"/>
      <c r="O759" s="566"/>
      <c r="P759" s="566"/>
      <c r="Q759" s="566"/>
      <c r="R759" s="566"/>
      <c r="S759" s="566"/>
      <c r="T759" s="566"/>
      <c r="U759" s="566"/>
      <c r="V759" s="566"/>
      <c r="W759" s="566"/>
      <c r="X759" s="566"/>
      <c r="Y759" s="566"/>
    </row>
    <row r="760" spans="2:25" x14ac:dyDescent="0.25">
      <c r="B760" s="566"/>
      <c r="C760" s="566"/>
      <c r="D760" s="566"/>
      <c r="E760" s="566"/>
      <c r="F760" s="566"/>
      <c r="G760" s="566"/>
      <c r="H760" s="566"/>
      <c r="I760" s="566"/>
      <c r="J760" s="566"/>
      <c r="K760" s="566"/>
      <c r="L760" s="566"/>
      <c r="M760" s="566"/>
      <c r="N760" s="566"/>
      <c r="O760" s="566"/>
      <c r="P760" s="566"/>
      <c r="Q760" s="566"/>
      <c r="R760" s="566"/>
      <c r="S760" s="566"/>
      <c r="T760" s="566"/>
      <c r="U760" s="566"/>
      <c r="V760" s="566"/>
      <c r="W760" s="566"/>
      <c r="X760" s="566"/>
      <c r="Y760" s="566"/>
    </row>
    <row r="761" spans="2:25" x14ac:dyDescent="0.25">
      <c r="B761" s="566"/>
      <c r="C761" s="566"/>
      <c r="D761" s="566"/>
      <c r="E761" s="566"/>
      <c r="F761" s="566"/>
      <c r="G761" s="566"/>
      <c r="H761" s="566"/>
      <c r="I761" s="566"/>
      <c r="J761" s="566"/>
      <c r="K761" s="566"/>
      <c r="L761" s="566"/>
      <c r="M761" s="566"/>
      <c r="N761" s="566"/>
      <c r="O761" s="566"/>
      <c r="P761" s="566"/>
      <c r="Q761" s="566"/>
      <c r="R761" s="566"/>
      <c r="S761" s="566"/>
      <c r="T761" s="566"/>
      <c r="U761" s="566"/>
      <c r="V761" s="566"/>
      <c r="W761" s="566"/>
      <c r="X761" s="566"/>
      <c r="Y761" s="566"/>
    </row>
    <row r="762" spans="2:25" x14ac:dyDescent="0.25">
      <c r="B762" s="566"/>
      <c r="C762" s="566"/>
      <c r="D762" s="566"/>
      <c r="E762" s="566"/>
      <c r="F762" s="566"/>
      <c r="G762" s="566"/>
      <c r="H762" s="566"/>
      <c r="I762" s="566"/>
      <c r="J762" s="566"/>
      <c r="K762" s="566"/>
      <c r="L762" s="566"/>
      <c r="M762" s="566"/>
      <c r="N762" s="566"/>
      <c r="O762" s="566"/>
      <c r="P762" s="566"/>
      <c r="Q762" s="566"/>
      <c r="R762" s="566"/>
      <c r="S762" s="566"/>
      <c r="T762" s="566"/>
      <c r="U762" s="566"/>
      <c r="V762" s="566"/>
      <c r="W762" s="566"/>
      <c r="X762" s="566"/>
      <c r="Y762" s="566"/>
    </row>
    <row r="763" spans="2:25" x14ac:dyDescent="0.25">
      <c r="B763" s="566"/>
      <c r="C763" s="566"/>
      <c r="D763" s="566"/>
      <c r="E763" s="566"/>
      <c r="F763" s="566"/>
      <c r="G763" s="566"/>
      <c r="H763" s="566"/>
      <c r="I763" s="566"/>
      <c r="J763" s="566"/>
      <c r="K763" s="566"/>
      <c r="L763" s="566"/>
      <c r="M763" s="566"/>
      <c r="N763" s="566"/>
      <c r="O763" s="566"/>
      <c r="P763" s="566"/>
      <c r="Q763" s="566"/>
      <c r="R763" s="566"/>
      <c r="S763" s="566"/>
      <c r="T763" s="566"/>
      <c r="U763" s="566"/>
      <c r="V763" s="566"/>
      <c r="W763" s="566"/>
      <c r="X763" s="566"/>
      <c r="Y763" s="566"/>
    </row>
    <row r="764" spans="2:25" x14ac:dyDescent="0.25">
      <c r="B764" s="566"/>
      <c r="C764" s="566"/>
      <c r="D764" s="566"/>
      <c r="E764" s="566"/>
      <c r="F764" s="566"/>
      <c r="G764" s="566"/>
      <c r="H764" s="566"/>
      <c r="I764" s="566"/>
      <c r="J764" s="566"/>
      <c r="K764" s="566"/>
      <c r="L764" s="566"/>
      <c r="M764" s="566"/>
      <c r="N764" s="566"/>
      <c r="O764" s="566"/>
      <c r="P764" s="566"/>
      <c r="Q764" s="566"/>
      <c r="R764" s="566"/>
      <c r="S764" s="566"/>
      <c r="T764" s="566"/>
      <c r="U764" s="566"/>
      <c r="V764" s="566"/>
      <c r="W764" s="566"/>
      <c r="X764" s="566"/>
      <c r="Y764" s="566"/>
    </row>
    <row r="765" spans="2:25" x14ac:dyDescent="0.25">
      <c r="B765" s="566"/>
      <c r="C765" s="566"/>
      <c r="D765" s="566"/>
      <c r="E765" s="566"/>
      <c r="F765" s="566"/>
      <c r="G765" s="566"/>
      <c r="H765" s="566"/>
      <c r="I765" s="566"/>
      <c r="J765" s="566"/>
      <c r="K765" s="566"/>
      <c r="L765" s="566"/>
      <c r="M765" s="566"/>
      <c r="N765" s="566"/>
      <c r="O765" s="566"/>
      <c r="P765" s="566"/>
      <c r="Q765" s="566"/>
      <c r="R765" s="566"/>
      <c r="S765" s="566"/>
      <c r="T765" s="566"/>
      <c r="U765" s="566"/>
      <c r="V765" s="566"/>
      <c r="W765" s="566"/>
      <c r="X765" s="566"/>
      <c r="Y765" s="566"/>
    </row>
    <row r="766" spans="2:25" x14ac:dyDescent="0.25">
      <c r="B766" s="566"/>
      <c r="C766" s="566"/>
      <c r="D766" s="566"/>
      <c r="E766" s="566"/>
      <c r="F766" s="566"/>
      <c r="G766" s="566"/>
      <c r="H766" s="566"/>
      <c r="I766" s="566"/>
      <c r="J766" s="566"/>
      <c r="K766" s="566"/>
      <c r="L766" s="566"/>
      <c r="M766" s="566"/>
      <c r="N766" s="566"/>
      <c r="O766" s="566"/>
      <c r="P766" s="566"/>
      <c r="Q766" s="566"/>
      <c r="R766" s="566"/>
      <c r="S766" s="566"/>
      <c r="T766" s="566"/>
      <c r="U766" s="566"/>
      <c r="V766" s="566"/>
      <c r="W766" s="566"/>
      <c r="X766" s="566"/>
      <c r="Y766" s="566"/>
    </row>
    <row r="767" spans="2:25" x14ac:dyDescent="0.25">
      <c r="B767" s="566"/>
      <c r="C767" s="566"/>
      <c r="D767" s="566"/>
      <c r="E767" s="566"/>
      <c r="F767" s="566"/>
      <c r="G767" s="566"/>
      <c r="H767" s="566"/>
      <c r="I767" s="566"/>
      <c r="J767" s="566"/>
      <c r="K767" s="566"/>
      <c r="L767" s="566"/>
      <c r="M767" s="566"/>
      <c r="N767" s="566"/>
      <c r="O767" s="566"/>
      <c r="P767" s="566"/>
      <c r="Q767" s="566"/>
      <c r="R767" s="566"/>
      <c r="S767" s="566"/>
      <c r="T767" s="566"/>
      <c r="U767" s="566"/>
      <c r="V767" s="566"/>
      <c r="W767" s="566"/>
      <c r="X767" s="566"/>
      <c r="Y767" s="566"/>
    </row>
    <row r="768" spans="2:25" x14ac:dyDescent="0.25">
      <c r="B768" s="566"/>
      <c r="C768" s="566"/>
      <c r="D768" s="566"/>
      <c r="E768" s="566"/>
      <c r="F768" s="566"/>
      <c r="G768" s="566"/>
      <c r="H768" s="566"/>
      <c r="I768" s="566"/>
      <c r="J768" s="566"/>
      <c r="K768" s="566"/>
      <c r="L768" s="566"/>
      <c r="M768" s="566"/>
      <c r="N768" s="566"/>
      <c r="O768" s="566"/>
      <c r="P768" s="566"/>
      <c r="Q768" s="566"/>
      <c r="R768" s="566"/>
      <c r="S768" s="566"/>
      <c r="T768" s="566"/>
      <c r="U768" s="566"/>
      <c r="V768" s="566"/>
      <c r="W768" s="566"/>
      <c r="X768" s="566"/>
      <c r="Y768" s="566"/>
    </row>
    <row r="769" spans="2:25" x14ac:dyDescent="0.25">
      <c r="B769" s="566"/>
      <c r="C769" s="566"/>
      <c r="D769" s="566"/>
      <c r="E769" s="566"/>
      <c r="F769" s="566"/>
      <c r="G769" s="566"/>
      <c r="H769" s="566"/>
      <c r="I769" s="566"/>
      <c r="J769" s="566"/>
      <c r="K769" s="566"/>
      <c r="L769" s="566"/>
      <c r="M769" s="566"/>
      <c r="N769" s="566"/>
      <c r="O769" s="566"/>
      <c r="P769" s="566"/>
      <c r="Q769" s="566"/>
      <c r="R769" s="566"/>
      <c r="S769" s="566"/>
      <c r="T769" s="566"/>
      <c r="U769" s="566"/>
      <c r="V769" s="566"/>
      <c r="W769" s="566"/>
      <c r="X769" s="566"/>
      <c r="Y769" s="566"/>
    </row>
    <row r="770" spans="2:25" x14ac:dyDescent="0.25">
      <c r="B770" s="566"/>
      <c r="C770" s="566"/>
      <c r="D770" s="566"/>
      <c r="E770" s="566"/>
      <c r="F770" s="566"/>
      <c r="G770" s="566"/>
      <c r="H770" s="566"/>
      <c r="I770" s="566"/>
      <c r="J770" s="566"/>
      <c r="K770" s="566"/>
      <c r="L770" s="566"/>
      <c r="M770" s="566"/>
      <c r="N770" s="566"/>
      <c r="O770" s="566"/>
      <c r="P770" s="566"/>
      <c r="Q770" s="566"/>
      <c r="R770" s="566"/>
      <c r="S770" s="566"/>
      <c r="T770" s="566"/>
      <c r="U770" s="566"/>
      <c r="V770" s="566"/>
      <c r="W770" s="566"/>
      <c r="X770" s="566"/>
      <c r="Y770" s="566"/>
    </row>
    <row r="771" spans="2:25" x14ac:dyDescent="0.25">
      <c r="B771" s="566"/>
      <c r="C771" s="566"/>
      <c r="D771" s="566"/>
      <c r="E771" s="566"/>
      <c r="F771" s="566"/>
      <c r="G771" s="566"/>
      <c r="H771" s="566"/>
      <c r="I771" s="566"/>
      <c r="J771" s="566"/>
      <c r="K771" s="566"/>
      <c r="L771" s="566"/>
      <c r="M771" s="566"/>
      <c r="N771" s="566"/>
      <c r="O771" s="566"/>
      <c r="P771" s="566"/>
      <c r="Q771" s="566"/>
      <c r="R771" s="566"/>
      <c r="S771" s="566"/>
      <c r="T771" s="566"/>
      <c r="U771" s="566"/>
      <c r="V771" s="566"/>
      <c r="W771" s="566"/>
      <c r="X771" s="566"/>
      <c r="Y771" s="566"/>
    </row>
    <row r="772" spans="2:25" x14ac:dyDescent="0.25">
      <c r="B772" s="566"/>
      <c r="C772" s="566"/>
      <c r="D772" s="566"/>
      <c r="E772" s="566"/>
      <c r="F772" s="566"/>
      <c r="G772" s="566"/>
      <c r="H772" s="566"/>
      <c r="I772" s="566"/>
      <c r="J772" s="566"/>
      <c r="K772" s="566"/>
      <c r="L772" s="566"/>
      <c r="M772" s="566"/>
      <c r="N772" s="566"/>
      <c r="O772" s="566"/>
      <c r="P772" s="566"/>
      <c r="Q772" s="566"/>
      <c r="R772" s="566"/>
      <c r="S772" s="566"/>
      <c r="T772" s="566"/>
      <c r="U772" s="566"/>
      <c r="V772" s="566"/>
      <c r="W772" s="566"/>
      <c r="X772" s="566"/>
      <c r="Y772" s="566"/>
    </row>
    <row r="773" spans="2:25" x14ac:dyDescent="0.25">
      <c r="B773" s="566"/>
      <c r="C773" s="566"/>
      <c r="D773" s="566"/>
      <c r="E773" s="566"/>
      <c r="F773" s="566"/>
      <c r="G773" s="566"/>
      <c r="H773" s="566"/>
      <c r="I773" s="566"/>
      <c r="J773" s="566"/>
      <c r="K773" s="566"/>
      <c r="L773" s="566"/>
      <c r="M773" s="566"/>
      <c r="N773" s="566"/>
      <c r="O773" s="566"/>
      <c r="P773" s="566"/>
      <c r="Q773" s="566"/>
      <c r="R773" s="566"/>
      <c r="S773" s="566"/>
      <c r="T773" s="566"/>
      <c r="U773" s="566"/>
      <c r="V773" s="566"/>
      <c r="W773" s="566"/>
      <c r="X773" s="566"/>
      <c r="Y773" s="566"/>
    </row>
    <row r="774" spans="2:25" x14ac:dyDescent="0.25">
      <c r="B774" s="566"/>
      <c r="C774" s="566"/>
      <c r="D774" s="566"/>
      <c r="E774" s="566"/>
      <c r="F774" s="566"/>
      <c r="G774" s="566"/>
      <c r="H774" s="566"/>
      <c r="I774" s="566"/>
      <c r="J774" s="566"/>
      <c r="K774" s="566"/>
      <c r="L774" s="566"/>
      <c r="M774" s="566"/>
      <c r="N774" s="566"/>
      <c r="O774" s="566"/>
      <c r="P774" s="566"/>
      <c r="Q774" s="566"/>
      <c r="R774" s="566"/>
      <c r="S774" s="566"/>
      <c r="T774" s="566"/>
      <c r="U774" s="566"/>
      <c r="V774" s="566"/>
      <c r="W774" s="566"/>
      <c r="X774" s="566"/>
      <c r="Y774" s="566"/>
    </row>
    <row r="775" spans="2:25" x14ac:dyDescent="0.25">
      <c r="B775" s="566"/>
      <c r="C775" s="566"/>
      <c r="D775" s="566"/>
      <c r="E775" s="566"/>
      <c r="F775" s="566"/>
      <c r="G775" s="566"/>
      <c r="H775" s="566"/>
      <c r="I775" s="566"/>
      <c r="J775" s="566"/>
      <c r="K775" s="566"/>
      <c r="L775" s="566"/>
      <c r="M775" s="566"/>
      <c r="N775" s="566"/>
      <c r="O775" s="566"/>
      <c r="P775" s="566"/>
      <c r="Q775" s="566"/>
      <c r="R775" s="566"/>
      <c r="S775" s="566"/>
      <c r="T775" s="566"/>
      <c r="U775" s="566"/>
      <c r="V775" s="566"/>
      <c r="W775" s="566"/>
      <c r="X775" s="566"/>
      <c r="Y775" s="566"/>
    </row>
    <row r="776" spans="2:25" x14ac:dyDescent="0.25">
      <c r="B776" s="566"/>
      <c r="C776" s="566"/>
      <c r="D776" s="566"/>
      <c r="E776" s="566"/>
      <c r="F776" s="566"/>
      <c r="G776" s="566"/>
      <c r="H776" s="566"/>
      <c r="I776" s="566"/>
      <c r="J776" s="566"/>
      <c r="K776" s="566"/>
      <c r="L776" s="566"/>
      <c r="M776" s="566"/>
      <c r="N776" s="566"/>
      <c r="O776" s="566"/>
      <c r="P776" s="566"/>
      <c r="Q776" s="566"/>
      <c r="R776" s="566"/>
      <c r="S776" s="566"/>
      <c r="T776" s="566"/>
      <c r="U776" s="566"/>
      <c r="V776" s="566"/>
      <c r="W776" s="566"/>
      <c r="X776" s="566"/>
      <c r="Y776" s="566"/>
    </row>
    <row r="777" spans="2:25" x14ac:dyDescent="0.25">
      <c r="B777" s="566"/>
      <c r="C777" s="566"/>
      <c r="D777" s="566"/>
      <c r="E777" s="566"/>
      <c r="F777" s="566"/>
      <c r="G777" s="566"/>
      <c r="H777" s="566"/>
      <c r="I777" s="566"/>
      <c r="J777" s="566"/>
      <c r="K777" s="566"/>
      <c r="L777" s="566"/>
      <c r="M777" s="566"/>
      <c r="N777" s="566"/>
      <c r="O777" s="566"/>
      <c r="P777" s="566"/>
      <c r="Q777" s="566"/>
      <c r="R777" s="566"/>
      <c r="S777" s="566"/>
      <c r="T777" s="566"/>
      <c r="U777" s="566"/>
      <c r="V777" s="566"/>
      <c r="W777" s="566"/>
      <c r="X777" s="566"/>
      <c r="Y777" s="566"/>
    </row>
    <row r="778" spans="2:25" x14ac:dyDescent="0.25">
      <c r="B778" s="566"/>
      <c r="C778" s="566"/>
      <c r="D778" s="566"/>
      <c r="E778" s="566"/>
      <c r="F778" s="566"/>
      <c r="G778" s="566"/>
      <c r="H778" s="566"/>
      <c r="I778" s="566"/>
      <c r="J778" s="566"/>
      <c r="K778" s="566"/>
      <c r="L778" s="566"/>
      <c r="M778" s="566"/>
      <c r="N778" s="566"/>
      <c r="O778" s="566"/>
      <c r="P778" s="566"/>
      <c r="Q778" s="566"/>
      <c r="R778" s="566"/>
      <c r="S778" s="566"/>
      <c r="T778" s="566"/>
      <c r="U778" s="566"/>
      <c r="V778" s="566"/>
      <c r="W778" s="566"/>
      <c r="X778" s="566"/>
      <c r="Y778" s="566"/>
    </row>
    <row r="779" spans="2:25" x14ac:dyDescent="0.25">
      <c r="B779" s="566"/>
      <c r="C779" s="566"/>
      <c r="D779" s="566"/>
      <c r="E779" s="566"/>
      <c r="F779" s="566"/>
      <c r="G779" s="566"/>
      <c r="H779" s="566"/>
      <c r="I779" s="566"/>
      <c r="J779" s="566"/>
      <c r="K779" s="566"/>
      <c r="L779" s="566"/>
      <c r="M779" s="566"/>
      <c r="N779" s="566"/>
      <c r="O779" s="566"/>
      <c r="P779" s="566"/>
      <c r="Q779" s="566"/>
      <c r="R779" s="566"/>
      <c r="S779" s="566"/>
      <c r="T779" s="566"/>
      <c r="U779" s="566"/>
      <c r="V779" s="566"/>
      <c r="W779" s="566"/>
      <c r="X779" s="566"/>
      <c r="Y779" s="566"/>
    </row>
    <row r="780" spans="2:25" x14ac:dyDescent="0.25">
      <c r="B780" s="566"/>
      <c r="C780" s="566"/>
      <c r="D780" s="566"/>
      <c r="E780" s="566"/>
      <c r="F780" s="566"/>
      <c r="G780" s="566"/>
      <c r="H780" s="566"/>
      <c r="I780" s="566"/>
      <c r="J780" s="566"/>
      <c r="K780" s="566"/>
      <c r="L780" s="566"/>
      <c r="M780" s="566"/>
      <c r="N780" s="566"/>
      <c r="O780" s="566"/>
      <c r="P780" s="566"/>
      <c r="Q780" s="566"/>
      <c r="R780" s="566"/>
      <c r="S780" s="566"/>
      <c r="T780" s="566"/>
      <c r="U780" s="566"/>
      <c r="V780" s="566"/>
      <c r="W780" s="566"/>
      <c r="X780" s="566"/>
      <c r="Y780" s="566"/>
    </row>
    <row r="781" spans="2:25" x14ac:dyDescent="0.25">
      <c r="B781" s="566"/>
      <c r="C781" s="566"/>
      <c r="D781" s="566"/>
      <c r="E781" s="566"/>
      <c r="F781" s="566"/>
      <c r="G781" s="566"/>
      <c r="H781" s="566"/>
      <c r="I781" s="566"/>
      <c r="J781" s="566"/>
      <c r="K781" s="566"/>
      <c r="L781" s="566"/>
      <c r="M781" s="566"/>
      <c r="N781" s="566"/>
      <c r="O781" s="566"/>
      <c r="P781" s="566"/>
      <c r="Q781" s="566"/>
      <c r="R781" s="566"/>
      <c r="S781" s="566"/>
      <c r="T781" s="566"/>
      <c r="U781" s="566"/>
      <c r="V781" s="566"/>
      <c r="W781" s="566"/>
      <c r="X781" s="566"/>
      <c r="Y781" s="566"/>
    </row>
    <row r="782" spans="2:25" x14ac:dyDescent="0.25">
      <c r="B782" s="566"/>
      <c r="C782" s="566"/>
      <c r="D782" s="566"/>
      <c r="E782" s="566"/>
      <c r="F782" s="566"/>
      <c r="G782" s="566"/>
      <c r="H782" s="566"/>
      <c r="I782" s="566"/>
      <c r="J782" s="566"/>
      <c r="K782" s="566"/>
      <c r="L782" s="566"/>
      <c r="M782" s="566"/>
      <c r="N782" s="566"/>
      <c r="O782" s="566"/>
      <c r="P782" s="566"/>
      <c r="Q782" s="566"/>
      <c r="R782" s="566"/>
      <c r="S782" s="566"/>
      <c r="T782" s="566"/>
      <c r="U782" s="566"/>
      <c r="V782" s="566"/>
      <c r="W782" s="566"/>
      <c r="X782" s="566"/>
      <c r="Y782" s="566"/>
    </row>
    <row r="783" spans="2:25" x14ac:dyDescent="0.25">
      <c r="B783" s="566"/>
      <c r="C783" s="566"/>
      <c r="D783" s="566"/>
      <c r="E783" s="566"/>
      <c r="F783" s="566"/>
      <c r="G783" s="566"/>
      <c r="H783" s="566"/>
      <c r="I783" s="566"/>
      <c r="J783" s="566"/>
      <c r="K783" s="566"/>
      <c r="L783" s="566"/>
      <c r="M783" s="566"/>
      <c r="N783" s="566"/>
      <c r="O783" s="566"/>
      <c r="P783" s="566"/>
      <c r="Q783" s="566"/>
      <c r="R783" s="566"/>
      <c r="S783" s="566"/>
      <c r="T783" s="566"/>
      <c r="U783" s="566"/>
      <c r="V783" s="566"/>
      <c r="W783" s="566"/>
      <c r="X783" s="566"/>
      <c r="Y783" s="566"/>
    </row>
    <row r="784" spans="2:25" x14ac:dyDescent="0.25">
      <c r="B784" s="566"/>
      <c r="C784" s="566"/>
      <c r="D784" s="566"/>
      <c r="E784" s="566"/>
      <c r="F784" s="566"/>
      <c r="G784" s="566"/>
      <c r="H784" s="566"/>
      <c r="I784" s="566"/>
      <c r="J784" s="566"/>
      <c r="K784" s="566"/>
      <c r="L784" s="566"/>
      <c r="M784" s="566"/>
      <c r="N784" s="566"/>
      <c r="O784" s="566"/>
      <c r="P784" s="566"/>
      <c r="Q784" s="566"/>
      <c r="R784" s="566"/>
      <c r="S784" s="566"/>
      <c r="T784" s="566"/>
      <c r="U784" s="566"/>
      <c r="V784" s="566"/>
      <c r="W784" s="566"/>
      <c r="X784" s="566"/>
      <c r="Y784" s="566"/>
    </row>
    <row r="785" spans="2:25" x14ac:dyDescent="0.25">
      <c r="B785" s="566"/>
      <c r="C785" s="566"/>
      <c r="D785" s="566"/>
      <c r="E785" s="566"/>
      <c r="F785" s="566"/>
      <c r="G785" s="566"/>
      <c r="H785" s="566"/>
      <c r="I785" s="566"/>
      <c r="J785" s="566"/>
      <c r="K785" s="566"/>
      <c r="L785" s="566"/>
      <c r="M785" s="566"/>
      <c r="N785" s="566"/>
      <c r="O785" s="566"/>
      <c r="P785" s="566"/>
      <c r="Q785" s="566"/>
      <c r="R785" s="566"/>
      <c r="S785" s="566"/>
      <c r="T785" s="566"/>
      <c r="U785" s="566"/>
      <c r="V785" s="566"/>
      <c r="W785" s="566"/>
      <c r="X785" s="566"/>
      <c r="Y785" s="566"/>
    </row>
    <row r="786" spans="2:25" x14ac:dyDescent="0.25">
      <c r="B786" s="566"/>
      <c r="C786" s="566"/>
      <c r="D786" s="566"/>
      <c r="E786" s="566"/>
      <c r="F786" s="566"/>
      <c r="G786" s="566"/>
      <c r="H786" s="566"/>
      <c r="I786" s="566"/>
      <c r="J786" s="566"/>
      <c r="K786" s="566"/>
      <c r="L786" s="566"/>
      <c r="M786" s="566"/>
      <c r="N786" s="566"/>
      <c r="O786" s="566"/>
      <c r="P786" s="566"/>
      <c r="Q786" s="566"/>
      <c r="R786" s="566"/>
      <c r="S786" s="566"/>
      <c r="T786" s="566"/>
      <c r="U786" s="566"/>
      <c r="V786" s="566"/>
      <c r="W786" s="566"/>
      <c r="X786" s="566"/>
      <c r="Y786" s="566"/>
    </row>
    <row r="787" spans="2:25" x14ac:dyDescent="0.25">
      <c r="B787" s="566"/>
      <c r="C787" s="566"/>
      <c r="D787" s="566"/>
      <c r="E787" s="566"/>
      <c r="F787" s="566"/>
      <c r="G787" s="566"/>
      <c r="H787" s="566"/>
      <c r="I787" s="566"/>
      <c r="J787" s="566"/>
      <c r="K787" s="566"/>
      <c r="L787" s="566"/>
      <c r="M787" s="566"/>
      <c r="N787" s="566"/>
      <c r="O787" s="566"/>
      <c r="P787" s="566"/>
      <c r="Q787" s="566"/>
      <c r="R787" s="566"/>
      <c r="S787" s="566"/>
      <c r="T787" s="566"/>
      <c r="U787" s="566"/>
      <c r="V787" s="566"/>
      <c r="W787" s="566"/>
      <c r="X787" s="566"/>
      <c r="Y787" s="566"/>
    </row>
    <row r="788" spans="2:25" x14ac:dyDescent="0.25">
      <c r="B788" s="566"/>
      <c r="C788" s="566"/>
      <c r="D788" s="566"/>
      <c r="E788" s="566"/>
      <c r="F788" s="566"/>
      <c r="G788" s="566"/>
      <c r="H788" s="566"/>
      <c r="I788" s="566"/>
      <c r="J788" s="566"/>
      <c r="K788" s="566"/>
      <c r="L788" s="566"/>
      <c r="M788" s="566"/>
      <c r="N788" s="566"/>
      <c r="O788" s="566"/>
      <c r="P788" s="566"/>
      <c r="Q788" s="566"/>
      <c r="R788" s="566"/>
      <c r="S788" s="566"/>
      <c r="T788" s="566"/>
      <c r="U788" s="566"/>
      <c r="V788" s="566"/>
      <c r="W788" s="566"/>
      <c r="X788" s="566"/>
      <c r="Y788" s="566"/>
    </row>
    <row r="789" spans="2:25" x14ac:dyDescent="0.25">
      <c r="B789" s="566"/>
      <c r="C789" s="566"/>
      <c r="D789" s="566"/>
      <c r="E789" s="566"/>
      <c r="F789" s="566"/>
      <c r="G789" s="566"/>
      <c r="H789" s="566"/>
      <c r="I789" s="566"/>
      <c r="J789" s="566"/>
      <c r="K789" s="566"/>
      <c r="L789" s="566"/>
      <c r="M789" s="566"/>
      <c r="N789" s="566"/>
      <c r="O789" s="566"/>
      <c r="P789" s="566"/>
      <c r="Q789" s="566"/>
      <c r="R789" s="566"/>
      <c r="S789" s="566"/>
      <c r="T789" s="566"/>
      <c r="U789" s="566"/>
      <c r="V789" s="566"/>
      <c r="W789" s="566"/>
      <c r="X789" s="566"/>
      <c r="Y789" s="566"/>
    </row>
    <row r="790" spans="2:25" x14ac:dyDescent="0.25">
      <c r="B790" s="566"/>
      <c r="C790" s="566"/>
      <c r="D790" s="566"/>
      <c r="E790" s="566"/>
      <c r="F790" s="566"/>
      <c r="G790" s="566"/>
      <c r="H790" s="566"/>
      <c r="I790" s="566"/>
      <c r="J790" s="566"/>
      <c r="K790" s="566"/>
      <c r="L790" s="566"/>
      <c r="M790" s="566"/>
      <c r="N790" s="566"/>
      <c r="O790" s="566"/>
      <c r="P790" s="566"/>
      <c r="Q790" s="566"/>
      <c r="R790" s="566"/>
      <c r="S790" s="566"/>
      <c r="T790" s="566"/>
      <c r="U790" s="566"/>
      <c r="V790" s="566"/>
      <c r="W790" s="566"/>
      <c r="X790" s="566"/>
      <c r="Y790" s="566"/>
    </row>
    <row r="791" spans="2:25" x14ac:dyDescent="0.25">
      <c r="B791" s="566"/>
      <c r="C791" s="566"/>
      <c r="D791" s="566"/>
      <c r="E791" s="566"/>
      <c r="F791" s="566"/>
      <c r="G791" s="566"/>
      <c r="H791" s="566"/>
      <c r="I791" s="566"/>
      <c r="J791" s="566"/>
      <c r="K791" s="566"/>
      <c r="L791" s="566"/>
      <c r="M791" s="566"/>
      <c r="N791" s="566"/>
      <c r="O791" s="566"/>
      <c r="P791" s="566"/>
      <c r="Q791" s="566"/>
      <c r="R791" s="566"/>
      <c r="S791" s="566"/>
      <c r="T791" s="566"/>
      <c r="U791" s="566"/>
      <c r="V791" s="566"/>
      <c r="W791" s="566"/>
      <c r="X791" s="566"/>
      <c r="Y791" s="566"/>
    </row>
    <row r="792" spans="2:25" x14ac:dyDescent="0.25">
      <c r="B792" s="566"/>
      <c r="C792" s="566"/>
      <c r="D792" s="566"/>
      <c r="E792" s="566"/>
      <c r="F792" s="566"/>
      <c r="G792" s="566"/>
      <c r="H792" s="566"/>
      <c r="I792" s="566"/>
      <c r="J792" s="566"/>
      <c r="K792" s="566"/>
      <c r="L792" s="566"/>
      <c r="M792" s="566"/>
      <c r="N792" s="566"/>
      <c r="O792" s="566"/>
      <c r="P792" s="566"/>
      <c r="Q792" s="566"/>
      <c r="R792" s="566"/>
      <c r="S792" s="566"/>
      <c r="T792" s="566"/>
      <c r="U792" s="566"/>
      <c r="V792" s="566"/>
      <c r="W792" s="566"/>
      <c r="X792" s="566"/>
      <c r="Y792" s="566"/>
    </row>
    <row r="793" spans="2:25" x14ac:dyDescent="0.25">
      <c r="B793" s="566"/>
      <c r="C793" s="566"/>
      <c r="D793" s="566"/>
      <c r="E793" s="566"/>
      <c r="F793" s="566"/>
      <c r="G793" s="566"/>
      <c r="H793" s="566"/>
      <c r="I793" s="566"/>
      <c r="J793" s="566"/>
      <c r="K793" s="566"/>
      <c r="L793" s="566"/>
      <c r="M793" s="566"/>
      <c r="N793" s="566"/>
      <c r="O793" s="566"/>
      <c r="P793" s="566"/>
      <c r="Q793" s="566"/>
      <c r="R793" s="566"/>
      <c r="S793" s="566"/>
      <c r="T793" s="566"/>
      <c r="U793" s="566"/>
      <c r="V793" s="566"/>
      <c r="W793" s="566"/>
      <c r="X793" s="566"/>
      <c r="Y793" s="566"/>
    </row>
    <row r="794" spans="2:25" x14ac:dyDescent="0.25">
      <c r="B794" s="566"/>
      <c r="C794" s="566"/>
      <c r="D794" s="566"/>
      <c r="E794" s="566"/>
      <c r="F794" s="566"/>
      <c r="G794" s="566"/>
      <c r="H794" s="566"/>
      <c r="I794" s="566"/>
      <c r="J794" s="566"/>
      <c r="K794" s="566"/>
      <c r="L794" s="566"/>
      <c r="M794" s="566"/>
      <c r="N794" s="566"/>
      <c r="O794" s="566"/>
      <c r="P794" s="566"/>
      <c r="Q794" s="566"/>
      <c r="R794" s="566"/>
      <c r="S794" s="566"/>
      <c r="T794" s="566"/>
      <c r="U794" s="566"/>
      <c r="V794" s="566"/>
      <c r="W794" s="566"/>
      <c r="X794" s="566"/>
      <c r="Y794" s="566"/>
    </row>
    <row r="795" spans="2:25" x14ac:dyDescent="0.25">
      <c r="B795" s="566"/>
      <c r="C795" s="566"/>
      <c r="D795" s="566"/>
      <c r="E795" s="566"/>
      <c r="F795" s="566"/>
      <c r="G795" s="566"/>
      <c r="H795" s="566"/>
      <c r="I795" s="566"/>
      <c r="J795" s="566"/>
      <c r="K795" s="566"/>
      <c r="L795" s="566"/>
      <c r="M795" s="566"/>
      <c r="N795" s="566"/>
      <c r="O795" s="566"/>
      <c r="P795" s="566"/>
      <c r="Q795" s="566"/>
      <c r="R795" s="566"/>
      <c r="S795" s="566"/>
      <c r="T795" s="566"/>
      <c r="U795" s="566"/>
      <c r="V795" s="566"/>
      <c r="W795" s="566"/>
      <c r="X795" s="566"/>
      <c r="Y795" s="566"/>
    </row>
    <row r="796" spans="2:25" x14ac:dyDescent="0.25">
      <c r="B796" s="566"/>
      <c r="C796" s="566"/>
      <c r="D796" s="566"/>
      <c r="E796" s="566"/>
      <c r="F796" s="566"/>
      <c r="G796" s="566"/>
      <c r="H796" s="566"/>
      <c r="I796" s="566"/>
      <c r="J796" s="566"/>
      <c r="K796" s="566"/>
      <c r="L796" s="566"/>
      <c r="M796" s="566"/>
      <c r="N796" s="566"/>
      <c r="O796" s="566"/>
      <c r="P796" s="566"/>
      <c r="Q796" s="566"/>
      <c r="R796" s="566"/>
      <c r="S796" s="566"/>
      <c r="T796" s="566"/>
      <c r="U796" s="566"/>
      <c r="V796" s="566"/>
      <c r="W796" s="566"/>
      <c r="X796" s="566"/>
      <c r="Y796" s="566"/>
    </row>
    <row r="797" spans="2:25" x14ac:dyDescent="0.25">
      <c r="B797" s="566"/>
      <c r="C797" s="566"/>
      <c r="D797" s="566"/>
      <c r="E797" s="566"/>
      <c r="F797" s="566"/>
      <c r="G797" s="566"/>
      <c r="H797" s="566"/>
      <c r="I797" s="566"/>
      <c r="J797" s="566"/>
      <c r="K797" s="566"/>
      <c r="L797" s="566"/>
      <c r="M797" s="566"/>
      <c r="N797" s="566"/>
      <c r="O797" s="566"/>
      <c r="P797" s="566"/>
      <c r="Q797" s="566"/>
      <c r="R797" s="566"/>
      <c r="S797" s="566"/>
      <c r="T797" s="566"/>
      <c r="U797" s="566"/>
      <c r="V797" s="566"/>
      <c r="W797" s="566"/>
      <c r="X797" s="566"/>
      <c r="Y797" s="566"/>
    </row>
    <row r="798" spans="2:25" x14ac:dyDescent="0.25">
      <c r="B798" s="566"/>
      <c r="C798" s="566"/>
      <c r="D798" s="566"/>
      <c r="E798" s="566"/>
      <c r="F798" s="566"/>
      <c r="G798" s="566"/>
      <c r="H798" s="566"/>
      <c r="I798" s="566"/>
      <c r="J798" s="566"/>
      <c r="K798" s="566"/>
      <c r="L798" s="566"/>
      <c r="M798" s="566"/>
      <c r="N798" s="566"/>
      <c r="O798" s="566"/>
      <c r="P798" s="566"/>
      <c r="Q798" s="566"/>
      <c r="R798" s="566"/>
      <c r="S798" s="566"/>
      <c r="T798" s="566"/>
      <c r="U798" s="566"/>
      <c r="V798" s="566"/>
      <c r="W798" s="566"/>
      <c r="X798" s="566"/>
      <c r="Y798" s="566"/>
    </row>
    <row r="799" spans="2:25" x14ac:dyDescent="0.25">
      <c r="B799" s="566"/>
      <c r="C799" s="566"/>
      <c r="D799" s="566"/>
      <c r="E799" s="566"/>
      <c r="F799" s="566"/>
      <c r="G799" s="566"/>
      <c r="H799" s="566"/>
      <c r="I799" s="566"/>
      <c r="J799" s="566"/>
      <c r="K799" s="566"/>
      <c r="L799" s="566"/>
      <c r="M799" s="566"/>
      <c r="N799" s="566"/>
      <c r="O799" s="566"/>
      <c r="P799" s="566"/>
      <c r="Q799" s="566"/>
      <c r="R799" s="566"/>
      <c r="S799" s="566"/>
      <c r="T799" s="566"/>
      <c r="U799" s="566"/>
      <c r="V799" s="566"/>
      <c r="W799" s="566"/>
      <c r="X799" s="566"/>
      <c r="Y799" s="566"/>
    </row>
    <row r="800" spans="2:25" x14ac:dyDescent="0.25">
      <c r="B800" s="566"/>
      <c r="C800" s="566"/>
      <c r="D800" s="566"/>
      <c r="E800" s="566"/>
      <c r="F800" s="566"/>
      <c r="G800" s="566"/>
      <c r="H800" s="566"/>
      <c r="I800" s="566"/>
      <c r="J800" s="566"/>
      <c r="K800" s="566"/>
      <c r="L800" s="566"/>
      <c r="M800" s="566"/>
      <c r="N800" s="566"/>
      <c r="O800" s="566"/>
      <c r="P800" s="566"/>
      <c r="Q800" s="566"/>
      <c r="R800" s="566"/>
      <c r="S800" s="566"/>
      <c r="T800" s="566"/>
      <c r="U800" s="566"/>
      <c r="V800" s="566"/>
      <c r="W800" s="566"/>
      <c r="X800" s="566"/>
      <c r="Y800" s="566"/>
    </row>
    <row r="801" spans="2:25" x14ac:dyDescent="0.25">
      <c r="B801" s="566"/>
      <c r="C801" s="566"/>
      <c r="D801" s="566"/>
      <c r="E801" s="566"/>
      <c r="F801" s="566"/>
      <c r="G801" s="566"/>
      <c r="H801" s="566"/>
      <c r="I801" s="566"/>
      <c r="J801" s="566"/>
      <c r="K801" s="566"/>
      <c r="L801" s="566"/>
      <c r="M801" s="566"/>
      <c r="N801" s="566"/>
      <c r="O801" s="566"/>
      <c r="P801" s="566"/>
      <c r="Q801" s="566"/>
      <c r="R801" s="566"/>
      <c r="S801" s="566"/>
      <c r="T801" s="566"/>
      <c r="U801" s="566"/>
      <c r="V801" s="566"/>
      <c r="W801" s="566"/>
      <c r="X801" s="566"/>
      <c r="Y801" s="566"/>
    </row>
    <row r="802" spans="2:25" x14ac:dyDescent="0.25">
      <c r="B802" s="566"/>
      <c r="C802" s="566"/>
      <c r="D802" s="566"/>
      <c r="E802" s="566"/>
      <c r="F802" s="566"/>
      <c r="G802" s="566"/>
      <c r="H802" s="566"/>
      <c r="I802" s="566"/>
      <c r="J802" s="566"/>
      <c r="K802" s="566"/>
      <c r="L802" s="566"/>
      <c r="M802" s="566"/>
      <c r="N802" s="566"/>
      <c r="O802" s="566"/>
      <c r="P802" s="566"/>
      <c r="Q802" s="566"/>
      <c r="R802" s="566"/>
      <c r="S802" s="566"/>
      <c r="T802" s="566"/>
      <c r="U802" s="566"/>
      <c r="V802" s="566"/>
      <c r="W802" s="566"/>
      <c r="X802" s="566"/>
      <c r="Y802" s="566"/>
    </row>
    <row r="803" spans="2:25" x14ac:dyDescent="0.25">
      <c r="B803" s="566"/>
      <c r="C803" s="566"/>
      <c r="D803" s="566"/>
      <c r="E803" s="566"/>
      <c r="F803" s="566"/>
      <c r="G803" s="566"/>
      <c r="H803" s="566"/>
      <c r="I803" s="566"/>
      <c r="J803" s="566"/>
      <c r="K803" s="566"/>
      <c r="L803" s="566"/>
      <c r="M803" s="566"/>
      <c r="N803" s="566"/>
      <c r="O803" s="566"/>
      <c r="P803" s="566"/>
      <c r="Q803" s="566"/>
      <c r="R803" s="566"/>
      <c r="S803" s="566"/>
      <c r="T803" s="566"/>
      <c r="U803" s="566"/>
      <c r="V803" s="566"/>
      <c r="W803" s="566"/>
      <c r="X803" s="566"/>
      <c r="Y803" s="566"/>
    </row>
    <row r="804" spans="2:25" x14ac:dyDescent="0.25">
      <c r="B804" s="566"/>
      <c r="C804" s="566"/>
      <c r="D804" s="566"/>
      <c r="E804" s="566"/>
      <c r="F804" s="566"/>
      <c r="G804" s="566"/>
      <c r="H804" s="566"/>
      <c r="I804" s="566"/>
      <c r="J804" s="566"/>
      <c r="K804" s="566"/>
      <c r="L804" s="566"/>
      <c r="M804" s="566"/>
      <c r="N804" s="566"/>
      <c r="O804" s="566"/>
      <c r="P804" s="566"/>
      <c r="Q804" s="566"/>
      <c r="R804" s="566"/>
      <c r="S804" s="566"/>
      <c r="T804" s="566"/>
      <c r="U804" s="566"/>
      <c r="V804" s="566"/>
      <c r="W804" s="566"/>
      <c r="X804" s="566"/>
      <c r="Y804" s="566"/>
    </row>
    <row r="805" spans="2:25" x14ac:dyDescent="0.25">
      <c r="B805" s="566"/>
      <c r="C805" s="566"/>
      <c r="D805" s="566"/>
      <c r="E805" s="566"/>
      <c r="F805" s="566"/>
      <c r="G805" s="566"/>
      <c r="H805" s="566"/>
      <c r="I805" s="566"/>
      <c r="J805" s="566"/>
      <c r="K805" s="566"/>
      <c r="L805" s="566"/>
      <c r="M805" s="566"/>
      <c r="N805" s="566"/>
      <c r="O805" s="566"/>
      <c r="P805" s="566"/>
      <c r="Q805" s="566"/>
      <c r="R805" s="566"/>
      <c r="S805" s="566"/>
      <c r="T805" s="566"/>
      <c r="U805" s="566"/>
      <c r="V805" s="566"/>
      <c r="W805" s="566"/>
      <c r="X805" s="566"/>
      <c r="Y805" s="566"/>
    </row>
    <row r="806" spans="2:25" x14ac:dyDescent="0.25">
      <c r="B806" s="566"/>
      <c r="C806" s="566"/>
      <c r="D806" s="566"/>
      <c r="E806" s="566"/>
      <c r="F806" s="566"/>
      <c r="G806" s="566"/>
      <c r="H806" s="566"/>
      <c r="I806" s="566"/>
      <c r="J806" s="566"/>
      <c r="K806" s="566"/>
      <c r="L806" s="566"/>
      <c r="M806" s="566"/>
      <c r="N806" s="566"/>
      <c r="O806" s="566"/>
      <c r="P806" s="566"/>
      <c r="Q806" s="566"/>
      <c r="R806" s="566"/>
      <c r="S806" s="566"/>
      <c r="T806" s="566"/>
      <c r="U806" s="566"/>
      <c r="V806" s="566"/>
      <c r="W806" s="566"/>
      <c r="X806" s="566"/>
      <c r="Y806" s="566"/>
    </row>
    <row r="807" spans="2:25" x14ac:dyDescent="0.25">
      <c r="B807" s="566"/>
      <c r="C807" s="566"/>
      <c r="D807" s="566"/>
      <c r="E807" s="566"/>
      <c r="F807" s="566"/>
      <c r="G807" s="566"/>
      <c r="H807" s="566"/>
      <c r="I807" s="566"/>
      <c r="J807" s="566"/>
      <c r="K807" s="566"/>
      <c r="L807" s="566"/>
      <c r="M807" s="566"/>
      <c r="N807" s="566"/>
      <c r="O807" s="566"/>
      <c r="P807" s="566"/>
      <c r="Q807" s="566"/>
      <c r="R807" s="566"/>
      <c r="S807" s="566"/>
      <c r="T807" s="566"/>
      <c r="U807" s="566"/>
      <c r="V807" s="566"/>
      <c r="W807" s="566"/>
      <c r="X807" s="566"/>
      <c r="Y807" s="566"/>
    </row>
    <row r="808" spans="2:25" x14ac:dyDescent="0.25">
      <c r="B808" s="566"/>
      <c r="C808" s="566"/>
      <c r="D808" s="566"/>
      <c r="E808" s="566"/>
      <c r="F808" s="566"/>
      <c r="G808" s="566"/>
      <c r="H808" s="566"/>
      <c r="I808" s="566"/>
      <c r="J808" s="566"/>
      <c r="K808" s="566"/>
      <c r="L808" s="566"/>
      <c r="M808" s="566"/>
      <c r="N808" s="566"/>
      <c r="O808" s="566"/>
      <c r="P808" s="566"/>
      <c r="Q808" s="566"/>
      <c r="R808" s="566"/>
      <c r="S808" s="566"/>
      <c r="T808" s="566"/>
      <c r="U808" s="566"/>
      <c r="V808" s="566"/>
      <c r="W808" s="566"/>
      <c r="X808" s="566"/>
      <c r="Y808" s="566"/>
    </row>
    <row r="809" spans="2:25" x14ac:dyDescent="0.25">
      <c r="B809" s="566"/>
      <c r="C809" s="566"/>
      <c r="D809" s="566"/>
      <c r="E809" s="566"/>
      <c r="F809" s="566"/>
      <c r="G809" s="566"/>
      <c r="H809" s="566"/>
      <c r="I809" s="566"/>
      <c r="J809" s="566"/>
      <c r="K809" s="566"/>
      <c r="L809" s="566"/>
      <c r="M809" s="566"/>
      <c r="N809" s="566"/>
      <c r="O809" s="566"/>
      <c r="P809" s="566"/>
      <c r="Q809" s="566"/>
      <c r="R809" s="566"/>
      <c r="S809" s="566"/>
      <c r="T809" s="566"/>
      <c r="U809" s="566"/>
      <c r="V809" s="566"/>
      <c r="W809" s="566"/>
      <c r="X809" s="566"/>
      <c r="Y809" s="566"/>
    </row>
    <row r="810" spans="2:25" x14ac:dyDescent="0.25">
      <c r="B810" s="566"/>
      <c r="C810" s="566"/>
      <c r="D810" s="566"/>
      <c r="E810" s="566"/>
      <c r="F810" s="566"/>
      <c r="G810" s="566"/>
      <c r="H810" s="566"/>
      <c r="I810" s="566"/>
      <c r="J810" s="566"/>
      <c r="K810" s="566"/>
      <c r="L810" s="566"/>
      <c r="M810" s="566"/>
      <c r="N810" s="566"/>
      <c r="O810" s="566"/>
      <c r="P810" s="566"/>
      <c r="Q810" s="566"/>
      <c r="R810" s="566"/>
      <c r="S810" s="566"/>
      <c r="T810" s="566"/>
      <c r="U810" s="566"/>
      <c r="V810" s="566"/>
      <c r="W810" s="566"/>
      <c r="X810" s="566"/>
      <c r="Y810" s="566"/>
    </row>
    <row r="811" spans="2:25" x14ac:dyDescent="0.25">
      <c r="B811" s="566"/>
      <c r="C811" s="566"/>
      <c r="D811" s="566"/>
      <c r="E811" s="566"/>
      <c r="F811" s="566"/>
      <c r="G811" s="566"/>
      <c r="H811" s="566"/>
      <c r="I811" s="566"/>
      <c r="J811" s="566"/>
      <c r="K811" s="566"/>
      <c r="L811" s="566"/>
      <c r="M811" s="566"/>
      <c r="N811" s="566"/>
      <c r="O811" s="566"/>
      <c r="P811" s="566"/>
      <c r="Q811" s="566"/>
      <c r="R811" s="566"/>
      <c r="S811" s="566"/>
      <c r="T811" s="566"/>
      <c r="U811" s="566"/>
      <c r="V811" s="566"/>
      <c r="W811" s="566"/>
      <c r="X811" s="566"/>
      <c r="Y811" s="566"/>
    </row>
    <row r="812" spans="2:25" x14ac:dyDescent="0.25">
      <c r="B812" s="566"/>
      <c r="C812" s="566"/>
      <c r="D812" s="566"/>
      <c r="E812" s="566"/>
      <c r="F812" s="566"/>
      <c r="G812" s="566"/>
      <c r="H812" s="566"/>
      <c r="I812" s="566"/>
      <c r="J812" s="566"/>
      <c r="K812" s="566"/>
      <c r="L812" s="566"/>
      <c r="M812" s="566"/>
      <c r="N812" s="566"/>
      <c r="O812" s="566"/>
      <c r="P812" s="566"/>
      <c r="Q812" s="566"/>
      <c r="R812" s="566"/>
      <c r="S812" s="566"/>
      <c r="T812" s="566"/>
      <c r="U812" s="566"/>
      <c r="V812" s="566"/>
      <c r="W812" s="566"/>
      <c r="X812" s="566"/>
      <c r="Y812" s="566"/>
    </row>
    <row r="813" spans="2:25" x14ac:dyDescent="0.25">
      <c r="B813" s="566"/>
      <c r="C813" s="566"/>
      <c r="D813" s="566"/>
      <c r="E813" s="566"/>
      <c r="F813" s="566"/>
      <c r="G813" s="566"/>
      <c r="H813" s="566"/>
      <c r="I813" s="566"/>
      <c r="J813" s="566"/>
      <c r="K813" s="566"/>
      <c r="L813" s="566"/>
      <c r="M813" s="566"/>
      <c r="N813" s="566"/>
      <c r="O813" s="566"/>
      <c r="P813" s="566"/>
      <c r="Q813" s="566"/>
      <c r="R813" s="566"/>
      <c r="S813" s="566"/>
      <c r="T813" s="566"/>
      <c r="U813" s="566"/>
      <c r="V813" s="566"/>
      <c r="W813" s="566"/>
      <c r="X813" s="566"/>
      <c r="Y813" s="566"/>
    </row>
    <row r="814" spans="2:25" x14ac:dyDescent="0.25">
      <c r="B814" s="566"/>
      <c r="C814" s="566"/>
      <c r="D814" s="566"/>
      <c r="E814" s="566"/>
      <c r="F814" s="566"/>
      <c r="G814" s="566"/>
      <c r="H814" s="566"/>
      <c r="I814" s="566"/>
      <c r="J814" s="566"/>
      <c r="K814" s="566"/>
      <c r="L814" s="566"/>
      <c r="M814" s="566"/>
      <c r="N814" s="566"/>
      <c r="O814" s="566"/>
      <c r="P814" s="566"/>
      <c r="Q814" s="566"/>
      <c r="R814" s="566"/>
      <c r="S814" s="566"/>
      <c r="T814" s="566"/>
      <c r="U814" s="566"/>
      <c r="V814" s="566"/>
      <c r="W814" s="566"/>
      <c r="X814" s="566"/>
      <c r="Y814" s="566"/>
    </row>
    <row r="815" spans="2:25" x14ac:dyDescent="0.25">
      <c r="B815" s="566"/>
      <c r="C815" s="566"/>
      <c r="D815" s="566"/>
      <c r="E815" s="566"/>
      <c r="F815" s="566"/>
      <c r="G815" s="566"/>
      <c r="H815" s="566"/>
      <c r="I815" s="566"/>
      <c r="J815" s="566"/>
      <c r="K815" s="566"/>
      <c r="L815" s="566"/>
      <c r="M815" s="566"/>
      <c r="N815" s="566"/>
      <c r="O815" s="566"/>
      <c r="P815" s="566"/>
      <c r="Q815" s="566"/>
      <c r="R815" s="566"/>
      <c r="S815" s="566"/>
      <c r="T815" s="566"/>
      <c r="U815" s="566"/>
      <c r="V815" s="566"/>
      <c r="W815" s="566"/>
      <c r="X815" s="566"/>
      <c r="Y815" s="566"/>
    </row>
    <row r="816" spans="2:25" x14ac:dyDescent="0.25">
      <c r="B816" s="566"/>
      <c r="C816" s="566"/>
      <c r="D816" s="566"/>
      <c r="E816" s="566"/>
      <c r="F816" s="566"/>
      <c r="G816" s="566"/>
      <c r="H816" s="566"/>
      <c r="I816" s="566"/>
      <c r="J816" s="566"/>
      <c r="K816" s="566"/>
      <c r="L816" s="566"/>
      <c r="M816" s="566"/>
      <c r="N816" s="566"/>
      <c r="O816" s="566"/>
      <c r="P816" s="566"/>
      <c r="Q816" s="566"/>
      <c r="R816" s="566"/>
      <c r="S816" s="566"/>
      <c r="T816" s="566"/>
      <c r="U816" s="566"/>
      <c r="V816" s="566"/>
      <c r="W816" s="566"/>
      <c r="X816" s="566"/>
      <c r="Y816" s="566"/>
    </row>
    <row r="817" spans="2:25" x14ac:dyDescent="0.25">
      <c r="B817" s="566"/>
      <c r="C817" s="566"/>
      <c r="D817" s="566"/>
      <c r="E817" s="566"/>
      <c r="F817" s="566"/>
      <c r="G817" s="566"/>
      <c r="H817" s="566"/>
      <c r="I817" s="566"/>
      <c r="J817" s="566"/>
      <c r="K817" s="566"/>
      <c r="L817" s="566"/>
      <c r="M817" s="566"/>
      <c r="N817" s="566"/>
      <c r="O817" s="566"/>
      <c r="P817" s="566"/>
      <c r="Q817" s="566"/>
      <c r="R817" s="566"/>
      <c r="S817" s="566"/>
      <c r="T817" s="566"/>
      <c r="U817" s="566"/>
      <c r="V817" s="566"/>
      <c r="W817" s="566"/>
      <c r="X817" s="566"/>
      <c r="Y817" s="566"/>
    </row>
    <row r="818" spans="2:25" x14ac:dyDescent="0.25">
      <c r="B818" s="566"/>
      <c r="C818" s="566"/>
      <c r="D818" s="566"/>
      <c r="E818" s="566"/>
      <c r="F818" s="566"/>
      <c r="G818" s="566"/>
      <c r="H818" s="566"/>
      <c r="I818" s="566"/>
      <c r="J818" s="566"/>
      <c r="K818" s="566"/>
      <c r="L818" s="566"/>
      <c r="M818" s="566"/>
      <c r="N818" s="566"/>
      <c r="O818" s="566"/>
      <c r="P818" s="566"/>
      <c r="Q818" s="566"/>
      <c r="R818" s="566"/>
      <c r="S818" s="566"/>
      <c r="T818" s="566"/>
      <c r="U818" s="566"/>
      <c r="V818" s="566"/>
      <c r="W818" s="566"/>
      <c r="X818" s="566"/>
      <c r="Y818" s="566"/>
    </row>
    <row r="819" spans="2:25" x14ac:dyDescent="0.25">
      <c r="B819" s="566"/>
      <c r="C819" s="566"/>
      <c r="D819" s="566"/>
      <c r="E819" s="566"/>
      <c r="F819" s="566"/>
      <c r="G819" s="566"/>
      <c r="H819" s="566"/>
      <c r="I819" s="566"/>
      <c r="J819" s="566"/>
      <c r="K819" s="566"/>
      <c r="L819" s="566"/>
      <c r="M819" s="566"/>
      <c r="N819" s="566"/>
      <c r="O819" s="566"/>
      <c r="P819" s="566"/>
      <c r="Q819" s="566"/>
      <c r="R819" s="566"/>
      <c r="S819" s="566"/>
      <c r="T819" s="566"/>
      <c r="U819" s="566"/>
      <c r="V819" s="566"/>
      <c r="W819" s="566"/>
      <c r="X819" s="566"/>
      <c r="Y819" s="566"/>
    </row>
    <row r="820" spans="2:25" x14ac:dyDescent="0.25">
      <c r="B820" s="566"/>
      <c r="C820" s="566"/>
      <c r="D820" s="566"/>
      <c r="E820" s="566"/>
      <c r="F820" s="566"/>
      <c r="G820" s="566"/>
      <c r="H820" s="566"/>
      <c r="I820" s="566"/>
      <c r="J820" s="566"/>
      <c r="K820" s="566"/>
      <c r="L820" s="566"/>
      <c r="M820" s="566"/>
      <c r="N820" s="566"/>
      <c r="O820" s="566"/>
      <c r="P820" s="566"/>
      <c r="Q820" s="566"/>
      <c r="R820" s="566"/>
      <c r="S820" s="566"/>
      <c r="T820" s="566"/>
      <c r="U820" s="566"/>
      <c r="V820" s="566"/>
      <c r="W820" s="566"/>
      <c r="X820" s="566"/>
      <c r="Y820" s="566"/>
    </row>
    <row r="821" spans="2:25" x14ac:dyDescent="0.25">
      <c r="B821" s="566"/>
      <c r="C821" s="566"/>
      <c r="D821" s="566"/>
      <c r="E821" s="566"/>
      <c r="F821" s="566"/>
      <c r="G821" s="566"/>
      <c r="H821" s="566"/>
      <c r="I821" s="566"/>
      <c r="J821" s="566"/>
      <c r="K821" s="566"/>
      <c r="L821" s="566"/>
      <c r="M821" s="566"/>
      <c r="N821" s="566"/>
      <c r="O821" s="566"/>
      <c r="P821" s="566"/>
      <c r="Q821" s="566"/>
      <c r="R821" s="566"/>
      <c r="S821" s="566"/>
      <c r="T821" s="566"/>
      <c r="U821" s="566"/>
      <c r="V821" s="566"/>
      <c r="W821" s="566"/>
      <c r="X821" s="566"/>
      <c r="Y821" s="566"/>
    </row>
    <row r="822" spans="2:25" x14ac:dyDescent="0.25">
      <c r="B822" s="566"/>
      <c r="C822" s="566"/>
      <c r="D822" s="566"/>
      <c r="E822" s="566"/>
      <c r="F822" s="566"/>
      <c r="G822" s="566"/>
      <c r="H822" s="566"/>
      <c r="I822" s="566"/>
      <c r="J822" s="566"/>
      <c r="K822" s="566"/>
      <c r="L822" s="566"/>
      <c r="M822" s="566"/>
      <c r="N822" s="566"/>
      <c r="O822" s="566"/>
      <c r="P822" s="566"/>
      <c r="Q822" s="566"/>
      <c r="R822" s="566"/>
      <c r="S822" s="566"/>
      <c r="T822" s="566"/>
      <c r="U822" s="566"/>
      <c r="V822" s="566"/>
      <c r="W822" s="566"/>
      <c r="X822" s="566"/>
      <c r="Y822" s="566"/>
    </row>
    <row r="823" spans="2:25" x14ac:dyDescent="0.25">
      <c r="B823" s="566"/>
      <c r="C823" s="566"/>
      <c r="D823" s="566"/>
      <c r="E823" s="566"/>
      <c r="F823" s="566"/>
      <c r="G823" s="566"/>
      <c r="H823" s="566"/>
      <c r="I823" s="566"/>
      <c r="J823" s="566"/>
      <c r="K823" s="566"/>
      <c r="L823" s="566"/>
      <c r="M823" s="566"/>
      <c r="N823" s="566"/>
      <c r="O823" s="566"/>
      <c r="P823" s="566"/>
      <c r="Q823" s="566"/>
      <c r="R823" s="566"/>
      <c r="S823" s="566"/>
      <c r="T823" s="566"/>
      <c r="U823" s="566"/>
      <c r="V823" s="566"/>
      <c r="W823" s="566"/>
      <c r="X823" s="566"/>
      <c r="Y823" s="566"/>
    </row>
    <row r="824" spans="2:25" x14ac:dyDescent="0.25">
      <c r="B824" s="566"/>
      <c r="C824" s="566"/>
      <c r="D824" s="566"/>
      <c r="E824" s="566"/>
      <c r="F824" s="566"/>
      <c r="G824" s="566"/>
      <c r="H824" s="566"/>
      <c r="I824" s="566"/>
      <c r="J824" s="566"/>
      <c r="K824" s="566"/>
      <c r="L824" s="566"/>
      <c r="M824" s="566"/>
      <c r="N824" s="566"/>
      <c r="O824" s="566"/>
      <c r="P824" s="566"/>
      <c r="Q824" s="566"/>
      <c r="R824" s="566"/>
      <c r="S824" s="566"/>
      <c r="T824" s="566"/>
      <c r="U824" s="566"/>
      <c r="V824" s="566"/>
      <c r="W824" s="566"/>
      <c r="X824" s="566"/>
      <c r="Y824" s="566"/>
    </row>
    <row r="825" spans="2:25" x14ac:dyDescent="0.25">
      <c r="B825" s="566"/>
      <c r="C825" s="566"/>
      <c r="D825" s="566"/>
      <c r="E825" s="566"/>
      <c r="F825" s="566"/>
      <c r="G825" s="566"/>
      <c r="H825" s="566"/>
      <c r="I825" s="566"/>
      <c r="J825" s="566"/>
      <c r="K825" s="566"/>
      <c r="L825" s="566"/>
      <c r="M825" s="566"/>
      <c r="N825" s="566"/>
      <c r="O825" s="566"/>
      <c r="P825" s="566"/>
      <c r="Q825" s="566"/>
      <c r="R825" s="566"/>
      <c r="S825" s="566"/>
      <c r="T825" s="566"/>
      <c r="U825" s="566"/>
      <c r="V825" s="566"/>
      <c r="W825" s="566"/>
      <c r="X825" s="566"/>
      <c r="Y825" s="566"/>
    </row>
    <row r="826" spans="2:25" x14ac:dyDescent="0.25">
      <c r="B826" s="566"/>
      <c r="C826" s="566"/>
      <c r="D826" s="566"/>
      <c r="E826" s="566"/>
      <c r="F826" s="566"/>
      <c r="G826" s="566"/>
      <c r="H826" s="566"/>
      <c r="I826" s="566"/>
      <c r="J826" s="566"/>
      <c r="K826" s="566"/>
      <c r="L826" s="566"/>
      <c r="M826" s="566"/>
      <c r="N826" s="566"/>
      <c r="O826" s="566"/>
      <c r="P826" s="566"/>
      <c r="Q826" s="566"/>
      <c r="R826" s="566"/>
      <c r="S826" s="566"/>
      <c r="T826" s="566"/>
      <c r="U826" s="566"/>
      <c r="V826" s="566"/>
      <c r="W826" s="566"/>
      <c r="X826" s="566"/>
      <c r="Y826" s="566"/>
    </row>
    <row r="827" spans="2:25" x14ac:dyDescent="0.25">
      <c r="B827" s="566"/>
      <c r="C827" s="566"/>
      <c r="D827" s="566"/>
      <c r="E827" s="566"/>
      <c r="F827" s="566"/>
      <c r="G827" s="566"/>
      <c r="H827" s="566"/>
      <c r="I827" s="566"/>
      <c r="J827" s="566"/>
      <c r="K827" s="566"/>
      <c r="L827" s="566"/>
      <c r="M827" s="566"/>
      <c r="N827" s="566"/>
      <c r="O827" s="566"/>
      <c r="P827" s="566"/>
      <c r="Q827" s="566"/>
      <c r="R827" s="566"/>
      <c r="S827" s="566"/>
      <c r="T827" s="566"/>
      <c r="U827" s="566"/>
      <c r="V827" s="566"/>
      <c r="W827" s="566"/>
      <c r="X827" s="566"/>
      <c r="Y827" s="566"/>
    </row>
    <row r="828" spans="2:25" x14ac:dyDescent="0.25">
      <c r="B828" s="566"/>
      <c r="C828" s="566"/>
      <c r="D828" s="566"/>
      <c r="E828" s="566"/>
      <c r="F828" s="566"/>
      <c r="G828" s="566"/>
      <c r="H828" s="566"/>
      <c r="I828" s="566"/>
      <c r="J828" s="566"/>
      <c r="K828" s="566"/>
      <c r="L828" s="566"/>
      <c r="M828" s="566"/>
      <c r="N828" s="566"/>
      <c r="O828" s="566"/>
      <c r="P828" s="566"/>
      <c r="Q828" s="566"/>
      <c r="R828" s="566"/>
      <c r="S828" s="566"/>
      <c r="T828" s="566"/>
      <c r="U828" s="566"/>
      <c r="V828" s="566"/>
      <c r="W828" s="566"/>
      <c r="X828" s="566"/>
      <c r="Y828" s="566"/>
    </row>
    <row r="829" spans="2:25" x14ac:dyDescent="0.25">
      <c r="B829" s="566"/>
      <c r="C829" s="566"/>
      <c r="D829" s="566"/>
      <c r="E829" s="566"/>
      <c r="F829" s="566"/>
      <c r="G829" s="566"/>
      <c r="H829" s="566"/>
      <c r="I829" s="566"/>
      <c r="J829" s="566"/>
      <c r="K829" s="566"/>
      <c r="L829" s="566"/>
      <c r="M829" s="566"/>
      <c r="N829" s="566"/>
      <c r="O829" s="566"/>
      <c r="P829" s="566"/>
      <c r="Q829" s="566"/>
      <c r="R829" s="566"/>
      <c r="S829" s="566"/>
      <c r="T829" s="566"/>
      <c r="U829" s="566"/>
      <c r="V829" s="566"/>
      <c r="W829" s="566"/>
      <c r="X829" s="566"/>
      <c r="Y829" s="566"/>
    </row>
    <row r="830" spans="2:25" x14ac:dyDescent="0.25">
      <c r="B830" s="566"/>
      <c r="C830" s="566"/>
      <c r="D830" s="566"/>
      <c r="E830" s="566"/>
      <c r="F830" s="566"/>
      <c r="G830" s="566"/>
      <c r="H830" s="566"/>
      <c r="I830" s="566"/>
      <c r="J830" s="566"/>
      <c r="K830" s="566"/>
      <c r="L830" s="566"/>
      <c r="M830" s="566"/>
      <c r="N830" s="566"/>
      <c r="O830" s="566"/>
      <c r="P830" s="566"/>
      <c r="Q830" s="566"/>
      <c r="R830" s="566"/>
      <c r="S830" s="566"/>
      <c r="T830" s="566"/>
      <c r="U830" s="566"/>
      <c r="V830" s="566"/>
      <c r="W830" s="566"/>
      <c r="X830" s="566"/>
      <c r="Y830" s="566"/>
    </row>
    <row r="831" spans="2:25" x14ac:dyDescent="0.25">
      <c r="B831" s="566"/>
      <c r="C831" s="566"/>
      <c r="D831" s="566"/>
      <c r="E831" s="566"/>
      <c r="F831" s="566"/>
      <c r="G831" s="566"/>
      <c r="H831" s="566"/>
      <c r="I831" s="566"/>
      <c r="J831" s="566"/>
      <c r="K831" s="566"/>
      <c r="L831" s="566"/>
      <c r="M831" s="566"/>
      <c r="N831" s="566"/>
      <c r="O831" s="566"/>
      <c r="P831" s="566"/>
      <c r="Q831" s="566"/>
      <c r="R831" s="566"/>
      <c r="S831" s="566"/>
      <c r="T831" s="566"/>
      <c r="U831" s="566"/>
      <c r="V831" s="566"/>
      <c r="W831" s="566"/>
      <c r="X831" s="566"/>
      <c r="Y831" s="566"/>
    </row>
    <row r="832" spans="2:25" x14ac:dyDescent="0.25">
      <c r="B832" s="566"/>
      <c r="C832" s="566"/>
      <c r="D832" s="566"/>
      <c r="E832" s="566"/>
      <c r="F832" s="566"/>
      <c r="G832" s="566"/>
      <c r="H832" s="566"/>
      <c r="I832" s="566"/>
      <c r="J832" s="566"/>
      <c r="K832" s="566"/>
      <c r="L832" s="566"/>
      <c r="M832" s="566"/>
      <c r="N832" s="566"/>
      <c r="O832" s="566"/>
      <c r="P832" s="566"/>
      <c r="Q832" s="566"/>
      <c r="R832" s="566"/>
      <c r="S832" s="566"/>
      <c r="T832" s="566"/>
      <c r="U832" s="566"/>
      <c r="V832" s="566"/>
      <c r="W832" s="566"/>
      <c r="X832" s="566"/>
      <c r="Y832" s="566"/>
    </row>
    <row r="833" spans="2:25" x14ac:dyDescent="0.25">
      <c r="B833" s="566"/>
      <c r="C833" s="566"/>
      <c r="D833" s="566"/>
      <c r="E833" s="566"/>
      <c r="F833" s="566"/>
      <c r="G833" s="566"/>
      <c r="H833" s="566"/>
      <c r="I833" s="566"/>
      <c r="J833" s="566"/>
      <c r="K833" s="566"/>
      <c r="L833" s="566"/>
      <c r="M833" s="566"/>
      <c r="N833" s="566"/>
      <c r="O833" s="566"/>
      <c r="P833" s="566"/>
      <c r="Q833" s="566"/>
      <c r="R833" s="566"/>
      <c r="S833" s="566"/>
      <c r="T833" s="566"/>
      <c r="U833" s="566"/>
      <c r="V833" s="566"/>
      <c r="W833" s="566"/>
      <c r="X833" s="566"/>
      <c r="Y833" s="566"/>
    </row>
    <row r="834" spans="2:25" x14ac:dyDescent="0.25">
      <c r="B834" s="566"/>
      <c r="C834" s="566"/>
      <c r="D834" s="566"/>
      <c r="E834" s="566"/>
      <c r="F834" s="566"/>
      <c r="G834" s="566"/>
      <c r="H834" s="566"/>
      <c r="I834" s="566"/>
      <c r="J834" s="566"/>
      <c r="K834" s="566"/>
      <c r="L834" s="566"/>
      <c r="M834" s="566"/>
      <c r="N834" s="566"/>
      <c r="O834" s="566"/>
      <c r="P834" s="566"/>
      <c r="Q834" s="566"/>
      <c r="R834" s="566"/>
      <c r="S834" s="566"/>
      <c r="T834" s="566"/>
      <c r="U834" s="566"/>
      <c r="V834" s="566"/>
      <c r="W834" s="566"/>
      <c r="X834" s="566"/>
      <c r="Y834" s="566"/>
    </row>
    <row r="835" spans="2:25" x14ac:dyDescent="0.25">
      <c r="B835" s="566"/>
      <c r="C835" s="566"/>
      <c r="D835" s="566"/>
      <c r="E835" s="566"/>
      <c r="F835" s="566"/>
      <c r="G835" s="566"/>
      <c r="H835" s="566"/>
      <c r="I835" s="566"/>
      <c r="J835" s="566"/>
      <c r="K835" s="566"/>
      <c r="L835" s="566"/>
      <c r="M835" s="566"/>
      <c r="N835" s="566"/>
      <c r="O835" s="566"/>
      <c r="P835" s="566"/>
      <c r="Q835" s="566"/>
      <c r="R835" s="566"/>
      <c r="S835" s="566"/>
      <c r="T835" s="566"/>
      <c r="U835" s="566"/>
      <c r="V835" s="566"/>
      <c r="W835" s="566"/>
      <c r="X835" s="566"/>
      <c r="Y835" s="566"/>
    </row>
    <row r="836" spans="2:25" x14ac:dyDescent="0.25">
      <c r="B836" s="566"/>
      <c r="C836" s="566"/>
      <c r="D836" s="566"/>
      <c r="E836" s="566"/>
      <c r="F836" s="566"/>
      <c r="G836" s="566"/>
      <c r="H836" s="566"/>
      <c r="I836" s="566"/>
      <c r="J836" s="566"/>
      <c r="K836" s="566"/>
      <c r="L836" s="566"/>
      <c r="M836" s="566"/>
      <c r="N836" s="566"/>
      <c r="O836" s="566"/>
      <c r="P836" s="566"/>
      <c r="Q836" s="566"/>
      <c r="R836" s="566"/>
      <c r="S836" s="566"/>
      <c r="T836" s="566"/>
      <c r="U836" s="566"/>
      <c r="V836" s="566"/>
      <c r="W836" s="566"/>
      <c r="X836" s="566"/>
      <c r="Y836" s="566"/>
    </row>
    <row r="837" spans="2:25" x14ac:dyDescent="0.25">
      <c r="B837" s="566"/>
      <c r="C837" s="566"/>
      <c r="D837" s="566"/>
      <c r="E837" s="566"/>
      <c r="F837" s="566"/>
      <c r="G837" s="566"/>
      <c r="H837" s="566"/>
      <c r="I837" s="566"/>
      <c r="J837" s="566"/>
      <c r="K837" s="566"/>
      <c r="L837" s="566"/>
      <c r="M837" s="566"/>
      <c r="N837" s="566"/>
      <c r="O837" s="566"/>
      <c r="P837" s="566"/>
      <c r="Q837" s="566"/>
      <c r="R837" s="566"/>
      <c r="S837" s="566"/>
      <c r="T837" s="566"/>
      <c r="U837" s="566"/>
      <c r="V837" s="566"/>
      <c r="W837" s="566"/>
      <c r="X837" s="566"/>
      <c r="Y837" s="566"/>
    </row>
    <row r="838" spans="2:25" x14ac:dyDescent="0.25">
      <c r="B838" s="566"/>
      <c r="C838" s="566"/>
      <c r="D838" s="566"/>
      <c r="E838" s="566"/>
      <c r="F838" s="566"/>
      <c r="G838" s="566"/>
      <c r="H838" s="566"/>
      <c r="I838" s="566"/>
      <c r="J838" s="566"/>
      <c r="K838" s="566"/>
      <c r="L838" s="566"/>
      <c r="M838" s="566"/>
      <c r="N838" s="566"/>
      <c r="O838" s="566"/>
      <c r="P838" s="566"/>
      <c r="Q838" s="566"/>
      <c r="R838" s="566"/>
      <c r="S838" s="566"/>
      <c r="T838" s="566"/>
      <c r="U838" s="566"/>
      <c r="V838" s="566"/>
      <c r="W838" s="566"/>
      <c r="X838" s="566"/>
      <c r="Y838" s="566"/>
    </row>
    <row r="839" spans="2:25" x14ac:dyDescent="0.25">
      <c r="B839" s="566"/>
      <c r="C839" s="566"/>
      <c r="D839" s="566"/>
      <c r="E839" s="566"/>
      <c r="F839" s="566"/>
      <c r="G839" s="566"/>
      <c r="H839" s="566"/>
      <c r="I839" s="566"/>
      <c r="J839" s="566"/>
      <c r="K839" s="566"/>
      <c r="L839" s="566"/>
      <c r="M839" s="566"/>
      <c r="N839" s="566"/>
      <c r="O839" s="566"/>
      <c r="P839" s="566"/>
      <c r="Q839" s="566"/>
      <c r="R839" s="566"/>
      <c r="S839" s="566"/>
      <c r="T839" s="566"/>
      <c r="U839" s="566"/>
      <c r="V839" s="566"/>
      <c r="W839" s="566"/>
      <c r="X839" s="566"/>
      <c r="Y839" s="566"/>
    </row>
    <row r="840" spans="2:25" x14ac:dyDescent="0.25">
      <c r="B840" s="566"/>
      <c r="C840" s="566"/>
      <c r="D840" s="566"/>
      <c r="E840" s="566"/>
      <c r="F840" s="566"/>
      <c r="G840" s="566"/>
      <c r="H840" s="566"/>
      <c r="I840" s="566"/>
      <c r="J840" s="566"/>
      <c r="K840" s="566"/>
      <c r="L840" s="566"/>
      <c r="M840" s="566"/>
      <c r="N840" s="566"/>
      <c r="O840" s="566"/>
      <c r="P840" s="566"/>
      <c r="Q840" s="566"/>
      <c r="R840" s="566"/>
      <c r="S840" s="566"/>
      <c r="T840" s="566"/>
      <c r="U840" s="566"/>
      <c r="V840" s="566"/>
      <c r="W840" s="566"/>
      <c r="X840" s="566"/>
      <c r="Y840" s="566"/>
    </row>
    <row r="841" spans="2:25" x14ac:dyDescent="0.25">
      <c r="B841" s="566"/>
      <c r="C841" s="566"/>
      <c r="D841" s="566"/>
      <c r="E841" s="566"/>
      <c r="F841" s="566"/>
      <c r="G841" s="566"/>
      <c r="H841" s="566"/>
      <c r="I841" s="566"/>
      <c r="J841" s="566"/>
      <c r="K841" s="566"/>
      <c r="L841" s="566"/>
      <c r="M841" s="566"/>
      <c r="N841" s="566"/>
      <c r="O841" s="566"/>
      <c r="P841" s="566"/>
      <c r="Q841" s="566"/>
      <c r="R841" s="566"/>
      <c r="S841" s="566"/>
      <c r="T841" s="566"/>
      <c r="U841" s="566"/>
      <c r="V841" s="566"/>
      <c r="W841" s="566"/>
      <c r="X841" s="566"/>
      <c r="Y841" s="566"/>
    </row>
    <row r="842" spans="2:25" x14ac:dyDescent="0.25">
      <c r="B842" s="566"/>
      <c r="C842" s="566"/>
      <c r="D842" s="566"/>
      <c r="E842" s="566"/>
      <c r="F842" s="566"/>
      <c r="G842" s="566"/>
      <c r="H842" s="566"/>
      <c r="I842" s="566"/>
      <c r="J842" s="566"/>
      <c r="K842" s="566"/>
      <c r="L842" s="566"/>
      <c r="M842" s="566"/>
      <c r="N842" s="566"/>
      <c r="O842" s="566"/>
      <c r="P842" s="566"/>
      <c r="Q842" s="566"/>
      <c r="R842" s="566"/>
      <c r="S842" s="566"/>
      <c r="T842" s="566"/>
      <c r="U842" s="566"/>
      <c r="V842" s="566"/>
      <c r="W842" s="566"/>
      <c r="X842" s="566"/>
      <c r="Y842" s="566"/>
    </row>
    <row r="843" spans="2:25" x14ac:dyDescent="0.25">
      <c r="B843" s="566"/>
      <c r="C843" s="566"/>
      <c r="D843" s="566"/>
      <c r="E843" s="566"/>
      <c r="F843" s="566"/>
      <c r="G843" s="566"/>
      <c r="H843" s="566"/>
      <c r="I843" s="566"/>
      <c r="J843" s="566"/>
      <c r="K843" s="566"/>
      <c r="L843" s="566"/>
      <c r="M843" s="566"/>
      <c r="N843" s="566"/>
      <c r="O843" s="566"/>
      <c r="P843" s="566"/>
      <c r="Q843" s="566"/>
      <c r="R843" s="566"/>
      <c r="S843" s="566"/>
      <c r="T843" s="566"/>
      <c r="U843" s="566"/>
      <c r="V843" s="566"/>
      <c r="W843" s="566"/>
      <c r="X843" s="566"/>
      <c r="Y843" s="566"/>
    </row>
    <row r="844" spans="2:25" x14ac:dyDescent="0.25">
      <c r="B844" s="566"/>
      <c r="C844" s="566"/>
      <c r="D844" s="566"/>
      <c r="E844" s="566"/>
      <c r="F844" s="566"/>
      <c r="G844" s="566"/>
      <c r="H844" s="566"/>
      <c r="I844" s="566"/>
      <c r="J844" s="566"/>
      <c r="K844" s="566"/>
      <c r="L844" s="566"/>
      <c r="M844" s="566"/>
      <c r="N844" s="566"/>
      <c r="O844" s="566"/>
      <c r="P844" s="566"/>
      <c r="Q844" s="566"/>
      <c r="R844" s="566"/>
      <c r="S844" s="566"/>
      <c r="T844" s="566"/>
      <c r="U844" s="566"/>
      <c r="V844" s="566"/>
      <c r="W844" s="566"/>
      <c r="X844" s="566"/>
      <c r="Y844" s="566"/>
    </row>
    <row r="845" spans="2:25" x14ac:dyDescent="0.25">
      <c r="B845" s="566"/>
      <c r="C845" s="566"/>
      <c r="D845" s="566"/>
      <c r="E845" s="566"/>
      <c r="F845" s="566"/>
      <c r="G845" s="566"/>
      <c r="H845" s="566"/>
      <c r="I845" s="566"/>
      <c r="J845" s="566"/>
      <c r="K845" s="566"/>
      <c r="L845" s="566"/>
      <c r="M845" s="566"/>
      <c r="N845" s="566"/>
      <c r="O845" s="566"/>
      <c r="P845" s="566"/>
      <c r="Q845" s="566"/>
      <c r="R845" s="566"/>
      <c r="S845" s="566"/>
      <c r="T845" s="566"/>
      <c r="U845" s="566"/>
      <c r="V845" s="566"/>
      <c r="W845" s="566"/>
      <c r="X845" s="566"/>
      <c r="Y845" s="566"/>
    </row>
    <row r="846" spans="2:25" x14ac:dyDescent="0.25">
      <c r="B846" s="566"/>
      <c r="C846" s="566"/>
      <c r="D846" s="566"/>
      <c r="E846" s="566"/>
      <c r="F846" s="566"/>
      <c r="G846" s="566"/>
      <c r="H846" s="566"/>
      <c r="I846" s="566"/>
      <c r="J846" s="566"/>
      <c r="K846" s="566"/>
      <c r="L846" s="566"/>
      <c r="M846" s="566"/>
      <c r="N846" s="566"/>
      <c r="O846" s="566"/>
      <c r="P846" s="566"/>
      <c r="Q846" s="566"/>
      <c r="R846" s="566"/>
      <c r="S846" s="566"/>
      <c r="T846" s="566"/>
      <c r="U846" s="566"/>
      <c r="V846" s="566"/>
      <c r="W846" s="566"/>
      <c r="X846" s="566"/>
      <c r="Y846" s="566"/>
    </row>
    <row r="847" spans="2:25" x14ac:dyDescent="0.25">
      <c r="B847" s="566"/>
      <c r="C847" s="566"/>
      <c r="D847" s="566"/>
      <c r="E847" s="566"/>
      <c r="F847" s="566"/>
      <c r="G847" s="566"/>
      <c r="H847" s="566"/>
      <c r="I847" s="566"/>
      <c r="J847" s="566"/>
      <c r="K847" s="566"/>
      <c r="L847" s="566"/>
      <c r="M847" s="566"/>
      <c r="N847" s="566"/>
      <c r="O847" s="566"/>
      <c r="P847" s="566"/>
      <c r="Q847" s="566"/>
      <c r="R847" s="566"/>
      <c r="S847" s="566"/>
      <c r="T847" s="566"/>
      <c r="U847" s="566"/>
      <c r="V847" s="566"/>
      <c r="W847" s="566"/>
      <c r="X847" s="566"/>
      <c r="Y847" s="566"/>
    </row>
    <row r="848" spans="2:25" x14ac:dyDescent="0.25">
      <c r="B848" s="566"/>
      <c r="C848" s="566"/>
      <c r="D848" s="566"/>
      <c r="E848" s="566"/>
      <c r="F848" s="566"/>
      <c r="G848" s="566"/>
      <c r="H848" s="566"/>
      <c r="I848" s="566"/>
      <c r="J848" s="566"/>
      <c r="K848" s="566"/>
      <c r="L848" s="566"/>
      <c r="M848" s="566"/>
      <c r="N848" s="566"/>
      <c r="O848" s="566"/>
      <c r="P848" s="566"/>
      <c r="Q848" s="566"/>
      <c r="R848" s="566"/>
      <c r="S848" s="566"/>
      <c r="T848" s="566"/>
      <c r="U848" s="566"/>
      <c r="V848" s="566"/>
      <c r="W848" s="566"/>
      <c r="X848" s="566"/>
      <c r="Y848" s="566"/>
    </row>
    <row r="849" spans="2:25" x14ac:dyDescent="0.25">
      <c r="B849" s="566"/>
      <c r="C849" s="566"/>
      <c r="D849" s="566"/>
      <c r="E849" s="566"/>
      <c r="F849" s="566"/>
      <c r="G849" s="566"/>
      <c r="H849" s="566"/>
      <c r="I849" s="566"/>
      <c r="J849" s="566"/>
      <c r="K849" s="566"/>
      <c r="L849" s="566"/>
      <c r="M849" s="566"/>
      <c r="N849" s="566"/>
      <c r="O849" s="566"/>
      <c r="P849" s="566"/>
      <c r="Q849" s="566"/>
      <c r="R849" s="566"/>
      <c r="S849" s="566"/>
      <c r="T849" s="566"/>
      <c r="U849" s="566"/>
      <c r="V849" s="566"/>
      <c r="W849" s="566"/>
      <c r="X849" s="566"/>
      <c r="Y849" s="566"/>
    </row>
    <row r="850" spans="2:25" x14ac:dyDescent="0.25">
      <c r="B850" s="566"/>
      <c r="C850" s="566"/>
      <c r="D850" s="566"/>
      <c r="E850" s="566"/>
      <c r="F850" s="566"/>
      <c r="G850" s="566"/>
      <c r="H850" s="566"/>
      <c r="I850" s="566"/>
      <c r="J850" s="566"/>
      <c r="K850" s="566"/>
      <c r="L850" s="566"/>
      <c r="M850" s="566"/>
      <c r="N850" s="566"/>
      <c r="O850" s="566"/>
      <c r="P850" s="566"/>
      <c r="Q850" s="566"/>
      <c r="R850" s="566"/>
      <c r="S850" s="566"/>
      <c r="T850" s="566"/>
      <c r="U850" s="566"/>
      <c r="V850" s="566"/>
      <c r="W850" s="566"/>
      <c r="X850" s="566"/>
      <c r="Y850" s="566"/>
    </row>
    <row r="851" spans="2:25" x14ac:dyDescent="0.25">
      <c r="B851" s="566"/>
      <c r="C851" s="566"/>
      <c r="D851" s="566"/>
      <c r="E851" s="566"/>
      <c r="F851" s="566"/>
      <c r="G851" s="566"/>
      <c r="H851" s="566"/>
      <c r="I851" s="566"/>
      <c r="J851" s="566"/>
      <c r="K851" s="566"/>
      <c r="L851" s="566"/>
      <c r="M851" s="566"/>
      <c r="N851" s="566"/>
      <c r="O851" s="566"/>
      <c r="P851" s="566"/>
      <c r="Q851" s="566"/>
      <c r="R851" s="566"/>
      <c r="S851" s="566"/>
      <c r="T851" s="566"/>
      <c r="U851" s="566"/>
      <c r="V851" s="566"/>
      <c r="W851" s="566"/>
      <c r="X851" s="566"/>
      <c r="Y851" s="566"/>
    </row>
    <row r="852" spans="2:25" x14ac:dyDescent="0.25">
      <c r="B852" s="566"/>
      <c r="C852" s="566"/>
      <c r="D852" s="566"/>
      <c r="E852" s="566"/>
      <c r="F852" s="566"/>
      <c r="G852" s="566"/>
      <c r="H852" s="566"/>
      <c r="I852" s="566"/>
      <c r="J852" s="566"/>
      <c r="K852" s="566"/>
      <c r="L852" s="566"/>
      <c r="M852" s="566"/>
      <c r="N852" s="566"/>
      <c r="O852" s="566"/>
      <c r="P852" s="566"/>
      <c r="Q852" s="566"/>
      <c r="R852" s="566"/>
      <c r="S852" s="566"/>
      <c r="T852" s="566"/>
      <c r="U852" s="566"/>
      <c r="V852" s="566"/>
      <c r="W852" s="566"/>
      <c r="X852" s="566"/>
      <c r="Y852" s="566"/>
    </row>
    <row r="853" spans="2:25" x14ac:dyDescent="0.25">
      <c r="B853" s="566"/>
      <c r="C853" s="566"/>
      <c r="D853" s="566"/>
      <c r="E853" s="566"/>
      <c r="F853" s="566"/>
      <c r="G853" s="566"/>
      <c r="H853" s="566"/>
      <c r="I853" s="566"/>
      <c r="J853" s="566"/>
      <c r="K853" s="566"/>
      <c r="L853" s="566"/>
      <c r="M853" s="566"/>
      <c r="N853" s="566"/>
      <c r="O853" s="566"/>
      <c r="P853" s="566"/>
      <c r="Q853" s="566"/>
      <c r="R853" s="566"/>
      <c r="S853" s="566"/>
      <c r="T853" s="566"/>
      <c r="U853" s="566"/>
      <c r="V853" s="566"/>
      <c r="W853" s="566"/>
      <c r="X853" s="566"/>
      <c r="Y853" s="566"/>
    </row>
    <row r="854" spans="2:25" x14ac:dyDescent="0.25">
      <c r="B854" s="566"/>
      <c r="C854" s="566"/>
      <c r="D854" s="566"/>
      <c r="E854" s="566"/>
      <c r="F854" s="566"/>
      <c r="G854" s="566"/>
      <c r="H854" s="566"/>
      <c r="I854" s="566"/>
      <c r="J854" s="566"/>
      <c r="K854" s="566"/>
      <c r="L854" s="566"/>
      <c r="M854" s="566"/>
      <c r="N854" s="566"/>
      <c r="O854" s="566"/>
      <c r="P854" s="566"/>
      <c r="Q854" s="566"/>
      <c r="R854" s="566"/>
      <c r="S854" s="566"/>
      <c r="T854" s="566"/>
      <c r="U854" s="566"/>
      <c r="V854" s="566"/>
      <c r="W854" s="566"/>
      <c r="X854" s="566"/>
      <c r="Y854" s="566"/>
    </row>
    <row r="855" spans="2:25" x14ac:dyDescent="0.25">
      <c r="B855" s="566"/>
      <c r="C855" s="566"/>
      <c r="D855" s="566"/>
      <c r="E855" s="566"/>
      <c r="F855" s="566"/>
      <c r="G855" s="566"/>
      <c r="H855" s="566"/>
      <c r="I855" s="566"/>
      <c r="J855" s="566"/>
      <c r="K855" s="566"/>
      <c r="L855" s="566"/>
      <c r="M855" s="566"/>
      <c r="N855" s="566"/>
      <c r="O855" s="566"/>
      <c r="P855" s="566"/>
      <c r="Q855" s="566"/>
      <c r="R855" s="566"/>
      <c r="S855" s="566"/>
      <c r="T855" s="566"/>
      <c r="U855" s="566"/>
      <c r="V855" s="566"/>
      <c r="W855" s="566"/>
      <c r="X855" s="566"/>
      <c r="Y855" s="566"/>
    </row>
    <row r="856" spans="2:25" x14ac:dyDescent="0.25">
      <c r="B856" s="566"/>
      <c r="C856" s="566"/>
      <c r="D856" s="566"/>
      <c r="E856" s="566"/>
      <c r="F856" s="566"/>
      <c r="G856" s="566"/>
      <c r="H856" s="566"/>
      <c r="I856" s="566"/>
      <c r="J856" s="566"/>
      <c r="K856" s="566"/>
      <c r="L856" s="566"/>
      <c r="M856" s="566"/>
      <c r="N856" s="566"/>
      <c r="O856" s="566"/>
      <c r="P856" s="566"/>
      <c r="Q856" s="566"/>
      <c r="R856" s="566"/>
      <c r="S856" s="566"/>
      <c r="T856" s="566"/>
      <c r="U856" s="566"/>
      <c r="V856" s="566"/>
      <c r="W856" s="566"/>
      <c r="X856" s="566"/>
      <c r="Y856" s="566"/>
    </row>
    <row r="857" spans="2:25" x14ac:dyDescent="0.25">
      <c r="B857" s="566"/>
      <c r="C857" s="566"/>
      <c r="D857" s="566"/>
      <c r="E857" s="566"/>
      <c r="F857" s="566"/>
      <c r="G857" s="566"/>
      <c r="H857" s="566"/>
      <c r="I857" s="566"/>
      <c r="J857" s="566"/>
      <c r="K857" s="566"/>
      <c r="L857" s="566"/>
      <c r="M857" s="566"/>
      <c r="N857" s="566"/>
      <c r="O857" s="566"/>
      <c r="P857" s="566"/>
      <c r="Q857" s="566"/>
      <c r="R857" s="566"/>
      <c r="S857" s="566"/>
      <c r="T857" s="566"/>
      <c r="U857" s="566"/>
      <c r="V857" s="566"/>
      <c r="W857" s="566"/>
      <c r="X857" s="566"/>
      <c r="Y857" s="566"/>
    </row>
    <row r="858" spans="2:25" x14ac:dyDescent="0.25">
      <c r="B858" s="566"/>
      <c r="C858" s="566"/>
      <c r="D858" s="566"/>
      <c r="E858" s="566"/>
      <c r="F858" s="566"/>
      <c r="G858" s="566"/>
      <c r="H858" s="566"/>
      <c r="I858" s="566"/>
      <c r="J858" s="566"/>
      <c r="K858" s="566"/>
      <c r="L858" s="566"/>
      <c r="M858" s="566"/>
      <c r="N858" s="566"/>
      <c r="O858" s="566"/>
      <c r="P858" s="566"/>
      <c r="Q858" s="566"/>
      <c r="R858" s="566"/>
      <c r="S858" s="566"/>
      <c r="T858" s="566"/>
      <c r="U858" s="566"/>
      <c r="V858" s="566"/>
      <c r="W858" s="566"/>
      <c r="X858" s="566"/>
      <c r="Y858" s="566"/>
    </row>
    <row r="859" spans="2:25" x14ac:dyDescent="0.25">
      <c r="B859" s="566"/>
      <c r="C859" s="566"/>
      <c r="D859" s="566"/>
      <c r="E859" s="566"/>
      <c r="F859" s="566"/>
      <c r="G859" s="566"/>
      <c r="H859" s="566"/>
      <c r="I859" s="566"/>
      <c r="J859" s="566"/>
      <c r="K859" s="566"/>
      <c r="L859" s="566"/>
      <c r="M859" s="566"/>
      <c r="N859" s="566"/>
      <c r="O859" s="566"/>
      <c r="P859" s="566"/>
      <c r="Q859" s="566"/>
      <c r="R859" s="566"/>
      <c r="S859" s="566"/>
      <c r="T859" s="566"/>
      <c r="U859" s="566"/>
      <c r="V859" s="566"/>
      <c r="W859" s="566"/>
      <c r="X859" s="566"/>
      <c r="Y859" s="566"/>
    </row>
    <row r="860" spans="2:25" x14ac:dyDescent="0.25">
      <c r="B860" s="566"/>
      <c r="C860" s="566"/>
      <c r="D860" s="566"/>
      <c r="E860" s="566"/>
      <c r="F860" s="566"/>
      <c r="G860" s="566"/>
      <c r="H860" s="566"/>
      <c r="I860" s="566"/>
      <c r="J860" s="566"/>
      <c r="K860" s="566"/>
      <c r="L860" s="566"/>
      <c r="M860" s="566"/>
      <c r="N860" s="566"/>
      <c r="O860" s="566"/>
      <c r="P860" s="566"/>
      <c r="Q860" s="566"/>
      <c r="R860" s="566"/>
      <c r="S860" s="566"/>
      <c r="T860" s="566"/>
      <c r="U860" s="566"/>
      <c r="V860" s="566"/>
      <c r="W860" s="566"/>
      <c r="X860" s="566"/>
      <c r="Y860" s="566"/>
    </row>
    <row r="861" spans="2:25" x14ac:dyDescent="0.25">
      <c r="B861" s="566"/>
      <c r="C861" s="566"/>
      <c r="D861" s="566"/>
      <c r="E861" s="566"/>
      <c r="F861" s="566"/>
      <c r="G861" s="566"/>
      <c r="H861" s="566"/>
      <c r="I861" s="566"/>
      <c r="J861" s="566"/>
      <c r="K861" s="566"/>
      <c r="L861" s="566"/>
      <c r="M861" s="566"/>
      <c r="N861" s="566"/>
      <c r="O861" s="566"/>
      <c r="P861" s="566"/>
      <c r="Q861" s="566"/>
      <c r="R861" s="566"/>
      <c r="S861" s="566"/>
      <c r="T861" s="566"/>
      <c r="U861" s="566"/>
      <c r="V861" s="566"/>
      <c r="W861" s="566"/>
      <c r="X861" s="566"/>
      <c r="Y861" s="566"/>
    </row>
    <row r="862" spans="2:25" x14ac:dyDescent="0.25">
      <c r="B862" s="566"/>
      <c r="C862" s="566"/>
      <c r="D862" s="566"/>
      <c r="E862" s="566"/>
      <c r="F862" s="566"/>
      <c r="G862" s="566"/>
      <c r="H862" s="566"/>
      <c r="I862" s="566"/>
      <c r="J862" s="566"/>
      <c r="K862" s="566"/>
      <c r="L862" s="566"/>
      <c r="M862" s="566"/>
      <c r="N862" s="566"/>
      <c r="O862" s="566"/>
      <c r="P862" s="566"/>
      <c r="Q862" s="566"/>
      <c r="R862" s="566"/>
      <c r="S862" s="566"/>
      <c r="T862" s="566"/>
      <c r="U862" s="566"/>
      <c r="V862" s="566"/>
      <c r="W862" s="566"/>
      <c r="X862" s="566"/>
      <c r="Y862" s="566"/>
    </row>
    <row r="863" spans="2:25" x14ac:dyDescent="0.25">
      <c r="B863" s="566"/>
      <c r="C863" s="566"/>
      <c r="D863" s="566"/>
      <c r="E863" s="566"/>
      <c r="F863" s="566"/>
      <c r="G863" s="566"/>
      <c r="H863" s="566"/>
      <c r="I863" s="566"/>
      <c r="J863" s="566"/>
      <c r="K863" s="566"/>
      <c r="L863" s="566"/>
      <c r="M863" s="566"/>
      <c r="N863" s="566"/>
      <c r="O863" s="566"/>
      <c r="P863" s="566"/>
      <c r="Q863" s="566"/>
      <c r="R863" s="566"/>
      <c r="S863" s="566"/>
      <c r="T863" s="566"/>
      <c r="U863" s="566"/>
      <c r="V863" s="566"/>
      <c r="W863" s="566"/>
      <c r="X863" s="566"/>
      <c r="Y863" s="566"/>
    </row>
    <row r="864" spans="2:25" x14ac:dyDescent="0.25">
      <c r="B864" s="566"/>
      <c r="C864" s="566"/>
      <c r="D864" s="566"/>
      <c r="E864" s="566"/>
      <c r="F864" s="566"/>
      <c r="G864" s="566"/>
      <c r="H864" s="566"/>
      <c r="I864" s="566"/>
      <c r="J864" s="566"/>
      <c r="K864" s="566"/>
      <c r="L864" s="566"/>
      <c r="M864" s="566"/>
      <c r="N864" s="566"/>
      <c r="O864" s="566"/>
      <c r="P864" s="566"/>
      <c r="Q864" s="566"/>
      <c r="R864" s="566"/>
      <c r="S864" s="566"/>
      <c r="T864" s="566"/>
      <c r="U864" s="566"/>
      <c r="V864" s="566"/>
      <c r="W864" s="566"/>
      <c r="X864" s="566"/>
      <c r="Y864" s="566"/>
    </row>
    <row r="865" spans="2:25" x14ac:dyDescent="0.25">
      <c r="B865" s="566"/>
      <c r="C865" s="566"/>
      <c r="D865" s="566"/>
      <c r="E865" s="566"/>
      <c r="F865" s="566"/>
      <c r="G865" s="566"/>
      <c r="H865" s="566"/>
      <c r="I865" s="566"/>
      <c r="J865" s="566"/>
      <c r="K865" s="566"/>
      <c r="L865" s="566"/>
      <c r="M865" s="566"/>
      <c r="N865" s="566"/>
      <c r="O865" s="566"/>
      <c r="P865" s="566"/>
      <c r="Q865" s="566"/>
      <c r="R865" s="566"/>
      <c r="S865" s="566"/>
      <c r="T865" s="566"/>
      <c r="U865" s="566"/>
      <c r="V865" s="566"/>
      <c r="W865" s="566"/>
      <c r="X865" s="566"/>
      <c r="Y865" s="566"/>
    </row>
    <row r="866" spans="2:25" x14ac:dyDescent="0.25">
      <c r="B866" s="566"/>
      <c r="C866" s="566"/>
      <c r="D866" s="566"/>
      <c r="E866" s="566"/>
      <c r="F866" s="566"/>
      <c r="G866" s="566"/>
      <c r="H866" s="566"/>
      <c r="I866" s="566"/>
      <c r="J866" s="566"/>
      <c r="K866" s="566"/>
      <c r="L866" s="566"/>
      <c r="M866" s="566"/>
      <c r="N866" s="566"/>
      <c r="O866" s="566"/>
      <c r="P866" s="566"/>
      <c r="Q866" s="566"/>
      <c r="R866" s="566"/>
      <c r="S866" s="566"/>
      <c r="T866" s="566"/>
      <c r="U866" s="566"/>
      <c r="V866" s="566"/>
      <c r="W866" s="566"/>
      <c r="X866" s="566"/>
      <c r="Y866" s="566"/>
    </row>
    <row r="867" spans="2:25" x14ac:dyDescent="0.25">
      <c r="B867" s="566"/>
      <c r="C867" s="566"/>
      <c r="D867" s="566"/>
      <c r="E867" s="566"/>
      <c r="F867" s="566"/>
      <c r="G867" s="566"/>
      <c r="H867" s="566"/>
      <c r="I867" s="566"/>
      <c r="J867" s="566"/>
      <c r="K867" s="566"/>
      <c r="L867" s="566"/>
      <c r="M867" s="566"/>
      <c r="N867" s="566"/>
      <c r="O867" s="566"/>
      <c r="P867" s="566"/>
      <c r="Q867" s="566"/>
      <c r="R867" s="566"/>
      <c r="S867" s="566"/>
      <c r="T867" s="566"/>
      <c r="U867" s="566"/>
      <c r="V867" s="566"/>
      <c r="W867" s="566"/>
      <c r="X867" s="566"/>
      <c r="Y867" s="566"/>
    </row>
    <row r="868" spans="2:25" x14ac:dyDescent="0.25">
      <c r="B868" s="566"/>
      <c r="C868" s="566"/>
      <c r="D868" s="566"/>
      <c r="E868" s="566"/>
      <c r="F868" s="566"/>
      <c r="G868" s="566"/>
      <c r="H868" s="566"/>
      <c r="I868" s="566"/>
      <c r="J868" s="566"/>
      <c r="K868" s="566"/>
      <c r="L868" s="566"/>
      <c r="M868" s="566"/>
      <c r="N868" s="566"/>
      <c r="O868" s="566"/>
      <c r="P868" s="566"/>
      <c r="Q868" s="566"/>
      <c r="R868" s="566"/>
      <c r="S868" s="566"/>
      <c r="T868" s="566"/>
      <c r="U868" s="566"/>
      <c r="V868" s="566"/>
      <c r="W868" s="566"/>
      <c r="X868" s="566"/>
      <c r="Y868" s="566"/>
    </row>
    <row r="869" spans="2:25" x14ac:dyDescent="0.25">
      <c r="B869" s="566"/>
      <c r="C869" s="566"/>
      <c r="D869" s="566"/>
      <c r="E869" s="566"/>
      <c r="F869" s="566"/>
      <c r="G869" s="566"/>
      <c r="H869" s="566"/>
      <c r="I869" s="566"/>
      <c r="J869" s="566"/>
      <c r="K869" s="566"/>
      <c r="L869" s="566"/>
      <c r="M869" s="566"/>
      <c r="N869" s="566"/>
      <c r="O869" s="566"/>
      <c r="P869" s="566"/>
      <c r="Q869" s="566"/>
      <c r="R869" s="566"/>
      <c r="S869" s="566"/>
      <c r="T869" s="566"/>
      <c r="U869" s="566"/>
      <c r="V869" s="566"/>
      <c r="W869" s="566"/>
      <c r="X869" s="566"/>
      <c r="Y869" s="566"/>
    </row>
    <row r="870" spans="2:25" x14ac:dyDescent="0.25">
      <c r="B870" s="566"/>
      <c r="C870" s="566"/>
      <c r="D870" s="566"/>
      <c r="E870" s="566"/>
      <c r="F870" s="566"/>
      <c r="G870" s="566"/>
      <c r="H870" s="566"/>
      <c r="I870" s="566"/>
      <c r="J870" s="566"/>
      <c r="K870" s="566"/>
      <c r="L870" s="566"/>
      <c r="M870" s="566"/>
      <c r="N870" s="566"/>
      <c r="O870" s="566"/>
      <c r="P870" s="566"/>
      <c r="Q870" s="566"/>
      <c r="R870" s="566"/>
      <c r="S870" s="566"/>
      <c r="T870" s="566"/>
      <c r="U870" s="566"/>
      <c r="V870" s="566"/>
      <c r="W870" s="566"/>
      <c r="X870" s="566"/>
      <c r="Y870" s="566"/>
    </row>
    <row r="871" spans="2:25" x14ac:dyDescent="0.25">
      <c r="B871" s="566"/>
      <c r="C871" s="566"/>
      <c r="D871" s="566"/>
      <c r="E871" s="566"/>
      <c r="F871" s="566"/>
      <c r="G871" s="566"/>
      <c r="H871" s="566"/>
      <c r="I871" s="566"/>
      <c r="J871" s="566"/>
      <c r="K871" s="566"/>
      <c r="L871" s="566"/>
      <c r="M871" s="566"/>
      <c r="N871" s="566"/>
      <c r="O871" s="566"/>
      <c r="P871" s="566"/>
      <c r="Q871" s="566"/>
      <c r="R871" s="566"/>
      <c r="S871" s="566"/>
      <c r="T871" s="566"/>
      <c r="U871" s="566"/>
      <c r="V871" s="566"/>
      <c r="W871" s="566"/>
      <c r="X871" s="566"/>
      <c r="Y871" s="566"/>
    </row>
    <row r="872" spans="2:25" x14ac:dyDescent="0.25">
      <c r="B872" s="566"/>
      <c r="C872" s="566"/>
      <c r="D872" s="566"/>
      <c r="E872" s="566"/>
      <c r="F872" s="566"/>
      <c r="G872" s="566"/>
      <c r="H872" s="566"/>
      <c r="I872" s="566"/>
      <c r="J872" s="566"/>
      <c r="K872" s="566"/>
      <c r="L872" s="566"/>
      <c r="M872" s="566"/>
      <c r="N872" s="566"/>
      <c r="O872" s="566"/>
      <c r="P872" s="566"/>
      <c r="Q872" s="566"/>
      <c r="R872" s="566"/>
      <c r="S872" s="566"/>
      <c r="T872" s="566"/>
      <c r="U872" s="566"/>
      <c r="V872" s="566"/>
      <c r="W872" s="566"/>
      <c r="X872" s="566"/>
      <c r="Y872" s="566"/>
    </row>
    <row r="873" spans="2:25" x14ac:dyDescent="0.25">
      <c r="B873" s="566"/>
      <c r="C873" s="566"/>
      <c r="D873" s="566"/>
      <c r="E873" s="566"/>
      <c r="F873" s="566"/>
      <c r="G873" s="566"/>
      <c r="H873" s="566"/>
      <c r="I873" s="566"/>
      <c r="J873" s="566"/>
      <c r="K873" s="566"/>
      <c r="L873" s="566"/>
      <c r="M873" s="566"/>
      <c r="N873" s="566"/>
      <c r="O873" s="566"/>
      <c r="P873" s="566"/>
      <c r="Q873" s="566"/>
      <c r="R873" s="566"/>
      <c r="S873" s="566"/>
      <c r="T873" s="566"/>
      <c r="U873" s="566"/>
      <c r="V873" s="566"/>
      <c r="W873" s="566"/>
      <c r="X873" s="566"/>
      <c r="Y873" s="566"/>
    </row>
    <row r="874" spans="2:25" x14ac:dyDescent="0.25">
      <c r="B874" s="566"/>
      <c r="C874" s="566"/>
      <c r="D874" s="566"/>
      <c r="E874" s="566"/>
      <c r="F874" s="566"/>
      <c r="G874" s="566"/>
      <c r="H874" s="566"/>
      <c r="I874" s="566"/>
      <c r="J874" s="566"/>
      <c r="K874" s="566"/>
      <c r="L874" s="566"/>
      <c r="M874" s="566"/>
      <c r="N874" s="566"/>
      <c r="O874" s="566"/>
      <c r="P874" s="566"/>
      <c r="Q874" s="566"/>
      <c r="R874" s="566"/>
      <c r="S874" s="566"/>
      <c r="T874" s="566"/>
      <c r="U874" s="566"/>
      <c r="V874" s="566"/>
      <c r="W874" s="566"/>
      <c r="X874" s="566"/>
      <c r="Y874" s="566"/>
    </row>
    <row r="875" spans="2:25" x14ac:dyDescent="0.25">
      <c r="B875" s="566"/>
      <c r="C875" s="566"/>
      <c r="D875" s="566"/>
      <c r="E875" s="566"/>
      <c r="F875" s="566"/>
      <c r="G875" s="566"/>
      <c r="H875" s="566"/>
      <c r="I875" s="566"/>
      <c r="J875" s="566"/>
      <c r="K875" s="566"/>
      <c r="L875" s="566"/>
      <c r="M875" s="566"/>
      <c r="N875" s="566"/>
      <c r="O875" s="566"/>
      <c r="P875" s="566"/>
      <c r="Q875" s="566"/>
      <c r="R875" s="566"/>
      <c r="S875" s="566"/>
      <c r="T875" s="566"/>
      <c r="U875" s="566"/>
      <c r="V875" s="566"/>
      <c r="W875" s="566"/>
      <c r="X875" s="566"/>
      <c r="Y875" s="566"/>
    </row>
    <row r="876" spans="2:25" x14ac:dyDescent="0.25">
      <c r="B876" s="566"/>
      <c r="C876" s="566"/>
      <c r="D876" s="566"/>
      <c r="E876" s="566"/>
      <c r="F876" s="566"/>
      <c r="G876" s="566"/>
      <c r="H876" s="566"/>
      <c r="I876" s="566"/>
      <c r="J876" s="566"/>
      <c r="K876" s="566"/>
      <c r="L876" s="566"/>
      <c r="M876" s="566"/>
      <c r="N876" s="566"/>
      <c r="O876" s="566"/>
      <c r="P876" s="566"/>
      <c r="Q876" s="566"/>
      <c r="R876" s="566"/>
      <c r="S876" s="566"/>
      <c r="T876" s="566"/>
      <c r="U876" s="566"/>
      <c r="V876" s="566"/>
      <c r="W876" s="566"/>
      <c r="X876" s="566"/>
      <c r="Y876" s="566"/>
    </row>
    <row r="877" spans="2:25" x14ac:dyDescent="0.25">
      <c r="B877" s="566"/>
      <c r="C877" s="566"/>
      <c r="D877" s="566"/>
      <c r="E877" s="566"/>
      <c r="F877" s="566"/>
      <c r="G877" s="566"/>
      <c r="H877" s="566"/>
      <c r="I877" s="566"/>
      <c r="J877" s="566"/>
      <c r="K877" s="566"/>
      <c r="L877" s="566"/>
      <c r="M877" s="566"/>
      <c r="N877" s="566"/>
      <c r="O877" s="566"/>
      <c r="P877" s="566"/>
      <c r="Q877" s="566"/>
      <c r="R877" s="566"/>
      <c r="S877" s="566"/>
      <c r="T877" s="566"/>
      <c r="U877" s="566"/>
      <c r="V877" s="566"/>
      <c r="W877" s="566"/>
      <c r="X877" s="566"/>
      <c r="Y877" s="566"/>
    </row>
    <row r="878" spans="2:25" x14ac:dyDescent="0.25">
      <c r="B878" s="566"/>
      <c r="C878" s="566"/>
      <c r="D878" s="566"/>
      <c r="E878" s="566"/>
      <c r="F878" s="566"/>
      <c r="G878" s="566"/>
      <c r="H878" s="566"/>
      <c r="I878" s="566"/>
      <c r="J878" s="566"/>
      <c r="K878" s="566"/>
      <c r="L878" s="566"/>
      <c r="M878" s="566"/>
      <c r="N878" s="566"/>
      <c r="O878" s="566"/>
      <c r="P878" s="566"/>
      <c r="Q878" s="566"/>
      <c r="R878" s="566"/>
      <c r="S878" s="566"/>
      <c r="T878" s="566"/>
      <c r="U878" s="566"/>
      <c r="V878" s="566"/>
      <c r="W878" s="566"/>
      <c r="X878" s="566"/>
      <c r="Y878" s="566"/>
    </row>
    <row r="879" spans="2:25" x14ac:dyDescent="0.25">
      <c r="B879" s="566"/>
      <c r="C879" s="566"/>
      <c r="D879" s="566"/>
      <c r="E879" s="566"/>
      <c r="F879" s="566"/>
      <c r="G879" s="566"/>
      <c r="H879" s="566"/>
      <c r="I879" s="566"/>
      <c r="J879" s="566"/>
      <c r="K879" s="566"/>
      <c r="L879" s="566"/>
      <c r="M879" s="566"/>
      <c r="N879" s="566"/>
      <c r="O879" s="566"/>
      <c r="P879" s="566"/>
      <c r="Q879" s="566"/>
      <c r="R879" s="566"/>
      <c r="S879" s="566"/>
      <c r="T879" s="566"/>
      <c r="U879" s="566"/>
      <c r="V879" s="566"/>
      <c r="W879" s="566"/>
      <c r="X879" s="566"/>
      <c r="Y879" s="566"/>
    </row>
    <row r="880" spans="2:25" x14ac:dyDescent="0.25">
      <c r="B880" s="566"/>
      <c r="C880" s="566"/>
      <c r="D880" s="566"/>
      <c r="E880" s="566"/>
      <c r="F880" s="566"/>
      <c r="G880" s="566"/>
      <c r="H880" s="566"/>
      <c r="I880" s="566"/>
      <c r="J880" s="566"/>
      <c r="K880" s="566"/>
      <c r="L880" s="566"/>
      <c r="M880" s="566"/>
      <c r="N880" s="566"/>
      <c r="O880" s="566"/>
      <c r="P880" s="566"/>
      <c r="Q880" s="566"/>
      <c r="R880" s="566"/>
      <c r="S880" s="566"/>
      <c r="T880" s="566"/>
      <c r="U880" s="566"/>
      <c r="V880" s="566"/>
      <c r="W880" s="566"/>
      <c r="X880" s="566"/>
      <c r="Y880" s="566"/>
    </row>
    <row r="881" spans="2:25" x14ac:dyDescent="0.25">
      <c r="B881" s="566"/>
      <c r="C881" s="566"/>
      <c r="D881" s="566"/>
      <c r="E881" s="566"/>
      <c r="F881" s="566"/>
      <c r="G881" s="566"/>
      <c r="H881" s="566"/>
      <c r="I881" s="566"/>
      <c r="J881" s="566"/>
      <c r="K881" s="566"/>
      <c r="L881" s="566"/>
      <c r="M881" s="566"/>
      <c r="N881" s="566"/>
      <c r="O881" s="566"/>
      <c r="P881" s="566"/>
      <c r="Q881" s="566"/>
      <c r="R881" s="566"/>
      <c r="S881" s="566"/>
      <c r="T881" s="566"/>
      <c r="U881" s="566"/>
      <c r="V881" s="566"/>
      <c r="W881" s="566"/>
      <c r="X881" s="566"/>
      <c r="Y881" s="566"/>
    </row>
    <row r="882" spans="2:25" x14ac:dyDescent="0.25">
      <c r="B882" s="566"/>
      <c r="C882" s="566"/>
      <c r="D882" s="566"/>
      <c r="E882" s="566"/>
      <c r="F882" s="566"/>
      <c r="G882" s="566"/>
      <c r="H882" s="566"/>
      <c r="I882" s="566"/>
      <c r="J882" s="566"/>
      <c r="K882" s="566"/>
      <c r="L882" s="566"/>
      <c r="M882" s="566"/>
      <c r="N882" s="566"/>
      <c r="O882" s="566"/>
      <c r="P882" s="566"/>
      <c r="Q882" s="566"/>
      <c r="R882" s="566"/>
      <c r="S882" s="566"/>
      <c r="T882" s="566"/>
      <c r="U882" s="566"/>
      <c r="V882" s="566"/>
      <c r="W882" s="566"/>
      <c r="X882" s="566"/>
      <c r="Y882" s="566"/>
    </row>
    <row r="883" spans="2:25" x14ac:dyDescent="0.25">
      <c r="B883" s="566"/>
      <c r="C883" s="566"/>
      <c r="D883" s="566"/>
      <c r="E883" s="566"/>
      <c r="F883" s="566"/>
      <c r="G883" s="566"/>
      <c r="H883" s="566"/>
      <c r="I883" s="566"/>
      <c r="J883" s="566"/>
      <c r="K883" s="566"/>
      <c r="L883" s="566"/>
      <c r="M883" s="566"/>
      <c r="N883" s="566"/>
      <c r="O883" s="566"/>
      <c r="P883" s="566"/>
      <c r="Q883" s="566"/>
      <c r="R883" s="566"/>
      <c r="S883" s="566"/>
      <c r="T883" s="566"/>
      <c r="U883" s="566"/>
      <c r="V883" s="566"/>
      <c r="W883" s="566"/>
      <c r="X883" s="566"/>
      <c r="Y883" s="566"/>
    </row>
    <row r="884" spans="2:25" x14ac:dyDescent="0.25">
      <c r="B884" s="566"/>
      <c r="C884" s="566"/>
      <c r="D884" s="566"/>
      <c r="E884" s="566"/>
      <c r="F884" s="566"/>
      <c r="G884" s="566"/>
      <c r="H884" s="566"/>
      <c r="I884" s="566"/>
      <c r="J884" s="566"/>
      <c r="K884" s="566"/>
      <c r="L884" s="566"/>
      <c r="M884" s="566"/>
      <c r="N884" s="566"/>
      <c r="O884" s="566"/>
      <c r="P884" s="566"/>
      <c r="Q884" s="566"/>
      <c r="R884" s="566"/>
      <c r="S884" s="566"/>
      <c r="T884" s="566"/>
      <c r="U884" s="566"/>
      <c r="V884" s="566"/>
      <c r="W884" s="566"/>
      <c r="X884" s="566"/>
      <c r="Y884" s="566"/>
    </row>
    <row r="885" spans="2:25" x14ac:dyDescent="0.25">
      <c r="B885" s="566"/>
      <c r="C885" s="566"/>
      <c r="D885" s="566"/>
      <c r="E885" s="566"/>
      <c r="F885" s="566"/>
      <c r="G885" s="566"/>
      <c r="H885" s="566"/>
      <c r="I885" s="566"/>
      <c r="J885" s="566"/>
      <c r="K885" s="566"/>
      <c r="L885" s="566"/>
      <c r="M885" s="566"/>
      <c r="N885" s="566"/>
      <c r="O885" s="566"/>
      <c r="P885" s="566"/>
      <c r="Q885" s="566"/>
      <c r="R885" s="566"/>
      <c r="S885" s="566"/>
      <c r="T885" s="566"/>
      <c r="U885" s="566"/>
      <c r="V885" s="566"/>
      <c r="W885" s="566"/>
      <c r="X885" s="566"/>
      <c r="Y885" s="566"/>
    </row>
    <row r="886" spans="2:25" x14ac:dyDescent="0.25">
      <c r="B886" s="566"/>
      <c r="C886" s="566"/>
      <c r="D886" s="566"/>
      <c r="E886" s="566"/>
      <c r="F886" s="566"/>
      <c r="G886" s="566"/>
      <c r="H886" s="566"/>
      <c r="I886" s="566"/>
      <c r="J886" s="566"/>
      <c r="K886" s="566"/>
      <c r="L886" s="566"/>
      <c r="M886" s="566"/>
      <c r="N886" s="566"/>
      <c r="O886" s="566"/>
      <c r="P886" s="566"/>
      <c r="Q886" s="566"/>
      <c r="R886" s="566"/>
      <c r="S886" s="566"/>
      <c r="T886" s="566"/>
      <c r="U886" s="566"/>
      <c r="V886" s="566"/>
      <c r="W886" s="566"/>
      <c r="X886" s="566"/>
      <c r="Y886" s="566"/>
    </row>
    <row r="887" spans="2:25" x14ac:dyDescent="0.25">
      <c r="B887" s="566"/>
      <c r="C887" s="566"/>
      <c r="D887" s="566"/>
      <c r="E887" s="566"/>
      <c r="F887" s="566"/>
      <c r="G887" s="566"/>
      <c r="H887" s="566"/>
      <c r="I887" s="566"/>
      <c r="J887" s="566"/>
      <c r="K887" s="566"/>
      <c r="L887" s="566"/>
      <c r="M887" s="566"/>
      <c r="N887" s="566"/>
      <c r="O887" s="566"/>
      <c r="P887" s="566"/>
      <c r="Q887" s="566"/>
      <c r="R887" s="566"/>
      <c r="S887" s="566"/>
      <c r="T887" s="566"/>
      <c r="U887" s="566"/>
      <c r="V887" s="566"/>
      <c r="W887" s="566"/>
      <c r="X887" s="566"/>
      <c r="Y887" s="566"/>
    </row>
    <row r="888" spans="2:25" x14ac:dyDescent="0.25">
      <c r="B888" s="566"/>
      <c r="C888" s="566"/>
      <c r="D888" s="566"/>
      <c r="E888" s="566"/>
      <c r="F888" s="566"/>
      <c r="G888" s="566"/>
      <c r="H888" s="566"/>
      <c r="I888" s="566"/>
      <c r="J888" s="566"/>
      <c r="K888" s="566"/>
      <c r="L888" s="566"/>
      <c r="M888" s="566"/>
      <c r="N888" s="566"/>
      <c r="O888" s="566"/>
      <c r="P888" s="566"/>
      <c r="Q888" s="566"/>
      <c r="R888" s="566"/>
      <c r="S888" s="566"/>
      <c r="T888" s="566"/>
      <c r="U888" s="566"/>
      <c r="V888" s="566"/>
      <c r="W888" s="566"/>
      <c r="X888" s="566"/>
      <c r="Y888" s="566"/>
    </row>
    <row r="889" spans="2:25" x14ac:dyDescent="0.25">
      <c r="B889" s="566"/>
      <c r="C889" s="566"/>
      <c r="D889" s="566"/>
      <c r="E889" s="566"/>
      <c r="F889" s="566"/>
      <c r="G889" s="566"/>
      <c r="H889" s="566"/>
      <c r="I889" s="566"/>
      <c r="J889" s="566"/>
      <c r="K889" s="566"/>
      <c r="L889" s="566"/>
      <c r="M889" s="566"/>
      <c r="N889" s="566"/>
      <c r="O889" s="566"/>
      <c r="P889" s="566"/>
      <c r="Q889" s="566"/>
      <c r="R889" s="566"/>
      <c r="S889" s="566"/>
      <c r="T889" s="566"/>
      <c r="U889" s="566"/>
      <c r="V889" s="566"/>
      <c r="W889" s="566"/>
      <c r="X889" s="566"/>
      <c r="Y889" s="566"/>
    </row>
    <row r="890" spans="2:25" x14ac:dyDescent="0.25">
      <c r="B890" s="566"/>
      <c r="C890" s="566"/>
      <c r="D890" s="566"/>
      <c r="E890" s="566"/>
      <c r="F890" s="566"/>
      <c r="G890" s="566"/>
      <c r="H890" s="566"/>
      <c r="I890" s="566"/>
      <c r="J890" s="566"/>
      <c r="K890" s="566"/>
      <c r="L890" s="566"/>
      <c r="M890" s="566"/>
      <c r="N890" s="566"/>
      <c r="O890" s="566"/>
      <c r="P890" s="566"/>
      <c r="Q890" s="566"/>
      <c r="R890" s="566"/>
      <c r="S890" s="566"/>
      <c r="T890" s="566"/>
      <c r="U890" s="566"/>
      <c r="V890" s="566"/>
      <c r="W890" s="566"/>
      <c r="X890" s="566"/>
      <c r="Y890" s="566"/>
    </row>
    <row r="891" spans="2:25" x14ac:dyDescent="0.25">
      <c r="B891" s="566"/>
      <c r="C891" s="566"/>
      <c r="D891" s="566"/>
      <c r="E891" s="566"/>
      <c r="F891" s="566"/>
      <c r="G891" s="566"/>
      <c r="H891" s="566"/>
      <c r="I891" s="566"/>
      <c r="J891" s="566"/>
      <c r="K891" s="566"/>
      <c r="L891" s="566"/>
      <c r="M891" s="566"/>
      <c r="N891" s="566"/>
      <c r="O891" s="566"/>
      <c r="P891" s="566"/>
      <c r="Q891" s="566"/>
      <c r="R891" s="566"/>
      <c r="S891" s="566"/>
      <c r="T891" s="566"/>
      <c r="U891" s="566"/>
      <c r="V891" s="566"/>
      <c r="W891" s="566"/>
      <c r="X891" s="566"/>
      <c r="Y891" s="566"/>
    </row>
    <row r="892" spans="2:25" x14ac:dyDescent="0.25">
      <c r="B892" s="566"/>
      <c r="C892" s="566"/>
      <c r="D892" s="566"/>
      <c r="E892" s="566"/>
      <c r="F892" s="566"/>
      <c r="G892" s="566"/>
      <c r="H892" s="566"/>
      <c r="I892" s="566"/>
      <c r="J892" s="566"/>
      <c r="K892" s="566"/>
      <c r="L892" s="566"/>
      <c r="M892" s="566"/>
      <c r="N892" s="566"/>
      <c r="O892" s="566"/>
      <c r="P892" s="566"/>
      <c r="Q892" s="566"/>
      <c r="R892" s="566"/>
      <c r="S892" s="566"/>
      <c r="T892" s="566"/>
      <c r="U892" s="566"/>
      <c r="V892" s="566"/>
      <c r="W892" s="566"/>
      <c r="X892" s="566"/>
      <c r="Y892" s="566"/>
    </row>
    <row r="893" spans="2:25" x14ac:dyDescent="0.25">
      <c r="B893" s="566"/>
      <c r="C893" s="566"/>
      <c r="D893" s="566"/>
      <c r="E893" s="566"/>
      <c r="F893" s="566"/>
      <c r="G893" s="566"/>
      <c r="H893" s="566"/>
      <c r="I893" s="566"/>
      <c r="J893" s="566"/>
      <c r="K893" s="566"/>
      <c r="L893" s="566"/>
      <c r="M893" s="566"/>
      <c r="N893" s="566"/>
      <c r="O893" s="566"/>
      <c r="P893" s="566"/>
      <c r="Q893" s="566"/>
      <c r="R893" s="566"/>
      <c r="S893" s="566"/>
      <c r="T893" s="566"/>
      <c r="U893" s="566"/>
      <c r="V893" s="566"/>
      <c r="W893" s="566"/>
      <c r="X893" s="566"/>
      <c r="Y893" s="566"/>
    </row>
    <row r="894" spans="2:25" x14ac:dyDescent="0.25">
      <c r="B894" s="566"/>
      <c r="C894" s="566"/>
      <c r="D894" s="566"/>
      <c r="E894" s="566"/>
      <c r="F894" s="566"/>
      <c r="G894" s="566"/>
      <c r="H894" s="566"/>
      <c r="I894" s="566"/>
      <c r="J894" s="566"/>
      <c r="K894" s="566"/>
      <c r="L894" s="566"/>
      <c r="M894" s="566"/>
      <c r="N894" s="566"/>
      <c r="O894" s="566"/>
      <c r="P894" s="566"/>
      <c r="Q894" s="566"/>
      <c r="R894" s="566"/>
      <c r="S894" s="566"/>
      <c r="T894" s="566"/>
      <c r="U894" s="566"/>
      <c r="V894" s="566"/>
      <c r="W894" s="566"/>
      <c r="X894" s="566"/>
      <c r="Y894" s="566"/>
    </row>
    <row r="895" spans="2:25" x14ac:dyDescent="0.25">
      <c r="B895" s="566"/>
      <c r="C895" s="566"/>
      <c r="D895" s="566"/>
      <c r="E895" s="566"/>
      <c r="F895" s="566"/>
      <c r="G895" s="566"/>
      <c r="H895" s="566"/>
      <c r="I895" s="566"/>
      <c r="J895" s="566"/>
      <c r="K895" s="566"/>
      <c r="L895" s="566"/>
      <c r="M895" s="566"/>
      <c r="N895" s="566"/>
      <c r="O895" s="566"/>
      <c r="P895" s="566"/>
      <c r="Q895" s="566"/>
      <c r="R895" s="566"/>
      <c r="S895" s="566"/>
      <c r="T895" s="566"/>
      <c r="U895" s="566"/>
      <c r="V895" s="566"/>
      <c r="W895" s="566"/>
      <c r="X895" s="566"/>
      <c r="Y895" s="566"/>
    </row>
    <row r="896" spans="2:25" x14ac:dyDescent="0.25">
      <c r="B896" s="566"/>
      <c r="C896" s="566"/>
      <c r="D896" s="566"/>
      <c r="E896" s="566"/>
      <c r="F896" s="566"/>
      <c r="G896" s="566"/>
      <c r="H896" s="566"/>
      <c r="I896" s="566"/>
      <c r="J896" s="566"/>
      <c r="K896" s="566"/>
      <c r="L896" s="566"/>
      <c r="M896" s="566"/>
      <c r="N896" s="566"/>
      <c r="O896" s="566"/>
      <c r="P896" s="566"/>
      <c r="Q896" s="566"/>
      <c r="R896" s="566"/>
      <c r="S896" s="566"/>
      <c r="T896" s="566"/>
      <c r="U896" s="566"/>
      <c r="V896" s="566"/>
      <c r="W896" s="566"/>
      <c r="X896" s="566"/>
      <c r="Y896" s="566"/>
    </row>
    <row r="897" spans="2:25" x14ac:dyDescent="0.25">
      <c r="B897" s="566"/>
      <c r="C897" s="566"/>
      <c r="D897" s="566"/>
      <c r="E897" s="566"/>
      <c r="F897" s="566"/>
      <c r="G897" s="566"/>
      <c r="H897" s="566"/>
      <c r="I897" s="566"/>
      <c r="J897" s="566"/>
      <c r="K897" s="566"/>
      <c r="L897" s="566"/>
      <c r="M897" s="566"/>
      <c r="N897" s="566"/>
      <c r="O897" s="566"/>
      <c r="P897" s="566"/>
      <c r="Q897" s="566"/>
      <c r="R897" s="566"/>
      <c r="S897" s="566"/>
      <c r="T897" s="566"/>
      <c r="U897" s="566"/>
      <c r="V897" s="566"/>
      <c r="W897" s="566"/>
      <c r="X897" s="566"/>
      <c r="Y897" s="566"/>
    </row>
    <row r="898" spans="2:25" x14ac:dyDescent="0.25">
      <c r="B898" s="566"/>
      <c r="C898" s="566"/>
      <c r="D898" s="566"/>
      <c r="E898" s="566"/>
      <c r="F898" s="566"/>
      <c r="G898" s="566"/>
      <c r="H898" s="566"/>
      <c r="I898" s="566"/>
      <c r="J898" s="566"/>
      <c r="K898" s="566"/>
      <c r="L898" s="566"/>
      <c r="M898" s="566"/>
      <c r="N898" s="566"/>
      <c r="O898" s="566"/>
      <c r="P898" s="566"/>
      <c r="Q898" s="566"/>
      <c r="R898" s="566"/>
      <c r="S898" s="566"/>
      <c r="T898" s="566"/>
      <c r="U898" s="566"/>
      <c r="V898" s="566"/>
      <c r="W898" s="566"/>
      <c r="X898" s="566"/>
      <c r="Y898" s="566"/>
    </row>
    <row r="899" spans="2:25" x14ac:dyDescent="0.25">
      <c r="B899" s="566"/>
      <c r="C899" s="566"/>
      <c r="D899" s="566"/>
      <c r="E899" s="566"/>
      <c r="F899" s="566"/>
      <c r="G899" s="566"/>
      <c r="H899" s="566"/>
      <c r="I899" s="566"/>
      <c r="J899" s="566"/>
      <c r="K899" s="566"/>
      <c r="L899" s="566"/>
      <c r="M899" s="566"/>
      <c r="N899" s="566"/>
      <c r="O899" s="566"/>
      <c r="P899" s="566"/>
      <c r="Q899" s="566"/>
      <c r="R899" s="566"/>
      <c r="S899" s="566"/>
      <c r="T899" s="566"/>
      <c r="U899" s="566"/>
      <c r="V899" s="566"/>
      <c r="W899" s="566"/>
      <c r="X899" s="566"/>
      <c r="Y899" s="566"/>
    </row>
    <row r="900" spans="2:25" x14ac:dyDescent="0.25">
      <c r="B900" s="566"/>
      <c r="C900" s="566"/>
      <c r="D900" s="566"/>
      <c r="E900" s="566"/>
      <c r="F900" s="566"/>
      <c r="G900" s="566"/>
      <c r="H900" s="566"/>
      <c r="I900" s="566"/>
      <c r="J900" s="566"/>
      <c r="K900" s="566"/>
      <c r="L900" s="566"/>
      <c r="M900" s="566"/>
      <c r="N900" s="566"/>
      <c r="O900" s="566"/>
      <c r="P900" s="566"/>
      <c r="Q900" s="566"/>
      <c r="R900" s="566"/>
      <c r="S900" s="566"/>
      <c r="T900" s="566"/>
      <c r="U900" s="566"/>
      <c r="V900" s="566"/>
      <c r="W900" s="566"/>
      <c r="X900" s="566"/>
      <c r="Y900" s="566"/>
    </row>
    <row r="901" spans="2:25" x14ac:dyDescent="0.25">
      <c r="B901" s="566"/>
      <c r="C901" s="566"/>
      <c r="D901" s="566"/>
      <c r="E901" s="566"/>
      <c r="F901" s="566"/>
      <c r="G901" s="566"/>
      <c r="H901" s="566"/>
      <c r="I901" s="566"/>
      <c r="J901" s="566"/>
      <c r="K901" s="566"/>
      <c r="L901" s="566"/>
      <c r="M901" s="566"/>
      <c r="N901" s="566"/>
      <c r="O901" s="566"/>
      <c r="P901" s="566"/>
      <c r="Q901" s="566"/>
      <c r="R901" s="566"/>
      <c r="S901" s="566"/>
      <c r="T901" s="566"/>
      <c r="U901" s="566"/>
      <c r="V901" s="566"/>
      <c r="W901" s="566"/>
      <c r="X901" s="566"/>
      <c r="Y901" s="566"/>
    </row>
    <row r="902" spans="2:25" x14ac:dyDescent="0.25">
      <c r="B902" s="566"/>
      <c r="C902" s="566"/>
      <c r="D902" s="566"/>
      <c r="E902" s="566"/>
      <c r="F902" s="566"/>
      <c r="G902" s="566"/>
      <c r="H902" s="566"/>
      <c r="I902" s="566"/>
      <c r="J902" s="566"/>
      <c r="K902" s="566"/>
      <c r="L902" s="566"/>
      <c r="M902" s="566"/>
      <c r="N902" s="566"/>
      <c r="O902" s="566"/>
      <c r="P902" s="566"/>
      <c r="Q902" s="566"/>
      <c r="R902" s="566"/>
      <c r="S902" s="566"/>
      <c r="T902" s="566"/>
      <c r="U902" s="566"/>
      <c r="V902" s="566"/>
      <c r="W902" s="566"/>
      <c r="X902" s="566"/>
      <c r="Y902" s="566"/>
    </row>
    <row r="903" spans="2:25" x14ac:dyDescent="0.25">
      <c r="B903" s="566"/>
      <c r="C903" s="566"/>
      <c r="D903" s="566"/>
      <c r="E903" s="566"/>
      <c r="F903" s="566"/>
      <c r="G903" s="566"/>
      <c r="H903" s="566"/>
      <c r="I903" s="566"/>
      <c r="J903" s="566"/>
      <c r="K903" s="566"/>
      <c r="L903" s="566"/>
      <c r="M903" s="566"/>
      <c r="N903" s="566"/>
      <c r="O903" s="566"/>
      <c r="P903" s="566"/>
      <c r="Q903" s="566"/>
      <c r="R903" s="566"/>
      <c r="S903" s="566"/>
      <c r="T903" s="566"/>
      <c r="U903" s="566"/>
      <c r="V903" s="566"/>
      <c r="W903" s="566"/>
      <c r="X903" s="566"/>
      <c r="Y903" s="566"/>
    </row>
    <row r="904" spans="2:25" x14ac:dyDescent="0.25">
      <c r="B904" s="566"/>
      <c r="C904" s="566"/>
      <c r="D904" s="566"/>
      <c r="E904" s="566"/>
      <c r="F904" s="566"/>
      <c r="G904" s="566"/>
      <c r="H904" s="566"/>
      <c r="I904" s="566"/>
      <c r="J904" s="566"/>
      <c r="K904" s="566"/>
      <c r="L904" s="566"/>
      <c r="M904" s="566"/>
      <c r="N904" s="566"/>
      <c r="O904" s="566"/>
      <c r="P904" s="566"/>
      <c r="Q904" s="566"/>
      <c r="R904" s="566"/>
      <c r="S904" s="566"/>
      <c r="T904" s="566"/>
      <c r="U904" s="566"/>
      <c r="V904" s="566"/>
      <c r="W904" s="566"/>
      <c r="X904" s="566"/>
      <c r="Y904" s="566"/>
    </row>
    <row r="905" spans="2:25" x14ac:dyDescent="0.25">
      <c r="B905" s="566"/>
      <c r="C905" s="566"/>
      <c r="D905" s="566"/>
      <c r="E905" s="566"/>
      <c r="F905" s="566"/>
      <c r="G905" s="566"/>
      <c r="H905" s="566"/>
      <c r="I905" s="566"/>
      <c r="J905" s="566"/>
      <c r="K905" s="566"/>
      <c r="L905" s="566"/>
      <c r="M905" s="566"/>
      <c r="N905" s="566"/>
      <c r="O905" s="566"/>
      <c r="P905" s="566"/>
      <c r="Q905" s="566"/>
      <c r="R905" s="566"/>
      <c r="S905" s="566"/>
      <c r="T905" s="566"/>
      <c r="U905" s="566"/>
      <c r="V905" s="566"/>
      <c r="W905" s="566"/>
      <c r="X905" s="566"/>
      <c r="Y905" s="566"/>
    </row>
    <row r="906" spans="2:25" x14ac:dyDescent="0.25">
      <c r="B906" s="566"/>
      <c r="C906" s="566"/>
      <c r="D906" s="566"/>
      <c r="E906" s="566"/>
      <c r="F906" s="566"/>
      <c r="G906" s="566"/>
      <c r="H906" s="566"/>
      <c r="I906" s="566"/>
      <c r="J906" s="566"/>
      <c r="K906" s="566"/>
      <c r="L906" s="566"/>
      <c r="M906" s="566"/>
      <c r="N906" s="566"/>
      <c r="O906" s="566"/>
      <c r="P906" s="566"/>
      <c r="Q906" s="566"/>
      <c r="R906" s="566"/>
      <c r="S906" s="566"/>
      <c r="T906" s="566"/>
      <c r="U906" s="566"/>
      <c r="V906" s="566"/>
      <c r="W906" s="566"/>
      <c r="X906" s="566"/>
      <c r="Y906" s="566"/>
    </row>
    <row r="907" spans="2:25" x14ac:dyDescent="0.25">
      <c r="B907" s="566"/>
      <c r="C907" s="566"/>
      <c r="D907" s="566"/>
      <c r="E907" s="566"/>
      <c r="F907" s="566"/>
      <c r="G907" s="566"/>
      <c r="H907" s="566"/>
      <c r="I907" s="566"/>
      <c r="J907" s="566"/>
      <c r="K907" s="566"/>
      <c r="L907" s="566"/>
      <c r="M907" s="566"/>
      <c r="N907" s="566"/>
      <c r="O907" s="566"/>
      <c r="P907" s="566"/>
      <c r="Q907" s="566"/>
      <c r="R907" s="566"/>
      <c r="S907" s="566"/>
      <c r="T907" s="566"/>
      <c r="U907" s="566"/>
      <c r="V907" s="566"/>
      <c r="W907" s="566"/>
      <c r="X907" s="566"/>
      <c r="Y907" s="566"/>
    </row>
    <row r="908" spans="2:25" x14ac:dyDescent="0.25">
      <c r="B908" s="566"/>
      <c r="C908" s="566"/>
      <c r="D908" s="566"/>
      <c r="E908" s="566"/>
      <c r="F908" s="566"/>
      <c r="G908" s="566"/>
      <c r="H908" s="566"/>
      <c r="I908" s="566"/>
      <c r="J908" s="566"/>
      <c r="K908" s="566"/>
      <c r="L908" s="566"/>
      <c r="M908" s="566"/>
      <c r="N908" s="566"/>
      <c r="O908" s="566"/>
      <c r="P908" s="566"/>
      <c r="Q908" s="566"/>
      <c r="R908" s="566"/>
      <c r="S908" s="566"/>
      <c r="T908" s="566"/>
      <c r="U908" s="566"/>
      <c r="V908" s="566"/>
      <c r="W908" s="566"/>
      <c r="X908" s="566"/>
      <c r="Y908" s="566"/>
    </row>
    <row r="909" spans="2:25" x14ac:dyDescent="0.25">
      <c r="B909" s="566"/>
      <c r="C909" s="566"/>
      <c r="D909" s="566"/>
      <c r="E909" s="566"/>
      <c r="F909" s="566"/>
      <c r="G909" s="566"/>
      <c r="H909" s="566"/>
      <c r="I909" s="566"/>
      <c r="J909" s="566"/>
      <c r="K909" s="566"/>
      <c r="L909" s="566"/>
      <c r="M909" s="566"/>
      <c r="N909" s="566"/>
      <c r="O909" s="566"/>
      <c r="P909" s="566"/>
      <c r="Q909" s="566"/>
      <c r="R909" s="566"/>
      <c r="S909" s="566"/>
      <c r="T909" s="566"/>
      <c r="U909" s="566"/>
      <c r="V909" s="566"/>
      <c r="W909" s="566"/>
      <c r="X909" s="566"/>
      <c r="Y909" s="566"/>
    </row>
    <row r="910" spans="2:25" x14ac:dyDescent="0.25">
      <c r="B910" s="566"/>
      <c r="C910" s="566"/>
      <c r="D910" s="566"/>
      <c r="E910" s="566"/>
      <c r="F910" s="566"/>
      <c r="G910" s="566"/>
      <c r="H910" s="566"/>
      <c r="I910" s="566"/>
      <c r="J910" s="566"/>
      <c r="K910" s="566"/>
      <c r="L910" s="566"/>
      <c r="M910" s="566"/>
      <c r="N910" s="566"/>
      <c r="O910" s="566"/>
      <c r="P910" s="566"/>
      <c r="Q910" s="566"/>
      <c r="R910" s="566"/>
      <c r="S910" s="566"/>
      <c r="T910" s="566"/>
      <c r="U910" s="566"/>
      <c r="V910" s="566"/>
      <c r="W910" s="566"/>
      <c r="X910" s="566"/>
      <c r="Y910" s="566"/>
    </row>
    <row r="911" spans="2:25" x14ac:dyDescent="0.25">
      <c r="B911" s="566"/>
      <c r="C911" s="566"/>
      <c r="D911" s="566"/>
      <c r="E911" s="566"/>
      <c r="F911" s="566"/>
      <c r="G911" s="566"/>
      <c r="H911" s="566"/>
      <c r="I911" s="566"/>
      <c r="J911" s="566"/>
      <c r="K911" s="566"/>
      <c r="L911" s="566"/>
      <c r="M911" s="566"/>
      <c r="N911" s="566"/>
      <c r="O911" s="566"/>
      <c r="P911" s="566"/>
      <c r="Q911" s="566"/>
      <c r="R911" s="566"/>
      <c r="S911" s="566"/>
      <c r="T911" s="566"/>
      <c r="U911" s="566"/>
      <c r="V911" s="566"/>
      <c r="W911" s="566"/>
      <c r="X911" s="566"/>
      <c r="Y911" s="566"/>
    </row>
    <row r="912" spans="2:25" x14ac:dyDescent="0.25">
      <c r="B912" s="566"/>
      <c r="C912" s="566"/>
      <c r="D912" s="566"/>
      <c r="E912" s="566"/>
      <c r="F912" s="566"/>
      <c r="G912" s="566"/>
      <c r="H912" s="566"/>
      <c r="I912" s="566"/>
      <c r="J912" s="566"/>
      <c r="K912" s="566"/>
      <c r="L912" s="566"/>
      <c r="M912" s="566"/>
      <c r="N912" s="566"/>
      <c r="O912" s="566"/>
      <c r="P912" s="566"/>
      <c r="Q912" s="566"/>
      <c r="R912" s="566"/>
      <c r="S912" s="566"/>
      <c r="T912" s="566"/>
      <c r="U912" s="566"/>
      <c r="V912" s="566"/>
      <c r="W912" s="566"/>
      <c r="X912" s="566"/>
      <c r="Y912" s="566"/>
    </row>
    <row r="913" spans="2:25" x14ac:dyDescent="0.25">
      <c r="B913" s="566"/>
      <c r="C913" s="566"/>
      <c r="D913" s="566"/>
      <c r="E913" s="566"/>
      <c r="F913" s="566"/>
      <c r="G913" s="566"/>
      <c r="H913" s="566"/>
      <c r="I913" s="566"/>
      <c r="J913" s="566"/>
      <c r="K913" s="566"/>
      <c r="L913" s="566"/>
      <c r="M913" s="566"/>
      <c r="N913" s="566"/>
      <c r="O913" s="566"/>
      <c r="P913" s="566"/>
      <c r="Q913" s="566"/>
      <c r="R913" s="566"/>
      <c r="S913" s="566"/>
      <c r="T913" s="566"/>
      <c r="U913" s="566"/>
      <c r="V913" s="566"/>
      <c r="W913" s="566"/>
      <c r="X913" s="566"/>
      <c r="Y913" s="566"/>
    </row>
    <row r="914" spans="2:25" x14ac:dyDescent="0.25">
      <c r="B914" s="566"/>
      <c r="C914" s="566"/>
      <c r="D914" s="566"/>
      <c r="E914" s="566"/>
      <c r="F914" s="566"/>
      <c r="G914" s="566"/>
      <c r="H914" s="566"/>
      <c r="I914" s="566"/>
      <c r="J914" s="566"/>
      <c r="K914" s="566"/>
      <c r="L914" s="566"/>
      <c r="M914" s="566"/>
      <c r="N914" s="566"/>
      <c r="O914" s="566"/>
      <c r="P914" s="566"/>
      <c r="Q914" s="566"/>
      <c r="R914" s="566"/>
      <c r="S914" s="566"/>
      <c r="T914" s="566"/>
      <c r="U914" s="566"/>
      <c r="V914" s="566"/>
      <c r="W914" s="566"/>
      <c r="X914" s="566"/>
      <c r="Y914" s="566"/>
    </row>
    <row r="915" spans="2:25" x14ac:dyDescent="0.25">
      <c r="B915" s="566"/>
      <c r="C915" s="566"/>
      <c r="D915" s="566"/>
      <c r="E915" s="566"/>
      <c r="F915" s="566"/>
      <c r="G915" s="566"/>
      <c r="H915" s="566"/>
      <c r="I915" s="566"/>
      <c r="J915" s="566"/>
      <c r="K915" s="566"/>
      <c r="L915" s="566"/>
      <c r="M915" s="566"/>
      <c r="N915" s="566"/>
      <c r="O915" s="566"/>
      <c r="P915" s="566"/>
      <c r="Q915" s="566"/>
      <c r="R915" s="566"/>
      <c r="S915" s="566"/>
      <c r="T915" s="566"/>
      <c r="U915" s="566"/>
      <c r="V915" s="566"/>
      <c r="W915" s="566"/>
      <c r="X915" s="566"/>
      <c r="Y915" s="566"/>
    </row>
    <row r="916" spans="2:25" x14ac:dyDescent="0.25">
      <c r="B916" s="566"/>
      <c r="C916" s="566"/>
      <c r="D916" s="566"/>
      <c r="E916" s="566"/>
      <c r="F916" s="566"/>
      <c r="G916" s="566"/>
      <c r="H916" s="566"/>
      <c r="I916" s="566"/>
      <c r="J916" s="566"/>
      <c r="K916" s="566"/>
      <c r="L916" s="566"/>
      <c r="M916" s="566"/>
      <c r="N916" s="566"/>
      <c r="O916" s="566"/>
      <c r="P916" s="566"/>
      <c r="Q916" s="566"/>
      <c r="R916" s="566"/>
      <c r="S916" s="566"/>
      <c r="T916" s="566"/>
      <c r="U916" s="566"/>
      <c r="V916" s="566"/>
      <c r="W916" s="566"/>
      <c r="X916" s="566"/>
      <c r="Y916" s="566"/>
    </row>
    <row r="917" spans="2:25" x14ac:dyDescent="0.25">
      <c r="B917" s="566"/>
      <c r="C917" s="566"/>
      <c r="D917" s="566"/>
      <c r="E917" s="566"/>
      <c r="F917" s="566"/>
      <c r="G917" s="566"/>
      <c r="H917" s="566"/>
      <c r="I917" s="566"/>
      <c r="J917" s="566"/>
      <c r="K917" s="566"/>
      <c r="L917" s="566"/>
      <c r="M917" s="566"/>
      <c r="N917" s="566"/>
      <c r="O917" s="566"/>
      <c r="P917" s="566"/>
      <c r="Q917" s="566"/>
      <c r="R917" s="566"/>
      <c r="S917" s="566"/>
      <c r="T917" s="566"/>
      <c r="U917" s="566"/>
      <c r="V917" s="566"/>
      <c r="W917" s="566"/>
      <c r="X917" s="566"/>
      <c r="Y917" s="566"/>
    </row>
    <row r="918" spans="2:25" x14ac:dyDescent="0.25">
      <c r="B918" s="566"/>
      <c r="C918" s="566"/>
      <c r="D918" s="566"/>
      <c r="E918" s="566"/>
      <c r="F918" s="566"/>
      <c r="G918" s="566"/>
      <c r="H918" s="566"/>
      <c r="I918" s="566"/>
      <c r="J918" s="566"/>
      <c r="K918" s="566"/>
      <c r="L918" s="566"/>
      <c r="M918" s="566"/>
      <c r="N918" s="566"/>
      <c r="O918" s="566"/>
      <c r="P918" s="566"/>
      <c r="Q918" s="566"/>
      <c r="R918" s="566"/>
      <c r="S918" s="566"/>
      <c r="T918" s="566"/>
      <c r="U918" s="566"/>
      <c r="V918" s="566"/>
      <c r="W918" s="566"/>
      <c r="X918" s="566"/>
      <c r="Y918" s="566"/>
    </row>
    <row r="919" spans="2:25" x14ac:dyDescent="0.25">
      <c r="B919" s="566"/>
      <c r="C919" s="566"/>
      <c r="D919" s="566"/>
      <c r="E919" s="566"/>
      <c r="F919" s="566"/>
      <c r="G919" s="566"/>
      <c r="H919" s="566"/>
      <c r="I919" s="566"/>
      <c r="J919" s="566"/>
      <c r="K919" s="566"/>
      <c r="L919" s="566"/>
      <c r="M919" s="566"/>
      <c r="N919" s="566"/>
      <c r="O919" s="566"/>
      <c r="P919" s="566"/>
      <c r="Q919" s="566"/>
      <c r="R919" s="566"/>
      <c r="S919" s="566"/>
      <c r="T919" s="566"/>
      <c r="U919" s="566"/>
      <c r="V919" s="566"/>
      <c r="W919" s="566"/>
      <c r="X919" s="566"/>
      <c r="Y919" s="566"/>
    </row>
    <row r="920" spans="2:25" x14ac:dyDescent="0.25">
      <c r="B920" s="566"/>
      <c r="C920" s="566"/>
      <c r="D920" s="566"/>
      <c r="E920" s="566"/>
      <c r="F920" s="566"/>
      <c r="G920" s="566"/>
      <c r="H920" s="566"/>
      <c r="I920" s="566"/>
      <c r="J920" s="566"/>
      <c r="K920" s="566"/>
      <c r="L920" s="566"/>
      <c r="M920" s="566"/>
      <c r="N920" s="566"/>
      <c r="O920" s="566"/>
      <c r="P920" s="566"/>
      <c r="Q920" s="566"/>
      <c r="R920" s="566"/>
      <c r="S920" s="566"/>
      <c r="T920" s="566"/>
      <c r="U920" s="566"/>
      <c r="V920" s="566"/>
      <c r="W920" s="566"/>
      <c r="X920" s="566"/>
      <c r="Y920" s="566"/>
    </row>
    <row r="921" spans="2:25" x14ac:dyDescent="0.25">
      <c r="B921" s="566"/>
      <c r="C921" s="566"/>
      <c r="D921" s="566"/>
      <c r="E921" s="566"/>
      <c r="F921" s="566"/>
      <c r="G921" s="566"/>
      <c r="H921" s="566"/>
      <c r="I921" s="566"/>
      <c r="J921" s="566"/>
      <c r="K921" s="566"/>
      <c r="L921" s="566"/>
      <c r="M921" s="566"/>
      <c r="N921" s="566"/>
      <c r="O921" s="566"/>
      <c r="P921" s="566"/>
      <c r="Q921" s="566"/>
      <c r="R921" s="566"/>
      <c r="S921" s="566"/>
      <c r="T921" s="566"/>
      <c r="U921" s="566"/>
      <c r="V921" s="566"/>
      <c r="W921" s="566"/>
      <c r="X921" s="566"/>
      <c r="Y921" s="566"/>
    </row>
    <row r="922" spans="2:25" x14ac:dyDescent="0.25">
      <c r="B922" s="566"/>
      <c r="C922" s="566"/>
      <c r="D922" s="566"/>
      <c r="E922" s="566"/>
      <c r="F922" s="566"/>
      <c r="G922" s="566"/>
      <c r="H922" s="566"/>
      <c r="I922" s="566"/>
      <c r="J922" s="566"/>
      <c r="K922" s="566"/>
      <c r="L922" s="566"/>
      <c r="M922" s="566"/>
      <c r="N922" s="566"/>
      <c r="O922" s="566"/>
      <c r="P922" s="566"/>
      <c r="Q922" s="566"/>
      <c r="R922" s="566"/>
      <c r="S922" s="566"/>
      <c r="T922" s="566"/>
      <c r="U922" s="566"/>
      <c r="V922" s="566"/>
      <c r="W922" s="566"/>
      <c r="X922" s="566"/>
      <c r="Y922" s="566"/>
    </row>
    <row r="923" spans="2:25" x14ac:dyDescent="0.25">
      <c r="B923" s="566"/>
      <c r="C923" s="566"/>
      <c r="D923" s="566"/>
      <c r="E923" s="566"/>
      <c r="F923" s="566"/>
      <c r="G923" s="566"/>
      <c r="H923" s="566"/>
      <c r="I923" s="566"/>
      <c r="J923" s="566"/>
      <c r="K923" s="566"/>
      <c r="L923" s="566"/>
      <c r="M923" s="566"/>
      <c r="N923" s="566"/>
      <c r="O923" s="566"/>
      <c r="P923" s="566"/>
      <c r="Q923" s="566"/>
      <c r="R923" s="566"/>
      <c r="S923" s="566"/>
      <c r="T923" s="566"/>
      <c r="U923" s="566"/>
      <c r="V923" s="566"/>
      <c r="W923" s="566"/>
      <c r="X923" s="566"/>
      <c r="Y923" s="566"/>
    </row>
    <row r="924" spans="2:25" x14ac:dyDescent="0.25">
      <c r="B924" s="566"/>
      <c r="C924" s="566"/>
      <c r="D924" s="566"/>
      <c r="E924" s="566"/>
      <c r="F924" s="566"/>
      <c r="G924" s="566"/>
      <c r="H924" s="566"/>
      <c r="I924" s="566"/>
      <c r="J924" s="566"/>
      <c r="K924" s="566"/>
      <c r="L924" s="566"/>
      <c r="M924" s="566"/>
      <c r="N924" s="566"/>
      <c r="O924" s="566"/>
      <c r="P924" s="566"/>
      <c r="Q924" s="566"/>
      <c r="R924" s="566"/>
      <c r="S924" s="566"/>
      <c r="T924" s="566"/>
      <c r="U924" s="566"/>
      <c r="V924" s="566"/>
      <c r="W924" s="566"/>
      <c r="X924" s="566"/>
      <c r="Y924" s="566"/>
    </row>
    <row r="925" spans="2:25" x14ac:dyDescent="0.25">
      <c r="B925" s="566"/>
      <c r="C925" s="566"/>
      <c r="D925" s="566"/>
      <c r="E925" s="566"/>
      <c r="F925" s="566"/>
      <c r="G925" s="566"/>
      <c r="H925" s="566"/>
      <c r="I925" s="566"/>
      <c r="J925" s="566"/>
      <c r="K925" s="566"/>
      <c r="L925" s="566"/>
      <c r="M925" s="566"/>
      <c r="N925" s="566"/>
      <c r="O925" s="566"/>
      <c r="P925" s="566"/>
      <c r="Q925" s="566"/>
      <c r="R925" s="566"/>
      <c r="S925" s="566"/>
      <c r="T925" s="566"/>
      <c r="U925" s="566"/>
      <c r="V925" s="566"/>
      <c r="W925" s="566"/>
      <c r="X925" s="566"/>
      <c r="Y925" s="566"/>
    </row>
    <row r="926" spans="2:25" x14ac:dyDescent="0.25">
      <c r="B926" s="566"/>
      <c r="C926" s="566"/>
      <c r="D926" s="566"/>
      <c r="E926" s="566"/>
      <c r="F926" s="566"/>
      <c r="G926" s="566"/>
      <c r="H926" s="566"/>
      <c r="I926" s="566"/>
      <c r="J926" s="566"/>
      <c r="K926" s="566"/>
      <c r="L926" s="566"/>
      <c r="M926" s="566"/>
      <c r="N926" s="566"/>
      <c r="O926" s="566"/>
      <c r="P926" s="566"/>
      <c r="Q926" s="566"/>
      <c r="R926" s="566"/>
      <c r="S926" s="566"/>
      <c r="T926" s="566"/>
      <c r="U926" s="566"/>
      <c r="V926" s="566"/>
      <c r="W926" s="566"/>
      <c r="X926" s="566"/>
      <c r="Y926" s="566"/>
    </row>
    <row r="927" spans="2:25" x14ac:dyDescent="0.25">
      <c r="B927" s="566"/>
      <c r="C927" s="566"/>
      <c r="D927" s="566"/>
      <c r="E927" s="566"/>
      <c r="F927" s="566"/>
      <c r="G927" s="566"/>
      <c r="H927" s="566"/>
      <c r="I927" s="566"/>
      <c r="J927" s="566"/>
      <c r="K927" s="566"/>
      <c r="L927" s="566"/>
      <c r="M927" s="566"/>
      <c r="N927" s="566"/>
      <c r="O927" s="566"/>
      <c r="P927" s="566"/>
      <c r="Q927" s="566"/>
      <c r="R927" s="566"/>
      <c r="S927" s="566"/>
      <c r="T927" s="566"/>
      <c r="U927" s="566"/>
      <c r="V927" s="566"/>
      <c r="W927" s="566"/>
      <c r="X927" s="566"/>
      <c r="Y927" s="566"/>
    </row>
    <row r="928" spans="2:25" x14ac:dyDescent="0.25">
      <c r="B928" s="566"/>
      <c r="C928" s="566"/>
      <c r="D928" s="566"/>
      <c r="E928" s="566"/>
      <c r="F928" s="566"/>
      <c r="G928" s="566"/>
      <c r="H928" s="566"/>
      <c r="I928" s="566"/>
      <c r="J928" s="566"/>
      <c r="K928" s="566"/>
      <c r="L928" s="566"/>
      <c r="M928" s="566"/>
      <c r="N928" s="566"/>
      <c r="O928" s="566"/>
      <c r="P928" s="566"/>
      <c r="Q928" s="566"/>
      <c r="R928" s="566"/>
      <c r="S928" s="566"/>
      <c r="T928" s="566"/>
      <c r="U928" s="566"/>
      <c r="V928" s="566"/>
      <c r="W928" s="566"/>
      <c r="X928" s="566"/>
      <c r="Y928" s="566"/>
    </row>
    <row r="929" spans="2:25" x14ac:dyDescent="0.25">
      <c r="B929" s="566"/>
      <c r="C929" s="566"/>
      <c r="D929" s="566"/>
      <c r="E929" s="566"/>
      <c r="F929" s="566"/>
      <c r="G929" s="566"/>
      <c r="H929" s="566"/>
      <c r="I929" s="566"/>
      <c r="J929" s="566"/>
      <c r="K929" s="566"/>
      <c r="L929" s="566"/>
      <c r="M929" s="566"/>
      <c r="N929" s="566"/>
      <c r="O929" s="566"/>
      <c r="P929" s="566"/>
      <c r="Q929" s="566"/>
      <c r="R929" s="566"/>
      <c r="S929" s="566"/>
      <c r="T929" s="566"/>
      <c r="U929" s="566"/>
      <c r="V929" s="566"/>
      <c r="W929" s="566"/>
      <c r="X929" s="566"/>
      <c r="Y929" s="566"/>
    </row>
    <row r="930" spans="2:25" x14ac:dyDescent="0.25">
      <c r="B930" s="566"/>
      <c r="C930" s="566"/>
      <c r="D930" s="566"/>
      <c r="E930" s="566"/>
      <c r="F930" s="566"/>
      <c r="G930" s="566"/>
      <c r="H930" s="566"/>
      <c r="I930" s="566"/>
      <c r="J930" s="566"/>
      <c r="K930" s="566"/>
      <c r="L930" s="566"/>
      <c r="M930" s="566"/>
      <c r="N930" s="566"/>
      <c r="O930" s="566"/>
      <c r="P930" s="566"/>
      <c r="Q930" s="566"/>
      <c r="R930" s="566"/>
      <c r="S930" s="566"/>
      <c r="T930" s="566"/>
      <c r="U930" s="566"/>
      <c r="V930" s="566"/>
      <c r="W930" s="566"/>
      <c r="X930" s="566"/>
      <c r="Y930" s="566"/>
    </row>
    <row r="931" spans="2:25" x14ac:dyDescent="0.25">
      <c r="B931" s="566"/>
      <c r="C931" s="566"/>
      <c r="D931" s="566"/>
      <c r="E931" s="566"/>
      <c r="F931" s="566"/>
      <c r="G931" s="566"/>
      <c r="H931" s="566"/>
      <c r="I931" s="566"/>
      <c r="J931" s="566"/>
      <c r="K931" s="566"/>
      <c r="L931" s="566"/>
      <c r="M931" s="566"/>
      <c r="N931" s="566"/>
      <c r="O931" s="566"/>
      <c r="P931" s="566"/>
      <c r="Q931" s="566"/>
      <c r="R931" s="566"/>
      <c r="S931" s="566"/>
      <c r="T931" s="566"/>
      <c r="U931" s="566"/>
      <c r="V931" s="566"/>
      <c r="W931" s="566"/>
      <c r="X931" s="566"/>
      <c r="Y931" s="566"/>
    </row>
    <row r="932" spans="2:25" x14ac:dyDescent="0.25">
      <c r="B932" s="566"/>
      <c r="C932" s="566"/>
      <c r="D932" s="566"/>
      <c r="E932" s="566"/>
      <c r="F932" s="566"/>
      <c r="G932" s="566"/>
      <c r="H932" s="566"/>
      <c r="I932" s="566"/>
      <c r="J932" s="566"/>
      <c r="K932" s="566"/>
      <c r="L932" s="566"/>
      <c r="M932" s="566"/>
      <c r="N932" s="566"/>
      <c r="O932" s="566"/>
      <c r="P932" s="566"/>
      <c r="Q932" s="566"/>
      <c r="R932" s="566"/>
      <c r="S932" s="566"/>
      <c r="T932" s="566"/>
      <c r="U932" s="566"/>
      <c r="V932" s="566"/>
      <c r="W932" s="566"/>
      <c r="X932" s="566"/>
      <c r="Y932" s="566"/>
    </row>
    <row r="933" spans="2:25" x14ac:dyDescent="0.25">
      <c r="B933" s="566"/>
      <c r="C933" s="566"/>
      <c r="D933" s="566"/>
      <c r="E933" s="566"/>
      <c r="F933" s="566"/>
      <c r="G933" s="566"/>
      <c r="H933" s="566"/>
      <c r="I933" s="566"/>
      <c r="J933" s="566"/>
      <c r="K933" s="566"/>
      <c r="L933" s="566"/>
      <c r="M933" s="566"/>
      <c r="N933" s="566"/>
      <c r="O933" s="566"/>
      <c r="P933" s="566"/>
      <c r="Q933" s="566"/>
      <c r="R933" s="566"/>
      <c r="S933" s="566"/>
      <c r="T933" s="566"/>
      <c r="U933" s="566"/>
      <c r="V933" s="566"/>
      <c r="W933" s="566"/>
      <c r="X933" s="566"/>
      <c r="Y933" s="566"/>
    </row>
    <row r="934" spans="2:25" x14ac:dyDescent="0.25">
      <c r="B934" s="566"/>
      <c r="C934" s="566"/>
      <c r="D934" s="566"/>
      <c r="E934" s="566"/>
      <c r="F934" s="566"/>
      <c r="G934" s="566"/>
      <c r="H934" s="566"/>
      <c r="I934" s="566"/>
      <c r="J934" s="566"/>
      <c r="K934" s="566"/>
      <c r="L934" s="566"/>
      <c r="M934" s="566"/>
      <c r="N934" s="566"/>
      <c r="O934" s="566"/>
      <c r="P934" s="566"/>
      <c r="Q934" s="566"/>
      <c r="R934" s="566"/>
      <c r="S934" s="566"/>
      <c r="T934" s="566"/>
      <c r="U934" s="566"/>
      <c r="V934" s="566"/>
      <c r="W934" s="566"/>
      <c r="X934" s="566"/>
      <c r="Y934" s="566"/>
    </row>
    <row r="935" spans="2:25" x14ac:dyDescent="0.25">
      <c r="B935" s="566"/>
      <c r="C935" s="566"/>
      <c r="D935" s="566"/>
      <c r="E935" s="566"/>
      <c r="F935" s="566"/>
      <c r="G935" s="566"/>
      <c r="H935" s="566"/>
      <c r="I935" s="566"/>
      <c r="J935" s="566"/>
      <c r="K935" s="566"/>
      <c r="L935" s="566"/>
      <c r="M935" s="566"/>
      <c r="N935" s="566"/>
      <c r="O935" s="566"/>
      <c r="P935" s="566"/>
      <c r="Q935" s="566"/>
      <c r="R935" s="566"/>
      <c r="S935" s="566"/>
      <c r="T935" s="566"/>
      <c r="U935" s="566"/>
      <c r="V935" s="566"/>
      <c r="W935" s="566"/>
      <c r="X935" s="566"/>
      <c r="Y935" s="566"/>
    </row>
    <row r="936" spans="2:25" x14ac:dyDescent="0.25">
      <c r="B936" s="566"/>
      <c r="C936" s="566"/>
      <c r="D936" s="566"/>
      <c r="E936" s="566"/>
      <c r="F936" s="566"/>
      <c r="G936" s="566"/>
      <c r="H936" s="566"/>
      <c r="I936" s="566"/>
      <c r="J936" s="566"/>
      <c r="K936" s="566"/>
      <c r="L936" s="566"/>
      <c r="M936" s="566"/>
      <c r="N936" s="566"/>
      <c r="O936" s="566"/>
      <c r="P936" s="566"/>
      <c r="Q936" s="566"/>
      <c r="R936" s="566"/>
      <c r="S936" s="566"/>
      <c r="T936" s="566"/>
      <c r="U936" s="566"/>
      <c r="V936" s="566"/>
      <c r="W936" s="566"/>
      <c r="X936" s="566"/>
      <c r="Y936" s="566"/>
    </row>
    <row r="937" spans="2:25" x14ac:dyDescent="0.25">
      <c r="B937" s="566"/>
      <c r="C937" s="566"/>
      <c r="D937" s="566"/>
      <c r="E937" s="566"/>
      <c r="F937" s="566"/>
      <c r="G937" s="566"/>
      <c r="H937" s="566"/>
      <c r="I937" s="566"/>
      <c r="J937" s="566"/>
      <c r="K937" s="566"/>
      <c r="L937" s="566"/>
      <c r="M937" s="566"/>
      <c r="N937" s="566"/>
      <c r="O937" s="566"/>
      <c r="P937" s="566"/>
      <c r="Q937" s="566"/>
      <c r="R937" s="566"/>
      <c r="S937" s="566"/>
      <c r="T937" s="566"/>
      <c r="U937" s="566"/>
      <c r="V937" s="566"/>
      <c r="W937" s="566"/>
      <c r="X937" s="566"/>
      <c r="Y937" s="566"/>
    </row>
    <row r="938" spans="2:25" x14ac:dyDescent="0.25">
      <c r="B938" s="566"/>
      <c r="C938" s="566"/>
      <c r="D938" s="566"/>
      <c r="E938" s="566"/>
      <c r="F938" s="566"/>
      <c r="G938" s="566"/>
      <c r="H938" s="566"/>
      <c r="I938" s="566"/>
      <c r="J938" s="566"/>
      <c r="K938" s="566"/>
      <c r="L938" s="566"/>
      <c r="M938" s="566"/>
      <c r="N938" s="566"/>
      <c r="O938" s="566"/>
      <c r="P938" s="566"/>
      <c r="Q938" s="566"/>
      <c r="R938" s="566"/>
      <c r="S938" s="566"/>
      <c r="T938" s="566"/>
      <c r="U938" s="566"/>
      <c r="V938" s="566"/>
      <c r="W938" s="566"/>
      <c r="X938" s="566"/>
      <c r="Y938" s="566"/>
    </row>
    <row r="939" spans="2:25" x14ac:dyDescent="0.25">
      <c r="B939" s="566"/>
      <c r="C939" s="566"/>
      <c r="D939" s="566"/>
      <c r="E939" s="566"/>
      <c r="F939" s="566"/>
      <c r="G939" s="566"/>
      <c r="H939" s="566"/>
      <c r="I939" s="566"/>
      <c r="J939" s="566"/>
      <c r="K939" s="566"/>
      <c r="L939" s="566"/>
      <c r="M939" s="566"/>
      <c r="N939" s="566"/>
      <c r="O939" s="566"/>
      <c r="P939" s="566"/>
      <c r="Q939" s="566"/>
      <c r="R939" s="566"/>
      <c r="S939" s="566"/>
      <c r="T939" s="566"/>
      <c r="U939" s="566"/>
      <c r="V939" s="566"/>
      <c r="W939" s="566"/>
      <c r="X939" s="566"/>
      <c r="Y939" s="566"/>
    </row>
    <row r="940" spans="2:25" x14ac:dyDescent="0.25">
      <c r="B940" s="566"/>
      <c r="C940" s="566"/>
      <c r="D940" s="566"/>
      <c r="E940" s="566"/>
      <c r="F940" s="566"/>
      <c r="G940" s="566"/>
      <c r="H940" s="566"/>
      <c r="I940" s="566"/>
      <c r="J940" s="566"/>
      <c r="K940" s="566"/>
      <c r="L940" s="566"/>
      <c r="M940" s="566"/>
      <c r="N940" s="566"/>
      <c r="O940" s="566"/>
      <c r="P940" s="566"/>
      <c r="Q940" s="566"/>
      <c r="R940" s="566"/>
      <c r="S940" s="566"/>
      <c r="T940" s="566"/>
      <c r="U940" s="566"/>
      <c r="V940" s="566"/>
      <c r="W940" s="566"/>
      <c r="X940" s="566"/>
      <c r="Y940" s="566"/>
    </row>
    <row r="941" spans="2:25" x14ac:dyDescent="0.25">
      <c r="B941" s="566"/>
      <c r="C941" s="566"/>
      <c r="D941" s="566"/>
      <c r="E941" s="566"/>
      <c r="F941" s="566"/>
      <c r="G941" s="566"/>
      <c r="H941" s="566"/>
      <c r="I941" s="566"/>
      <c r="J941" s="566"/>
      <c r="K941" s="566"/>
      <c r="L941" s="566"/>
      <c r="M941" s="566"/>
      <c r="N941" s="566"/>
      <c r="O941" s="566"/>
      <c r="P941" s="566"/>
      <c r="Q941" s="566"/>
      <c r="R941" s="566"/>
      <c r="S941" s="566"/>
      <c r="T941" s="566"/>
      <c r="U941" s="566"/>
      <c r="V941" s="566"/>
      <c r="W941" s="566"/>
      <c r="X941" s="566"/>
      <c r="Y941" s="566"/>
    </row>
    <row r="942" spans="2:25" x14ac:dyDescent="0.25">
      <c r="B942" s="566"/>
      <c r="C942" s="566"/>
      <c r="D942" s="566"/>
      <c r="E942" s="566"/>
      <c r="F942" s="566"/>
      <c r="G942" s="566"/>
      <c r="H942" s="566"/>
      <c r="I942" s="566"/>
      <c r="J942" s="566"/>
      <c r="K942" s="566"/>
      <c r="L942" s="566"/>
      <c r="M942" s="566"/>
      <c r="N942" s="566"/>
      <c r="O942" s="566"/>
      <c r="P942" s="566"/>
      <c r="Q942" s="566"/>
      <c r="R942" s="566"/>
      <c r="S942" s="566"/>
      <c r="T942" s="566"/>
      <c r="U942" s="566"/>
      <c r="V942" s="566"/>
      <c r="W942" s="566"/>
      <c r="X942" s="566"/>
      <c r="Y942" s="566"/>
    </row>
    <row r="943" spans="2:25" x14ac:dyDescent="0.25">
      <c r="B943" s="566"/>
      <c r="C943" s="566"/>
      <c r="D943" s="566"/>
      <c r="E943" s="566"/>
      <c r="F943" s="566"/>
      <c r="G943" s="566"/>
      <c r="H943" s="566"/>
      <c r="I943" s="566"/>
      <c r="J943" s="566"/>
      <c r="K943" s="566"/>
      <c r="L943" s="566"/>
      <c r="M943" s="566"/>
      <c r="N943" s="566"/>
      <c r="O943" s="566"/>
      <c r="P943" s="566"/>
      <c r="Q943" s="566"/>
      <c r="R943" s="566"/>
      <c r="S943" s="566"/>
      <c r="T943" s="566"/>
      <c r="U943" s="566"/>
      <c r="V943" s="566"/>
      <c r="W943" s="566"/>
      <c r="X943" s="566"/>
      <c r="Y943" s="566"/>
    </row>
    <row r="944" spans="2:25" x14ac:dyDescent="0.25">
      <c r="B944" s="566"/>
      <c r="C944" s="566"/>
      <c r="D944" s="566"/>
      <c r="E944" s="566"/>
      <c r="F944" s="566"/>
      <c r="G944" s="566"/>
      <c r="H944" s="566"/>
      <c r="I944" s="566"/>
      <c r="J944" s="566"/>
      <c r="K944" s="566"/>
      <c r="L944" s="566"/>
      <c r="M944" s="566"/>
      <c r="N944" s="566"/>
      <c r="O944" s="566"/>
      <c r="P944" s="566"/>
      <c r="Q944" s="566"/>
      <c r="R944" s="566"/>
      <c r="S944" s="566"/>
      <c r="T944" s="566"/>
      <c r="U944" s="566"/>
      <c r="V944" s="566"/>
      <c r="W944" s="566"/>
      <c r="X944" s="566"/>
      <c r="Y944" s="566"/>
    </row>
    <row r="945" spans="2:25" x14ac:dyDescent="0.25">
      <c r="B945" s="566"/>
      <c r="C945" s="566"/>
      <c r="D945" s="566"/>
      <c r="E945" s="566"/>
      <c r="F945" s="566"/>
      <c r="G945" s="566"/>
      <c r="H945" s="566"/>
      <c r="I945" s="566"/>
      <c r="J945" s="566"/>
      <c r="K945" s="566"/>
      <c r="L945" s="566"/>
      <c r="M945" s="566"/>
      <c r="N945" s="566"/>
      <c r="O945" s="566"/>
      <c r="P945" s="566"/>
      <c r="Q945" s="566"/>
      <c r="R945" s="566"/>
      <c r="S945" s="566"/>
      <c r="T945" s="566"/>
      <c r="U945" s="566"/>
      <c r="V945" s="566"/>
      <c r="W945" s="566"/>
      <c r="X945" s="566"/>
      <c r="Y945" s="566"/>
    </row>
    <row r="946" spans="2:25" x14ac:dyDescent="0.25">
      <c r="B946" s="566"/>
      <c r="C946" s="566"/>
      <c r="D946" s="566"/>
      <c r="E946" s="566"/>
      <c r="F946" s="566"/>
      <c r="G946" s="566"/>
      <c r="H946" s="566"/>
      <c r="I946" s="566"/>
      <c r="J946" s="566"/>
      <c r="K946" s="566"/>
      <c r="L946" s="566"/>
      <c r="M946" s="566"/>
      <c r="N946" s="566"/>
      <c r="O946" s="566"/>
      <c r="P946" s="566"/>
      <c r="Q946" s="566"/>
      <c r="R946" s="566"/>
      <c r="S946" s="566"/>
      <c r="T946" s="566"/>
      <c r="U946" s="566"/>
      <c r="V946" s="566"/>
      <c r="W946" s="566"/>
      <c r="X946" s="566"/>
      <c r="Y946" s="566"/>
    </row>
    <row r="947" spans="2:25" x14ac:dyDescent="0.25">
      <c r="B947" s="566"/>
      <c r="C947" s="566"/>
      <c r="D947" s="566"/>
      <c r="E947" s="566"/>
      <c r="F947" s="566"/>
      <c r="G947" s="566"/>
      <c r="H947" s="566"/>
      <c r="I947" s="566"/>
      <c r="J947" s="566"/>
      <c r="K947" s="566"/>
      <c r="L947" s="566"/>
      <c r="M947" s="566"/>
      <c r="N947" s="566"/>
      <c r="O947" s="566"/>
      <c r="P947" s="566"/>
      <c r="Q947" s="566"/>
      <c r="R947" s="566"/>
      <c r="S947" s="566"/>
      <c r="T947" s="566"/>
      <c r="U947" s="566"/>
      <c r="V947" s="566"/>
      <c r="W947" s="566"/>
      <c r="X947" s="566"/>
      <c r="Y947" s="566"/>
    </row>
    <row r="948" spans="2:25" x14ac:dyDescent="0.25">
      <c r="B948" s="566"/>
      <c r="C948" s="566"/>
      <c r="D948" s="566"/>
      <c r="E948" s="566"/>
      <c r="F948" s="566"/>
      <c r="G948" s="566"/>
      <c r="H948" s="566"/>
      <c r="I948" s="566"/>
      <c r="J948" s="566"/>
      <c r="K948" s="566"/>
      <c r="L948" s="566"/>
      <c r="M948" s="566"/>
      <c r="N948" s="566"/>
      <c r="O948" s="566"/>
      <c r="P948" s="566"/>
      <c r="Q948" s="566"/>
      <c r="R948" s="566"/>
      <c r="S948" s="566"/>
      <c r="T948" s="566"/>
      <c r="U948" s="566"/>
      <c r="V948" s="566"/>
      <c r="W948" s="566"/>
      <c r="X948" s="566"/>
      <c r="Y948" s="566"/>
    </row>
    <row r="949" spans="2:25" x14ac:dyDescent="0.25">
      <c r="B949" s="566"/>
      <c r="C949" s="566"/>
      <c r="D949" s="566"/>
      <c r="E949" s="566"/>
      <c r="F949" s="566"/>
      <c r="G949" s="566"/>
      <c r="H949" s="566"/>
      <c r="I949" s="566"/>
      <c r="J949" s="566"/>
      <c r="K949" s="566"/>
      <c r="L949" s="566"/>
      <c r="M949" s="566"/>
      <c r="N949" s="566"/>
      <c r="O949" s="566"/>
      <c r="P949" s="566"/>
      <c r="Q949" s="566"/>
      <c r="R949" s="566"/>
      <c r="S949" s="566"/>
      <c r="T949" s="566"/>
      <c r="U949" s="566"/>
      <c r="V949" s="566"/>
      <c r="W949" s="566"/>
      <c r="X949" s="566"/>
      <c r="Y949" s="566"/>
    </row>
    <row r="950" spans="2:25" x14ac:dyDescent="0.25">
      <c r="B950" s="566"/>
      <c r="C950" s="566"/>
      <c r="D950" s="566"/>
      <c r="E950" s="566"/>
      <c r="F950" s="566"/>
      <c r="G950" s="566"/>
      <c r="H950" s="566"/>
      <c r="I950" s="566"/>
      <c r="J950" s="566"/>
      <c r="K950" s="566"/>
      <c r="L950" s="566"/>
      <c r="M950" s="566"/>
      <c r="N950" s="566"/>
      <c r="O950" s="566"/>
      <c r="P950" s="566"/>
      <c r="Q950" s="566"/>
      <c r="R950" s="566"/>
      <c r="S950" s="566"/>
      <c r="T950" s="566"/>
      <c r="U950" s="566"/>
      <c r="V950" s="566"/>
      <c r="W950" s="566"/>
      <c r="X950" s="566"/>
      <c r="Y950" s="566"/>
    </row>
    <row r="951" spans="2:25" x14ac:dyDescent="0.25">
      <c r="B951" s="566"/>
      <c r="C951" s="566"/>
      <c r="D951" s="566"/>
      <c r="E951" s="566"/>
      <c r="F951" s="566"/>
      <c r="G951" s="566"/>
      <c r="H951" s="566"/>
      <c r="I951" s="566"/>
      <c r="J951" s="566"/>
      <c r="K951" s="566"/>
      <c r="L951" s="566"/>
      <c r="M951" s="566"/>
      <c r="N951" s="566"/>
      <c r="O951" s="566"/>
      <c r="P951" s="566"/>
      <c r="Q951" s="566"/>
      <c r="R951" s="566"/>
      <c r="S951" s="566"/>
      <c r="T951" s="566"/>
      <c r="U951" s="566"/>
      <c r="V951" s="566"/>
      <c r="W951" s="566"/>
      <c r="X951" s="566"/>
      <c r="Y951" s="566"/>
    </row>
    <row r="952" spans="2:25" x14ac:dyDescent="0.25">
      <c r="B952" s="566"/>
      <c r="C952" s="566"/>
      <c r="D952" s="566"/>
      <c r="E952" s="566"/>
      <c r="F952" s="566"/>
      <c r="G952" s="566"/>
      <c r="H952" s="566"/>
      <c r="I952" s="566"/>
      <c r="J952" s="566"/>
      <c r="K952" s="566"/>
      <c r="L952" s="566"/>
      <c r="M952" s="566"/>
      <c r="N952" s="566"/>
      <c r="O952" s="566"/>
      <c r="P952" s="566"/>
      <c r="Q952" s="566"/>
      <c r="R952" s="566"/>
      <c r="S952" s="566"/>
      <c r="T952" s="566"/>
      <c r="U952" s="566"/>
      <c r="V952" s="566"/>
      <c r="W952" s="566"/>
      <c r="X952" s="566"/>
      <c r="Y952" s="566"/>
    </row>
    <row r="953" spans="2:25" x14ac:dyDescent="0.25">
      <c r="B953" s="566"/>
      <c r="C953" s="566"/>
      <c r="D953" s="566"/>
      <c r="E953" s="566"/>
      <c r="F953" s="566"/>
      <c r="G953" s="566"/>
      <c r="H953" s="566"/>
      <c r="I953" s="566"/>
      <c r="J953" s="566"/>
      <c r="K953" s="566"/>
      <c r="L953" s="566"/>
      <c r="M953" s="566"/>
      <c r="N953" s="566"/>
      <c r="O953" s="566"/>
      <c r="P953" s="566"/>
      <c r="Q953" s="566"/>
      <c r="R953" s="566"/>
      <c r="S953" s="566"/>
      <c r="T953" s="566"/>
      <c r="U953" s="566"/>
      <c r="V953" s="566"/>
      <c r="W953" s="566"/>
      <c r="X953" s="566"/>
      <c r="Y953" s="566"/>
    </row>
    <row r="954" spans="2:25" x14ac:dyDescent="0.25">
      <c r="B954" s="566"/>
      <c r="C954" s="566"/>
      <c r="D954" s="566"/>
      <c r="E954" s="566"/>
      <c r="F954" s="566"/>
      <c r="G954" s="566"/>
      <c r="H954" s="566"/>
      <c r="I954" s="566"/>
      <c r="J954" s="566"/>
      <c r="K954" s="566"/>
      <c r="L954" s="566"/>
      <c r="M954" s="566"/>
      <c r="N954" s="566"/>
      <c r="O954" s="566"/>
      <c r="P954" s="566"/>
      <c r="Q954" s="566"/>
      <c r="R954" s="566"/>
      <c r="S954" s="566"/>
      <c r="T954" s="566"/>
      <c r="U954" s="566"/>
      <c r="V954" s="566"/>
      <c r="W954" s="566"/>
      <c r="X954" s="566"/>
      <c r="Y954" s="566"/>
    </row>
    <row r="955" spans="2:25" x14ac:dyDescent="0.25">
      <c r="B955" s="566"/>
      <c r="C955" s="566"/>
      <c r="D955" s="566"/>
      <c r="E955" s="566"/>
      <c r="F955" s="566"/>
      <c r="G955" s="566"/>
      <c r="H955" s="566"/>
      <c r="I955" s="566"/>
      <c r="J955" s="566"/>
      <c r="K955" s="566"/>
      <c r="L955" s="566"/>
      <c r="M955" s="566"/>
      <c r="N955" s="566"/>
      <c r="O955" s="566"/>
      <c r="P955" s="566"/>
      <c r="Q955" s="566"/>
      <c r="R955" s="566"/>
      <c r="S955" s="566"/>
      <c r="T955" s="566"/>
      <c r="U955" s="566"/>
      <c r="V955" s="566"/>
      <c r="W955" s="566"/>
      <c r="X955" s="566"/>
      <c r="Y955" s="566"/>
    </row>
    <row r="956" spans="2:25" x14ac:dyDescent="0.25">
      <c r="B956" s="566"/>
      <c r="C956" s="566"/>
      <c r="D956" s="566"/>
      <c r="E956" s="566"/>
      <c r="F956" s="566"/>
      <c r="G956" s="566"/>
      <c r="H956" s="566"/>
      <c r="I956" s="566"/>
      <c r="J956" s="566"/>
      <c r="K956" s="566"/>
      <c r="L956" s="566"/>
      <c r="M956" s="566"/>
      <c r="N956" s="566"/>
      <c r="O956" s="566"/>
      <c r="P956" s="566"/>
      <c r="Q956" s="566"/>
      <c r="R956" s="566"/>
      <c r="S956" s="566"/>
      <c r="T956" s="566"/>
      <c r="U956" s="566"/>
      <c r="V956" s="566"/>
      <c r="W956" s="566"/>
      <c r="X956" s="566"/>
      <c r="Y956" s="566"/>
    </row>
    <row r="957" spans="2:25" x14ac:dyDescent="0.25">
      <c r="B957" s="566"/>
      <c r="C957" s="566"/>
      <c r="D957" s="566"/>
      <c r="E957" s="566"/>
      <c r="F957" s="566"/>
      <c r="G957" s="566"/>
      <c r="H957" s="566"/>
      <c r="I957" s="566"/>
      <c r="J957" s="566"/>
      <c r="K957" s="566"/>
      <c r="L957" s="566"/>
      <c r="M957" s="566"/>
      <c r="N957" s="566"/>
      <c r="O957" s="566"/>
      <c r="P957" s="566"/>
      <c r="Q957" s="566"/>
      <c r="R957" s="566"/>
      <c r="S957" s="566"/>
      <c r="T957" s="566"/>
      <c r="U957" s="566"/>
      <c r="V957" s="566"/>
      <c r="W957" s="566"/>
      <c r="X957" s="566"/>
      <c r="Y957" s="566"/>
    </row>
    <row r="958" spans="2:25" x14ac:dyDescent="0.25">
      <c r="B958" s="566"/>
      <c r="C958" s="566"/>
      <c r="D958" s="566"/>
      <c r="E958" s="566"/>
      <c r="F958" s="566"/>
      <c r="G958" s="566"/>
      <c r="H958" s="566"/>
      <c r="I958" s="566"/>
      <c r="J958" s="566"/>
      <c r="K958" s="566"/>
      <c r="L958" s="566"/>
      <c r="M958" s="566"/>
      <c r="N958" s="566"/>
      <c r="O958" s="566"/>
      <c r="P958" s="566"/>
      <c r="Q958" s="566"/>
      <c r="R958" s="566"/>
      <c r="S958" s="566"/>
      <c r="T958" s="566"/>
      <c r="U958" s="566"/>
      <c r="V958" s="566"/>
      <c r="W958" s="566"/>
      <c r="X958" s="566"/>
      <c r="Y958" s="566"/>
    </row>
    <row r="959" spans="2:25" x14ac:dyDescent="0.25">
      <c r="B959" s="566"/>
      <c r="C959" s="566"/>
      <c r="D959" s="566"/>
      <c r="E959" s="566"/>
      <c r="F959" s="566"/>
      <c r="G959" s="566"/>
      <c r="H959" s="566"/>
      <c r="I959" s="566"/>
      <c r="J959" s="566"/>
      <c r="K959" s="566"/>
      <c r="L959" s="566"/>
      <c r="M959" s="566"/>
      <c r="N959" s="566"/>
      <c r="O959" s="566"/>
      <c r="P959" s="566"/>
      <c r="Q959" s="566"/>
      <c r="R959" s="566"/>
      <c r="S959" s="566"/>
      <c r="T959" s="566"/>
      <c r="U959" s="566"/>
      <c r="V959" s="566"/>
      <c r="W959" s="566"/>
      <c r="X959" s="566"/>
      <c r="Y959" s="566"/>
    </row>
    <row r="960" spans="2:25" x14ac:dyDescent="0.25">
      <c r="B960" s="566"/>
      <c r="C960" s="566"/>
      <c r="D960" s="566"/>
      <c r="E960" s="566"/>
      <c r="F960" s="566"/>
      <c r="G960" s="566"/>
      <c r="H960" s="566"/>
      <c r="I960" s="566"/>
      <c r="J960" s="566"/>
      <c r="K960" s="566"/>
      <c r="L960" s="566"/>
      <c r="M960" s="566"/>
      <c r="N960" s="566"/>
      <c r="O960" s="566"/>
      <c r="P960" s="566"/>
      <c r="Q960" s="566"/>
      <c r="R960" s="566"/>
      <c r="S960" s="566"/>
      <c r="T960" s="566"/>
      <c r="U960" s="566"/>
      <c r="V960" s="566"/>
      <c r="W960" s="566"/>
      <c r="X960" s="566"/>
      <c r="Y960" s="566"/>
    </row>
    <row r="961" spans="2:25" x14ac:dyDescent="0.25">
      <c r="B961" s="566"/>
      <c r="C961" s="566"/>
      <c r="D961" s="566"/>
      <c r="E961" s="566"/>
      <c r="F961" s="566"/>
      <c r="G961" s="566"/>
      <c r="H961" s="566"/>
      <c r="I961" s="566"/>
      <c r="J961" s="566"/>
      <c r="K961" s="566"/>
      <c r="L961" s="566"/>
      <c r="M961" s="566"/>
      <c r="N961" s="566"/>
      <c r="O961" s="566"/>
      <c r="P961" s="566"/>
      <c r="Q961" s="566"/>
      <c r="R961" s="566"/>
      <c r="S961" s="566"/>
      <c r="T961" s="566"/>
      <c r="U961" s="566"/>
      <c r="V961" s="566"/>
      <c r="W961" s="566"/>
      <c r="X961" s="566"/>
      <c r="Y961" s="566"/>
    </row>
    <row r="962" spans="2:25" x14ac:dyDescent="0.25">
      <c r="B962" s="566"/>
      <c r="C962" s="566"/>
      <c r="D962" s="566"/>
      <c r="E962" s="566"/>
      <c r="F962" s="566"/>
      <c r="G962" s="566"/>
      <c r="H962" s="566"/>
      <c r="I962" s="566"/>
      <c r="J962" s="566"/>
      <c r="K962" s="566"/>
      <c r="L962" s="566"/>
      <c r="M962" s="566"/>
      <c r="N962" s="566"/>
      <c r="O962" s="566"/>
      <c r="P962" s="566"/>
      <c r="Q962" s="566"/>
      <c r="R962" s="566"/>
      <c r="S962" s="566"/>
      <c r="T962" s="566"/>
      <c r="U962" s="566"/>
      <c r="V962" s="566"/>
      <c r="W962" s="566"/>
      <c r="X962" s="566"/>
      <c r="Y962" s="566"/>
    </row>
    <row r="963" spans="2:25" x14ac:dyDescent="0.25">
      <c r="B963" s="566"/>
      <c r="C963" s="566"/>
      <c r="D963" s="566"/>
      <c r="E963" s="566"/>
      <c r="F963" s="566"/>
      <c r="G963" s="566"/>
      <c r="H963" s="566"/>
      <c r="I963" s="566"/>
      <c r="J963" s="566"/>
      <c r="K963" s="566"/>
      <c r="L963" s="566"/>
      <c r="M963" s="566"/>
      <c r="N963" s="566"/>
      <c r="O963" s="566"/>
      <c r="P963" s="566"/>
      <c r="Q963" s="566"/>
      <c r="R963" s="566"/>
      <c r="S963" s="566"/>
      <c r="T963" s="566"/>
      <c r="U963" s="566"/>
      <c r="V963" s="566"/>
      <c r="W963" s="566"/>
      <c r="X963" s="566"/>
      <c r="Y963" s="566"/>
    </row>
    <row r="964" spans="2:25" x14ac:dyDescent="0.25">
      <c r="B964" s="566"/>
      <c r="C964" s="566"/>
      <c r="D964" s="566"/>
      <c r="E964" s="566"/>
      <c r="F964" s="566"/>
      <c r="G964" s="566"/>
      <c r="H964" s="566"/>
      <c r="I964" s="566"/>
      <c r="J964" s="566"/>
      <c r="K964" s="566"/>
      <c r="L964" s="566"/>
      <c r="M964" s="566"/>
      <c r="N964" s="566"/>
      <c r="O964" s="566"/>
      <c r="P964" s="566"/>
      <c r="Q964" s="566"/>
      <c r="R964" s="566"/>
      <c r="S964" s="566"/>
      <c r="T964" s="566"/>
      <c r="U964" s="566"/>
      <c r="V964" s="566"/>
      <c r="W964" s="566"/>
      <c r="X964" s="566"/>
      <c r="Y964" s="566"/>
    </row>
    <row r="965" spans="2:25" x14ac:dyDescent="0.25">
      <c r="B965" s="566"/>
      <c r="C965" s="566"/>
      <c r="D965" s="566"/>
      <c r="E965" s="566"/>
      <c r="F965" s="566"/>
      <c r="G965" s="566"/>
      <c r="H965" s="566"/>
      <c r="I965" s="566"/>
      <c r="J965" s="566"/>
      <c r="K965" s="566"/>
      <c r="L965" s="566"/>
      <c r="M965" s="566"/>
      <c r="N965" s="566"/>
      <c r="O965" s="566"/>
      <c r="P965" s="566"/>
      <c r="Q965" s="566"/>
      <c r="R965" s="566"/>
      <c r="S965" s="566"/>
      <c r="T965" s="566"/>
      <c r="U965" s="566"/>
      <c r="V965" s="566"/>
      <c r="W965" s="566"/>
      <c r="X965" s="566"/>
      <c r="Y965" s="566"/>
    </row>
    <row r="966" spans="2:25" x14ac:dyDescent="0.25">
      <c r="B966" s="566"/>
      <c r="C966" s="566"/>
      <c r="D966" s="566"/>
      <c r="E966" s="566"/>
      <c r="F966" s="566"/>
      <c r="G966" s="566"/>
      <c r="H966" s="566"/>
      <c r="I966" s="566"/>
      <c r="J966" s="566"/>
      <c r="K966" s="566"/>
      <c r="L966" s="566"/>
      <c r="M966" s="566"/>
      <c r="N966" s="566"/>
      <c r="O966" s="566"/>
      <c r="P966" s="566"/>
      <c r="Q966" s="566"/>
      <c r="R966" s="566"/>
      <c r="S966" s="566"/>
      <c r="T966" s="566"/>
      <c r="U966" s="566"/>
      <c r="V966" s="566"/>
      <c r="W966" s="566"/>
      <c r="X966" s="566"/>
      <c r="Y966" s="566"/>
    </row>
    <row r="967" spans="2:25" x14ac:dyDescent="0.25">
      <c r="B967" s="566"/>
      <c r="C967" s="566"/>
      <c r="D967" s="566"/>
      <c r="E967" s="566"/>
      <c r="F967" s="566"/>
      <c r="G967" s="566"/>
      <c r="H967" s="566"/>
      <c r="I967" s="566"/>
      <c r="J967" s="566"/>
      <c r="K967" s="566"/>
      <c r="L967" s="566"/>
      <c r="M967" s="566"/>
      <c r="N967" s="566"/>
      <c r="O967" s="566"/>
      <c r="P967" s="566"/>
      <c r="Q967" s="566"/>
      <c r="R967" s="566"/>
      <c r="S967" s="566"/>
      <c r="T967" s="566"/>
      <c r="U967" s="566"/>
      <c r="V967" s="566"/>
      <c r="W967" s="566"/>
      <c r="X967" s="566"/>
      <c r="Y967" s="566"/>
    </row>
    <row r="968" spans="2:25" x14ac:dyDescent="0.25">
      <c r="B968" s="566"/>
      <c r="C968" s="566"/>
      <c r="D968" s="566"/>
      <c r="E968" s="566"/>
      <c r="F968" s="566"/>
      <c r="G968" s="566"/>
      <c r="H968" s="566"/>
      <c r="I968" s="566"/>
      <c r="J968" s="566"/>
      <c r="K968" s="566"/>
      <c r="L968" s="566"/>
      <c r="M968" s="566"/>
      <c r="N968" s="566"/>
      <c r="O968" s="566"/>
      <c r="P968" s="566"/>
      <c r="Q968" s="566"/>
      <c r="R968" s="566"/>
      <c r="S968" s="566"/>
      <c r="T968" s="566"/>
      <c r="U968" s="566"/>
      <c r="V968" s="566"/>
      <c r="W968" s="566"/>
      <c r="X968" s="566"/>
      <c r="Y968" s="566"/>
    </row>
    <row r="969" spans="2:25" x14ac:dyDescent="0.25">
      <c r="B969" s="566"/>
      <c r="C969" s="566"/>
      <c r="D969" s="566"/>
      <c r="E969" s="566"/>
      <c r="F969" s="566"/>
      <c r="G969" s="566"/>
      <c r="H969" s="566"/>
      <c r="I969" s="566"/>
      <c r="J969" s="566"/>
      <c r="K969" s="566"/>
      <c r="L969" s="566"/>
      <c r="M969" s="566"/>
      <c r="N969" s="566"/>
      <c r="O969" s="566"/>
      <c r="P969" s="566"/>
      <c r="Q969" s="566"/>
      <c r="R969" s="566"/>
      <c r="S969" s="566"/>
      <c r="T969" s="566"/>
      <c r="U969" s="566"/>
      <c r="V969" s="566"/>
      <c r="W969" s="566"/>
      <c r="X969" s="566"/>
      <c r="Y969" s="566"/>
    </row>
    <row r="970" spans="2:25" x14ac:dyDescent="0.25">
      <c r="B970" s="566"/>
      <c r="C970" s="566"/>
      <c r="D970" s="566"/>
      <c r="E970" s="566"/>
      <c r="F970" s="566"/>
      <c r="G970" s="566"/>
      <c r="H970" s="566"/>
      <c r="I970" s="566"/>
      <c r="J970" s="566"/>
      <c r="K970" s="566"/>
      <c r="L970" s="566"/>
      <c r="M970" s="566"/>
      <c r="N970" s="566"/>
      <c r="O970" s="566"/>
      <c r="P970" s="566"/>
      <c r="Q970" s="566"/>
      <c r="R970" s="566"/>
      <c r="S970" s="566"/>
      <c r="T970" s="566"/>
      <c r="U970" s="566"/>
      <c r="V970" s="566"/>
      <c r="W970" s="566"/>
      <c r="X970" s="566"/>
      <c r="Y970" s="566"/>
    </row>
    <row r="971" spans="2:25" x14ac:dyDescent="0.25">
      <c r="B971" s="566"/>
      <c r="C971" s="566"/>
      <c r="D971" s="566"/>
      <c r="E971" s="566"/>
      <c r="F971" s="566"/>
      <c r="G971" s="566"/>
      <c r="H971" s="566"/>
      <c r="I971" s="566"/>
      <c r="J971" s="566"/>
      <c r="K971" s="566"/>
      <c r="L971" s="566"/>
      <c r="M971" s="566"/>
      <c r="N971" s="566"/>
      <c r="O971" s="566"/>
      <c r="P971" s="566"/>
      <c r="Q971" s="566"/>
      <c r="R971" s="566"/>
      <c r="S971" s="566"/>
      <c r="T971" s="566"/>
      <c r="U971" s="566"/>
      <c r="V971" s="566"/>
      <c r="W971" s="566"/>
      <c r="X971" s="566"/>
      <c r="Y971" s="566"/>
    </row>
    <row r="972" spans="2:25" x14ac:dyDescent="0.25">
      <c r="B972" s="566"/>
      <c r="C972" s="566"/>
      <c r="D972" s="566"/>
      <c r="E972" s="566"/>
      <c r="F972" s="566"/>
      <c r="G972" s="566"/>
      <c r="H972" s="566"/>
      <c r="I972" s="566"/>
      <c r="J972" s="566"/>
      <c r="K972" s="566"/>
      <c r="L972" s="566"/>
      <c r="M972" s="566"/>
      <c r="N972" s="566"/>
      <c r="O972" s="566"/>
      <c r="P972" s="566"/>
      <c r="Q972" s="566"/>
      <c r="R972" s="566"/>
      <c r="S972" s="566"/>
      <c r="T972" s="566"/>
      <c r="U972" s="566"/>
      <c r="V972" s="566"/>
      <c r="W972" s="566"/>
      <c r="X972" s="566"/>
      <c r="Y972" s="566"/>
    </row>
    <row r="973" spans="2:25" x14ac:dyDescent="0.25">
      <c r="B973" s="566"/>
      <c r="C973" s="566"/>
      <c r="D973" s="566"/>
      <c r="E973" s="566"/>
      <c r="F973" s="566"/>
      <c r="G973" s="566"/>
      <c r="H973" s="566"/>
      <c r="I973" s="566"/>
      <c r="J973" s="566"/>
      <c r="K973" s="566"/>
      <c r="L973" s="566"/>
      <c r="M973" s="566"/>
      <c r="N973" s="566"/>
      <c r="O973" s="566"/>
      <c r="P973" s="566"/>
      <c r="Q973" s="566"/>
      <c r="R973" s="566"/>
      <c r="S973" s="566"/>
      <c r="T973" s="566"/>
      <c r="U973" s="566"/>
      <c r="V973" s="566"/>
      <c r="W973" s="566"/>
      <c r="X973" s="566"/>
      <c r="Y973" s="566"/>
    </row>
    <row r="974" spans="2:25" x14ac:dyDescent="0.25">
      <c r="B974" s="566"/>
      <c r="C974" s="566"/>
      <c r="D974" s="566"/>
      <c r="E974" s="566"/>
      <c r="F974" s="566"/>
      <c r="G974" s="566"/>
      <c r="H974" s="566"/>
      <c r="I974" s="566"/>
      <c r="J974" s="566"/>
      <c r="K974" s="566"/>
      <c r="L974" s="566"/>
      <c r="M974" s="566"/>
      <c r="N974" s="566"/>
      <c r="O974" s="566"/>
      <c r="P974" s="566"/>
      <c r="Q974" s="566"/>
      <c r="R974" s="566"/>
      <c r="S974" s="566"/>
      <c r="T974" s="566"/>
      <c r="U974" s="566"/>
      <c r="V974" s="566"/>
      <c r="W974" s="566"/>
      <c r="X974" s="566"/>
      <c r="Y974" s="566"/>
    </row>
    <row r="975" spans="2:25" x14ac:dyDescent="0.25">
      <c r="B975" s="566"/>
      <c r="C975" s="566"/>
      <c r="D975" s="566"/>
      <c r="E975" s="566"/>
      <c r="F975" s="566"/>
      <c r="G975" s="566"/>
      <c r="H975" s="566"/>
      <c r="I975" s="566"/>
      <c r="J975" s="566"/>
      <c r="K975" s="566"/>
      <c r="L975" s="566"/>
      <c r="M975" s="566"/>
      <c r="N975" s="566"/>
      <c r="O975" s="566"/>
      <c r="P975" s="566"/>
      <c r="Q975" s="566"/>
      <c r="R975" s="566"/>
      <c r="S975" s="566"/>
      <c r="T975" s="566"/>
      <c r="U975" s="566"/>
      <c r="V975" s="566"/>
      <c r="W975" s="566"/>
      <c r="X975" s="566"/>
      <c r="Y975" s="566"/>
    </row>
    <row r="976" spans="2:25" x14ac:dyDescent="0.25">
      <c r="B976" s="566"/>
      <c r="C976" s="566"/>
      <c r="D976" s="566"/>
      <c r="E976" s="566"/>
      <c r="F976" s="566"/>
      <c r="G976" s="566"/>
      <c r="H976" s="566"/>
      <c r="I976" s="566"/>
      <c r="J976" s="566"/>
      <c r="K976" s="566"/>
      <c r="L976" s="566"/>
      <c r="M976" s="566"/>
      <c r="N976" s="566"/>
      <c r="O976" s="566"/>
      <c r="P976" s="566"/>
      <c r="Q976" s="566"/>
      <c r="R976" s="566"/>
      <c r="S976" s="566"/>
      <c r="T976" s="566"/>
      <c r="U976" s="566"/>
      <c r="V976" s="566"/>
      <c r="W976" s="566"/>
      <c r="X976" s="566"/>
      <c r="Y976" s="566"/>
    </row>
    <row r="977" spans="2:25" x14ac:dyDescent="0.25">
      <c r="B977" s="566"/>
      <c r="C977" s="566"/>
      <c r="D977" s="566"/>
      <c r="E977" s="566"/>
      <c r="F977" s="566"/>
      <c r="G977" s="566"/>
      <c r="H977" s="566"/>
      <c r="I977" s="566"/>
      <c r="J977" s="566"/>
      <c r="K977" s="566"/>
      <c r="L977" s="566"/>
      <c r="M977" s="566"/>
      <c r="N977" s="566"/>
      <c r="O977" s="566"/>
      <c r="P977" s="566"/>
      <c r="Q977" s="566"/>
      <c r="R977" s="566"/>
      <c r="S977" s="566"/>
      <c r="T977" s="566"/>
      <c r="U977" s="566"/>
      <c r="V977" s="566"/>
      <c r="W977" s="566"/>
      <c r="X977" s="566"/>
      <c r="Y977" s="566"/>
    </row>
    <row r="978" spans="2:25" x14ac:dyDescent="0.25">
      <c r="B978" s="566"/>
      <c r="C978" s="566"/>
      <c r="D978" s="566"/>
      <c r="E978" s="566"/>
      <c r="F978" s="566"/>
      <c r="G978" s="566"/>
      <c r="H978" s="566"/>
      <c r="I978" s="566"/>
      <c r="J978" s="566"/>
      <c r="K978" s="566"/>
      <c r="L978" s="566"/>
      <c r="M978" s="566"/>
      <c r="N978" s="566"/>
      <c r="O978" s="566"/>
      <c r="P978" s="566"/>
      <c r="Q978" s="566"/>
      <c r="R978" s="566"/>
      <c r="S978" s="566"/>
      <c r="T978" s="566"/>
      <c r="U978" s="566"/>
      <c r="V978" s="566"/>
      <c r="W978" s="566"/>
      <c r="X978" s="566"/>
      <c r="Y978" s="566"/>
    </row>
    <row r="979" spans="2:25" x14ac:dyDescent="0.25">
      <c r="B979" s="566"/>
      <c r="C979" s="566"/>
      <c r="D979" s="566"/>
      <c r="E979" s="566"/>
      <c r="F979" s="566"/>
      <c r="G979" s="566"/>
      <c r="H979" s="566"/>
      <c r="I979" s="566"/>
      <c r="J979" s="566"/>
      <c r="K979" s="566"/>
      <c r="L979" s="566"/>
      <c r="M979" s="566"/>
      <c r="N979" s="566"/>
      <c r="O979" s="566"/>
      <c r="P979" s="566"/>
      <c r="Q979" s="566"/>
      <c r="R979" s="566"/>
      <c r="S979" s="566"/>
      <c r="T979" s="566"/>
      <c r="U979" s="566"/>
      <c r="V979" s="566"/>
      <c r="W979" s="566"/>
      <c r="X979" s="566"/>
      <c r="Y979" s="566"/>
    </row>
    <row r="980" spans="2:25" x14ac:dyDescent="0.25">
      <c r="B980" s="566"/>
      <c r="C980" s="566"/>
      <c r="D980" s="566"/>
      <c r="E980" s="566"/>
      <c r="F980" s="566"/>
      <c r="G980" s="566"/>
      <c r="H980" s="566"/>
      <c r="I980" s="566"/>
      <c r="J980" s="566"/>
      <c r="K980" s="566"/>
      <c r="L980" s="566"/>
      <c r="M980" s="566"/>
      <c r="N980" s="566"/>
      <c r="O980" s="566"/>
      <c r="P980" s="566"/>
      <c r="Q980" s="566"/>
      <c r="R980" s="566"/>
      <c r="S980" s="566"/>
      <c r="T980" s="566"/>
      <c r="U980" s="566"/>
      <c r="V980" s="566"/>
      <c r="W980" s="566"/>
      <c r="X980" s="566"/>
      <c r="Y980" s="566"/>
    </row>
    <row r="981" spans="2:25" x14ac:dyDescent="0.25">
      <c r="B981" s="566"/>
      <c r="C981" s="566"/>
      <c r="D981" s="566"/>
      <c r="E981" s="566"/>
      <c r="F981" s="566"/>
      <c r="G981" s="566"/>
      <c r="H981" s="566"/>
      <c r="I981" s="566"/>
      <c r="J981" s="566"/>
      <c r="K981" s="566"/>
      <c r="L981" s="566"/>
      <c r="M981" s="566"/>
      <c r="N981" s="566"/>
      <c r="O981" s="566"/>
      <c r="P981" s="566"/>
      <c r="Q981" s="566"/>
      <c r="R981" s="566"/>
      <c r="S981" s="566"/>
      <c r="T981" s="566"/>
      <c r="U981" s="566"/>
      <c r="V981" s="566"/>
      <c r="W981" s="566"/>
      <c r="X981" s="566"/>
      <c r="Y981" s="566"/>
    </row>
    <row r="982" spans="2:25" x14ac:dyDescent="0.25">
      <c r="B982" s="566"/>
      <c r="C982" s="566"/>
      <c r="D982" s="566"/>
      <c r="E982" s="566"/>
      <c r="F982" s="566"/>
      <c r="G982" s="566"/>
      <c r="H982" s="566"/>
      <c r="I982" s="566"/>
      <c r="J982" s="566"/>
      <c r="K982" s="566"/>
      <c r="L982" s="566"/>
      <c r="M982" s="566"/>
      <c r="N982" s="566"/>
      <c r="O982" s="566"/>
      <c r="P982" s="566"/>
      <c r="Q982" s="566"/>
      <c r="R982" s="566"/>
      <c r="S982" s="566"/>
      <c r="T982" s="566"/>
      <c r="U982" s="566"/>
      <c r="V982" s="566"/>
      <c r="W982" s="566"/>
      <c r="X982" s="566"/>
      <c r="Y982" s="566"/>
    </row>
    <row r="983" spans="2:25" x14ac:dyDescent="0.25">
      <c r="B983" s="566"/>
      <c r="C983" s="566"/>
      <c r="D983" s="566"/>
      <c r="E983" s="566"/>
      <c r="F983" s="566"/>
      <c r="G983" s="566"/>
      <c r="H983" s="566"/>
      <c r="I983" s="566"/>
      <c r="J983" s="566"/>
      <c r="K983" s="566"/>
      <c r="L983" s="566"/>
      <c r="M983" s="566"/>
      <c r="N983" s="566"/>
      <c r="O983" s="566"/>
      <c r="P983" s="566"/>
      <c r="Q983" s="566"/>
      <c r="R983" s="566"/>
      <c r="S983" s="566"/>
      <c r="T983" s="566"/>
      <c r="U983" s="566"/>
      <c r="V983" s="566"/>
      <c r="W983" s="566"/>
      <c r="X983" s="566"/>
      <c r="Y983" s="566"/>
    </row>
    <row r="984" spans="2:25" x14ac:dyDescent="0.25">
      <c r="B984" s="566"/>
      <c r="C984" s="566"/>
      <c r="D984" s="566"/>
      <c r="E984" s="566"/>
      <c r="F984" s="566"/>
      <c r="G984" s="566"/>
      <c r="H984" s="566"/>
      <c r="I984" s="566"/>
      <c r="J984" s="566"/>
      <c r="K984" s="566"/>
      <c r="L984" s="566"/>
      <c r="M984" s="566"/>
      <c r="N984" s="566"/>
      <c r="O984" s="566"/>
      <c r="P984" s="566"/>
      <c r="Q984" s="566"/>
      <c r="R984" s="566"/>
      <c r="S984" s="566"/>
      <c r="T984" s="566"/>
      <c r="U984" s="566"/>
      <c r="V984" s="566"/>
      <c r="W984" s="566"/>
      <c r="X984" s="566"/>
      <c r="Y984" s="566"/>
    </row>
    <row r="985" spans="2:25" x14ac:dyDescent="0.25">
      <c r="B985" s="566"/>
      <c r="C985" s="566"/>
      <c r="D985" s="566"/>
      <c r="E985" s="566"/>
      <c r="F985" s="566"/>
      <c r="G985" s="566"/>
      <c r="H985" s="566"/>
      <c r="I985" s="566"/>
      <c r="J985" s="566"/>
      <c r="K985" s="566"/>
      <c r="L985" s="566"/>
      <c r="M985" s="566"/>
      <c r="N985" s="566"/>
      <c r="O985" s="566"/>
      <c r="P985" s="566"/>
      <c r="Q985" s="566"/>
      <c r="R985" s="566"/>
      <c r="S985" s="566"/>
      <c r="T985" s="566"/>
      <c r="U985" s="566"/>
      <c r="V985" s="566"/>
      <c r="W985" s="566"/>
      <c r="X985" s="566"/>
      <c r="Y985" s="566"/>
    </row>
    <row r="986" spans="2:25" x14ac:dyDescent="0.25">
      <c r="B986" s="566"/>
      <c r="C986" s="566"/>
      <c r="D986" s="566"/>
      <c r="E986" s="566"/>
      <c r="F986" s="566"/>
      <c r="G986" s="566"/>
      <c r="H986" s="566"/>
      <c r="I986" s="566"/>
      <c r="J986" s="566"/>
      <c r="K986" s="566"/>
      <c r="L986" s="566"/>
      <c r="M986" s="566"/>
      <c r="N986" s="566"/>
      <c r="O986" s="566"/>
      <c r="P986" s="566"/>
      <c r="Q986" s="566"/>
      <c r="R986" s="566"/>
      <c r="S986" s="566"/>
      <c r="T986" s="566"/>
      <c r="U986" s="566"/>
      <c r="V986" s="566"/>
      <c r="W986" s="566"/>
      <c r="X986" s="566"/>
      <c r="Y986" s="566"/>
    </row>
    <row r="987" spans="2:25" x14ac:dyDescent="0.25">
      <c r="B987" s="566"/>
      <c r="C987" s="566"/>
      <c r="D987" s="566"/>
      <c r="E987" s="566"/>
      <c r="F987" s="566"/>
      <c r="G987" s="566"/>
      <c r="H987" s="566"/>
      <c r="I987" s="566"/>
      <c r="J987" s="566"/>
      <c r="K987" s="566"/>
      <c r="L987" s="566"/>
      <c r="M987" s="566"/>
      <c r="N987" s="566"/>
      <c r="O987" s="566"/>
      <c r="P987" s="566"/>
      <c r="Q987" s="566"/>
      <c r="R987" s="566"/>
      <c r="S987" s="566"/>
      <c r="T987" s="566"/>
      <c r="U987" s="566"/>
      <c r="V987" s="566"/>
      <c r="W987" s="566"/>
      <c r="X987" s="566"/>
      <c r="Y987" s="566"/>
    </row>
    <row r="988" spans="2:25" x14ac:dyDescent="0.25">
      <c r="B988" s="566"/>
      <c r="C988" s="566"/>
      <c r="D988" s="566"/>
      <c r="E988" s="566"/>
      <c r="F988" s="566"/>
      <c r="G988" s="566"/>
      <c r="H988" s="566"/>
      <c r="I988" s="566"/>
      <c r="J988" s="566"/>
      <c r="K988" s="566"/>
      <c r="L988" s="566"/>
      <c r="M988" s="566"/>
      <c r="N988" s="566"/>
      <c r="O988" s="566"/>
      <c r="P988" s="566"/>
      <c r="Q988" s="566"/>
      <c r="R988" s="566"/>
      <c r="S988" s="566"/>
      <c r="T988" s="566"/>
      <c r="U988" s="566"/>
      <c r="V988" s="566"/>
      <c r="W988" s="566"/>
      <c r="X988" s="566"/>
      <c r="Y988" s="566"/>
    </row>
    <row r="989" spans="2:25" x14ac:dyDescent="0.25">
      <c r="B989" s="566"/>
      <c r="C989" s="566"/>
      <c r="D989" s="566"/>
      <c r="E989" s="566"/>
      <c r="F989" s="566"/>
      <c r="G989" s="566"/>
      <c r="H989" s="566"/>
      <c r="I989" s="566"/>
      <c r="J989" s="566"/>
      <c r="K989" s="566"/>
      <c r="L989" s="566"/>
      <c r="M989" s="566"/>
      <c r="N989" s="566"/>
      <c r="O989" s="566"/>
      <c r="P989" s="566"/>
      <c r="Q989" s="566"/>
      <c r="R989" s="566"/>
      <c r="S989" s="566"/>
      <c r="T989" s="566"/>
      <c r="U989" s="566"/>
      <c r="V989" s="566"/>
      <c r="W989" s="566"/>
      <c r="X989" s="566"/>
      <c r="Y989" s="566"/>
    </row>
    <row r="990" spans="2:25" x14ac:dyDescent="0.25">
      <c r="B990" s="566"/>
      <c r="C990" s="566"/>
      <c r="D990" s="566"/>
      <c r="E990" s="566"/>
      <c r="F990" s="566"/>
      <c r="G990" s="566"/>
      <c r="H990" s="566"/>
      <c r="I990" s="566"/>
      <c r="J990" s="566"/>
      <c r="K990" s="566"/>
      <c r="L990" s="566"/>
      <c r="M990" s="566"/>
      <c r="N990" s="566"/>
      <c r="O990" s="566"/>
      <c r="P990" s="566"/>
      <c r="Q990" s="566"/>
      <c r="R990" s="566"/>
      <c r="S990" s="566"/>
      <c r="T990" s="566"/>
      <c r="U990" s="566"/>
      <c r="V990" s="566"/>
      <c r="W990" s="566"/>
      <c r="X990" s="566"/>
      <c r="Y990" s="566"/>
    </row>
    <row r="991" spans="2:25" x14ac:dyDescent="0.25">
      <c r="B991" s="566"/>
      <c r="C991" s="566"/>
      <c r="D991" s="566"/>
      <c r="E991" s="566"/>
      <c r="F991" s="566"/>
      <c r="G991" s="566"/>
      <c r="H991" s="566"/>
      <c r="I991" s="566"/>
      <c r="J991" s="566"/>
      <c r="K991" s="566"/>
      <c r="L991" s="566"/>
      <c r="M991" s="566"/>
      <c r="N991" s="566"/>
      <c r="O991" s="566"/>
      <c r="P991" s="566"/>
      <c r="Q991" s="566"/>
      <c r="R991" s="566"/>
      <c r="S991" s="566"/>
      <c r="T991" s="566"/>
      <c r="U991" s="566"/>
      <c r="V991" s="566"/>
      <c r="W991" s="566"/>
      <c r="X991" s="566"/>
      <c r="Y991" s="566"/>
    </row>
    <row r="992" spans="2:25" x14ac:dyDescent="0.25">
      <c r="B992" s="566"/>
      <c r="C992" s="566"/>
      <c r="D992" s="566"/>
      <c r="E992" s="566"/>
      <c r="F992" s="566"/>
      <c r="G992" s="566"/>
      <c r="H992" s="566"/>
      <c r="I992" s="566"/>
      <c r="J992" s="566"/>
      <c r="K992" s="566"/>
      <c r="L992" s="566"/>
      <c r="M992" s="566"/>
      <c r="N992" s="566"/>
      <c r="O992" s="566"/>
      <c r="P992" s="566"/>
      <c r="Q992" s="566"/>
      <c r="R992" s="566"/>
      <c r="S992" s="566"/>
      <c r="T992" s="566"/>
      <c r="U992" s="566"/>
      <c r="V992" s="566"/>
      <c r="W992" s="566"/>
      <c r="X992" s="566"/>
      <c r="Y992" s="566"/>
    </row>
    <row r="993" spans="2:25" x14ac:dyDescent="0.25">
      <c r="B993" s="566"/>
      <c r="C993" s="566"/>
      <c r="D993" s="566"/>
      <c r="E993" s="566"/>
      <c r="F993" s="566"/>
      <c r="G993" s="566"/>
      <c r="H993" s="566"/>
      <c r="I993" s="566"/>
      <c r="J993" s="566"/>
      <c r="K993" s="566"/>
      <c r="L993" s="566"/>
      <c r="M993" s="566"/>
      <c r="N993" s="566"/>
      <c r="O993" s="566"/>
      <c r="P993" s="566"/>
      <c r="Q993" s="566"/>
      <c r="R993" s="566"/>
      <c r="S993" s="566"/>
      <c r="T993" s="566"/>
      <c r="U993" s="566"/>
      <c r="V993" s="566"/>
      <c r="W993" s="566"/>
      <c r="X993" s="566"/>
      <c r="Y993" s="566"/>
    </row>
    <row r="994" spans="2:25" x14ac:dyDescent="0.25">
      <c r="B994" s="566"/>
      <c r="C994" s="566"/>
      <c r="D994" s="566"/>
      <c r="E994" s="566"/>
      <c r="F994" s="566"/>
      <c r="G994" s="566"/>
      <c r="H994" s="566"/>
      <c r="I994" s="566"/>
      <c r="J994" s="566"/>
      <c r="K994" s="566"/>
      <c r="L994" s="566"/>
      <c r="M994" s="566"/>
      <c r="N994" s="566"/>
      <c r="O994" s="566"/>
      <c r="P994" s="566"/>
      <c r="Q994" s="566"/>
      <c r="R994" s="566"/>
      <c r="S994" s="566"/>
      <c r="T994" s="566"/>
      <c r="U994" s="566"/>
      <c r="V994" s="566"/>
      <c r="W994" s="566"/>
      <c r="X994" s="566"/>
      <c r="Y994" s="566"/>
    </row>
    <row r="995" spans="2:25" x14ac:dyDescent="0.25">
      <c r="B995" s="566"/>
      <c r="C995" s="566"/>
      <c r="D995" s="566"/>
      <c r="E995" s="566"/>
      <c r="F995" s="566"/>
      <c r="G995" s="566"/>
      <c r="H995" s="566"/>
      <c r="I995" s="566"/>
      <c r="J995" s="566"/>
      <c r="K995" s="566"/>
      <c r="L995" s="566"/>
      <c r="M995" s="566"/>
      <c r="N995" s="566"/>
      <c r="O995" s="566"/>
      <c r="P995" s="566"/>
      <c r="Q995" s="566"/>
      <c r="R995" s="566"/>
      <c r="S995" s="566"/>
      <c r="T995" s="566"/>
      <c r="U995" s="566"/>
      <c r="V995" s="566"/>
      <c r="W995" s="566"/>
      <c r="X995" s="566"/>
      <c r="Y995" s="566"/>
    </row>
    <row r="996" spans="2:25" x14ac:dyDescent="0.25">
      <c r="B996" s="566"/>
      <c r="C996" s="566"/>
      <c r="D996" s="566"/>
      <c r="E996" s="566"/>
      <c r="F996" s="566"/>
      <c r="G996" s="566"/>
      <c r="H996" s="566"/>
      <c r="I996" s="566"/>
      <c r="J996" s="566"/>
      <c r="K996" s="566"/>
      <c r="L996" s="566"/>
      <c r="M996" s="566"/>
      <c r="N996" s="566"/>
      <c r="O996" s="566"/>
      <c r="P996" s="566"/>
      <c r="Q996" s="566"/>
      <c r="R996" s="566"/>
      <c r="S996" s="566"/>
      <c r="T996" s="566"/>
      <c r="U996" s="566"/>
      <c r="V996" s="566"/>
      <c r="W996" s="566"/>
      <c r="X996" s="566"/>
      <c r="Y996" s="566"/>
    </row>
    <row r="997" spans="2:25" x14ac:dyDescent="0.25">
      <c r="B997" s="566"/>
      <c r="C997" s="566"/>
      <c r="D997" s="566"/>
      <c r="E997" s="566"/>
      <c r="F997" s="566"/>
      <c r="G997" s="566"/>
      <c r="H997" s="566"/>
      <c r="I997" s="566"/>
      <c r="J997" s="566"/>
      <c r="K997" s="566"/>
      <c r="L997" s="566"/>
      <c r="M997" s="566"/>
      <c r="N997" s="566"/>
      <c r="O997" s="566"/>
      <c r="P997" s="566"/>
      <c r="Q997" s="566"/>
      <c r="R997" s="566"/>
      <c r="S997" s="566"/>
      <c r="T997" s="566"/>
      <c r="U997" s="566"/>
      <c r="V997" s="566"/>
      <c r="W997" s="566"/>
      <c r="X997" s="566"/>
      <c r="Y997" s="566"/>
    </row>
    <row r="998" spans="2:25" x14ac:dyDescent="0.25">
      <c r="B998" s="566"/>
      <c r="C998" s="566"/>
      <c r="D998" s="566"/>
      <c r="E998" s="566"/>
      <c r="F998" s="566"/>
      <c r="G998" s="566"/>
      <c r="H998" s="566"/>
      <c r="I998" s="566"/>
      <c r="J998" s="566"/>
      <c r="K998" s="566"/>
      <c r="L998" s="566"/>
      <c r="M998" s="566"/>
      <c r="N998" s="566"/>
      <c r="O998" s="566"/>
      <c r="P998" s="566"/>
      <c r="Q998" s="566"/>
      <c r="R998" s="566"/>
      <c r="S998" s="566"/>
      <c r="T998" s="566"/>
      <c r="U998" s="566"/>
      <c r="V998" s="566"/>
      <c r="W998" s="566"/>
      <c r="X998" s="566"/>
      <c r="Y998" s="566"/>
    </row>
    <row r="999" spans="2:25" x14ac:dyDescent="0.25">
      <c r="B999" s="566"/>
      <c r="C999" s="566"/>
      <c r="D999" s="566"/>
      <c r="E999" s="566"/>
      <c r="F999" s="566"/>
      <c r="G999" s="566"/>
      <c r="H999" s="566"/>
      <c r="I999" s="566"/>
      <c r="J999" s="566"/>
      <c r="K999" s="566"/>
      <c r="L999" s="566"/>
      <c r="M999" s="566"/>
      <c r="N999" s="566"/>
      <c r="O999" s="566"/>
      <c r="P999" s="566"/>
      <c r="Q999" s="566"/>
      <c r="R999" s="566"/>
      <c r="S999" s="566"/>
      <c r="T999" s="566"/>
      <c r="U999" s="566"/>
      <c r="V999" s="566"/>
      <c r="W999" s="566"/>
      <c r="X999" s="566"/>
      <c r="Y999" s="566"/>
    </row>
    <row r="1000" spans="2:25" x14ac:dyDescent="0.25">
      <c r="B1000" s="566"/>
      <c r="C1000" s="566"/>
      <c r="D1000" s="566"/>
      <c r="E1000" s="566"/>
      <c r="F1000" s="566"/>
      <c r="G1000" s="566"/>
      <c r="H1000" s="566"/>
      <c r="I1000" s="566"/>
      <c r="J1000" s="566"/>
      <c r="K1000" s="566"/>
      <c r="L1000" s="566"/>
      <c r="M1000" s="566"/>
      <c r="N1000" s="566"/>
      <c r="O1000" s="566"/>
      <c r="P1000" s="566"/>
      <c r="Q1000" s="566"/>
      <c r="R1000" s="566"/>
      <c r="S1000" s="566"/>
      <c r="T1000" s="566"/>
      <c r="U1000" s="566"/>
      <c r="V1000" s="566"/>
      <c r="W1000" s="566"/>
      <c r="X1000" s="566"/>
      <c r="Y1000" s="566"/>
    </row>
  </sheetData>
  <dataConsolidate/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2"/>
  <dimension ref="A2:E221"/>
  <sheetViews>
    <sheetView workbookViewId="0">
      <selection activeCell="D132" sqref="D132"/>
    </sheetView>
  </sheetViews>
  <sheetFormatPr defaultRowHeight="15" x14ac:dyDescent="0.25"/>
  <cols>
    <col min="1" max="1" width="7.28515625" bestFit="1" customWidth="1"/>
    <col min="2" max="5" width="11" customWidth="1"/>
  </cols>
  <sheetData>
    <row r="2" spans="1:5" x14ac:dyDescent="0.25">
      <c r="B2" s="1197" t="s">
        <v>415</v>
      </c>
      <c r="C2" s="1197"/>
      <c r="D2" s="1197"/>
      <c r="E2" s="1197"/>
    </row>
    <row r="3" spans="1:5" x14ac:dyDescent="0.25">
      <c r="B3" s="1197" t="s">
        <v>413</v>
      </c>
      <c r="C3" s="1197"/>
      <c r="D3" s="1197" t="s">
        <v>412</v>
      </c>
      <c r="E3" s="1197"/>
    </row>
    <row r="4" spans="1:5" x14ac:dyDescent="0.25">
      <c r="A4" t="s">
        <v>432</v>
      </c>
      <c r="B4" s="544" t="s">
        <v>431</v>
      </c>
      <c r="C4" s="544" t="s">
        <v>340</v>
      </c>
      <c r="D4" s="544" t="s">
        <v>431</v>
      </c>
      <c r="E4" s="544" t="s">
        <v>340</v>
      </c>
    </row>
    <row r="5" spans="1:5" x14ac:dyDescent="0.25">
      <c r="A5">
        <v>1</v>
      </c>
      <c r="B5">
        <v>0</v>
      </c>
      <c r="C5">
        <v>0</v>
      </c>
      <c r="D5">
        <v>0</v>
      </c>
      <c r="E5" t="s">
        <v>2114</v>
      </c>
    </row>
    <row r="6" spans="1:5" x14ac:dyDescent="0.25">
      <c r="A6">
        <v>2</v>
      </c>
      <c r="B6">
        <v>0</v>
      </c>
      <c r="C6">
        <v>0</v>
      </c>
      <c r="D6">
        <v>0</v>
      </c>
      <c r="E6" t="s">
        <v>2114</v>
      </c>
    </row>
    <row r="7" spans="1:5" x14ac:dyDescent="0.25">
      <c r="A7">
        <v>3</v>
      </c>
      <c r="B7">
        <v>0</v>
      </c>
      <c r="C7">
        <v>0</v>
      </c>
      <c r="D7">
        <v>0</v>
      </c>
      <c r="E7" t="s">
        <v>2114</v>
      </c>
    </row>
    <row r="8" spans="1:5" x14ac:dyDescent="0.25">
      <c r="A8">
        <v>4</v>
      </c>
      <c r="B8">
        <v>0</v>
      </c>
      <c r="C8">
        <v>0</v>
      </c>
      <c r="D8">
        <v>0</v>
      </c>
      <c r="E8" t="s">
        <v>2114</v>
      </c>
    </row>
    <row r="9" spans="1:5" x14ac:dyDescent="0.25">
      <c r="A9">
        <v>5</v>
      </c>
      <c r="B9">
        <v>0</v>
      </c>
      <c r="C9">
        <v>0</v>
      </c>
      <c r="D9">
        <v>0</v>
      </c>
      <c r="E9" t="s">
        <v>2114</v>
      </c>
    </row>
    <row r="10" spans="1:5" x14ac:dyDescent="0.25">
      <c r="A10">
        <v>6</v>
      </c>
      <c r="B10">
        <v>0</v>
      </c>
      <c r="C10">
        <v>0</v>
      </c>
      <c r="D10">
        <v>0</v>
      </c>
      <c r="E10" t="s">
        <v>2114</v>
      </c>
    </row>
    <row r="11" spans="1:5" x14ac:dyDescent="0.25">
      <c r="A11">
        <v>7</v>
      </c>
      <c r="B11">
        <v>0</v>
      </c>
      <c r="C11">
        <v>0</v>
      </c>
      <c r="D11">
        <v>0</v>
      </c>
      <c r="E11" t="s">
        <v>2114</v>
      </c>
    </row>
    <row r="12" spans="1:5" x14ac:dyDescent="0.25">
      <c r="A12">
        <v>8</v>
      </c>
      <c r="B12">
        <v>0</v>
      </c>
      <c r="C12">
        <v>0</v>
      </c>
      <c r="D12">
        <v>0</v>
      </c>
      <c r="E12" t="s">
        <v>2114</v>
      </c>
    </row>
    <row r="13" spans="1:5" x14ac:dyDescent="0.25">
      <c r="A13">
        <v>9</v>
      </c>
      <c r="B13">
        <v>0</v>
      </c>
      <c r="C13">
        <v>0</v>
      </c>
      <c r="D13">
        <v>0</v>
      </c>
      <c r="E13" t="s">
        <v>2114</v>
      </c>
    </row>
    <row r="14" spans="1:5" x14ac:dyDescent="0.25">
      <c r="A14">
        <v>10</v>
      </c>
      <c r="B14">
        <v>0</v>
      </c>
      <c r="C14">
        <v>0</v>
      </c>
      <c r="D14">
        <v>0</v>
      </c>
      <c r="E14" t="s">
        <v>2114</v>
      </c>
    </row>
    <row r="15" spans="1:5" x14ac:dyDescent="0.25">
      <c r="A15">
        <v>11</v>
      </c>
      <c r="B15">
        <v>0</v>
      </c>
      <c r="C15">
        <v>0</v>
      </c>
      <c r="D15">
        <v>0</v>
      </c>
      <c r="E15" t="s">
        <v>2114</v>
      </c>
    </row>
    <row r="16" spans="1:5" x14ac:dyDescent="0.25">
      <c r="A16">
        <v>12</v>
      </c>
      <c r="B16">
        <v>0</v>
      </c>
      <c r="C16">
        <v>0</v>
      </c>
      <c r="D16">
        <v>0</v>
      </c>
      <c r="E16" t="s">
        <v>2114</v>
      </c>
    </row>
    <row r="17" spans="1:5" x14ac:dyDescent="0.25">
      <c r="A17">
        <v>13</v>
      </c>
      <c r="B17">
        <v>0</v>
      </c>
      <c r="C17">
        <v>0</v>
      </c>
      <c r="D17">
        <v>0</v>
      </c>
      <c r="E17" t="s">
        <v>2114</v>
      </c>
    </row>
    <row r="18" spans="1:5" x14ac:dyDescent="0.25">
      <c r="A18">
        <v>14</v>
      </c>
      <c r="B18">
        <v>0</v>
      </c>
      <c r="C18">
        <v>0</v>
      </c>
      <c r="D18">
        <v>0</v>
      </c>
      <c r="E18" t="s">
        <v>2114</v>
      </c>
    </row>
    <row r="19" spans="1:5" x14ac:dyDescent="0.25">
      <c r="A19">
        <v>15</v>
      </c>
      <c r="B19">
        <v>0</v>
      </c>
      <c r="C19">
        <v>0</v>
      </c>
      <c r="D19">
        <v>0</v>
      </c>
      <c r="E19" t="s">
        <v>2114</v>
      </c>
    </row>
    <row r="20" spans="1:5" x14ac:dyDescent="0.25">
      <c r="A20">
        <v>16</v>
      </c>
      <c r="B20">
        <v>0</v>
      </c>
      <c r="C20">
        <v>0</v>
      </c>
      <c r="D20">
        <v>0</v>
      </c>
      <c r="E20" t="s">
        <v>2114</v>
      </c>
    </row>
    <row r="21" spans="1:5" x14ac:dyDescent="0.25">
      <c r="A21">
        <v>17</v>
      </c>
      <c r="B21">
        <v>0</v>
      </c>
      <c r="C21">
        <v>0</v>
      </c>
      <c r="D21">
        <v>0</v>
      </c>
      <c r="E21" t="s">
        <v>2114</v>
      </c>
    </row>
    <row r="22" spans="1:5" x14ac:dyDescent="0.25">
      <c r="A22">
        <v>18</v>
      </c>
      <c r="B22">
        <v>0</v>
      </c>
      <c r="C22">
        <v>0</v>
      </c>
      <c r="D22">
        <v>0</v>
      </c>
      <c r="E22" t="s">
        <v>2114</v>
      </c>
    </row>
    <row r="23" spans="1:5" x14ac:dyDescent="0.25">
      <c r="A23">
        <v>19</v>
      </c>
      <c r="B23">
        <v>0</v>
      </c>
      <c r="C23">
        <v>0</v>
      </c>
      <c r="D23">
        <v>0</v>
      </c>
      <c r="E23" t="s">
        <v>2114</v>
      </c>
    </row>
    <row r="24" spans="1:5" x14ac:dyDescent="0.25">
      <c r="A24">
        <v>20</v>
      </c>
      <c r="B24">
        <v>0</v>
      </c>
      <c r="C24">
        <v>0</v>
      </c>
      <c r="D24">
        <v>0</v>
      </c>
      <c r="E24" t="s">
        <v>2114</v>
      </c>
    </row>
    <row r="25" spans="1:5" x14ac:dyDescent="0.25">
      <c r="A25">
        <v>21</v>
      </c>
      <c r="B25">
        <v>0</v>
      </c>
      <c r="C25">
        <v>0</v>
      </c>
      <c r="D25">
        <v>0</v>
      </c>
      <c r="E25" t="s">
        <v>2114</v>
      </c>
    </row>
    <row r="26" spans="1:5" x14ac:dyDescent="0.25">
      <c r="A26">
        <v>22</v>
      </c>
      <c r="B26">
        <v>0</v>
      </c>
      <c r="C26">
        <v>0</v>
      </c>
      <c r="D26">
        <v>0</v>
      </c>
      <c r="E26" t="s">
        <v>2114</v>
      </c>
    </row>
    <row r="27" spans="1:5" x14ac:dyDescent="0.25">
      <c r="A27">
        <v>23</v>
      </c>
      <c r="B27">
        <v>0</v>
      </c>
      <c r="C27">
        <v>0</v>
      </c>
      <c r="D27">
        <v>0</v>
      </c>
      <c r="E27" t="s">
        <v>2114</v>
      </c>
    </row>
    <row r="28" spans="1:5" x14ac:dyDescent="0.25">
      <c r="A28">
        <v>24</v>
      </c>
      <c r="B28">
        <v>0</v>
      </c>
      <c r="C28">
        <v>0</v>
      </c>
      <c r="D28">
        <v>0</v>
      </c>
      <c r="E28" t="s">
        <v>2114</v>
      </c>
    </row>
    <row r="29" spans="1:5" x14ac:dyDescent="0.25">
      <c r="A29">
        <v>25</v>
      </c>
      <c r="B29">
        <v>0</v>
      </c>
      <c r="C29">
        <v>0</v>
      </c>
      <c r="D29">
        <v>0</v>
      </c>
      <c r="E29" t="s">
        <v>2114</v>
      </c>
    </row>
    <row r="30" spans="1:5" x14ac:dyDescent="0.25">
      <c r="A30">
        <v>26</v>
      </c>
      <c r="B30">
        <v>0</v>
      </c>
      <c r="C30">
        <v>0</v>
      </c>
      <c r="D30">
        <v>0</v>
      </c>
      <c r="E30" t="s">
        <v>2114</v>
      </c>
    </row>
    <row r="31" spans="1:5" x14ac:dyDescent="0.25">
      <c r="A31">
        <v>27</v>
      </c>
      <c r="B31">
        <v>0</v>
      </c>
      <c r="C31">
        <v>0</v>
      </c>
      <c r="D31">
        <v>0</v>
      </c>
      <c r="E31" t="s">
        <v>2114</v>
      </c>
    </row>
    <row r="32" spans="1:5" x14ac:dyDescent="0.25">
      <c r="A32">
        <v>28</v>
      </c>
      <c r="B32">
        <v>0</v>
      </c>
      <c r="C32">
        <v>0</v>
      </c>
      <c r="D32">
        <v>0</v>
      </c>
      <c r="E32" t="s">
        <v>2114</v>
      </c>
    </row>
    <row r="33" spans="1:5" x14ac:dyDescent="0.25">
      <c r="A33">
        <v>29</v>
      </c>
      <c r="B33">
        <v>0</v>
      </c>
      <c r="C33">
        <v>0</v>
      </c>
      <c r="D33">
        <v>0</v>
      </c>
      <c r="E33" t="s">
        <v>2114</v>
      </c>
    </row>
    <row r="34" spans="1:5" x14ac:dyDescent="0.25">
      <c r="A34">
        <v>30</v>
      </c>
      <c r="B34">
        <v>0</v>
      </c>
      <c r="C34">
        <v>0</v>
      </c>
      <c r="D34">
        <v>0</v>
      </c>
      <c r="E34" t="s">
        <v>2114</v>
      </c>
    </row>
    <row r="35" spans="1:5" x14ac:dyDescent="0.25">
      <c r="A35">
        <v>31</v>
      </c>
      <c r="B35">
        <v>0</v>
      </c>
      <c r="C35">
        <v>0</v>
      </c>
      <c r="D35">
        <v>0</v>
      </c>
      <c r="E35" t="s">
        <v>2114</v>
      </c>
    </row>
    <row r="36" spans="1:5" x14ac:dyDescent="0.25">
      <c r="A36">
        <v>32</v>
      </c>
      <c r="B36">
        <v>0</v>
      </c>
      <c r="C36">
        <v>0</v>
      </c>
      <c r="D36">
        <v>0</v>
      </c>
      <c r="E36" t="s">
        <v>2114</v>
      </c>
    </row>
    <row r="37" spans="1:5" x14ac:dyDescent="0.25">
      <c r="A37">
        <v>33</v>
      </c>
      <c r="B37">
        <v>0</v>
      </c>
      <c r="C37">
        <v>0</v>
      </c>
      <c r="D37">
        <v>0</v>
      </c>
      <c r="E37" t="s">
        <v>2114</v>
      </c>
    </row>
    <row r="38" spans="1:5" x14ac:dyDescent="0.25">
      <c r="A38">
        <v>34</v>
      </c>
      <c r="B38">
        <v>0</v>
      </c>
      <c r="C38">
        <v>0</v>
      </c>
      <c r="D38">
        <v>0</v>
      </c>
      <c r="E38" t="s">
        <v>2114</v>
      </c>
    </row>
    <row r="39" spans="1:5" x14ac:dyDescent="0.25">
      <c r="A39">
        <v>35</v>
      </c>
      <c r="B39">
        <v>0</v>
      </c>
      <c r="C39">
        <v>0</v>
      </c>
      <c r="D39">
        <v>0</v>
      </c>
      <c r="E39" t="s">
        <v>2114</v>
      </c>
    </row>
    <row r="40" spans="1:5" x14ac:dyDescent="0.25">
      <c r="A40">
        <v>36</v>
      </c>
      <c r="B40">
        <v>0</v>
      </c>
      <c r="C40">
        <v>0</v>
      </c>
      <c r="D40">
        <v>0</v>
      </c>
      <c r="E40" t="s">
        <v>2114</v>
      </c>
    </row>
    <row r="41" spans="1:5" x14ac:dyDescent="0.25">
      <c r="A41">
        <v>37</v>
      </c>
      <c r="B41">
        <v>0</v>
      </c>
      <c r="C41">
        <v>0</v>
      </c>
      <c r="D41">
        <v>0</v>
      </c>
      <c r="E41" t="s">
        <v>2114</v>
      </c>
    </row>
    <row r="42" spans="1:5" x14ac:dyDescent="0.25">
      <c r="A42">
        <v>38</v>
      </c>
      <c r="B42">
        <v>0</v>
      </c>
      <c r="C42">
        <v>0</v>
      </c>
      <c r="D42">
        <v>0</v>
      </c>
      <c r="E42" t="s">
        <v>2114</v>
      </c>
    </row>
    <row r="43" spans="1:5" x14ac:dyDescent="0.25">
      <c r="A43">
        <v>39</v>
      </c>
      <c r="B43">
        <v>0</v>
      </c>
      <c r="C43">
        <v>0</v>
      </c>
      <c r="D43">
        <v>0</v>
      </c>
      <c r="E43" t="s">
        <v>2114</v>
      </c>
    </row>
    <row r="44" spans="1:5" x14ac:dyDescent="0.25">
      <c r="A44">
        <v>40</v>
      </c>
      <c r="B44">
        <v>0</v>
      </c>
      <c r="C44">
        <v>0</v>
      </c>
      <c r="D44">
        <v>0</v>
      </c>
      <c r="E44" t="s">
        <v>2114</v>
      </c>
    </row>
    <row r="45" spans="1:5" x14ac:dyDescent="0.25">
      <c r="A45">
        <v>41</v>
      </c>
      <c r="B45">
        <v>0</v>
      </c>
      <c r="C45">
        <v>0</v>
      </c>
      <c r="D45">
        <v>0</v>
      </c>
      <c r="E45" t="s">
        <v>2114</v>
      </c>
    </row>
    <row r="46" spans="1:5" x14ac:dyDescent="0.25">
      <c r="A46">
        <v>42</v>
      </c>
      <c r="B46">
        <v>0</v>
      </c>
      <c r="C46">
        <v>0</v>
      </c>
      <c r="D46">
        <v>0</v>
      </c>
      <c r="E46" t="s">
        <v>2114</v>
      </c>
    </row>
    <row r="47" spans="1:5" x14ac:dyDescent="0.25">
      <c r="A47">
        <v>43</v>
      </c>
      <c r="B47">
        <v>0</v>
      </c>
      <c r="C47">
        <v>0</v>
      </c>
      <c r="D47">
        <v>0</v>
      </c>
      <c r="E47" t="s">
        <v>2114</v>
      </c>
    </row>
    <row r="48" spans="1:5" x14ac:dyDescent="0.25">
      <c r="A48">
        <v>44</v>
      </c>
      <c r="B48">
        <v>0</v>
      </c>
      <c r="C48">
        <v>0</v>
      </c>
      <c r="D48">
        <v>0</v>
      </c>
      <c r="E48" t="s">
        <v>2114</v>
      </c>
    </row>
    <row r="49" spans="1:5" x14ac:dyDescent="0.25">
      <c r="A49">
        <v>45</v>
      </c>
      <c r="B49">
        <v>0</v>
      </c>
      <c r="C49">
        <v>0</v>
      </c>
      <c r="D49">
        <v>0</v>
      </c>
      <c r="E49" t="s">
        <v>2114</v>
      </c>
    </row>
    <row r="50" spans="1:5" x14ac:dyDescent="0.25">
      <c r="A50">
        <v>46</v>
      </c>
      <c r="B50">
        <v>0</v>
      </c>
      <c r="C50">
        <v>0</v>
      </c>
      <c r="D50">
        <v>0</v>
      </c>
      <c r="E50" t="s">
        <v>2114</v>
      </c>
    </row>
    <row r="51" spans="1:5" x14ac:dyDescent="0.25">
      <c r="A51">
        <v>47</v>
      </c>
      <c r="B51">
        <v>0</v>
      </c>
      <c r="C51">
        <v>0</v>
      </c>
      <c r="D51">
        <v>0</v>
      </c>
      <c r="E51" t="s">
        <v>2114</v>
      </c>
    </row>
    <row r="52" spans="1:5" x14ac:dyDescent="0.25">
      <c r="A52">
        <v>48</v>
      </c>
      <c r="B52">
        <v>0</v>
      </c>
      <c r="C52">
        <v>0</v>
      </c>
      <c r="D52">
        <v>0</v>
      </c>
      <c r="E52" t="s">
        <v>2114</v>
      </c>
    </row>
    <row r="53" spans="1:5" x14ac:dyDescent="0.25">
      <c r="A53">
        <v>49</v>
      </c>
      <c r="B53">
        <v>0</v>
      </c>
      <c r="C53">
        <v>0</v>
      </c>
      <c r="D53">
        <v>0</v>
      </c>
      <c r="E53" t="s">
        <v>2114</v>
      </c>
    </row>
    <row r="54" spans="1:5" x14ac:dyDescent="0.25">
      <c r="A54">
        <v>50</v>
      </c>
      <c r="B54">
        <v>0</v>
      </c>
      <c r="C54">
        <v>0</v>
      </c>
      <c r="D54">
        <v>0</v>
      </c>
      <c r="E54" t="s">
        <v>2114</v>
      </c>
    </row>
    <row r="55" spans="1:5" x14ac:dyDescent="0.25">
      <c r="A55">
        <v>51</v>
      </c>
      <c r="B55">
        <v>0</v>
      </c>
      <c r="C55">
        <v>0</v>
      </c>
      <c r="D55">
        <v>0</v>
      </c>
      <c r="E55" t="s">
        <v>2114</v>
      </c>
    </row>
    <row r="56" spans="1:5" x14ac:dyDescent="0.25">
      <c r="A56">
        <v>52</v>
      </c>
      <c r="B56">
        <v>0</v>
      </c>
      <c r="C56">
        <v>0</v>
      </c>
      <c r="D56">
        <v>0</v>
      </c>
      <c r="E56" t="s">
        <v>2114</v>
      </c>
    </row>
    <row r="57" spans="1:5" x14ac:dyDescent="0.25">
      <c r="A57">
        <v>53</v>
      </c>
      <c r="B57">
        <v>0</v>
      </c>
      <c r="C57">
        <v>0</v>
      </c>
      <c r="D57">
        <v>0</v>
      </c>
      <c r="E57" t="s">
        <v>2114</v>
      </c>
    </row>
    <row r="58" spans="1:5" x14ac:dyDescent="0.25">
      <c r="A58">
        <v>54</v>
      </c>
      <c r="B58">
        <v>0</v>
      </c>
      <c r="C58">
        <v>0</v>
      </c>
      <c r="D58">
        <v>0</v>
      </c>
      <c r="E58" t="s">
        <v>2114</v>
      </c>
    </row>
    <row r="59" spans="1:5" x14ac:dyDescent="0.25">
      <c r="A59">
        <v>55</v>
      </c>
      <c r="B59">
        <v>0</v>
      </c>
      <c r="C59">
        <v>0</v>
      </c>
      <c r="D59">
        <v>0</v>
      </c>
      <c r="E59" t="s">
        <v>2114</v>
      </c>
    </row>
    <row r="60" spans="1:5" x14ac:dyDescent="0.25">
      <c r="A60">
        <v>56</v>
      </c>
      <c r="B60">
        <v>0</v>
      </c>
      <c r="C60">
        <v>0</v>
      </c>
      <c r="D60">
        <v>0</v>
      </c>
      <c r="E60" t="s">
        <v>2114</v>
      </c>
    </row>
    <row r="61" spans="1:5" x14ac:dyDescent="0.25">
      <c r="A61">
        <v>57</v>
      </c>
      <c r="B61">
        <v>0</v>
      </c>
      <c r="C61">
        <v>0</v>
      </c>
      <c r="D61">
        <v>0</v>
      </c>
      <c r="E61" t="s">
        <v>2114</v>
      </c>
    </row>
    <row r="62" spans="1:5" x14ac:dyDescent="0.25">
      <c r="A62">
        <v>58</v>
      </c>
      <c r="B62">
        <v>0</v>
      </c>
      <c r="C62">
        <v>0</v>
      </c>
      <c r="D62">
        <v>0</v>
      </c>
      <c r="E62" t="s">
        <v>2114</v>
      </c>
    </row>
    <row r="63" spans="1:5" x14ac:dyDescent="0.25">
      <c r="A63">
        <v>59</v>
      </c>
      <c r="B63">
        <v>0</v>
      </c>
      <c r="C63">
        <v>0</v>
      </c>
      <c r="D63">
        <v>0</v>
      </c>
      <c r="E63" t="s">
        <v>2114</v>
      </c>
    </row>
    <row r="64" spans="1:5" x14ac:dyDescent="0.25">
      <c r="A64">
        <v>60</v>
      </c>
      <c r="B64">
        <v>0</v>
      </c>
      <c r="C64">
        <v>0</v>
      </c>
      <c r="D64">
        <v>0</v>
      </c>
      <c r="E64" t="s">
        <v>2114</v>
      </c>
    </row>
    <row r="65" spans="1:5" x14ac:dyDescent="0.25">
      <c r="A65">
        <v>61</v>
      </c>
      <c r="B65">
        <v>0</v>
      </c>
      <c r="C65">
        <v>0</v>
      </c>
      <c r="D65">
        <v>0</v>
      </c>
      <c r="E65" t="s">
        <v>2114</v>
      </c>
    </row>
    <row r="66" spans="1:5" x14ac:dyDescent="0.25">
      <c r="A66">
        <v>62</v>
      </c>
      <c r="B66">
        <v>0</v>
      </c>
      <c r="C66">
        <v>0</v>
      </c>
      <c r="D66">
        <v>0</v>
      </c>
      <c r="E66" t="s">
        <v>2114</v>
      </c>
    </row>
    <row r="67" spans="1:5" x14ac:dyDescent="0.25">
      <c r="A67">
        <v>63</v>
      </c>
      <c r="B67">
        <v>0</v>
      </c>
      <c r="C67">
        <v>0</v>
      </c>
      <c r="D67">
        <v>0</v>
      </c>
      <c r="E67" t="s">
        <v>2114</v>
      </c>
    </row>
    <row r="68" spans="1:5" x14ac:dyDescent="0.25">
      <c r="A68">
        <v>64</v>
      </c>
      <c r="B68">
        <v>0</v>
      </c>
      <c r="C68">
        <v>0</v>
      </c>
      <c r="D68">
        <v>0</v>
      </c>
      <c r="E68" t="s">
        <v>2114</v>
      </c>
    </row>
    <row r="69" spans="1:5" x14ac:dyDescent="0.25">
      <c r="A69">
        <v>65</v>
      </c>
      <c r="B69">
        <v>0</v>
      </c>
      <c r="C69">
        <v>0</v>
      </c>
      <c r="D69">
        <v>0</v>
      </c>
      <c r="E69" t="s">
        <v>2114</v>
      </c>
    </row>
    <row r="70" spans="1:5" x14ac:dyDescent="0.25">
      <c r="A70">
        <v>66</v>
      </c>
      <c r="B70">
        <v>0</v>
      </c>
      <c r="C70">
        <v>0</v>
      </c>
      <c r="D70">
        <v>0</v>
      </c>
      <c r="E70" t="s">
        <v>2114</v>
      </c>
    </row>
    <row r="71" spans="1:5" x14ac:dyDescent="0.25">
      <c r="A71">
        <v>67</v>
      </c>
      <c r="B71">
        <v>0</v>
      </c>
      <c r="C71">
        <v>0</v>
      </c>
      <c r="D71">
        <v>0</v>
      </c>
      <c r="E71" t="s">
        <v>2114</v>
      </c>
    </row>
    <row r="72" spans="1:5" x14ac:dyDescent="0.25">
      <c r="A72">
        <v>68</v>
      </c>
      <c r="B72">
        <v>0</v>
      </c>
      <c r="C72">
        <v>0</v>
      </c>
      <c r="D72">
        <v>0</v>
      </c>
      <c r="E72" t="s">
        <v>2114</v>
      </c>
    </row>
    <row r="73" spans="1:5" x14ac:dyDescent="0.25">
      <c r="A73">
        <v>69</v>
      </c>
      <c r="B73">
        <v>0</v>
      </c>
      <c r="C73">
        <v>0</v>
      </c>
      <c r="D73">
        <v>0</v>
      </c>
      <c r="E73" t="s">
        <v>2114</v>
      </c>
    </row>
    <row r="74" spans="1:5" x14ac:dyDescent="0.25">
      <c r="A74">
        <v>70</v>
      </c>
      <c r="B74">
        <v>0</v>
      </c>
      <c r="C74">
        <v>0</v>
      </c>
      <c r="D74">
        <v>0</v>
      </c>
      <c r="E74" t="s">
        <v>2114</v>
      </c>
    </row>
    <row r="75" spans="1:5" x14ac:dyDescent="0.25">
      <c r="A75">
        <v>71</v>
      </c>
      <c r="B75">
        <v>0</v>
      </c>
      <c r="C75">
        <v>0</v>
      </c>
      <c r="D75">
        <v>0</v>
      </c>
      <c r="E75" t="s">
        <v>2114</v>
      </c>
    </row>
    <row r="76" spans="1:5" x14ac:dyDescent="0.25">
      <c r="A76">
        <v>72</v>
      </c>
      <c r="B76">
        <v>0</v>
      </c>
      <c r="C76">
        <v>0</v>
      </c>
      <c r="D76">
        <v>0</v>
      </c>
      <c r="E76" t="s">
        <v>2114</v>
      </c>
    </row>
    <row r="77" spans="1:5" x14ac:dyDescent="0.25">
      <c r="A77">
        <v>73</v>
      </c>
      <c r="B77">
        <v>0</v>
      </c>
      <c r="C77">
        <v>0</v>
      </c>
      <c r="D77">
        <v>0</v>
      </c>
      <c r="E77" t="s">
        <v>2114</v>
      </c>
    </row>
    <row r="78" spans="1:5" x14ac:dyDescent="0.25">
      <c r="A78">
        <v>74</v>
      </c>
      <c r="B78">
        <v>0</v>
      </c>
      <c r="C78">
        <v>0</v>
      </c>
      <c r="D78">
        <v>0</v>
      </c>
      <c r="E78" t="s">
        <v>2114</v>
      </c>
    </row>
    <row r="79" spans="1:5" x14ac:dyDescent="0.25">
      <c r="A79">
        <v>75</v>
      </c>
      <c r="B79">
        <v>0</v>
      </c>
      <c r="C79">
        <v>0</v>
      </c>
      <c r="D79">
        <v>0</v>
      </c>
      <c r="E79" t="s">
        <v>2114</v>
      </c>
    </row>
    <row r="80" spans="1:5" x14ac:dyDescent="0.25">
      <c r="A80">
        <v>76</v>
      </c>
      <c r="B80">
        <v>0</v>
      </c>
      <c r="C80">
        <v>0</v>
      </c>
      <c r="D80">
        <v>0</v>
      </c>
      <c r="E80" t="s">
        <v>2114</v>
      </c>
    </row>
    <row r="81" spans="1:5" x14ac:dyDescent="0.25">
      <c r="A81">
        <v>77</v>
      </c>
      <c r="B81">
        <v>0</v>
      </c>
      <c r="C81">
        <v>0</v>
      </c>
      <c r="D81">
        <v>0</v>
      </c>
      <c r="E81" t="s">
        <v>2114</v>
      </c>
    </row>
    <row r="82" spans="1:5" x14ac:dyDescent="0.25">
      <c r="A82">
        <v>78</v>
      </c>
      <c r="B82">
        <v>0</v>
      </c>
      <c r="C82">
        <v>0</v>
      </c>
      <c r="D82">
        <v>0</v>
      </c>
      <c r="E82" t="s">
        <v>2114</v>
      </c>
    </row>
    <row r="83" spans="1:5" x14ac:dyDescent="0.25">
      <c r="A83">
        <v>79</v>
      </c>
      <c r="B83">
        <v>0</v>
      </c>
      <c r="C83">
        <v>0</v>
      </c>
      <c r="D83">
        <v>0</v>
      </c>
      <c r="E83" t="s">
        <v>2114</v>
      </c>
    </row>
    <row r="84" spans="1:5" x14ac:dyDescent="0.25">
      <c r="A84">
        <v>80</v>
      </c>
      <c r="B84">
        <v>0</v>
      </c>
      <c r="C84">
        <v>0</v>
      </c>
      <c r="D84">
        <v>0</v>
      </c>
      <c r="E84" t="s">
        <v>2114</v>
      </c>
    </row>
    <row r="85" spans="1:5" x14ac:dyDescent="0.25">
      <c r="A85">
        <v>81</v>
      </c>
      <c r="B85">
        <v>0</v>
      </c>
      <c r="C85">
        <v>0</v>
      </c>
      <c r="D85">
        <v>0</v>
      </c>
      <c r="E85" t="s">
        <v>2114</v>
      </c>
    </row>
    <row r="86" spans="1:5" x14ac:dyDescent="0.25">
      <c r="A86">
        <v>82</v>
      </c>
      <c r="B86">
        <v>0</v>
      </c>
      <c r="C86">
        <v>0</v>
      </c>
      <c r="D86">
        <v>0</v>
      </c>
      <c r="E86" t="s">
        <v>2114</v>
      </c>
    </row>
    <row r="87" spans="1:5" x14ac:dyDescent="0.25">
      <c r="A87">
        <v>83</v>
      </c>
      <c r="B87">
        <v>0</v>
      </c>
      <c r="C87">
        <v>0</v>
      </c>
      <c r="D87">
        <v>0</v>
      </c>
      <c r="E87" t="s">
        <v>2114</v>
      </c>
    </row>
    <row r="88" spans="1:5" x14ac:dyDescent="0.25">
      <c r="A88">
        <v>84</v>
      </c>
      <c r="B88">
        <v>0</v>
      </c>
      <c r="C88">
        <v>0</v>
      </c>
      <c r="D88">
        <v>0</v>
      </c>
      <c r="E88" t="s">
        <v>2114</v>
      </c>
    </row>
    <row r="89" spans="1:5" x14ac:dyDescent="0.25">
      <c r="A89">
        <v>85</v>
      </c>
      <c r="B89">
        <v>0</v>
      </c>
      <c r="C89">
        <v>0</v>
      </c>
      <c r="D89">
        <v>0</v>
      </c>
      <c r="E89" t="s">
        <v>2114</v>
      </c>
    </row>
    <row r="90" spans="1:5" x14ac:dyDescent="0.25">
      <c r="A90">
        <v>86</v>
      </c>
      <c r="B90">
        <v>0</v>
      </c>
      <c r="C90">
        <v>0</v>
      </c>
      <c r="D90">
        <v>0</v>
      </c>
      <c r="E90" t="s">
        <v>2114</v>
      </c>
    </row>
    <row r="91" spans="1:5" x14ac:dyDescent="0.25">
      <c r="A91">
        <v>87</v>
      </c>
      <c r="B91">
        <v>0</v>
      </c>
      <c r="C91">
        <v>0</v>
      </c>
      <c r="D91">
        <v>0</v>
      </c>
      <c r="E91" t="s">
        <v>2114</v>
      </c>
    </row>
    <row r="92" spans="1:5" x14ac:dyDescent="0.25">
      <c r="A92">
        <v>88</v>
      </c>
      <c r="B92">
        <v>0</v>
      </c>
      <c r="C92">
        <v>0</v>
      </c>
      <c r="D92">
        <v>0</v>
      </c>
      <c r="E92" t="s">
        <v>2114</v>
      </c>
    </row>
    <row r="93" spans="1:5" x14ac:dyDescent="0.25">
      <c r="A93">
        <v>89</v>
      </c>
      <c r="B93">
        <v>0</v>
      </c>
      <c r="C93">
        <v>0</v>
      </c>
      <c r="D93">
        <v>0</v>
      </c>
      <c r="E93" t="s">
        <v>2114</v>
      </c>
    </row>
    <row r="94" spans="1:5" x14ac:dyDescent="0.25">
      <c r="A94">
        <v>90</v>
      </c>
      <c r="B94">
        <v>0</v>
      </c>
      <c r="C94">
        <v>0</v>
      </c>
      <c r="D94">
        <v>0</v>
      </c>
      <c r="E94" t="s">
        <v>2114</v>
      </c>
    </row>
    <row r="95" spans="1:5" x14ac:dyDescent="0.25">
      <c r="A95">
        <v>91</v>
      </c>
      <c r="B95">
        <v>0</v>
      </c>
      <c r="C95">
        <v>0</v>
      </c>
      <c r="D95">
        <v>0</v>
      </c>
      <c r="E95" t="s">
        <v>2114</v>
      </c>
    </row>
    <row r="96" spans="1:5" x14ac:dyDescent="0.25">
      <c r="A96">
        <v>92</v>
      </c>
      <c r="B96">
        <v>0</v>
      </c>
      <c r="C96">
        <v>0</v>
      </c>
      <c r="D96">
        <v>0</v>
      </c>
      <c r="E96" t="s">
        <v>2114</v>
      </c>
    </row>
    <row r="97" spans="1:5" x14ac:dyDescent="0.25">
      <c r="A97">
        <v>93</v>
      </c>
      <c r="B97">
        <v>0</v>
      </c>
      <c r="C97">
        <v>0</v>
      </c>
      <c r="D97">
        <v>0</v>
      </c>
      <c r="E97" t="s">
        <v>2114</v>
      </c>
    </row>
    <row r="98" spans="1:5" x14ac:dyDescent="0.25">
      <c r="A98">
        <v>94</v>
      </c>
      <c r="B98">
        <v>0</v>
      </c>
      <c r="C98">
        <v>0</v>
      </c>
      <c r="D98">
        <v>0</v>
      </c>
      <c r="E98" t="s">
        <v>2114</v>
      </c>
    </row>
    <row r="99" spans="1:5" x14ac:dyDescent="0.25">
      <c r="A99">
        <v>95</v>
      </c>
      <c r="B99">
        <v>0</v>
      </c>
      <c r="C99">
        <v>0</v>
      </c>
      <c r="D99">
        <v>0</v>
      </c>
      <c r="E99" t="s">
        <v>2114</v>
      </c>
    </row>
    <row r="100" spans="1:5" x14ac:dyDescent="0.25">
      <c r="A100">
        <v>96</v>
      </c>
      <c r="B100">
        <v>0</v>
      </c>
      <c r="C100">
        <v>0</v>
      </c>
      <c r="D100">
        <v>0</v>
      </c>
      <c r="E100" t="s">
        <v>2114</v>
      </c>
    </row>
    <row r="101" spans="1:5" x14ac:dyDescent="0.25">
      <c r="A101">
        <v>97</v>
      </c>
      <c r="B101">
        <v>0</v>
      </c>
      <c r="C101">
        <v>0</v>
      </c>
      <c r="D101">
        <v>0</v>
      </c>
      <c r="E101" t="s">
        <v>2114</v>
      </c>
    </row>
    <row r="102" spans="1:5" x14ac:dyDescent="0.25">
      <c r="A102">
        <v>98</v>
      </c>
      <c r="B102">
        <v>0</v>
      </c>
      <c r="C102">
        <v>0</v>
      </c>
      <c r="D102">
        <v>0</v>
      </c>
      <c r="E102" t="s">
        <v>2114</v>
      </c>
    </row>
    <row r="103" spans="1:5" x14ac:dyDescent="0.25">
      <c r="A103">
        <v>99</v>
      </c>
      <c r="B103">
        <v>0</v>
      </c>
      <c r="C103">
        <v>0</v>
      </c>
      <c r="D103">
        <v>0</v>
      </c>
      <c r="E103" t="s">
        <v>2114</v>
      </c>
    </row>
    <row r="104" spans="1:5" x14ac:dyDescent="0.25">
      <c r="A104">
        <v>100</v>
      </c>
      <c r="B104">
        <v>0</v>
      </c>
      <c r="C104">
        <v>0</v>
      </c>
      <c r="D104">
        <v>0</v>
      </c>
      <c r="E104" t="s">
        <v>2114</v>
      </c>
    </row>
    <row r="105" spans="1:5" x14ac:dyDescent="0.25">
      <c r="A105">
        <v>101</v>
      </c>
      <c r="B105">
        <v>0</v>
      </c>
      <c r="C105">
        <v>0</v>
      </c>
      <c r="D105">
        <v>0</v>
      </c>
      <c r="E105" t="s">
        <v>2114</v>
      </c>
    </row>
    <row r="106" spans="1:5" x14ac:dyDescent="0.25">
      <c r="A106">
        <v>102</v>
      </c>
      <c r="B106">
        <v>0</v>
      </c>
      <c r="C106">
        <v>0</v>
      </c>
      <c r="D106">
        <v>0</v>
      </c>
      <c r="E106" t="s">
        <v>2114</v>
      </c>
    </row>
    <row r="107" spans="1:5" x14ac:dyDescent="0.25">
      <c r="A107">
        <v>103</v>
      </c>
      <c r="B107">
        <v>0</v>
      </c>
      <c r="C107">
        <v>0</v>
      </c>
      <c r="D107">
        <v>0</v>
      </c>
      <c r="E107" t="s">
        <v>2114</v>
      </c>
    </row>
    <row r="108" spans="1:5" x14ac:dyDescent="0.25">
      <c r="A108">
        <v>104</v>
      </c>
      <c r="B108">
        <v>0</v>
      </c>
      <c r="C108">
        <v>0</v>
      </c>
      <c r="D108">
        <v>0</v>
      </c>
      <c r="E108" t="s">
        <v>2114</v>
      </c>
    </row>
    <row r="109" spans="1:5" x14ac:dyDescent="0.25">
      <c r="A109">
        <v>105</v>
      </c>
      <c r="B109">
        <v>0</v>
      </c>
      <c r="C109">
        <v>0</v>
      </c>
      <c r="D109">
        <v>0</v>
      </c>
      <c r="E109" t="s">
        <v>2114</v>
      </c>
    </row>
    <row r="110" spans="1:5" x14ac:dyDescent="0.25">
      <c r="A110">
        <v>106</v>
      </c>
      <c r="B110">
        <v>0</v>
      </c>
      <c r="C110">
        <v>0</v>
      </c>
      <c r="D110">
        <v>0</v>
      </c>
      <c r="E110" t="s">
        <v>2114</v>
      </c>
    </row>
    <row r="111" spans="1:5" x14ac:dyDescent="0.25">
      <c r="A111">
        <v>107</v>
      </c>
      <c r="B111">
        <v>0</v>
      </c>
      <c r="C111">
        <v>0</v>
      </c>
      <c r="D111">
        <v>0</v>
      </c>
      <c r="E111" t="s">
        <v>2114</v>
      </c>
    </row>
    <row r="112" spans="1:5" x14ac:dyDescent="0.25">
      <c r="A112">
        <v>108</v>
      </c>
      <c r="B112">
        <v>0.168435</v>
      </c>
      <c r="C112">
        <v>-1.034168</v>
      </c>
      <c r="D112">
        <v>0.14874999999999999</v>
      </c>
      <c r="E112">
        <v>-1.034168</v>
      </c>
    </row>
    <row r="113" spans="1:5" x14ac:dyDescent="0.25">
      <c r="A113">
        <v>109</v>
      </c>
      <c r="B113">
        <v>0.168435</v>
      </c>
      <c r="C113">
        <v>-1.034168</v>
      </c>
      <c r="D113">
        <v>0.14874999999999999</v>
      </c>
      <c r="E113">
        <v>-1.034168</v>
      </c>
    </row>
    <row r="114" spans="1:5" x14ac:dyDescent="0.25">
      <c r="A114">
        <v>110</v>
      </c>
      <c r="B114">
        <v>0.150834</v>
      </c>
      <c r="C114">
        <v>-1.0931679999999999</v>
      </c>
      <c r="D114">
        <v>0.14874999999999999</v>
      </c>
      <c r="E114">
        <v>-1.034168</v>
      </c>
    </row>
    <row r="115" spans="1:5" x14ac:dyDescent="0.25">
      <c r="A115">
        <v>111</v>
      </c>
      <c r="B115">
        <v>0.150536</v>
      </c>
      <c r="C115">
        <v>-1.0931679999999999</v>
      </c>
      <c r="D115">
        <v>0.14855099999999999</v>
      </c>
      <c r="E115">
        <v>-1.034168</v>
      </c>
    </row>
    <row r="116" spans="1:5" x14ac:dyDescent="0.25">
      <c r="A116">
        <v>112</v>
      </c>
      <c r="B116">
        <v>0.136597</v>
      </c>
      <c r="C116">
        <v>-0.95826800000000001</v>
      </c>
      <c r="D116">
        <v>0.136577</v>
      </c>
      <c r="E116">
        <v>-1.035968</v>
      </c>
    </row>
    <row r="117" spans="1:5" x14ac:dyDescent="0.25">
      <c r="A117">
        <v>113</v>
      </c>
      <c r="B117">
        <v>0.13649800000000001</v>
      </c>
      <c r="C117">
        <v>-0.95816800000000002</v>
      </c>
      <c r="D117">
        <v>0.136577</v>
      </c>
      <c r="E117">
        <v>-1.035968</v>
      </c>
    </row>
    <row r="118" spans="1:5" x14ac:dyDescent="0.25">
      <c r="A118">
        <v>114</v>
      </c>
      <c r="B118">
        <v>0.13649800000000001</v>
      </c>
      <c r="C118">
        <v>-0.95816800000000002</v>
      </c>
      <c r="D118">
        <v>0.136577</v>
      </c>
      <c r="E118">
        <v>-1.035968</v>
      </c>
    </row>
    <row r="119" spans="1:5" x14ac:dyDescent="0.25">
      <c r="A119">
        <v>115</v>
      </c>
      <c r="B119">
        <v>0.121396</v>
      </c>
      <c r="C119">
        <v>-0.344468</v>
      </c>
      <c r="D119">
        <v>0.121474</v>
      </c>
      <c r="E119">
        <v>-0.42226799999999998</v>
      </c>
    </row>
    <row r="120" spans="1:5" x14ac:dyDescent="0.25">
      <c r="A120">
        <v>116</v>
      </c>
      <c r="B120">
        <v>0.14441899999999999</v>
      </c>
      <c r="C120">
        <v>-1.0083679999999999</v>
      </c>
      <c r="D120">
        <v>0.223219</v>
      </c>
      <c r="E120">
        <v>-1.006567</v>
      </c>
    </row>
    <row r="121" spans="1:5" x14ac:dyDescent="0.25">
      <c r="A121">
        <v>117</v>
      </c>
      <c r="B121">
        <v>0.14441899999999999</v>
      </c>
      <c r="C121">
        <v>-1.0083679999999999</v>
      </c>
      <c r="D121">
        <v>0.223219</v>
      </c>
      <c r="E121">
        <v>-1.006567</v>
      </c>
    </row>
    <row r="122" spans="1:5" x14ac:dyDescent="0.25">
      <c r="A122">
        <v>118</v>
      </c>
      <c r="B122">
        <v>0.14441899999999999</v>
      </c>
      <c r="C122">
        <v>-1.0079670000000001</v>
      </c>
      <c r="D122">
        <v>0.223219</v>
      </c>
      <c r="E122">
        <v>-1.006267</v>
      </c>
    </row>
    <row r="123" spans="1:5" x14ac:dyDescent="0.25">
      <c r="A123">
        <v>119</v>
      </c>
      <c r="B123">
        <v>0.16413800000000001</v>
      </c>
      <c r="C123">
        <v>-1.0379670000000001</v>
      </c>
      <c r="D123">
        <v>0.16413800000000001</v>
      </c>
      <c r="E123">
        <v>-1.006267</v>
      </c>
    </row>
    <row r="124" spans="1:5" x14ac:dyDescent="0.25">
      <c r="A124">
        <v>120</v>
      </c>
      <c r="B124">
        <v>0.16413800000000001</v>
      </c>
      <c r="C124">
        <v>-1.0872459999999999</v>
      </c>
      <c r="D124">
        <v>0.16434000000000001</v>
      </c>
      <c r="E124">
        <v>-1.045258</v>
      </c>
    </row>
    <row r="125" spans="1:5" x14ac:dyDescent="0.25">
      <c r="A125">
        <v>121</v>
      </c>
      <c r="B125">
        <v>0.16414200000000001</v>
      </c>
      <c r="C125">
        <v>-1.0874459999999999</v>
      </c>
      <c r="D125">
        <v>0.16544300000000001</v>
      </c>
      <c r="E125">
        <v>-1.0454589999999999</v>
      </c>
    </row>
    <row r="126" spans="1:5" x14ac:dyDescent="0.25">
      <c r="A126">
        <v>122</v>
      </c>
      <c r="B126">
        <v>0.15231900000000001</v>
      </c>
      <c r="C126">
        <v>-1.087545</v>
      </c>
      <c r="D126">
        <v>0.15252099999999999</v>
      </c>
      <c r="E126">
        <v>-1.0600579999999999</v>
      </c>
    </row>
    <row r="127" spans="1:5" x14ac:dyDescent="0.25">
      <c r="A127">
        <v>123</v>
      </c>
      <c r="B127">
        <v>0.147124</v>
      </c>
      <c r="C127">
        <v>-1.0824370000000001</v>
      </c>
      <c r="D127">
        <v>0.141623</v>
      </c>
      <c r="E127">
        <v>-1.038473</v>
      </c>
    </row>
    <row r="128" spans="1:5" x14ac:dyDescent="0.25">
      <c r="A128">
        <v>124</v>
      </c>
      <c r="B128">
        <v>0.14266599999999999</v>
      </c>
      <c r="C128">
        <v>-1.0824370000000001</v>
      </c>
      <c r="D128">
        <v>0.18181700000000001</v>
      </c>
      <c r="E128">
        <v>-1.0288729999999999</v>
      </c>
    </row>
    <row r="129" spans="1:5" x14ac:dyDescent="0.25">
      <c r="A129">
        <v>125</v>
      </c>
      <c r="B129">
        <v>0.14266599999999999</v>
      </c>
      <c r="C129">
        <v>-1.0824370000000001</v>
      </c>
      <c r="D129">
        <v>0.18181700000000001</v>
      </c>
      <c r="E129">
        <v>-1.0288729999999999</v>
      </c>
    </row>
    <row r="130" spans="1:5" x14ac:dyDescent="0.25">
      <c r="A130">
        <v>126</v>
      </c>
      <c r="B130">
        <v>0.14266599999999999</v>
      </c>
      <c r="C130">
        <v>-1.081968</v>
      </c>
      <c r="D130">
        <v>0.18181700000000001</v>
      </c>
      <c r="E130">
        <v>-1.0749679999999999</v>
      </c>
    </row>
    <row r="131" spans="1:5" x14ac:dyDescent="0.25">
      <c r="A131">
        <v>127</v>
      </c>
      <c r="B131">
        <v>0.142566</v>
      </c>
      <c r="C131">
        <v>-1.0819669999999999</v>
      </c>
      <c r="D131">
        <v>0.18181700000000001</v>
      </c>
      <c r="E131">
        <v>-1.0750679999999999</v>
      </c>
    </row>
    <row r="132" spans="1:5" x14ac:dyDescent="0.25">
      <c r="A132">
        <v>128</v>
      </c>
      <c r="B132">
        <v>0.142566</v>
      </c>
      <c r="C132">
        <v>-1.0819669999999999</v>
      </c>
      <c r="D132">
        <v>0.18181700000000001</v>
      </c>
      <c r="E132">
        <v>-1.0750679999999999</v>
      </c>
    </row>
    <row r="133" spans="1:5" x14ac:dyDescent="0.25">
      <c r="A133">
        <v>129</v>
      </c>
      <c r="B133">
        <v>0.144423</v>
      </c>
      <c r="C133">
        <v>-1.0735669999999999</v>
      </c>
      <c r="D133">
        <v>0.16792199999999999</v>
      </c>
      <c r="E133">
        <v>-1.066567</v>
      </c>
    </row>
    <row r="134" spans="1:5" x14ac:dyDescent="0.25">
      <c r="A134">
        <v>130</v>
      </c>
      <c r="B134">
        <v>0.144423</v>
      </c>
      <c r="C134">
        <v>-1.1623669999999999</v>
      </c>
      <c r="D134">
        <v>6.5722000000000003E-2</v>
      </c>
      <c r="E134">
        <v>-1.164066</v>
      </c>
    </row>
    <row r="135" spans="1:5" x14ac:dyDescent="0.25">
      <c r="A135">
        <v>131</v>
      </c>
      <c r="B135">
        <v>0.144423</v>
      </c>
      <c r="C135">
        <v>-1.1623669999999999</v>
      </c>
      <c r="D135">
        <v>6.5722000000000003E-2</v>
      </c>
      <c r="E135">
        <v>-1.164066</v>
      </c>
    </row>
    <row r="136" spans="1:5" x14ac:dyDescent="0.25">
      <c r="A136">
        <v>132</v>
      </c>
      <c r="B136">
        <v>0.14441899999999999</v>
      </c>
      <c r="C136">
        <v>-1.1626669999999999</v>
      </c>
      <c r="D136">
        <v>6.5722000000000003E-2</v>
      </c>
      <c r="E136">
        <v>-1.1644669999999999</v>
      </c>
    </row>
    <row r="137" spans="1:5" x14ac:dyDescent="0.25">
      <c r="A137">
        <v>133</v>
      </c>
      <c r="B137">
        <v>0.144423</v>
      </c>
      <c r="C137">
        <v>-1.1626669999999999</v>
      </c>
      <c r="D137">
        <v>0.144423</v>
      </c>
      <c r="E137">
        <v>-1.1644669999999999</v>
      </c>
    </row>
    <row r="138" spans="1:5" x14ac:dyDescent="0.25">
      <c r="A138">
        <v>134</v>
      </c>
      <c r="B138">
        <v>0.144423</v>
      </c>
      <c r="C138">
        <v>-1.087429</v>
      </c>
      <c r="D138">
        <v>0.144423</v>
      </c>
      <c r="E138">
        <v>-1.133826</v>
      </c>
    </row>
    <row r="139" spans="1:5" x14ac:dyDescent="0.25">
      <c r="A139">
        <v>135</v>
      </c>
      <c r="B139">
        <v>0.14451800000000001</v>
      </c>
      <c r="C139">
        <v>-1.0874280000000001</v>
      </c>
      <c r="D139">
        <v>0.14391899999999999</v>
      </c>
      <c r="E139">
        <v>-1.1337269999999999</v>
      </c>
    </row>
    <row r="140" spans="1:5" x14ac:dyDescent="0.25">
      <c r="A140">
        <v>136</v>
      </c>
      <c r="B140">
        <v>0.14052000000000001</v>
      </c>
      <c r="C140">
        <v>-1.0873269999999999</v>
      </c>
      <c r="D140">
        <v>0.14042099999999999</v>
      </c>
      <c r="E140">
        <v>-1.1265270000000001</v>
      </c>
    </row>
    <row r="141" spans="1:5" x14ac:dyDescent="0.25">
      <c r="A141">
        <v>137</v>
      </c>
      <c r="B141">
        <v>0.17602000000000001</v>
      </c>
      <c r="C141">
        <v>-1.0922369999999999</v>
      </c>
      <c r="D141">
        <v>0.17591699999999999</v>
      </c>
      <c r="E141">
        <v>-1.1342000000000001</v>
      </c>
    </row>
    <row r="142" spans="1:5" x14ac:dyDescent="0.25">
      <c r="A142">
        <v>138</v>
      </c>
      <c r="B142">
        <v>0.14190800000000001</v>
      </c>
      <c r="C142">
        <v>-1.0922369999999999</v>
      </c>
      <c r="D142">
        <v>0.130249</v>
      </c>
      <c r="E142">
        <v>-1.1418010000000001</v>
      </c>
    </row>
    <row r="143" spans="1:5" x14ac:dyDescent="0.25">
      <c r="A143">
        <v>139</v>
      </c>
      <c r="B143">
        <v>0.142011</v>
      </c>
      <c r="C143">
        <v>-1.092438</v>
      </c>
      <c r="D143">
        <v>0.13005</v>
      </c>
      <c r="E143">
        <v>-1.1419029999999999</v>
      </c>
    </row>
    <row r="144" spans="1:5" x14ac:dyDescent="0.25">
      <c r="A144">
        <v>140</v>
      </c>
      <c r="B144">
        <v>0.144509</v>
      </c>
      <c r="C144">
        <v>-1.0688679999999999</v>
      </c>
      <c r="D144">
        <v>0.132553</v>
      </c>
      <c r="E144">
        <v>-1.110967</v>
      </c>
    </row>
    <row r="145" spans="1:5" x14ac:dyDescent="0.25">
      <c r="A145">
        <v>141</v>
      </c>
      <c r="B145">
        <v>0.144509</v>
      </c>
      <c r="C145">
        <v>-1.068767</v>
      </c>
      <c r="D145">
        <v>0.132553</v>
      </c>
      <c r="E145">
        <v>-1.110967</v>
      </c>
    </row>
    <row r="146" spans="1:5" x14ac:dyDescent="0.25">
      <c r="A146">
        <v>142</v>
      </c>
      <c r="B146">
        <v>0.144509</v>
      </c>
      <c r="C146">
        <v>-1.068767</v>
      </c>
      <c r="D146">
        <v>0.132553</v>
      </c>
      <c r="E146">
        <v>-1.110967</v>
      </c>
    </row>
    <row r="147" spans="1:5" x14ac:dyDescent="0.25">
      <c r="A147">
        <v>143</v>
      </c>
      <c r="B147">
        <v>0.160219</v>
      </c>
      <c r="C147">
        <v>-1.097269</v>
      </c>
      <c r="D147">
        <v>0.175817</v>
      </c>
      <c r="E147">
        <v>-1.139367</v>
      </c>
    </row>
    <row r="148" spans="1:5" x14ac:dyDescent="0.25">
      <c r="A148">
        <v>144</v>
      </c>
      <c r="B148">
        <v>0.14451800000000001</v>
      </c>
      <c r="C148">
        <v>-1.083167</v>
      </c>
      <c r="D148">
        <v>0.14451800000000001</v>
      </c>
      <c r="E148">
        <v>-1.098794</v>
      </c>
    </row>
    <row r="149" spans="1:5" x14ac:dyDescent="0.25">
      <c r="A149">
        <v>145</v>
      </c>
      <c r="B149">
        <v>0.14451800000000001</v>
      </c>
      <c r="C149">
        <v>-1.083167</v>
      </c>
      <c r="D149">
        <v>0.14451800000000001</v>
      </c>
      <c r="E149">
        <v>-1.098794</v>
      </c>
    </row>
    <row r="150" spans="1:5" x14ac:dyDescent="0.25">
      <c r="A150">
        <v>146</v>
      </c>
      <c r="B150">
        <v>0.14441899999999999</v>
      </c>
      <c r="C150">
        <v>-1.083167</v>
      </c>
      <c r="D150">
        <v>0.14441899999999999</v>
      </c>
      <c r="E150">
        <v>-1.098794</v>
      </c>
    </row>
    <row r="151" spans="1:5" x14ac:dyDescent="0.25">
      <c r="A151">
        <v>147</v>
      </c>
      <c r="B151">
        <v>0.14455699999999999</v>
      </c>
      <c r="C151">
        <v>-1.083167</v>
      </c>
      <c r="D151">
        <v>0.15234600000000001</v>
      </c>
      <c r="E151">
        <v>-1.098794</v>
      </c>
    </row>
    <row r="152" spans="1:5" x14ac:dyDescent="0.25">
      <c r="A152">
        <v>148</v>
      </c>
      <c r="B152">
        <v>0.14455599999999999</v>
      </c>
      <c r="C152">
        <v>-1.0832679999999999</v>
      </c>
      <c r="D152">
        <v>0.15234500000000001</v>
      </c>
      <c r="E152">
        <v>-1.098895</v>
      </c>
    </row>
    <row r="153" spans="1:5" x14ac:dyDescent="0.25">
      <c r="A153">
        <v>149</v>
      </c>
      <c r="B153">
        <v>0.14455599999999999</v>
      </c>
      <c r="C153">
        <v>-1.0830679999999999</v>
      </c>
      <c r="D153">
        <v>0.15234500000000001</v>
      </c>
      <c r="E153">
        <v>-1.0830679999999999</v>
      </c>
    </row>
    <row r="154" spans="1:5" x14ac:dyDescent="0.25">
      <c r="A154">
        <v>150</v>
      </c>
      <c r="B154">
        <v>0.14455599999999999</v>
      </c>
      <c r="C154">
        <v>-1.0830679999999999</v>
      </c>
      <c r="D154">
        <v>0.15234500000000001</v>
      </c>
      <c r="E154">
        <v>-1.0830679999999999</v>
      </c>
    </row>
    <row r="155" spans="1:5" x14ac:dyDescent="0.25">
      <c r="A155">
        <v>151</v>
      </c>
      <c r="B155">
        <v>0.144458</v>
      </c>
      <c r="C155">
        <v>-1.0830679999999999</v>
      </c>
      <c r="D155">
        <v>0.14441100000000001</v>
      </c>
      <c r="E155">
        <v>-1.0830679999999999</v>
      </c>
    </row>
    <row r="156" spans="1:5" x14ac:dyDescent="0.25">
      <c r="A156">
        <v>152</v>
      </c>
      <c r="B156">
        <v>0.14455699999999999</v>
      </c>
      <c r="C156">
        <v>-1.0830679999999999</v>
      </c>
      <c r="D156">
        <v>0.14451</v>
      </c>
      <c r="E156">
        <v>-1.0830679999999999</v>
      </c>
    </row>
    <row r="157" spans="1:5" x14ac:dyDescent="0.25">
      <c r="A157">
        <v>153</v>
      </c>
      <c r="B157">
        <v>0.14455699999999999</v>
      </c>
      <c r="C157">
        <v>-1.0790949999999999</v>
      </c>
      <c r="D157">
        <v>0.14451</v>
      </c>
      <c r="E157">
        <v>-1.075194</v>
      </c>
    </row>
    <row r="158" spans="1:5" x14ac:dyDescent="0.25">
      <c r="A158">
        <v>154</v>
      </c>
      <c r="B158">
        <v>0.144457</v>
      </c>
      <c r="C158">
        <v>-1.0790919999999999</v>
      </c>
      <c r="D158">
        <v>0.14441000000000001</v>
      </c>
      <c r="E158">
        <v>-1.075194</v>
      </c>
    </row>
    <row r="159" spans="1:5" x14ac:dyDescent="0.25">
      <c r="A159">
        <v>155</v>
      </c>
      <c r="B159">
        <v>0.14641699999999999</v>
      </c>
      <c r="C159">
        <v>-1.0790919999999999</v>
      </c>
      <c r="D159">
        <v>0.14451800000000001</v>
      </c>
      <c r="E159">
        <v>-1.075194</v>
      </c>
    </row>
    <row r="160" spans="1:5" x14ac:dyDescent="0.25">
      <c r="A160">
        <v>156</v>
      </c>
      <c r="B160">
        <v>0.14652100000000001</v>
      </c>
      <c r="C160">
        <v>-1.0790919999999999</v>
      </c>
      <c r="D160">
        <v>0.144423</v>
      </c>
      <c r="E160">
        <v>-1.075194</v>
      </c>
    </row>
    <row r="161" spans="1:5" x14ac:dyDescent="0.25">
      <c r="A161">
        <v>157</v>
      </c>
      <c r="B161">
        <v>0.144423</v>
      </c>
      <c r="C161">
        <v>-1.075194</v>
      </c>
      <c r="D161">
        <v>0.144423</v>
      </c>
      <c r="E161">
        <v>-1.075194</v>
      </c>
    </row>
    <row r="162" spans="1:5" x14ac:dyDescent="0.25">
      <c r="A162">
        <v>158</v>
      </c>
      <c r="B162">
        <v>0.144423</v>
      </c>
      <c r="C162">
        <v>-1.075194</v>
      </c>
      <c r="D162">
        <v>0.144423</v>
      </c>
      <c r="E162">
        <v>-1.075194</v>
      </c>
    </row>
    <row r="163" spans="1:5" x14ac:dyDescent="0.25">
      <c r="A163">
        <v>159</v>
      </c>
      <c r="B163">
        <v>1.0321E-2</v>
      </c>
      <c r="C163">
        <v>-7.2068999999999994E-2</v>
      </c>
      <c r="D163">
        <v>1.0321E-2</v>
      </c>
      <c r="E163">
        <v>-7.2068999999999994E-2</v>
      </c>
    </row>
    <row r="164" spans="1:5" x14ac:dyDescent="0.25">
      <c r="A164">
        <v>160</v>
      </c>
      <c r="B164">
        <v>-3.3381000000000001E-2</v>
      </c>
      <c r="C164">
        <v>0.24843199999999999</v>
      </c>
      <c r="D164">
        <v>-3.3381000000000001E-2</v>
      </c>
      <c r="E164">
        <v>0.24843199999999999</v>
      </c>
    </row>
    <row r="165" spans="1:5" x14ac:dyDescent="0.25">
      <c r="A165">
        <v>161</v>
      </c>
      <c r="B165">
        <v>0.12929099999999999</v>
      </c>
      <c r="C165">
        <v>-1.0897680000000001</v>
      </c>
      <c r="D165">
        <v>0.11748</v>
      </c>
      <c r="E165">
        <v>-1.0897680000000001</v>
      </c>
    </row>
    <row r="166" spans="1:5" x14ac:dyDescent="0.25">
      <c r="A166">
        <v>162</v>
      </c>
      <c r="B166">
        <v>0.12929099999999999</v>
      </c>
      <c r="C166">
        <v>-1.0897680000000001</v>
      </c>
      <c r="D166">
        <v>0.11748</v>
      </c>
      <c r="E166">
        <v>-1.0897680000000001</v>
      </c>
    </row>
    <row r="167" spans="1:5" x14ac:dyDescent="0.25">
      <c r="A167">
        <v>163</v>
      </c>
      <c r="B167">
        <v>0.108989</v>
      </c>
      <c r="C167">
        <v>-1.148768</v>
      </c>
      <c r="D167">
        <v>0.11748</v>
      </c>
      <c r="E167">
        <v>-1.0897680000000001</v>
      </c>
    </row>
    <row r="168" spans="1:5" x14ac:dyDescent="0.25">
      <c r="A168">
        <v>164</v>
      </c>
      <c r="B168">
        <v>0.10889</v>
      </c>
      <c r="C168">
        <v>-1.148768</v>
      </c>
      <c r="D168">
        <v>0.117381</v>
      </c>
      <c r="E168">
        <v>-1.0897680000000001</v>
      </c>
    </row>
    <row r="169" spans="1:5" x14ac:dyDescent="0.25">
      <c r="A169">
        <v>165</v>
      </c>
      <c r="B169">
        <v>9.7712999999999994E-2</v>
      </c>
      <c r="C169">
        <v>-1.013868</v>
      </c>
      <c r="D169">
        <v>0.10559200000000001</v>
      </c>
      <c r="E169">
        <v>-1.0916680000000001</v>
      </c>
    </row>
    <row r="170" spans="1:5" x14ac:dyDescent="0.25">
      <c r="A170">
        <v>166</v>
      </c>
      <c r="B170">
        <v>9.7712999999999994E-2</v>
      </c>
      <c r="C170">
        <v>-1.013868</v>
      </c>
      <c r="D170">
        <v>0.10559200000000001</v>
      </c>
      <c r="E170">
        <v>-1.0915680000000001</v>
      </c>
    </row>
    <row r="171" spans="1:5" x14ac:dyDescent="0.25">
      <c r="A171">
        <v>167</v>
      </c>
      <c r="B171">
        <v>9.7712999999999994E-2</v>
      </c>
      <c r="C171">
        <v>-1.013868</v>
      </c>
      <c r="D171">
        <v>0.10559200000000001</v>
      </c>
      <c r="E171">
        <v>-1.0915680000000001</v>
      </c>
    </row>
    <row r="172" spans="1:5" x14ac:dyDescent="0.25">
      <c r="A172">
        <v>168</v>
      </c>
      <c r="B172">
        <v>0.12951199999999999</v>
      </c>
      <c r="C172">
        <v>-0.344468</v>
      </c>
      <c r="D172">
        <v>0.13739199999999999</v>
      </c>
      <c r="E172">
        <v>-0.42226799999999998</v>
      </c>
    </row>
    <row r="173" spans="1:5" x14ac:dyDescent="0.25">
      <c r="A173">
        <v>169</v>
      </c>
      <c r="B173">
        <v>0.114722</v>
      </c>
      <c r="C173">
        <v>-0.99166900000000002</v>
      </c>
      <c r="D173">
        <v>0.19341900000000001</v>
      </c>
      <c r="E173">
        <v>-0.98986799999999997</v>
      </c>
    </row>
    <row r="174" spans="1:5" x14ac:dyDescent="0.25">
      <c r="A174">
        <v>170</v>
      </c>
      <c r="B174">
        <v>0.114722</v>
      </c>
      <c r="C174">
        <v>-0.99166900000000002</v>
      </c>
      <c r="D174">
        <v>0.19341900000000001</v>
      </c>
      <c r="E174">
        <v>-0.98986799999999997</v>
      </c>
    </row>
    <row r="175" spans="1:5" x14ac:dyDescent="0.25">
      <c r="A175">
        <v>171</v>
      </c>
      <c r="B175">
        <v>0.114722</v>
      </c>
      <c r="C175">
        <v>-0.99126800000000004</v>
      </c>
      <c r="D175">
        <v>0.193526</v>
      </c>
      <c r="E175">
        <v>-0.989568</v>
      </c>
    </row>
    <row r="176" spans="1:5" x14ac:dyDescent="0.25">
      <c r="A176">
        <v>172</v>
      </c>
      <c r="B176">
        <v>0.13045300000000001</v>
      </c>
      <c r="C176">
        <v>-0.99126800000000004</v>
      </c>
      <c r="D176">
        <v>0.13045300000000001</v>
      </c>
      <c r="E176">
        <v>-0.989568</v>
      </c>
    </row>
    <row r="177" spans="1:5" x14ac:dyDescent="0.25">
      <c r="A177">
        <v>173</v>
      </c>
      <c r="B177">
        <v>0.13045300000000001</v>
      </c>
      <c r="C177">
        <v>-1.065947</v>
      </c>
      <c r="D177">
        <v>0.13045300000000001</v>
      </c>
      <c r="E177">
        <v>-1.0177719999999999</v>
      </c>
    </row>
    <row r="178" spans="1:5" x14ac:dyDescent="0.25">
      <c r="A178">
        <v>174</v>
      </c>
      <c r="B178">
        <v>0.13025500000000001</v>
      </c>
      <c r="C178">
        <v>-1.066147</v>
      </c>
      <c r="D178">
        <v>0.130858</v>
      </c>
      <c r="E178">
        <v>-1.0177719999999999</v>
      </c>
    </row>
    <row r="179" spans="1:5" x14ac:dyDescent="0.25">
      <c r="A179">
        <v>175</v>
      </c>
      <c r="B179">
        <v>0.13042300000000001</v>
      </c>
      <c r="C179">
        <v>-1.062546</v>
      </c>
      <c r="D179">
        <v>0.13042300000000001</v>
      </c>
      <c r="E179">
        <v>-1.0213730000000001</v>
      </c>
    </row>
    <row r="180" spans="1:5" x14ac:dyDescent="0.25">
      <c r="A180">
        <v>176</v>
      </c>
      <c r="B180">
        <v>0.12522</v>
      </c>
      <c r="C180">
        <v>-1.0732360000000001</v>
      </c>
      <c r="D180">
        <v>0.11981799999999999</v>
      </c>
      <c r="E180">
        <v>-1.0292349999999999</v>
      </c>
    </row>
    <row r="181" spans="1:5" x14ac:dyDescent="0.25">
      <c r="A181">
        <v>177</v>
      </c>
      <c r="B181">
        <v>0.15229100000000001</v>
      </c>
      <c r="C181">
        <v>-1.0732360000000001</v>
      </c>
      <c r="D181">
        <v>0.18366399999999999</v>
      </c>
      <c r="E181">
        <v>-1.019536</v>
      </c>
    </row>
    <row r="182" spans="1:5" x14ac:dyDescent="0.25">
      <c r="A182">
        <v>178</v>
      </c>
      <c r="B182">
        <v>0.15229100000000001</v>
      </c>
      <c r="C182">
        <v>-1.0732360000000001</v>
      </c>
      <c r="D182">
        <v>0.18366399999999999</v>
      </c>
      <c r="E182">
        <v>-1.019536</v>
      </c>
    </row>
    <row r="183" spans="1:5" x14ac:dyDescent="0.25">
      <c r="A183">
        <v>179</v>
      </c>
      <c r="B183">
        <v>0.15229100000000001</v>
      </c>
      <c r="C183">
        <v>-1.0648679999999999</v>
      </c>
      <c r="D183">
        <v>0.18366399999999999</v>
      </c>
      <c r="E183">
        <v>-1.057968</v>
      </c>
    </row>
    <row r="184" spans="1:5" x14ac:dyDescent="0.25">
      <c r="A184">
        <v>180</v>
      </c>
      <c r="B184">
        <v>0.15229100000000001</v>
      </c>
      <c r="C184">
        <v>-1.0648679999999999</v>
      </c>
      <c r="D184">
        <v>0.18366399999999999</v>
      </c>
      <c r="E184">
        <v>-1.057968</v>
      </c>
    </row>
    <row r="185" spans="1:5" x14ac:dyDescent="0.25">
      <c r="A185">
        <v>181</v>
      </c>
      <c r="B185">
        <v>0.15229100000000001</v>
      </c>
      <c r="C185">
        <v>-1.0648679999999999</v>
      </c>
      <c r="D185">
        <v>0.18366399999999999</v>
      </c>
      <c r="E185">
        <v>-1.057968</v>
      </c>
    </row>
    <row r="186" spans="1:5" x14ac:dyDescent="0.25">
      <c r="A186">
        <v>182</v>
      </c>
      <c r="B186">
        <v>0.114714</v>
      </c>
      <c r="C186">
        <v>-1.0167660000000001</v>
      </c>
      <c r="D186">
        <v>0.13822000000000001</v>
      </c>
      <c r="E186">
        <v>-1.009868</v>
      </c>
    </row>
    <row r="187" spans="1:5" x14ac:dyDescent="0.25">
      <c r="A187">
        <v>183</v>
      </c>
      <c r="B187">
        <v>0.114714</v>
      </c>
      <c r="C187">
        <v>-1.1453690000000001</v>
      </c>
      <c r="D187">
        <v>3.6017E-2</v>
      </c>
      <c r="E187">
        <v>-1.1469670000000001</v>
      </c>
    </row>
    <row r="188" spans="1:5" x14ac:dyDescent="0.25">
      <c r="A188">
        <v>184</v>
      </c>
      <c r="B188">
        <v>0.114714</v>
      </c>
      <c r="C188">
        <v>-1.1453690000000001</v>
      </c>
      <c r="D188">
        <v>3.6017E-2</v>
      </c>
      <c r="E188">
        <v>-1.1469670000000001</v>
      </c>
    </row>
    <row r="189" spans="1:5" x14ac:dyDescent="0.25">
      <c r="A189">
        <v>185</v>
      </c>
      <c r="B189">
        <v>0.114714</v>
      </c>
      <c r="C189">
        <v>-1.145669</v>
      </c>
      <c r="D189">
        <v>3.6015999999999999E-2</v>
      </c>
      <c r="E189">
        <v>-1.1473679999999999</v>
      </c>
    </row>
    <row r="190" spans="1:5" x14ac:dyDescent="0.25">
      <c r="A190">
        <v>186</v>
      </c>
      <c r="B190">
        <v>0.13051399999999999</v>
      </c>
      <c r="C190">
        <v>-1.145669</v>
      </c>
      <c r="D190">
        <v>0.13051399999999999</v>
      </c>
      <c r="E190">
        <v>-1.1473679999999999</v>
      </c>
    </row>
    <row r="191" spans="1:5" x14ac:dyDescent="0.25">
      <c r="A191">
        <v>187</v>
      </c>
      <c r="B191">
        <v>0.13051399999999999</v>
      </c>
      <c r="C191">
        <v>-1.0821639999999999</v>
      </c>
      <c r="D191">
        <v>0.130415</v>
      </c>
      <c r="E191">
        <v>-1.1167899999999999</v>
      </c>
    </row>
    <row r="192" spans="1:5" x14ac:dyDescent="0.25">
      <c r="A192">
        <v>188</v>
      </c>
      <c r="B192">
        <v>0.130522</v>
      </c>
      <c r="C192">
        <v>-1.0821639999999999</v>
      </c>
      <c r="D192">
        <v>0.12991900000000001</v>
      </c>
      <c r="E192">
        <v>-1.1166910000000001</v>
      </c>
    </row>
    <row r="193" spans="1:5" x14ac:dyDescent="0.25">
      <c r="A193">
        <v>189</v>
      </c>
      <c r="B193">
        <v>0.12651699999999999</v>
      </c>
      <c r="C193">
        <v>-1.0820639999999999</v>
      </c>
      <c r="D193">
        <v>0.126418</v>
      </c>
      <c r="E193">
        <v>-1.109389</v>
      </c>
    </row>
    <row r="194" spans="1:5" x14ac:dyDescent="0.25">
      <c r="A194">
        <v>190</v>
      </c>
      <c r="B194">
        <v>0.16192500000000001</v>
      </c>
      <c r="C194">
        <v>-1.086975</v>
      </c>
      <c r="D194">
        <v>0.161825</v>
      </c>
      <c r="E194">
        <v>-1.1250640000000001</v>
      </c>
    </row>
    <row r="195" spans="1:5" x14ac:dyDescent="0.25">
      <c r="A195">
        <v>191</v>
      </c>
      <c r="B195">
        <v>0.12003800000000001</v>
      </c>
      <c r="C195">
        <v>-1.086975</v>
      </c>
      <c r="D195">
        <v>0.104518</v>
      </c>
      <c r="E195">
        <v>-1.132563</v>
      </c>
    </row>
    <row r="196" spans="1:5" x14ac:dyDescent="0.25">
      <c r="A196">
        <v>192</v>
      </c>
      <c r="B196">
        <v>0.12003800000000001</v>
      </c>
      <c r="C196">
        <v>-1.0871759999999999</v>
      </c>
      <c r="D196">
        <v>0.104114</v>
      </c>
      <c r="E196">
        <v>-1.132665</v>
      </c>
    </row>
    <row r="197" spans="1:5" x14ac:dyDescent="0.25">
      <c r="A197">
        <v>193</v>
      </c>
      <c r="B197">
        <v>0.122639</v>
      </c>
      <c r="C197">
        <v>-1.0517669999999999</v>
      </c>
      <c r="D197">
        <v>0.106715</v>
      </c>
      <c r="E197">
        <v>-1.0938669999999999</v>
      </c>
    </row>
    <row r="198" spans="1:5" x14ac:dyDescent="0.25">
      <c r="A198">
        <v>194</v>
      </c>
      <c r="B198">
        <v>0.122639</v>
      </c>
      <c r="C198">
        <v>-1.051668</v>
      </c>
      <c r="D198">
        <v>0.106715</v>
      </c>
      <c r="E198">
        <v>-1.0938680000000001</v>
      </c>
    </row>
    <row r="199" spans="1:5" x14ac:dyDescent="0.25">
      <c r="A199">
        <v>195</v>
      </c>
      <c r="B199">
        <v>0.122639</v>
      </c>
      <c r="C199">
        <v>-1.051668</v>
      </c>
      <c r="D199">
        <v>0.106715</v>
      </c>
      <c r="E199">
        <v>-1.0938680000000001</v>
      </c>
    </row>
    <row r="200" spans="1:5" x14ac:dyDescent="0.25">
      <c r="A200">
        <v>196</v>
      </c>
      <c r="B200">
        <v>0.130415</v>
      </c>
      <c r="C200">
        <v>-1.037469</v>
      </c>
      <c r="D200">
        <v>0.13822000000000001</v>
      </c>
      <c r="E200">
        <v>-1.0796669999999999</v>
      </c>
    </row>
    <row r="201" spans="1:5" x14ac:dyDescent="0.25">
      <c r="A201">
        <v>197</v>
      </c>
      <c r="B201">
        <v>0.11482100000000001</v>
      </c>
      <c r="C201">
        <v>-1.073968</v>
      </c>
      <c r="D201">
        <v>0.11482100000000001</v>
      </c>
      <c r="E201">
        <v>-1.0855950000000001</v>
      </c>
    </row>
    <row r="202" spans="1:5" x14ac:dyDescent="0.25">
      <c r="A202">
        <v>198</v>
      </c>
      <c r="B202">
        <v>0.11482100000000001</v>
      </c>
      <c r="C202">
        <v>-1.073968</v>
      </c>
      <c r="D202">
        <v>0.11482100000000001</v>
      </c>
      <c r="E202">
        <v>-1.0855950000000001</v>
      </c>
    </row>
    <row r="203" spans="1:5" x14ac:dyDescent="0.25">
      <c r="A203">
        <v>199</v>
      </c>
      <c r="B203">
        <v>0.114722</v>
      </c>
      <c r="C203">
        <v>-1.073968</v>
      </c>
      <c r="D203">
        <v>0.114722</v>
      </c>
      <c r="E203">
        <v>-1.0855950000000001</v>
      </c>
    </row>
    <row r="204" spans="1:5" x14ac:dyDescent="0.25">
      <c r="A204">
        <v>200</v>
      </c>
      <c r="B204">
        <v>0.13449</v>
      </c>
      <c r="C204">
        <v>-1.073968</v>
      </c>
      <c r="D204">
        <v>0.13838</v>
      </c>
      <c r="E204">
        <v>-1.0855950000000001</v>
      </c>
    </row>
    <row r="205" spans="1:5" x14ac:dyDescent="0.25">
      <c r="A205">
        <v>201</v>
      </c>
      <c r="B205">
        <v>0.13449700000000001</v>
      </c>
      <c r="C205">
        <v>-1.073968</v>
      </c>
      <c r="D205">
        <v>0.13827999999999999</v>
      </c>
      <c r="E205">
        <v>-1.0856939999999999</v>
      </c>
    </row>
    <row r="206" spans="1:5" x14ac:dyDescent="0.25">
      <c r="A206">
        <v>202</v>
      </c>
      <c r="B206">
        <v>0.13449700000000001</v>
      </c>
      <c r="C206">
        <v>-1.073869</v>
      </c>
      <c r="D206">
        <v>0.13827999999999999</v>
      </c>
      <c r="E206">
        <v>-1.073869</v>
      </c>
    </row>
    <row r="207" spans="1:5" x14ac:dyDescent="0.25">
      <c r="A207">
        <v>203</v>
      </c>
      <c r="B207">
        <v>0.13449</v>
      </c>
      <c r="C207">
        <v>-1.0738669999999999</v>
      </c>
      <c r="D207">
        <v>0.138381</v>
      </c>
      <c r="E207">
        <v>-1.0738669999999999</v>
      </c>
    </row>
    <row r="208" spans="1:5" x14ac:dyDescent="0.25">
      <c r="A208">
        <v>204</v>
      </c>
      <c r="B208">
        <v>0.13842699999999999</v>
      </c>
      <c r="C208">
        <v>-1.0738669999999999</v>
      </c>
      <c r="D208">
        <v>0.13841800000000001</v>
      </c>
      <c r="E208">
        <v>-1.0738669999999999</v>
      </c>
    </row>
    <row r="209" spans="1:5" x14ac:dyDescent="0.25">
      <c r="A209">
        <v>205</v>
      </c>
      <c r="B209">
        <v>0.13833599999999999</v>
      </c>
      <c r="C209">
        <v>-1.073869</v>
      </c>
      <c r="D209">
        <v>0.13832</v>
      </c>
      <c r="E209">
        <v>-1.073869</v>
      </c>
    </row>
    <row r="210" spans="1:5" x14ac:dyDescent="0.25">
      <c r="A210">
        <v>206</v>
      </c>
      <c r="B210">
        <v>0.13833599999999999</v>
      </c>
      <c r="C210">
        <v>-1.0777669999999999</v>
      </c>
      <c r="D210">
        <v>0.13832</v>
      </c>
      <c r="E210">
        <v>-1.069968</v>
      </c>
    </row>
    <row r="211" spans="1:5" x14ac:dyDescent="0.25">
      <c r="A211">
        <v>207</v>
      </c>
      <c r="B211">
        <v>0.138434</v>
      </c>
      <c r="C211">
        <v>-1.0777669999999999</v>
      </c>
      <c r="D211">
        <v>0.138326</v>
      </c>
      <c r="E211">
        <v>-1.069966</v>
      </c>
    </row>
    <row r="212" spans="1:5" x14ac:dyDescent="0.25">
      <c r="A212">
        <v>208</v>
      </c>
      <c r="B212">
        <v>0.11672100000000001</v>
      </c>
      <c r="C212">
        <v>-1.0777669999999999</v>
      </c>
      <c r="D212">
        <v>0.114722</v>
      </c>
      <c r="E212">
        <v>-1.069966</v>
      </c>
    </row>
    <row r="213" spans="1:5" x14ac:dyDescent="0.25">
      <c r="A213">
        <v>209</v>
      </c>
      <c r="B213">
        <v>0.11681999999999999</v>
      </c>
      <c r="C213">
        <v>-1.0777669999999999</v>
      </c>
      <c r="D213">
        <v>0.114714</v>
      </c>
      <c r="E213">
        <v>-1.069966</v>
      </c>
    </row>
    <row r="214" spans="1:5" x14ac:dyDescent="0.25">
      <c r="A214">
        <v>210</v>
      </c>
      <c r="B214">
        <v>0.114714</v>
      </c>
      <c r="C214">
        <v>-1.069966</v>
      </c>
      <c r="D214">
        <v>0.114714</v>
      </c>
      <c r="E214">
        <v>-1.069966</v>
      </c>
    </row>
    <row r="215" spans="1:5" x14ac:dyDescent="0.25">
      <c r="A215">
        <v>211</v>
      </c>
      <c r="B215">
        <v>0.114714</v>
      </c>
      <c r="C215">
        <v>-1.069966</v>
      </c>
      <c r="D215">
        <v>0.114714</v>
      </c>
      <c r="E215">
        <v>-1.069966</v>
      </c>
    </row>
    <row r="216" spans="1:5" x14ac:dyDescent="0.25">
      <c r="A216">
        <v>212</v>
      </c>
      <c r="B216">
        <v>0.114714</v>
      </c>
      <c r="C216">
        <v>-1.358268</v>
      </c>
      <c r="D216">
        <v>0.114714</v>
      </c>
      <c r="E216">
        <v>-1.358268</v>
      </c>
    </row>
    <row r="217" spans="1:5" x14ac:dyDescent="0.25">
      <c r="A217">
        <v>213</v>
      </c>
      <c r="B217">
        <v>-0.15748000000000001</v>
      </c>
      <c r="C217">
        <v>-1.358268</v>
      </c>
      <c r="D217">
        <v>-0.15748000000000001</v>
      </c>
      <c r="E217">
        <v>-1.358268</v>
      </c>
    </row>
    <row r="218" spans="1:5" x14ac:dyDescent="0.25">
      <c r="A218">
        <v>214</v>
      </c>
      <c r="B218">
        <v>0</v>
      </c>
      <c r="C218">
        <v>0</v>
      </c>
      <c r="D218">
        <v>0</v>
      </c>
      <c r="E218" t="s">
        <v>2114</v>
      </c>
    </row>
    <row r="219" spans="1:5" x14ac:dyDescent="0.25">
      <c r="A219">
        <v>215</v>
      </c>
      <c r="B219">
        <v>0</v>
      </c>
      <c r="C219">
        <v>0</v>
      </c>
      <c r="D219">
        <v>0</v>
      </c>
      <c r="E219" t="s">
        <v>2114</v>
      </c>
    </row>
    <row r="220" spans="1:5" x14ac:dyDescent="0.25">
      <c r="A220">
        <v>216</v>
      </c>
      <c r="B220">
        <v>0</v>
      </c>
      <c r="C220">
        <v>0</v>
      </c>
      <c r="D220">
        <v>0</v>
      </c>
      <c r="E220" t="s">
        <v>2114</v>
      </c>
    </row>
    <row r="221" spans="1:5" x14ac:dyDescent="0.25">
      <c r="A221">
        <v>217</v>
      </c>
      <c r="B221">
        <v>0</v>
      </c>
      <c r="C221">
        <v>0</v>
      </c>
      <c r="D221">
        <v>0</v>
      </c>
      <c r="E221">
        <v>0</v>
      </c>
    </row>
  </sheetData>
  <mergeCells count="3">
    <mergeCell ref="B3:C3"/>
    <mergeCell ref="D3:E3"/>
    <mergeCell ref="B2:E2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3"/>
  <dimension ref="A1:Z1000"/>
  <sheetViews>
    <sheetView topLeftCell="A22" workbookViewId="0"/>
  </sheetViews>
  <sheetFormatPr defaultRowHeight="15" x14ac:dyDescent="0.25"/>
  <cols>
    <col min="1" max="1" width="116.85546875" customWidth="1"/>
  </cols>
  <sheetData>
    <row r="1" spans="1:26" x14ac:dyDescent="0.25">
      <c r="A1" s="566" t="s">
        <v>436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  <c r="X1" s="566"/>
      <c r="Y1" s="566"/>
      <c r="Z1" s="566"/>
    </row>
    <row r="2" spans="1:26" x14ac:dyDescent="0.25">
      <c r="A2" s="566" t="s">
        <v>435</v>
      </c>
      <c r="B2" s="566"/>
      <c r="C2" s="566"/>
      <c r="D2" s="566"/>
      <c r="E2" s="566"/>
      <c r="F2" s="566"/>
      <c r="G2" s="566"/>
      <c r="H2" s="566"/>
      <c r="I2" s="566"/>
      <c r="J2" s="566"/>
      <c r="K2" s="566"/>
      <c r="L2" s="566"/>
      <c r="M2" s="566"/>
      <c r="N2" s="566"/>
      <c r="O2" s="566"/>
      <c r="P2" s="566"/>
      <c r="Q2" s="566"/>
      <c r="R2" s="566"/>
      <c r="S2" s="566"/>
      <c r="T2" s="566"/>
      <c r="U2" s="566"/>
      <c r="V2" s="566"/>
      <c r="W2" s="566"/>
      <c r="X2" s="566"/>
      <c r="Y2" s="566"/>
      <c r="Z2" s="566"/>
    </row>
    <row r="3" spans="1:26" x14ac:dyDescent="0.25">
      <c r="A3" s="566" t="s">
        <v>2814</v>
      </c>
      <c r="B3" s="566"/>
      <c r="C3" s="566"/>
      <c r="D3" s="566"/>
      <c r="E3" s="566"/>
      <c r="F3" s="566"/>
      <c r="G3" s="566"/>
      <c r="H3" s="566"/>
      <c r="I3" s="566"/>
      <c r="J3" s="566"/>
      <c r="K3" s="566"/>
      <c r="L3" s="566"/>
      <c r="M3" s="566"/>
      <c r="N3" s="566"/>
      <c r="O3" s="566"/>
      <c r="P3" s="566"/>
      <c r="Q3" s="566"/>
      <c r="R3" s="566"/>
      <c r="S3" s="566"/>
      <c r="T3" s="566"/>
      <c r="U3" s="566"/>
      <c r="V3" s="566"/>
      <c r="W3" s="566"/>
      <c r="X3" s="566"/>
      <c r="Y3" s="566"/>
      <c r="Z3" s="566"/>
    </row>
    <row r="4" spans="1:26" x14ac:dyDescent="0.25">
      <c r="A4" s="566" t="s">
        <v>434</v>
      </c>
      <c r="B4" s="566"/>
      <c r="C4" s="566"/>
      <c r="D4" s="566"/>
      <c r="E4" s="566"/>
      <c r="F4" s="566"/>
      <c r="G4" s="566"/>
      <c r="H4" s="566"/>
      <c r="I4" s="566"/>
      <c r="J4" s="566"/>
      <c r="K4" s="566"/>
      <c r="L4" s="566"/>
      <c r="M4" s="566"/>
      <c r="N4" s="566"/>
      <c r="O4" s="566"/>
      <c r="P4" s="566"/>
      <c r="Q4" s="566"/>
      <c r="R4" s="566"/>
      <c r="S4" s="566"/>
      <c r="T4" s="566"/>
      <c r="U4" s="566"/>
      <c r="V4" s="566"/>
      <c r="W4" s="566"/>
      <c r="X4" s="566"/>
      <c r="Y4" s="566"/>
      <c r="Z4" s="566"/>
    </row>
    <row r="5" spans="1:26" x14ac:dyDescent="0.25">
      <c r="A5" s="566" t="s">
        <v>433</v>
      </c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</row>
    <row r="6" spans="1:26" x14ac:dyDescent="0.25">
      <c r="A6" s="566" t="s">
        <v>2004</v>
      </c>
      <c r="B6" s="566"/>
      <c r="C6" s="566"/>
      <c r="D6" s="566"/>
      <c r="E6" s="566"/>
      <c r="F6" s="566"/>
      <c r="G6" s="566"/>
      <c r="H6" s="566"/>
      <c r="I6" s="566"/>
      <c r="J6" s="566"/>
      <c r="K6" s="566"/>
      <c r="L6" s="566"/>
      <c r="M6" s="566"/>
      <c r="N6" s="566"/>
      <c r="O6" s="566"/>
      <c r="P6" s="566"/>
      <c r="Q6" s="566"/>
      <c r="R6" s="566"/>
      <c r="S6" s="566"/>
      <c r="T6" s="566"/>
      <c r="U6" s="566"/>
      <c r="V6" s="566"/>
      <c r="W6" s="566"/>
      <c r="X6" s="566"/>
      <c r="Y6" s="566"/>
      <c r="Z6" s="566"/>
    </row>
    <row r="7" spans="1:26" x14ac:dyDescent="0.25">
      <c r="A7" s="566" t="s">
        <v>2005</v>
      </c>
      <c r="B7" s="566"/>
      <c r="C7" s="566"/>
      <c r="D7" s="566"/>
      <c r="E7" s="566"/>
      <c r="F7" s="566"/>
      <c r="G7" s="566"/>
      <c r="H7" s="566"/>
      <c r="I7" s="566"/>
      <c r="J7" s="566"/>
      <c r="K7" s="566"/>
      <c r="L7" s="566"/>
      <c r="M7" s="566"/>
      <c r="N7" s="566"/>
      <c r="O7" s="566"/>
      <c r="P7" s="566"/>
      <c r="Q7" s="566"/>
      <c r="R7" s="566"/>
      <c r="S7" s="566"/>
      <c r="T7" s="566"/>
      <c r="U7" s="566"/>
      <c r="V7" s="566"/>
      <c r="W7" s="566"/>
      <c r="X7" s="566"/>
      <c r="Y7" s="566"/>
      <c r="Z7" s="566"/>
    </row>
    <row r="8" spans="1:26" x14ac:dyDescent="0.25">
      <c r="A8" s="566" t="s">
        <v>2006</v>
      </c>
      <c r="B8" s="566"/>
      <c r="C8" s="566"/>
      <c r="D8" s="566"/>
      <c r="E8" s="566"/>
      <c r="F8" s="566"/>
      <c r="G8" s="566"/>
      <c r="H8" s="566"/>
      <c r="I8" s="566"/>
      <c r="J8" s="566"/>
      <c r="K8" s="566"/>
      <c r="L8" s="566"/>
      <c r="M8" s="566"/>
      <c r="N8" s="566"/>
      <c r="O8" s="566"/>
      <c r="P8" s="566"/>
      <c r="Q8" s="566"/>
      <c r="R8" s="566"/>
      <c r="S8" s="566"/>
      <c r="T8" s="566"/>
      <c r="U8" s="566"/>
      <c r="V8" s="566"/>
      <c r="W8" s="566"/>
      <c r="X8" s="566"/>
      <c r="Y8" s="566"/>
      <c r="Z8" s="566"/>
    </row>
    <row r="9" spans="1:26" x14ac:dyDescent="0.25">
      <c r="A9" s="566" t="s">
        <v>2007</v>
      </c>
      <c r="B9" s="566"/>
      <c r="C9" s="566"/>
      <c r="D9" s="566"/>
      <c r="E9" s="566"/>
      <c r="F9" s="566"/>
      <c r="G9" s="566"/>
      <c r="H9" s="566"/>
      <c r="I9" s="566"/>
      <c r="J9" s="566"/>
      <c r="K9" s="566"/>
      <c r="L9" s="566"/>
      <c r="M9" s="566"/>
      <c r="N9" s="566"/>
      <c r="O9" s="566"/>
      <c r="P9" s="566"/>
      <c r="Q9" s="566"/>
      <c r="R9" s="566"/>
      <c r="S9" s="566"/>
      <c r="T9" s="566"/>
      <c r="U9" s="566"/>
      <c r="V9" s="566"/>
      <c r="W9" s="566"/>
      <c r="X9" s="566"/>
      <c r="Y9" s="566"/>
      <c r="Z9" s="566"/>
    </row>
    <row r="10" spans="1:26" x14ac:dyDescent="0.25">
      <c r="A10" s="566" t="s">
        <v>2008</v>
      </c>
      <c r="B10" s="566"/>
      <c r="C10" s="566"/>
      <c r="D10" s="566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</row>
    <row r="11" spans="1:26" x14ac:dyDescent="0.25">
      <c r="A11" s="566" t="s">
        <v>2009</v>
      </c>
      <c r="B11" s="566"/>
      <c r="C11" s="566"/>
      <c r="D11" s="566"/>
      <c r="E11" s="566"/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</row>
    <row r="12" spans="1:26" x14ac:dyDescent="0.25">
      <c r="A12" s="566" t="s">
        <v>2010</v>
      </c>
      <c r="B12" s="566"/>
      <c r="C12" s="566"/>
      <c r="D12" s="566"/>
      <c r="E12" s="566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</row>
    <row r="13" spans="1:26" x14ac:dyDescent="0.25">
      <c r="A13" s="566" t="s">
        <v>2011</v>
      </c>
      <c r="B13" s="566"/>
      <c r="C13" s="566"/>
      <c r="D13" s="566"/>
      <c r="E13" s="566"/>
      <c r="F13" s="566"/>
      <c r="G13" s="566"/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  <c r="S13" s="566"/>
      <c r="T13" s="566"/>
      <c r="U13" s="566"/>
      <c r="V13" s="566"/>
      <c r="W13" s="566"/>
      <c r="X13" s="566"/>
      <c r="Y13" s="566"/>
      <c r="Z13" s="566"/>
    </row>
    <row r="14" spans="1:26" x14ac:dyDescent="0.25">
      <c r="A14" s="566" t="s">
        <v>2012</v>
      </c>
      <c r="B14" s="566"/>
      <c r="C14" s="566"/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  <c r="S14" s="566"/>
      <c r="T14" s="566"/>
      <c r="U14" s="566"/>
      <c r="V14" s="566"/>
      <c r="W14" s="566"/>
      <c r="X14" s="566"/>
      <c r="Y14" s="566"/>
      <c r="Z14" s="566"/>
    </row>
    <row r="15" spans="1:26" x14ac:dyDescent="0.25">
      <c r="A15" s="566" t="s">
        <v>2013</v>
      </c>
      <c r="B15" s="566"/>
      <c r="C15" s="566"/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</row>
    <row r="16" spans="1:26" x14ac:dyDescent="0.25">
      <c r="A16" s="566" t="s">
        <v>2014</v>
      </c>
      <c r="B16" s="566"/>
      <c r="C16" s="566"/>
      <c r="D16" s="566"/>
      <c r="E16" s="566"/>
      <c r="F16" s="566"/>
      <c r="G16" s="566"/>
      <c r="H16" s="566"/>
      <c r="I16" s="566"/>
      <c r="J16" s="566"/>
      <c r="K16" s="566"/>
      <c r="L16" s="566"/>
      <c r="M16" s="566"/>
      <c r="N16" s="566"/>
      <c r="O16" s="566"/>
      <c r="P16" s="566"/>
      <c r="Q16" s="566"/>
      <c r="R16" s="566"/>
      <c r="S16" s="566"/>
      <c r="T16" s="566"/>
      <c r="U16" s="566"/>
      <c r="V16" s="566"/>
      <c r="W16" s="566"/>
      <c r="X16" s="566"/>
      <c r="Y16" s="566"/>
      <c r="Z16" s="566"/>
    </row>
    <row r="17" spans="1:26" x14ac:dyDescent="0.25">
      <c r="A17" s="566" t="s">
        <v>2015</v>
      </c>
      <c r="B17" s="566"/>
      <c r="C17" s="566"/>
      <c r="D17" s="566"/>
      <c r="E17" s="566"/>
      <c r="F17" s="566"/>
      <c r="G17" s="566"/>
      <c r="H17" s="566"/>
      <c r="I17" s="566"/>
      <c r="J17" s="566"/>
      <c r="K17" s="566"/>
      <c r="L17" s="566"/>
      <c r="M17" s="566"/>
      <c r="N17" s="566"/>
      <c r="O17" s="566"/>
      <c r="P17" s="566"/>
      <c r="Q17" s="566"/>
      <c r="R17" s="566"/>
      <c r="S17" s="566"/>
      <c r="T17" s="566"/>
      <c r="U17" s="566"/>
      <c r="V17" s="566"/>
      <c r="W17" s="566"/>
      <c r="X17" s="566"/>
      <c r="Y17" s="566"/>
      <c r="Z17" s="566"/>
    </row>
    <row r="18" spans="1:26" x14ac:dyDescent="0.25">
      <c r="A18" s="566" t="s">
        <v>2016</v>
      </c>
      <c r="B18" s="566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  <c r="P18" s="566"/>
      <c r="Q18" s="566"/>
      <c r="R18" s="566"/>
      <c r="S18" s="566"/>
      <c r="T18" s="566"/>
      <c r="U18" s="566"/>
      <c r="V18" s="566"/>
      <c r="W18" s="566"/>
      <c r="X18" s="566"/>
      <c r="Y18" s="566"/>
      <c r="Z18" s="566"/>
    </row>
    <row r="19" spans="1:26" x14ac:dyDescent="0.25">
      <c r="A19" s="566" t="s">
        <v>2017</v>
      </c>
      <c r="B19" s="566"/>
      <c r="C19" s="566"/>
      <c r="D19" s="566"/>
      <c r="E19" s="566"/>
      <c r="F19" s="566"/>
      <c r="G19" s="566"/>
      <c r="H19" s="566"/>
      <c r="I19" s="566"/>
      <c r="J19" s="566"/>
      <c r="K19" s="566"/>
      <c r="L19" s="566"/>
      <c r="M19" s="566"/>
      <c r="N19" s="566"/>
      <c r="O19" s="566"/>
      <c r="P19" s="566"/>
      <c r="Q19" s="566"/>
      <c r="R19" s="566"/>
      <c r="S19" s="566"/>
      <c r="T19" s="566"/>
      <c r="U19" s="566"/>
      <c r="V19" s="566"/>
      <c r="W19" s="566"/>
      <c r="X19" s="566"/>
      <c r="Y19" s="566"/>
      <c r="Z19" s="566"/>
    </row>
    <row r="20" spans="1:26" x14ac:dyDescent="0.25">
      <c r="A20" s="566" t="s">
        <v>2018</v>
      </c>
      <c r="B20" s="566"/>
      <c r="C20" s="566"/>
      <c r="D20" s="566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</row>
    <row r="21" spans="1:26" x14ac:dyDescent="0.25">
      <c r="A21" s="566" t="s">
        <v>2019</v>
      </c>
      <c r="B21" s="566"/>
      <c r="C21" s="566"/>
      <c r="D21" s="566"/>
      <c r="E21" s="566"/>
      <c r="F21" s="566"/>
      <c r="G21" s="566"/>
      <c r="H21" s="566"/>
      <c r="I21" s="566"/>
      <c r="J21" s="566"/>
      <c r="K21" s="566"/>
      <c r="L21" s="566"/>
      <c r="M21" s="566"/>
      <c r="N21" s="566"/>
      <c r="O21" s="566"/>
      <c r="P21" s="566"/>
      <c r="Q21" s="566"/>
      <c r="R21" s="566"/>
      <c r="S21" s="566"/>
      <c r="T21" s="566"/>
      <c r="U21" s="566"/>
      <c r="V21" s="566"/>
      <c r="W21" s="566"/>
      <c r="X21" s="566"/>
      <c r="Y21" s="566"/>
      <c r="Z21" s="566"/>
    </row>
    <row r="22" spans="1:26" x14ac:dyDescent="0.25">
      <c r="A22" s="566" t="s">
        <v>2020</v>
      </c>
      <c r="B22" s="566"/>
      <c r="C22" s="566"/>
      <c r="D22" s="566"/>
      <c r="E22" s="566"/>
      <c r="F22" s="566"/>
      <c r="G22" s="566"/>
      <c r="H22" s="566"/>
      <c r="I22" s="566"/>
      <c r="J22" s="566"/>
      <c r="K22" s="566"/>
      <c r="L22" s="566"/>
      <c r="M22" s="566"/>
      <c r="N22" s="566"/>
      <c r="O22" s="566"/>
      <c r="P22" s="566"/>
      <c r="Q22" s="566"/>
      <c r="R22" s="566"/>
      <c r="S22" s="566"/>
      <c r="T22" s="566"/>
      <c r="U22" s="566"/>
      <c r="V22" s="566"/>
      <c r="W22" s="566"/>
      <c r="X22" s="566"/>
      <c r="Y22" s="566"/>
      <c r="Z22" s="566"/>
    </row>
    <row r="23" spans="1:26" x14ac:dyDescent="0.25">
      <c r="A23" s="566" t="s">
        <v>2021</v>
      </c>
      <c r="B23" s="566"/>
      <c r="C23" s="566"/>
      <c r="D23" s="566"/>
      <c r="E23" s="566"/>
      <c r="F23" s="566"/>
      <c r="G23" s="566"/>
      <c r="H23" s="566"/>
      <c r="I23" s="566"/>
      <c r="J23" s="566"/>
      <c r="K23" s="566"/>
      <c r="L23" s="566"/>
      <c r="M23" s="566"/>
      <c r="N23" s="566"/>
      <c r="O23" s="566"/>
      <c r="P23" s="566"/>
      <c r="Q23" s="566"/>
      <c r="R23" s="566"/>
      <c r="S23" s="566"/>
      <c r="T23" s="566"/>
      <c r="U23" s="566"/>
      <c r="V23" s="566"/>
      <c r="W23" s="566"/>
      <c r="X23" s="566"/>
      <c r="Y23" s="566"/>
      <c r="Z23" s="566"/>
    </row>
    <row r="24" spans="1:26" x14ac:dyDescent="0.25">
      <c r="A24" s="566" t="s">
        <v>2022</v>
      </c>
      <c r="B24" s="566"/>
      <c r="C24" s="566"/>
      <c r="D24" s="566"/>
      <c r="E24" s="566"/>
      <c r="F24" s="566"/>
      <c r="G24" s="566"/>
      <c r="H24" s="566"/>
      <c r="I24" s="566"/>
      <c r="J24" s="566"/>
      <c r="K24" s="566"/>
      <c r="L24" s="566"/>
      <c r="M24" s="566"/>
      <c r="N24" s="566"/>
      <c r="O24" s="566"/>
      <c r="P24" s="566"/>
      <c r="Q24" s="566"/>
      <c r="R24" s="566"/>
      <c r="S24" s="566"/>
      <c r="T24" s="566"/>
      <c r="U24" s="566"/>
      <c r="V24" s="566"/>
      <c r="W24" s="566"/>
      <c r="X24" s="566"/>
      <c r="Y24" s="566"/>
      <c r="Z24" s="566"/>
    </row>
    <row r="25" spans="1:26" x14ac:dyDescent="0.25">
      <c r="A25" s="566" t="s">
        <v>2023</v>
      </c>
      <c r="B25" s="566"/>
      <c r="C25" s="566"/>
      <c r="D25" s="566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</row>
    <row r="26" spans="1:26" x14ac:dyDescent="0.25">
      <c r="A26" s="566" t="s">
        <v>2024</v>
      </c>
      <c r="B26" s="566"/>
      <c r="C26" s="566"/>
      <c r="D26" s="566"/>
      <c r="E26" s="566"/>
      <c r="F26" s="566"/>
      <c r="G26" s="566"/>
      <c r="H26" s="566"/>
      <c r="I26" s="566"/>
      <c r="J26" s="566"/>
      <c r="K26" s="566"/>
      <c r="L26" s="566"/>
      <c r="M26" s="566"/>
      <c r="N26" s="566"/>
      <c r="O26" s="566"/>
      <c r="P26" s="566"/>
      <c r="Q26" s="566"/>
      <c r="R26" s="566"/>
      <c r="S26" s="566"/>
      <c r="T26" s="566"/>
      <c r="U26" s="566"/>
      <c r="V26" s="566"/>
      <c r="W26" s="566"/>
      <c r="X26" s="566"/>
      <c r="Y26" s="566"/>
      <c r="Z26" s="566"/>
    </row>
    <row r="27" spans="1:26" x14ac:dyDescent="0.25">
      <c r="A27" s="566" t="s">
        <v>2025</v>
      </c>
      <c r="B27" s="566"/>
      <c r="C27" s="566"/>
      <c r="D27" s="566"/>
      <c r="E27" s="566"/>
      <c r="F27" s="566"/>
      <c r="G27" s="566"/>
      <c r="H27" s="566"/>
      <c r="I27" s="566"/>
      <c r="J27" s="566"/>
      <c r="K27" s="566"/>
      <c r="L27" s="566"/>
      <c r="M27" s="566"/>
      <c r="N27" s="566"/>
      <c r="O27" s="566"/>
      <c r="P27" s="566"/>
      <c r="Q27" s="566"/>
      <c r="R27" s="566"/>
      <c r="S27" s="566"/>
      <c r="T27" s="566"/>
      <c r="U27" s="566"/>
      <c r="V27" s="566"/>
      <c r="W27" s="566"/>
      <c r="X27" s="566"/>
      <c r="Y27" s="566"/>
      <c r="Z27" s="566"/>
    </row>
    <row r="28" spans="1:26" x14ac:dyDescent="0.25">
      <c r="A28" s="566" t="s">
        <v>2026</v>
      </c>
      <c r="B28" s="566"/>
      <c r="C28" s="566"/>
      <c r="D28" s="566"/>
      <c r="E28" s="566"/>
      <c r="F28" s="566"/>
      <c r="G28" s="566"/>
      <c r="H28" s="566"/>
      <c r="I28" s="566"/>
      <c r="J28" s="566"/>
      <c r="K28" s="566"/>
      <c r="L28" s="566"/>
      <c r="M28" s="566"/>
      <c r="N28" s="566"/>
      <c r="O28" s="566"/>
      <c r="P28" s="566"/>
      <c r="Q28" s="566"/>
      <c r="R28" s="566"/>
      <c r="S28" s="566"/>
      <c r="T28" s="566"/>
      <c r="U28" s="566"/>
      <c r="V28" s="566"/>
      <c r="W28" s="566"/>
      <c r="X28" s="566"/>
      <c r="Y28" s="566"/>
      <c r="Z28" s="566"/>
    </row>
    <row r="29" spans="1:26" x14ac:dyDescent="0.25">
      <c r="A29" s="566" t="s">
        <v>2027</v>
      </c>
      <c r="B29" s="566"/>
      <c r="C29" s="566"/>
      <c r="D29" s="566"/>
      <c r="E29" s="566"/>
      <c r="F29" s="566"/>
      <c r="G29" s="566"/>
      <c r="H29" s="566"/>
      <c r="I29" s="566"/>
      <c r="J29" s="566"/>
      <c r="K29" s="566"/>
      <c r="L29" s="566"/>
      <c r="M29" s="566"/>
      <c r="N29" s="566"/>
      <c r="O29" s="566"/>
      <c r="P29" s="566"/>
      <c r="Q29" s="566"/>
      <c r="R29" s="566"/>
      <c r="S29" s="566"/>
      <c r="T29" s="566"/>
      <c r="U29" s="566"/>
      <c r="V29" s="566"/>
      <c r="W29" s="566"/>
      <c r="X29" s="566"/>
      <c r="Y29" s="566"/>
      <c r="Z29" s="566"/>
    </row>
    <row r="30" spans="1:26" x14ac:dyDescent="0.25">
      <c r="A30" s="566" t="s">
        <v>2028</v>
      </c>
      <c r="B30" s="566"/>
      <c r="C30" s="566"/>
      <c r="D30" s="566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</row>
    <row r="31" spans="1:26" x14ac:dyDescent="0.25">
      <c r="A31" s="566" t="s">
        <v>2029</v>
      </c>
      <c r="B31" s="566"/>
      <c r="C31" s="566"/>
      <c r="D31" s="566"/>
      <c r="E31" s="566"/>
      <c r="F31" s="566"/>
      <c r="G31" s="566"/>
      <c r="H31" s="566"/>
      <c r="I31" s="566"/>
      <c r="J31" s="566"/>
      <c r="K31" s="566"/>
      <c r="L31" s="566"/>
      <c r="M31" s="566"/>
      <c r="N31" s="566"/>
      <c r="O31" s="566"/>
      <c r="P31" s="566"/>
      <c r="Q31" s="566"/>
      <c r="R31" s="566"/>
      <c r="S31" s="566"/>
      <c r="T31" s="566"/>
      <c r="U31" s="566"/>
      <c r="V31" s="566"/>
      <c r="W31" s="566"/>
      <c r="X31" s="566"/>
      <c r="Y31" s="566"/>
      <c r="Z31" s="566"/>
    </row>
    <row r="32" spans="1:26" x14ac:dyDescent="0.25">
      <c r="A32" s="566" t="s">
        <v>2030</v>
      </c>
      <c r="B32" s="566"/>
      <c r="C32" s="566"/>
      <c r="D32" s="566"/>
      <c r="E32" s="566"/>
      <c r="F32" s="566"/>
      <c r="G32" s="566"/>
      <c r="H32" s="566"/>
      <c r="I32" s="566"/>
      <c r="J32" s="566"/>
      <c r="K32" s="566"/>
      <c r="L32" s="566"/>
      <c r="M32" s="566"/>
      <c r="N32" s="566"/>
      <c r="O32" s="566"/>
      <c r="P32" s="566"/>
      <c r="Q32" s="566"/>
      <c r="R32" s="566"/>
      <c r="S32" s="566"/>
      <c r="T32" s="566"/>
      <c r="U32" s="566"/>
      <c r="V32" s="566"/>
      <c r="W32" s="566"/>
      <c r="X32" s="566"/>
      <c r="Y32" s="566"/>
      <c r="Z32" s="566"/>
    </row>
    <row r="33" spans="1:26" x14ac:dyDescent="0.25">
      <c r="A33" s="566" t="s">
        <v>2031</v>
      </c>
      <c r="B33" s="566"/>
      <c r="C33" s="566"/>
      <c r="D33" s="566"/>
      <c r="E33" s="566"/>
      <c r="F33" s="566"/>
      <c r="G33" s="566"/>
      <c r="H33" s="566"/>
      <c r="I33" s="566"/>
      <c r="J33" s="566"/>
      <c r="K33" s="566"/>
      <c r="L33" s="566"/>
      <c r="M33" s="566"/>
      <c r="N33" s="566"/>
      <c r="O33" s="566"/>
      <c r="P33" s="566"/>
      <c r="Q33" s="566"/>
      <c r="R33" s="566"/>
      <c r="S33" s="566"/>
      <c r="T33" s="566"/>
      <c r="U33" s="566"/>
      <c r="V33" s="566"/>
      <c r="W33" s="566"/>
      <c r="X33" s="566"/>
      <c r="Y33" s="566"/>
      <c r="Z33" s="566"/>
    </row>
    <row r="34" spans="1:26" x14ac:dyDescent="0.25">
      <c r="A34" s="566" t="s">
        <v>2032</v>
      </c>
      <c r="B34" s="566"/>
      <c r="C34" s="566"/>
      <c r="D34" s="566"/>
      <c r="E34" s="566"/>
      <c r="F34" s="566"/>
      <c r="G34" s="566"/>
      <c r="H34" s="566"/>
      <c r="I34" s="566"/>
      <c r="J34" s="566"/>
      <c r="K34" s="566"/>
      <c r="L34" s="566"/>
      <c r="M34" s="566"/>
      <c r="N34" s="566"/>
      <c r="O34" s="566"/>
      <c r="P34" s="566"/>
      <c r="Q34" s="566"/>
      <c r="R34" s="566"/>
      <c r="S34" s="566"/>
      <c r="T34" s="566"/>
      <c r="U34" s="566"/>
      <c r="V34" s="566"/>
      <c r="W34" s="566"/>
      <c r="X34" s="566"/>
      <c r="Y34" s="566"/>
      <c r="Z34" s="566"/>
    </row>
    <row r="35" spans="1:26" x14ac:dyDescent="0.25">
      <c r="A35" s="566" t="s">
        <v>2033</v>
      </c>
      <c r="B35" s="566"/>
      <c r="C35" s="566"/>
      <c r="D35" s="566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</row>
    <row r="36" spans="1:26" x14ac:dyDescent="0.25">
      <c r="A36" s="566" t="s">
        <v>2034</v>
      </c>
      <c r="B36" s="566"/>
      <c r="C36" s="566"/>
      <c r="D36" s="566"/>
      <c r="E36" s="566"/>
      <c r="F36" s="566"/>
      <c r="G36" s="566"/>
      <c r="H36" s="566"/>
      <c r="I36" s="566"/>
      <c r="J36" s="566"/>
      <c r="K36" s="566"/>
      <c r="L36" s="566"/>
      <c r="M36" s="566"/>
      <c r="N36" s="566"/>
      <c r="O36" s="566"/>
      <c r="P36" s="566"/>
      <c r="Q36" s="566"/>
      <c r="R36" s="566"/>
      <c r="S36" s="566"/>
      <c r="T36" s="566"/>
      <c r="U36" s="566"/>
      <c r="V36" s="566"/>
      <c r="W36" s="566"/>
      <c r="X36" s="566"/>
      <c r="Y36" s="566"/>
      <c r="Z36" s="566"/>
    </row>
    <row r="37" spans="1:26" x14ac:dyDescent="0.25">
      <c r="A37" s="566" t="s">
        <v>2035</v>
      </c>
      <c r="B37" s="566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  <c r="P37" s="566"/>
      <c r="Q37" s="566"/>
      <c r="R37" s="566"/>
      <c r="S37" s="566"/>
      <c r="T37" s="566"/>
      <c r="U37" s="566"/>
      <c r="V37" s="566"/>
      <c r="W37" s="566"/>
      <c r="X37" s="566"/>
      <c r="Y37" s="566"/>
      <c r="Z37" s="566"/>
    </row>
    <row r="38" spans="1:26" x14ac:dyDescent="0.25">
      <c r="A38" s="566" t="s">
        <v>2036</v>
      </c>
      <c r="B38" s="566"/>
      <c r="C38" s="566"/>
      <c r="D38" s="566"/>
      <c r="E38" s="566"/>
      <c r="F38" s="566"/>
      <c r="G38" s="566"/>
      <c r="H38" s="566"/>
      <c r="I38" s="566"/>
      <c r="J38" s="566"/>
      <c r="K38" s="566"/>
      <c r="L38" s="566"/>
      <c r="M38" s="566"/>
      <c r="N38" s="566"/>
      <c r="O38" s="566"/>
      <c r="P38" s="566"/>
      <c r="Q38" s="566"/>
      <c r="R38" s="566"/>
      <c r="S38" s="566"/>
      <c r="T38" s="566"/>
      <c r="U38" s="566"/>
      <c r="V38" s="566"/>
      <c r="W38" s="566"/>
      <c r="X38" s="566"/>
      <c r="Y38" s="566"/>
      <c r="Z38" s="566"/>
    </row>
    <row r="39" spans="1:26" x14ac:dyDescent="0.25">
      <c r="A39" s="566" t="s">
        <v>2037</v>
      </c>
      <c r="B39" s="566"/>
      <c r="C39" s="566"/>
      <c r="D39" s="566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</row>
    <row r="40" spans="1:26" x14ac:dyDescent="0.25">
      <c r="A40" s="566" t="s">
        <v>2038</v>
      </c>
      <c r="B40" s="566"/>
      <c r="C40" s="566"/>
      <c r="D40" s="566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</row>
    <row r="41" spans="1:26" x14ac:dyDescent="0.25">
      <c r="A41" s="566" t="s">
        <v>2039</v>
      </c>
      <c r="B41" s="566"/>
      <c r="C41" s="566"/>
      <c r="D41" s="566"/>
      <c r="E41" s="566"/>
      <c r="F41" s="566"/>
      <c r="G41" s="566"/>
      <c r="H41" s="566"/>
      <c r="I41" s="566"/>
      <c r="J41" s="566"/>
      <c r="K41" s="566"/>
      <c r="L41" s="566"/>
      <c r="M41" s="566"/>
      <c r="N41" s="566"/>
      <c r="O41" s="566"/>
      <c r="P41" s="566"/>
      <c r="Q41" s="566"/>
      <c r="R41" s="566"/>
      <c r="S41" s="566"/>
      <c r="T41" s="566"/>
      <c r="U41" s="566"/>
      <c r="V41" s="566"/>
      <c r="W41" s="566"/>
      <c r="X41" s="566"/>
      <c r="Y41" s="566"/>
      <c r="Z41" s="566"/>
    </row>
    <row r="42" spans="1:26" x14ac:dyDescent="0.25">
      <c r="A42" s="566" t="s">
        <v>2040</v>
      </c>
      <c r="B42" s="566"/>
      <c r="C42" s="566"/>
      <c r="D42" s="566"/>
      <c r="E42" s="566"/>
      <c r="F42" s="566"/>
      <c r="G42" s="566"/>
      <c r="H42" s="566"/>
      <c r="I42" s="566"/>
      <c r="J42" s="566"/>
      <c r="K42" s="566"/>
      <c r="L42" s="566"/>
      <c r="M42" s="566"/>
      <c r="N42" s="566"/>
      <c r="O42" s="566"/>
      <c r="P42" s="566"/>
      <c r="Q42" s="566"/>
      <c r="R42" s="566"/>
      <c r="S42" s="566"/>
      <c r="T42" s="566"/>
      <c r="U42" s="566"/>
      <c r="V42" s="566"/>
      <c r="W42" s="566"/>
      <c r="X42" s="566"/>
      <c r="Y42" s="566"/>
      <c r="Z42" s="566"/>
    </row>
    <row r="43" spans="1:26" x14ac:dyDescent="0.25">
      <c r="A43" s="566" t="s">
        <v>2041</v>
      </c>
      <c r="B43" s="566"/>
      <c r="C43" s="566"/>
      <c r="D43" s="566"/>
      <c r="E43" s="566"/>
      <c r="F43" s="566"/>
      <c r="G43" s="566"/>
      <c r="H43" s="566"/>
      <c r="I43" s="566"/>
      <c r="J43" s="566"/>
      <c r="K43" s="566"/>
      <c r="L43" s="566"/>
      <c r="M43" s="566"/>
      <c r="N43" s="566"/>
      <c r="O43" s="566"/>
      <c r="P43" s="566"/>
      <c r="Q43" s="566"/>
      <c r="R43" s="566"/>
      <c r="S43" s="566"/>
      <c r="T43" s="566"/>
      <c r="U43" s="566"/>
      <c r="V43" s="566"/>
      <c r="W43" s="566"/>
      <c r="X43" s="566"/>
      <c r="Y43" s="566"/>
      <c r="Z43" s="566"/>
    </row>
    <row r="44" spans="1:26" x14ac:dyDescent="0.25">
      <c r="A44" s="566" t="s">
        <v>2042</v>
      </c>
      <c r="B44" s="566"/>
      <c r="C44" s="566"/>
      <c r="D44" s="566"/>
      <c r="E44" s="566"/>
      <c r="F44" s="566"/>
      <c r="G44" s="566"/>
      <c r="H44" s="566"/>
      <c r="I44" s="566"/>
      <c r="J44" s="566"/>
      <c r="K44" s="566"/>
      <c r="L44" s="566"/>
      <c r="M44" s="566"/>
      <c r="N44" s="566"/>
      <c r="O44" s="566"/>
      <c r="P44" s="566"/>
      <c r="Q44" s="566"/>
      <c r="R44" s="566"/>
      <c r="S44" s="566"/>
      <c r="T44" s="566"/>
      <c r="U44" s="566"/>
      <c r="V44" s="566"/>
      <c r="W44" s="566"/>
      <c r="X44" s="566"/>
      <c r="Y44" s="566"/>
      <c r="Z44" s="566"/>
    </row>
    <row r="45" spans="1:26" x14ac:dyDescent="0.25">
      <c r="A45" s="566" t="s">
        <v>2043</v>
      </c>
      <c r="B45" s="566"/>
      <c r="C45" s="566"/>
      <c r="D45" s="566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</row>
    <row r="46" spans="1:26" x14ac:dyDescent="0.25">
      <c r="A46" s="566" t="s">
        <v>2044</v>
      </c>
      <c r="B46" s="566"/>
      <c r="C46" s="566"/>
      <c r="D46" s="566"/>
      <c r="E46" s="566"/>
      <c r="F46" s="566"/>
      <c r="G46" s="566"/>
      <c r="H46" s="566"/>
      <c r="I46" s="566"/>
      <c r="J46" s="566"/>
      <c r="K46" s="566"/>
      <c r="L46" s="566"/>
      <c r="M46" s="566"/>
      <c r="N46" s="566"/>
      <c r="O46" s="566"/>
      <c r="P46" s="566"/>
      <c r="Q46" s="566"/>
      <c r="R46" s="566"/>
      <c r="S46" s="566"/>
      <c r="T46" s="566"/>
      <c r="U46" s="566"/>
      <c r="V46" s="566"/>
      <c r="W46" s="566"/>
      <c r="X46" s="566"/>
      <c r="Y46" s="566"/>
      <c r="Z46" s="566"/>
    </row>
    <row r="47" spans="1:26" x14ac:dyDescent="0.25">
      <c r="A47" s="566" t="s">
        <v>2045</v>
      </c>
      <c r="B47" s="566"/>
      <c r="C47" s="566"/>
      <c r="D47" s="566"/>
      <c r="E47" s="566"/>
      <c r="F47" s="566"/>
      <c r="G47" s="566"/>
      <c r="H47" s="566"/>
      <c r="I47" s="566"/>
      <c r="J47" s="566"/>
      <c r="K47" s="566"/>
      <c r="L47" s="566"/>
      <c r="M47" s="566"/>
      <c r="N47" s="566"/>
      <c r="O47" s="566"/>
      <c r="P47" s="566"/>
      <c r="Q47" s="566"/>
      <c r="R47" s="566"/>
      <c r="S47" s="566"/>
      <c r="T47" s="566"/>
      <c r="U47" s="566"/>
      <c r="V47" s="566"/>
      <c r="W47" s="566"/>
      <c r="X47" s="566"/>
      <c r="Y47" s="566"/>
      <c r="Z47" s="566"/>
    </row>
    <row r="48" spans="1:26" x14ac:dyDescent="0.25">
      <c r="A48" s="566" t="s">
        <v>2046</v>
      </c>
      <c r="B48" s="566"/>
      <c r="C48" s="566"/>
      <c r="D48" s="566"/>
      <c r="E48" s="566"/>
      <c r="F48" s="566"/>
      <c r="G48" s="566"/>
      <c r="H48" s="566"/>
      <c r="I48" s="566"/>
      <c r="J48" s="566"/>
      <c r="K48" s="566"/>
      <c r="L48" s="566"/>
      <c r="M48" s="566"/>
      <c r="N48" s="566"/>
      <c r="O48" s="566"/>
      <c r="P48" s="566"/>
      <c r="Q48" s="566"/>
      <c r="R48" s="566"/>
      <c r="S48" s="566"/>
      <c r="T48" s="566"/>
      <c r="U48" s="566"/>
      <c r="V48" s="566"/>
      <c r="W48" s="566"/>
      <c r="X48" s="566"/>
      <c r="Y48" s="566"/>
      <c r="Z48" s="566"/>
    </row>
    <row r="49" spans="1:26" x14ac:dyDescent="0.25">
      <c r="A49" s="566" t="s">
        <v>2047</v>
      </c>
      <c r="B49" s="566"/>
      <c r="C49" s="566"/>
      <c r="D49" s="566"/>
      <c r="E49" s="566"/>
      <c r="F49" s="566"/>
      <c r="G49" s="566"/>
      <c r="H49" s="566"/>
      <c r="I49" s="566"/>
      <c r="J49" s="566"/>
      <c r="K49" s="566"/>
      <c r="L49" s="566"/>
      <c r="M49" s="566"/>
      <c r="N49" s="566"/>
      <c r="O49" s="566"/>
      <c r="P49" s="566"/>
      <c r="Q49" s="566"/>
      <c r="R49" s="566"/>
      <c r="S49" s="566"/>
      <c r="T49" s="566"/>
      <c r="U49" s="566"/>
      <c r="V49" s="566"/>
      <c r="W49" s="566"/>
      <c r="X49" s="566"/>
      <c r="Y49" s="566"/>
      <c r="Z49" s="566"/>
    </row>
    <row r="50" spans="1:26" x14ac:dyDescent="0.25">
      <c r="A50" s="566" t="s">
        <v>2048</v>
      </c>
      <c r="B50" s="566"/>
      <c r="C50" s="566"/>
      <c r="D50" s="566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</row>
    <row r="51" spans="1:26" x14ac:dyDescent="0.25">
      <c r="A51" s="566" t="s">
        <v>2049</v>
      </c>
      <c r="B51" s="566"/>
      <c r="C51" s="566"/>
      <c r="D51" s="566"/>
      <c r="E51" s="566"/>
      <c r="F51" s="566"/>
      <c r="G51" s="566"/>
      <c r="H51" s="566"/>
      <c r="I51" s="566"/>
      <c r="J51" s="566"/>
      <c r="K51" s="566"/>
      <c r="L51" s="566"/>
      <c r="M51" s="566"/>
      <c r="N51" s="566"/>
      <c r="O51" s="566"/>
      <c r="P51" s="566"/>
      <c r="Q51" s="566"/>
      <c r="R51" s="566"/>
      <c r="S51" s="566"/>
      <c r="T51" s="566"/>
      <c r="U51" s="566"/>
      <c r="V51" s="566"/>
      <c r="W51" s="566"/>
      <c r="X51" s="566"/>
      <c r="Y51" s="566"/>
      <c r="Z51" s="566"/>
    </row>
    <row r="52" spans="1:26" x14ac:dyDescent="0.25">
      <c r="A52" s="566" t="s">
        <v>2050</v>
      </c>
      <c r="B52" s="566"/>
      <c r="C52" s="566"/>
      <c r="D52" s="566"/>
      <c r="E52" s="566"/>
      <c r="F52" s="566"/>
      <c r="G52" s="566"/>
      <c r="H52" s="566"/>
      <c r="I52" s="566"/>
      <c r="J52" s="566"/>
      <c r="K52" s="566"/>
      <c r="L52" s="566"/>
      <c r="M52" s="566"/>
      <c r="N52" s="566"/>
      <c r="O52" s="566"/>
      <c r="P52" s="566"/>
      <c r="Q52" s="566"/>
      <c r="R52" s="566"/>
      <c r="S52" s="566"/>
      <c r="T52" s="566"/>
      <c r="U52" s="566"/>
      <c r="V52" s="566"/>
      <c r="W52" s="566"/>
      <c r="X52" s="566"/>
      <c r="Y52" s="566"/>
      <c r="Z52" s="566"/>
    </row>
    <row r="53" spans="1:26" x14ac:dyDescent="0.25">
      <c r="A53" s="566" t="s">
        <v>2051</v>
      </c>
      <c r="B53" s="566"/>
      <c r="C53" s="566"/>
      <c r="D53" s="566"/>
      <c r="E53" s="566"/>
      <c r="F53" s="566"/>
      <c r="G53" s="566"/>
      <c r="H53" s="566"/>
      <c r="I53" s="566"/>
      <c r="J53" s="566"/>
      <c r="K53" s="566"/>
      <c r="L53" s="566"/>
      <c r="M53" s="566"/>
      <c r="N53" s="566"/>
      <c r="O53" s="566"/>
      <c r="P53" s="566"/>
      <c r="Q53" s="566"/>
      <c r="R53" s="566"/>
      <c r="S53" s="566"/>
      <c r="T53" s="566"/>
      <c r="U53" s="566"/>
      <c r="V53" s="566"/>
      <c r="W53" s="566"/>
      <c r="X53" s="566"/>
      <c r="Y53" s="566"/>
      <c r="Z53" s="566"/>
    </row>
    <row r="54" spans="1:26" x14ac:dyDescent="0.25">
      <c r="A54" s="566" t="s">
        <v>2052</v>
      </c>
      <c r="B54" s="566"/>
      <c r="C54" s="566"/>
      <c r="D54" s="566"/>
      <c r="E54" s="566"/>
      <c r="F54" s="566"/>
      <c r="G54" s="566"/>
      <c r="H54" s="566"/>
      <c r="I54" s="566"/>
      <c r="J54" s="566"/>
      <c r="K54" s="566"/>
      <c r="L54" s="566"/>
      <c r="M54" s="566"/>
      <c r="N54" s="566"/>
      <c r="O54" s="566"/>
      <c r="P54" s="566"/>
      <c r="Q54" s="566"/>
      <c r="R54" s="566"/>
      <c r="S54" s="566"/>
      <c r="T54" s="566"/>
      <c r="U54" s="566"/>
      <c r="V54" s="566"/>
      <c r="W54" s="566"/>
      <c r="X54" s="566"/>
      <c r="Y54" s="566"/>
      <c r="Z54" s="566"/>
    </row>
    <row r="55" spans="1:26" x14ac:dyDescent="0.25">
      <c r="A55" s="566" t="s">
        <v>2053</v>
      </c>
      <c r="B55" s="566"/>
      <c r="C55" s="566"/>
      <c r="D55" s="566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</row>
    <row r="56" spans="1:26" x14ac:dyDescent="0.25">
      <c r="A56" s="566" t="s">
        <v>2054</v>
      </c>
      <c r="B56" s="566"/>
      <c r="C56" s="566"/>
      <c r="D56" s="566"/>
      <c r="E56" s="566"/>
      <c r="F56" s="566"/>
      <c r="G56" s="566"/>
      <c r="H56" s="566"/>
      <c r="I56" s="566"/>
      <c r="J56" s="566"/>
      <c r="K56" s="566"/>
      <c r="L56" s="566"/>
      <c r="M56" s="566"/>
      <c r="N56" s="566"/>
      <c r="O56" s="566"/>
      <c r="P56" s="566"/>
      <c r="Q56" s="566"/>
      <c r="R56" s="566"/>
      <c r="S56" s="566"/>
      <c r="T56" s="566"/>
      <c r="U56" s="566"/>
      <c r="V56" s="566"/>
      <c r="W56" s="566"/>
      <c r="X56" s="566"/>
      <c r="Y56" s="566"/>
      <c r="Z56" s="566"/>
    </row>
    <row r="57" spans="1:26" x14ac:dyDescent="0.25">
      <c r="A57" s="566" t="s">
        <v>2055</v>
      </c>
      <c r="B57" s="566"/>
      <c r="C57" s="566"/>
      <c r="D57" s="566"/>
      <c r="E57" s="566"/>
      <c r="F57" s="566"/>
      <c r="G57" s="566"/>
      <c r="H57" s="566"/>
      <c r="I57" s="566"/>
      <c r="J57" s="566"/>
      <c r="K57" s="566"/>
      <c r="L57" s="566"/>
      <c r="M57" s="566"/>
      <c r="N57" s="566"/>
      <c r="O57" s="566"/>
      <c r="P57" s="566"/>
      <c r="Q57" s="566"/>
      <c r="R57" s="566"/>
      <c r="S57" s="566"/>
      <c r="T57" s="566"/>
      <c r="U57" s="566"/>
      <c r="V57" s="566"/>
      <c r="W57" s="566"/>
      <c r="X57" s="566"/>
      <c r="Y57" s="566"/>
      <c r="Z57" s="566"/>
    </row>
    <row r="58" spans="1:26" x14ac:dyDescent="0.25">
      <c r="A58" s="566" t="s">
        <v>2056</v>
      </c>
      <c r="B58" s="566"/>
      <c r="C58" s="566"/>
      <c r="D58" s="566"/>
      <c r="E58" s="566"/>
      <c r="F58" s="566"/>
      <c r="G58" s="566"/>
      <c r="H58" s="566"/>
      <c r="I58" s="566"/>
      <c r="J58" s="566"/>
      <c r="K58" s="566"/>
      <c r="L58" s="566"/>
      <c r="M58" s="566"/>
      <c r="N58" s="566"/>
      <c r="O58" s="566"/>
      <c r="P58" s="566"/>
      <c r="Q58" s="566"/>
      <c r="R58" s="566"/>
      <c r="S58" s="566"/>
      <c r="T58" s="566"/>
      <c r="U58" s="566"/>
      <c r="V58" s="566"/>
      <c r="W58" s="566"/>
      <c r="X58" s="566"/>
      <c r="Y58" s="566"/>
      <c r="Z58" s="566"/>
    </row>
    <row r="59" spans="1:26" x14ac:dyDescent="0.25">
      <c r="A59" s="566" t="s">
        <v>2057</v>
      </c>
      <c r="B59" s="566"/>
      <c r="C59" s="566"/>
      <c r="D59" s="566"/>
      <c r="E59" s="566"/>
      <c r="F59" s="566"/>
      <c r="G59" s="566"/>
      <c r="H59" s="566"/>
      <c r="I59" s="566"/>
      <c r="J59" s="566"/>
      <c r="K59" s="566"/>
      <c r="L59" s="566"/>
      <c r="M59" s="566"/>
      <c r="N59" s="566"/>
      <c r="O59" s="566"/>
      <c r="P59" s="566"/>
      <c r="Q59" s="566"/>
      <c r="R59" s="566"/>
      <c r="S59" s="566"/>
      <c r="T59" s="566"/>
      <c r="U59" s="566"/>
      <c r="V59" s="566"/>
      <c r="W59" s="566"/>
      <c r="X59" s="566"/>
      <c r="Y59" s="566"/>
      <c r="Z59" s="566"/>
    </row>
    <row r="60" spans="1:26" x14ac:dyDescent="0.25">
      <c r="A60" s="566" t="s">
        <v>2058</v>
      </c>
      <c r="B60" s="566"/>
      <c r="C60" s="566"/>
      <c r="D60" s="566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</row>
    <row r="61" spans="1:26" x14ac:dyDescent="0.25">
      <c r="A61" s="566" t="s">
        <v>2059</v>
      </c>
      <c r="B61" s="566"/>
      <c r="C61" s="566"/>
      <c r="D61" s="566"/>
      <c r="E61" s="566"/>
      <c r="F61" s="566"/>
      <c r="G61" s="566"/>
      <c r="H61" s="566"/>
      <c r="I61" s="566"/>
      <c r="J61" s="566"/>
      <c r="K61" s="566"/>
      <c r="L61" s="566"/>
      <c r="M61" s="566"/>
      <c r="N61" s="566"/>
      <c r="O61" s="566"/>
      <c r="P61" s="566"/>
      <c r="Q61" s="566"/>
      <c r="R61" s="566"/>
      <c r="S61" s="566"/>
      <c r="T61" s="566"/>
      <c r="U61" s="566"/>
      <c r="V61" s="566"/>
      <c r="W61" s="566"/>
      <c r="X61" s="566"/>
      <c r="Y61" s="566"/>
      <c r="Z61" s="566"/>
    </row>
    <row r="62" spans="1:26" x14ac:dyDescent="0.25">
      <c r="A62" s="566" t="s">
        <v>2060</v>
      </c>
      <c r="B62" s="566"/>
      <c r="C62" s="566"/>
      <c r="D62" s="566"/>
      <c r="E62" s="566"/>
      <c r="F62" s="566"/>
      <c r="G62" s="566"/>
      <c r="H62" s="566"/>
      <c r="I62" s="566"/>
      <c r="J62" s="566"/>
      <c r="K62" s="566"/>
      <c r="L62" s="566"/>
      <c r="M62" s="566"/>
      <c r="N62" s="566"/>
      <c r="O62" s="566"/>
      <c r="P62" s="566"/>
      <c r="Q62" s="566"/>
      <c r="R62" s="566"/>
      <c r="S62" s="566"/>
      <c r="T62" s="566"/>
      <c r="U62" s="566"/>
      <c r="V62" s="566"/>
      <c r="W62" s="566"/>
      <c r="X62" s="566"/>
      <c r="Y62" s="566"/>
      <c r="Z62" s="566"/>
    </row>
    <row r="63" spans="1:26" x14ac:dyDescent="0.25">
      <c r="A63" s="566" t="s">
        <v>2061</v>
      </c>
      <c r="B63" s="566"/>
      <c r="C63" s="566"/>
      <c r="D63" s="566"/>
      <c r="E63" s="566"/>
      <c r="F63" s="566"/>
      <c r="G63" s="566"/>
      <c r="H63" s="566"/>
      <c r="I63" s="566"/>
      <c r="J63" s="566"/>
      <c r="K63" s="566"/>
      <c r="L63" s="566"/>
      <c r="M63" s="566"/>
      <c r="N63" s="566"/>
      <c r="O63" s="566"/>
      <c r="P63" s="566"/>
      <c r="Q63" s="566"/>
      <c r="R63" s="566"/>
      <c r="S63" s="566"/>
      <c r="T63" s="566"/>
      <c r="U63" s="566"/>
      <c r="V63" s="566"/>
      <c r="W63" s="566"/>
      <c r="X63" s="566"/>
      <c r="Y63" s="566"/>
      <c r="Z63" s="566"/>
    </row>
    <row r="64" spans="1:26" x14ac:dyDescent="0.25">
      <c r="A64" s="566" t="s">
        <v>2062</v>
      </c>
      <c r="B64" s="566"/>
      <c r="C64" s="566"/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6"/>
      <c r="O64" s="566"/>
      <c r="P64" s="566"/>
      <c r="Q64" s="566"/>
      <c r="R64" s="566"/>
      <c r="S64" s="566"/>
      <c r="T64" s="566"/>
      <c r="U64" s="566"/>
      <c r="V64" s="566"/>
      <c r="W64" s="566"/>
      <c r="X64" s="566"/>
      <c r="Y64" s="566"/>
      <c r="Z64" s="566"/>
    </row>
    <row r="65" spans="1:26" x14ac:dyDescent="0.25">
      <c r="A65" s="566" t="s">
        <v>2063</v>
      </c>
      <c r="B65" s="566"/>
      <c r="C65" s="566"/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</row>
    <row r="66" spans="1:26" x14ac:dyDescent="0.25">
      <c r="A66" s="566" t="s">
        <v>2064</v>
      </c>
      <c r="B66" s="566"/>
      <c r="C66" s="566"/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6"/>
      <c r="O66" s="566"/>
      <c r="P66" s="566"/>
      <c r="Q66" s="566"/>
      <c r="R66" s="566"/>
      <c r="S66" s="566"/>
      <c r="T66" s="566"/>
      <c r="U66" s="566"/>
      <c r="V66" s="566"/>
      <c r="W66" s="566"/>
      <c r="X66" s="566"/>
      <c r="Y66" s="566"/>
      <c r="Z66" s="566"/>
    </row>
    <row r="67" spans="1:26" x14ac:dyDescent="0.25">
      <c r="A67" s="566" t="s">
        <v>2065</v>
      </c>
      <c r="B67" s="566"/>
      <c r="C67" s="566"/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6"/>
      <c r="O67" s="566"/>
      <c r="P67" s="566"/>
      <c r="Q67" s="566"/>
      <c r="R67" s="566"/>
      <c r="S67" s="566"/>
      <c r="T67" s="566"/>
      <c r="U67" s="566"/>
      <c r="V67" s="566"/>
      <c r="W67" s="566"/>
      <c r="X67" s="566"/>
      <c r="Y67" s="566"/>
      <c r="Z67" s="566"/>
    </row>
    <row r="68" spans="1:26" x14ac:dyDescent="0.25">
      <c r="A68" s="566" t="s">
        <v>2066</v>
      </c>
      <c r="B68" s="566"/>
      <c r="C68" s="566"/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6"/>
      <c r="O68" s="566"/>
      <c r="P68" s="566"/>
      <c r="Q68" s="566"/>
      <c r="R68" s="566"/>
      <c r="S68" s="566"/>
      <c r="T68" s="566"/>
      <c r="U68" s="566"/>
      <c r="V68" s="566"/>
      <c r="W68" s="566"/>
      <c r="X68" s="566"/>
      <c r="Y68" s="566"/>
      <c r="Z68" s="566"/>
    </row>
    <row r="69" spans="1:26" x14ac:dyDescent="0.25">
      <c r="A69" s="566" t="s">
        <v>2067</v>
      </c>
      <c r="B69" s="566"/>
      <c r="C69" s="566"/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6"/>
      <c r="O69" s="566"/>
      <c r="P69" s="566"/>
      <c r="Q69" s="566"/>
      <c r="R69" s="566"/>
      <c r="S69" s="566"/>
      <c r="T69" s="566"/>
      <c r="U69" s="566"/>
      <c r="V69" s="566"/>
      <c r="W69" s="566"/>
      <c r="X69" s="566"/>
      <c r="Y69" s="566"/>
      <c r="Z69" s="566"/>
    </row>
    <row r="70" spans="1:26" x14ac:dyDescent="0.25">
      <c r="A70" s="566" t="s">
        <v>2068</v>
      </c>
      <c r="B70" s="566"/>
      <c r="C70" s="566"/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</row>
    <row r="71" spans="1:26" x14ac:dyDescent="0.25">
      <c r="A71" s="566" t="s">
        <v>2069</v>
      </c>
      <c r="B71" s="566"/>
      <c r="C71" s="566"/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6"/>
      <c r="O71" s="566"/>
      <c r="P71" s="566"/>
      <c r="Q71" s="566"/>
      <c r="R71" s="566"/>
      <c r="S71" s="566"/>
      <c r="T71" s="566"/>
      <c r="U71" s="566"/>
      <c r="V71" s="566"/>
      <c r="W71" s="566"/>
      <c r="X71" s="566"/>
      <c r="Y71" s="566"/>
      <c r="Z71" s="566"/>
    </row>
    <row r="72" spans="1:26" x14ac:dyDescent="0.25">
      <c r="A72" s="566" t="s">
        <v>2070</v>
      </c>
      <c r="B72" s="566"/>
      <c r="C72" s="566"/>
      <c r="D72" s="566"/>
      <c r="E72" s="566"/>
      <c r="F72" s="566"/>
      <c r="G72" s="566"/>
      <c r="H72" s="566"/>
      <c r="I72" s="566"/>
      <c r="J72" s="566"/>
      <c r="K72" s="566"/>
      <c r="L72" s="566"/>
      <c r="M72" s="566"/>
      <c r="N72" s="566"/>
      <c r="O72" s="566"/>
      <c r="P72" s="566"/>
      <c r="Q72" s="566"/>
      <c r="R72" s="566"/>
      <c r="S72" s="566"/>
      <c r="T72" s="566"/>
      <c r="U72" s="566"/>
      <c r="V72" s="566"/>
      <c r="W72" s="566"/>
      <c r="X72" s="566"/>
      <c r="Y72" s="566"/>
      <c r="Z72" s="566"/>
    </row>
    <row r="73" spans="1:26" x14ac:dyDescent="0.25">
      <c r="A73" s="566" t="s">
        <v>2071</v>
      </c>
      <c r="B73" s="566"/>
      <c r="C73" s="566"/>
      <c r="D73" s="566"/>
      <c r="E73" s="566"/>
      <c r="F73" s="566"/>
      <c r="G73" s="566"/>
      <c r="H73" s="566"/>
      <c r="I73" s="566"/>
      <c r="J73" s="566"/>
      <c r="K73" s="566"/>
      <c r="L73" s="566"/>
      <c r="M73" s="566"/>
      <c r="N73" s="566"/>
      <c r="O73" s="566"/>
      <c r="P73" s="566"/>
      <c r="Q73" s="566"/>
      <c r="R73" s="566"/>
      <c r="S73" s="566"/>
      <c r="T73" s="566"/>
      <c r="U73" s="566"/>
      <c r="V73" s="566"/>
      <c r="W73" s="566"/>
      <c r="X73" s="566"/>
      <c r="Y73" s="566"/>
      <c r="Z73" s="566"/>
    </row>
    <row r="74" spans="1:26" x14ac:dyDescent="0.25">
      <c r="A74" s="566" t="s">
        <v>2072</v>
      </c>
      <c r="B74" s="566"/>
      <c r="C74" s="566"/>
      <c r="D74" s="566"/>
      <c r="E74" s="566"/>
      <c r="F74" s="566"/>
      <c r="G74" s="566"/>
      <c r="H74" s="566"/>
      <c r="I74" s="566"/>
      <c r="J74" s="566"/>
      <c r="K74" s="566"/>
      <c r="L74" s="566"/>
      <c r="M74" s="566"/>
      <c r="N74" s="566"/>
      <c r="O74" s="566"/>
      <c r="P74" s="566"/>
      <c r="Q74" s="566"/>
      <c r="R74" s="566"/>
      <c r="S74" s="566"/>
      <c r="T74" s="566"/>
      <c r="U74" s="566"/>
      <c r="V74" s="566"/>
      <c r="W74" s="566"/>
      <c r="X74" s="566"/>
      <c r="Y74" s="566"/>
      <c r="Z74" s="566"/>
    </row>
    <row r="75" spans="1:26" x14ac:dyDescent="0.25">
      <c r="A75" s="566" t="s">
        <v>2073</v>
      </c>
      <c r="B75" s="566"/>
      <c r="C75" s="566"/>
      <c r="D75" s="566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</row>
    <row r="76" spans="1:26" x14ac:dyDescent="0.25">
      <c r="A76" s="566" t="s">
        <v>2074</v>
      </c>
      <c r="B76" s="566"/>
      <c r="C76" s="566"/>
      <c r="D76" s="566"/>
      <c r="E76" s="566"/>
      <c r="F76" s="566"/>
      <c r="G76" s="566"/>
      <c r="H76" s="566"/>
      <c r="I76" s="566"/>
      <c r="J76" s="566"/>
      <c r="K76" s="566"/>
      <c r="L76" s="566"/>
      <c r="M76" s="566"/>
      <c r="N76" s="566"/>
      <c r="O76" s="566"/>
      <c r="P76" s="566"/>
      <c r="Q76" s="566"/>
      <c r="R76" s="566"/>
      <c r="S76" s="566"/>
      <c r="T76" s="566"/>
      <c r="U76" s="566"/>
      <c r="V76" s="566"/>
      <c r="W76" s="566"/>
      <c r="X76" s="566"/>
      <c r="Y76" s="566"/>
      <c r="Z76" s="566"/>
    </row>
    <row r="77" spans="1:26" x14ac:dyDescent="0.25">
      <c r="A77" s="566" t="s">
        <v>2075</v>
      </c>
      <c r="B77" s="566"/>
      <c r="C77" s="566"/>
      <c r="D77" s="566"/>
      <c r="E77" s="566"/>
      <c r="F77" s="566"/>
      <c r="G77" s="566"/>
      <c r="H77" s="566"/>
      <c r="I77" s="566"/>
      <c r="J77" s="566"/>
      <c r="K77" s="566"/>
      <c r="L77" s="566"/>
      <c r="M77" s="566"/>
      <c r="N77" s="566"/>
      <c r="O77" s="566"/>
      <c r="P77" s="566"/>
      <c r="Q77" s="566"/>
      <c r="R77" s="566"/>
      <c r="S77" s="566"/>
      <c r="T77" s="566"/>
      <c r="U77" s="566"/>
      <c r="V77" s="566"/>
      <c r="W77" s="566"/>
      <c r="X77" s="566"/>
      <c r="Y77" s="566"/>
      <c r="Z77" s="566"/>
    </row>
    <row r="78" spans="1:26" x14ac:dyDescent="0.25">
      <c r="A78" s="566" t="s">
        <v>2076</v>
      </c>
      <c r="B78" s="566"/>
      <c r="C78" s="566"/>
      <c r="D78" s="566"/>
      <c r="E78" s="566"/>
      <c r="F78" s="566"/>
      <c r="G78" s="566"/>
      <c r="H78" s="566"/>
      <c r="I78" s="566"/>
      <c r="J78" s="566"/>
      <c r="K78" s="566"/>
      <c r="L78" s="566"/>
      <c r="M78" s="566"/>
      <c r="N78" s="566"/>
      <c r="O78" s="566"/>
      <c r="P78" s="566"/>
      <c r="Q78" s="566"/>
      <c r="R78" s="566"/>
      <c r="S78" s="566"/>
      <c r="T78" s="566"/>
      <c r="U78" s="566"/>
      <c r="V78" s="566"/>
      <c r="W78" s="566"/>
      <c r="X78" s="566"/>
      <c r="Y78" s="566"/>
      <c r="Z78" s="566"/>
    </row>
    <row r="79" spans="1:26" x14ac:dyDescent="0.25">
      <c r="A79" s="566" t="s">
        <v>2077</v>
      </c>
      <c r="B79" s="566"/>
      <c r="C79" s="566"/>
      <c r="D79" s="566"/>
      <c r="E79" s="566"/>
      <c r="F79" s="566"/>
      <c r="G79" s="566"/>
      <c r="H79" s="566"/>
      <c r="I79" s="566"/>
      <c r="J79" s="566"/>
      <c r="K79" s="566"/>
      <c r="L79" s="566"/>
      <c r="M79" s="566"/>
      <c r="N79" s="566"/>
      <c r="O79" s="566"/>
      <c r="P79" s="566"/>
      <c r="Q79" s="566"/>
      <c r="R79" s="566"/>
      <c r="S79" s="566"/>
      <c r="T79" s="566"/>
      <c r="U79" s="566"/>
      <c r="V79" s="566"/>
      <c r="W79" s="566"/>
      <c r="X79" s="566"/>
      <c r="Y79" s="566"/>
      <c r="Z79" s="566"/>
    </row>
    <row r="80" spans="1:26" x14ac:dyDescent="0.25">
      <c r="A80" s="566" t="s">
        <v>2078</v>
      </c>
      <c r="B80" s="566"/>
      <c r="C80" s="566"/>
      <c r="D80" s="566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</row>
    <row r="81" spans="1:26" x14ac:dyDescent="0.25">
      <c r="A81" s="566" t="s">
        <v>2079</v>
      </c>
      <c r="B81" s="566"/>
      <c r="C81" s="566"/>
      <c r="D81" s="566"/>
      <c r="E81" s="566"/>
      <c r="F81" s="566"/>
      <c r="G81" s="566"/>
      <c r="H81" s="566"/>
      <c r="I81" s="566"/>
      <c r="J81" s="566"/>
      <c r="K81" s="566"/>
      <c r="L81" s="566"/>
      <c r="M81" s="566"/>
      <c r="N81" s="566"/>
      <c r="O81" s="566"/>
      <c r="P81" s="566"/>
      <c r="Q81" s="566"/>
      <c r="R81" s="566"/>
      <c r="S81" s="566"/>
      <c r="T81" s="566"/>
      <c r="U81" s="566"/>
      <c r="V81" s="566"/>
      <c r="W81" s="566"/>
      <c r="X81" s="566"/>
      <c r="Y81" s="566"/>
      <c r="Z81" s="566"/>
    </row>
    <row r="82" spans="1:26" x14ac:dyDescent="0.25">
      <c r="A82" s="566" t="s">
        <v>2080</v>
      </c>
      <c r="B82" s="566"/>
      <c r="C82" s="566"/>
      <c r="D82" s="566"/>
      <c r="E82" s="566"/>
      <c r="F82" s="566"/>
      <c r="G82" s="566"/>
      <c r="H82" s="566"/>
      <c r="I82" s="566"/>
      <c r="J82" s="566"/>
      <c r="K82" s="566"/>
      <c r="L82" s="566"/>
      <c r="M82" s="566"/>
      <c r="N82" s="566"/>
      <c r="O82" s="566"/>
      <c r="P82" s="566"/>
      <c r="Q82" s="566"/>
      <c r="R82" s="566"/>
      <c r="S82" s="566"/>
      <c r="T82" s="566"/>
      <c r="U82" s="566"/>
      <c r="V82" s="566"/>
      <c r="W82" s="566"/>
      <c r="X82" s="566"/>
      <c r="Y82" s="566"/>
      <c r="Z82" s="566"/>
    </row>
    <row r="83" spans="1:26" x14ac:dyDescent="0.25">
      <c r="A83" s="566" t="s">
        <v>2081</v>
      </c>
      <c r="B83" s="566"/>
      <c r="C83" s="566"/>
      <c r="D83" s="566"/>
      <c r="E83" s="566"/>
      <c r="F83" s="566"/>
      <c r="G83" s="566"/>
      <c r="H83" s="566"/>
      <c r="I83" s="566"/>
      <c r="J83" s="566"/>
      <c r="K83" s="566"/>
      <c r="L83" s="566"/>
      <c r="M83" s="566"/>
      <c r="N83" s="566"/>
      <c r="O83" s="566"/>
      <c r="P83" s="566"/>
      <c r="Q83" s="566"/>
      <c r="R83" s="566"/>
      <c r="S83" s="566"/>
      <c r="T83" s="566"/>
      <c r="U83" s="566"/>
      <c r="V83" s="566"/>
      <c r="W83" s="566"/>
      <c r="X83" s="566"/>
      <c r="Y83" s="566"/>
      <c r="Z83" s="566"/>
    </row>
    <row r="84" spans="1:26" x14ac:dyDescent="0.25">
      <c r="A84" s="566" t="s">
        <v>2082</v>
      </c>
      <c r="B84" s="566"/>
      <c r="C84" s="566"/>
      <c r="D84" s="566"/>
      <c r="E84" s="566"/>
      <c r="F84" s="566"/>
      <c r="G84" s="566"/>
      <c r="H84" s="566"/>
      <c r="I84" s="566"/>
      <c r="J84" s="566"/>
      <c r="K84" s="566"/>
      <c r="L84" s="566"/>
      <c r="M84" s="566"/>
      <c r="N84" s="566"/>
      <c r="O84" s="566"/>
      <c r="P84" s="566"/>
      <c r="Q84" s="566"/>
      <c r="R84" s="566"/>
      <c r="S84" s="566"/>
      <c r="T84" s="566"/>
      <c r="U84" s="566"/>
      <c r="V84" s="566"/>
      <c r="W84" s="566"/>
      <c r="X84" s="566"/>
      <c r="Y84" s="566"/>
      <c r="Z84" s="566"/>
    </row>
    <row r="85" spans="1:26" x14ac:dyDescent="0.25">
      <c r="A85" s="566" t="s">
        <v>2083</v>
      </c>
      <c r="B85" s="566"/>
      <c r="C85" s="566"/>
      <c r="D85" s="566"/>
      <c r="E85" s="566"/>
      <c r="F85" s="566"/>
      <c r="G85" s="566"/>
      <c r="H85" s="566"/>
      <c r="I85" s="566"/>
      <c r="J85" s="566"/>
      <c r="K85" s="566"/>
      <c r="L85" s="566"/>
      <c r="M85" s="566"/>
      <c r="N85" s="566"/>
      <c r="O85" s="566"/>
      <c r="P85" s="566"/>
      <c r="Q85" s="566"/>
      <c r="R85" s="566"/>
      <c r="S85" s="566"/>
      <c r="T85" s="566"/>
      <c r="U85" s="566"/>
      <c r="V85" s="566"/>
      <c r="W85" s="566"/>
      <c r="X85" s="566"/>
      <c r="Y85" s="566"/>
      <c r="Z85" s="566"/>
    </row>
    <row r="86" spans="1:26" x14ac:dyDescent="0.25">
      <c r="A86" s="566" t="s">
        <v>2084</v>
      </c>
      <c r="B86" s="566"/>
      <c r="C86" s="566"/>
      <c r="D86" s="566"/>
      <c r="E86" s="566"/>
      <c r="F86" s="566"/>
      <c r="G86" s="566"/>
      <c r="H86" s="566"/>
      <c r="I86" s="566"/>
      <c r="J86" s="566"/>
      <c r="K86" s="566"/>
      <c r="L86" s="566"/>
      <c r="M86" s="566"/>
      <c r="N86" s="566"/>
      <c r="O86" s="566"/>
      <c r="P86" s="566"/>
      <c r="Q86" s="566"/>
      <c r="R86" s="566"/>
      <c r="S86" s="566"/>
      <c r="T86" s="566"/>
      <c r="U86" s="566"/>
      <c r="V86" s="566"/>
      <c r="W86" s="566"/>
      <c r="X86" s="566"/>
      <c r="Y86" s="566"/>
      <c r="Z86" s="566"/>
    </row>
    <row r="87" spans="1:26" x14ac:dyDescent="0.25">
      <c r="A87" s="566" t="s">
        <v>2085</v>
      </c>
      <c r="B87" s="566"/>
      <c r="C87" s="566"/>
      <c r="D87" s="566"/>
      <c r="E87" s="566"/>
      <c r="F87" s="566"/>
      <c r="G87" s="566"/>
      <c r="H87" s="566"/>
      <c r="I87" s="566"/>
      <c r="J87" s="566"/>
      <c r="K87" s="566"/>
      <c r="L87" s="566"/>
      <c r="M87" s="566"/>
      <c r="N87" s="566"/>
      <c r="O87" s="566"/>
      <c r="P87" s="566"/>
      <c r="Q87" s="566"/>
      <c r="R87" s="566"/>
      <c r="S87" s="566"/>
      <c r="T87" s="566"/>
      <c r="U87" s="566"/>
      <c r="V87" s="566"/>
      <c r="W87" s="566"/>
      <c r="X87" s="566"/>
      <c r="Y87" s="566"/>
      <c r="Z87" s="566"/>
    </row>
    <row r="88" spans="1:26" x14ac:dyDescent="0.25">
      <c r="A88" s="566" t="s">
        <v>2086</v>
      </c>
      <c r="B88" s="566"/>
      <c r="C88" s="566"/>
      <c r="D88" s="566"/>
      <c r="E88" s="566"/>
      <c r="F88" s="566"/>
      <c r="G88" s="566"/>
      <c r="H88" s="566"/>
      <c r="I88" s="566"/>
      <c r="J88" s="566"/>
      <c r="K88" s="566"/>
      <c r="L88" s="566"/>
      <c r="M88" s="566"/>
      <c r="N88" s="566"/>
      <c r="O88" s="566"/>
      <c r="P88" s="566"/>
      <c r="Q88" s="566"/>
      <c r="R88" s="566"/>
      <c r="S88" s="566"/>
      <c r="T88" s="566"/>
      <c r="U88" s="566"/>
      <c r="V88" s="566"/>
      <c r="W88" s="566"/>
      <c r="X88" s="566"/>
      <c r="Y88" s="566"/>
      <c r="Z88" s="566"/>
    </row>
    <row r="89" spans="1:26" x14ac:dyDescent="0.25">
      <c r="A89" s="566" t="s">
        <v>2087</v>
      </c>
      <c r="B89" s="566"/>
      <c r="C89" s="566"/>
      <c r="D89" s="566"/>
      <c r="E89" s="566"/>
      <c r="F89" s="566"/>
      <c r="G89" s="566"/>
      <c r="H89" s="566"/>
      <c r="I89" s="566"/>
      <c r="J89" s="566"/>
      <c r="K89" s="566"/>
      <c r="L89" s="566"/>
      <c r="M89" s="566"/>
      <c r="N89" s="566"/>
      <c r="O89" s="566"/>
      <c r="P89" s="566"/>
      <c r="Q89" s="566"/>
      <c r="R89" s="566"/>
      <c r="S89" s="566"/>
      <c r="T89" s="566"/>
      <c r="U89" s="566"/>
      <c r="V89" s="566"/>
      <c r="W89" s="566"/>
      <c r="X89" s="566"/>
      <c r="Y89" s="566"/>
      <c r="Z89" s="566"/>
    </row>
    <row r="90" spans="1:26" x14ac:dyDescent="0.25">
      <c r="A90" s="566" t="s">
        <v>2088</v>
      </c>
      <c r="B90" s="566"/>
      <c r="C90" s="566"/>
      <c r="D90" s="566"/>
      <c r="E90" s="566"/>
      <c r="F90" s="566"/>
      <c r="G90" s="566"/>
      <c r="H90" s="566"/>
      <c r="I90" s="566"/>
      <c r="J90" s="566"/>
      <c r="K90" s="566"/>
      <c r="L90" s="566"/>
      <c r="M90" s="566"/>
      <c r="N90" s="566"/>
      <c r="O90" s="566"/>
      <c r="P90" s="566"/>
      <c r="Q90" s="566"/>
      <c r="R90" s="566"/>
      <c r="S90" s="566"/>
      <c r="T90" s="566"/>
      <c r="U90" s="566"/>
      <c r="V90" s="566"/>
      <c r="W90" s="566"/>
      <c r="X90" s="566"/>
      <c r="Y90" s="566"/>
      <c r="Z90" s="566"/>
    </row>
    <row r="91" spans="1:26" x14ac:dyDescent="0.25">
      <c r="A91" s="566" t="s">
        <v>2089</v>
      </c>
      <c r="B91" s="566"/>
      <c r="C91" s="566"/>
      <c r="D91" s="566"/>
      <c r="E91" s="566"/>
      <c r="F91" s="566"/>
      <c r="G91" s="566"/>
      <c r="H91" s="566"/>
      <c r="I91" s="566"/>
      <c r="J91" s="566"/>
      <c r="K91" s="566"/>
      <c r="L91" s="566"/>
      <c r="M91" s="566"/>
      <c r="N91" s="566"/>
      <c r="O91" s="566"/>
      <c r="P91" s="566"/>
      <c r="Q91" s="566"/>
      <c r="R91" s="566"/>
      <c r="S91" s="566"/>
      <c r="T91" s="566"/>
      <c r="U91" s="566"/>
      <c r="V91" s="566"/>
      <c r="W91" s="566"/>
      <c r="X91" s="566"/>
      <c r="Y91" s="566"/>
      <c r="Z91" s="566"/>
    </row>
    <row r="92" spans="1:26" x14ac:dyDescent="0.25">
      <c r="A92" s="566" t="s">
        <v>2090</v>
      </c>
      <c r="B92" s="566"/>
      <c r="C92" s="566"/>
      <c r="D92" s="566"/>
      <c r="E92" s="566"/>
      <c r="F92" s="566"/>
      <c r="G92" s="566"/>
      <c r="H92" s="566"/>
      <c r="I92" s="566"/>
      <c r="J92" s="566"/>
      <c r="K92" s="566"/>
      <c r="L92" s="566"/>
      <c r="M92" s="566"/>
      <c r="N92" s="566"/>
      <c r="O92" s="566"/>
      <c r="P92" s="566"/>
      <c r="Q92" s="566"/>
      <c r="R92" s="566"/>
      <c r="S92" s="566"/>
      <c r="T92" s="566"/>
      <c r="U92" s="566"/>
      <c r="V92" s="566"/>
      <c r="W92" s="566"/>
      <c r="X92" s="566"/>
      <c r="Y92" s="566"/>
      <c r="Z92" s="566"/>
    </row>
    <row r="93" spans="1:26" x14ac:dyDescent="0.25">
      <c r="A93" s="566" t="s">
        <v>2091</v>
      </c>
      <c r="B93" s="566"/>
      <c r="C93" s="566"/>
      <c r="D93" s="566"/>
      <c r="E93" s="566"/>
      <c r="F93" s="566"/>
      <c r="G93" s="566"/>
      <c r="H93" s="566"/>
      <c r="I93" s="566"/>
      <c r="J93" s="566"/>
      <c r="K93" s="566"/>
      <c r="L93" s="566"/>
      <c r="M93" s="566"/>
      <c r="N93" s="566"/>
      <c r="O93" s="566"/>
      <c r="P93" s="566"/>
      <c r="Q93" s="566"/>
      <c r="R93" s="566"/>
      <c r="S93" s="566"/>
      <c r="T93" s="566"/>
      <c r="U93" s="566"/>
      <c r="V93" s="566"/>
      <c r="W93" s="566"/>
      <c r="X93" s="566"/>
      <c r="Y93" s="566"/>
      <c r="Z93" s="566"/>
    </row>
    <row r="94" spans="1:26" x14ac:dyDescent="0.25">
      <c r="A94" s="566" t="s">
        <v>2092</v>
      </c>
      <c r="B94" s="566"/>
      <c r="C94" s="566"/>
      <c r="D94" s="566"/>
      <c r="E94" s="566"/>
      <c r="F94" s="566"/>
      <c r="G94" s="566"/>
      <c r="H94" s="566"/>
      <c r="I94" s="566"/>
      <c r="J94" s="566"/>
      <c r="K94" s="566"/>
      <c r="L94" s="566"/>
      <c r="M94" s="566"/>
      <c r="N94" s="566"/>
      <c r="O94" s="566"/>
      <c r="P94" s="566"/>
      <c r="Q94" s="566"/>
      <c r="R94" s="566"/>
      <c r="S94" s="566"/>
      <c r="T94" s="566"/>
      <c r="U94" s="566"/>
      <c r="V94" s="566"/>
      <c r="W94" s="566"/>
      <c r="X94" s="566"/>
      <c r="Y94" s="566"/>
      <c r="Z94" s="566"/>
    </row>
    <row r="95" spans="1:26" x14ac:dyDescent="0.25">
      <c r="A95" s="566" t="s">
        <v>2093</v>
      </c>
      <c r="B95" s="566"/>
      <c r="C95" s="566"/>
      <c r="D95" s="566"/>
      <c r="E95" s="566"/>
      <c r="F95" s="566"/>
      <c r="G95" s="566"/>
      <c r="H95" s="566"/>
      <c r="I95" s="566"/>
      <c r="J95" s="566"/>
      <c r="K95" s="566"/>
      <c r="L95" s="566"/>
      <c r="M95" s="566"/>
      <c r="N95" s="566"/>
      <c r="O95" s="566"/>
      <c r="P95" s="566"/>
      <c r="Q95" s="566"/>
      <c r="R95" s="566"/>
      <c r="S95" s="566"/>
      <c r="T95" s="566"/>
      <c r="U95" s="566"/>
      <c r="V95" s="566"/>
      <c r="W95" s="566"/>
      <c r="X95" s="566"/>
      <c r="Y95" s="566"/>
      <c r="Z95" s="566"/>
    </row>
    <row r="96" spans="1:26" x14ac:dyDescent="0.25">
      <c r="A96" s="566" t="s">
        <v>2094</v>
      </c>
      <c r="B96" s="566"/>
      <c r="C96" s="566"/>
      <c r="D96" s="566"/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566"/>
      <c r="T96" s="566"/>
      <c r="U96" s="566"/>
      <c r="V96" s="566"/>
      <c r="W96" s="566"/>
      <c r="X96" s="566"/>
      <c r="Y96" s="566"/>
      <c r="Z96" s="566"/>
    </row>
    <row r="97" spans="1:26" x14ac:dyDescent="0.25">
      <c r="A97" s="566" t="s">
        <v>2095</v>
      </c>
      <c r="B97" s="566"/>
      <c r="C97" s="566"/>
      <c r="D97" s="566"/>
      <c r="E97" s="566"/>
      <c r="F97" s="566"/>
      <c r="G97" s="566"/>
      <c r="H97" s="566"/>
      <c r="I97" s="566"/>
      <c r="J97" s="566"/>
      <c r="K97" s="566"/>
      <c r="L97" s="566"/>
      <c r="M97" s="566"/>
      <c r="N97" s="566"/>
      <c r="O97" s="566"/>
      <c r="P97" s="566"/>
      <c r="Q97" s="566"/>
      <c r="R97" s="566"/>
      <c r="S97" s="566"/>
      <c r="T97" s="566"/>
      <c r="U97" s="566"/>
      <c r="V97" s="566"/>
      <c r="W97" s="566"/>
      <c r="X97" s="566"/>
      <c r="Y97" s="566"/>
      <c r="Z97" s="566"/>
    </row>
    <row r="98" spans="1:26" x14ac:dyDescent="0.25">
      <c r="A98" s="566" t="s">
        <v>2096</v>
      </c>
      <c r="B98" s="566"/>
      <c r="C98" s="566"/>
      <c r="D98" s="566"/>
      <c r="E98" s="566"/>
      <c r="F98" s="566"/>
      <c r="G98" s="566"/>
      <c r="H98" s="566"/>
      <c r="I98" s="566"/>
      <c r="J98" s="566"/>
      <c r="K98" s="566"/>
      <c r="L98" s="566"/>
      <c r="M98" s="566"/>
      <c r="N98" s="566"/>
      <c r="O98" s="566"/>
      <c r="P98" s="566"/>
      <c r="Q98" s="566"/>
      <c r="R98" s="566"/>
      <c r="S98" s="566"/>
      <c r="T98" s="566"/>
      <c r="U98" s="566"/>
      <c r="V98" s="566"/>
      <c r="W98" s="566"/>
      <c r="X98" s="566"/>
      <c r="Y98" s="566"/>
      <c r="Z98" s="566"/>
    </row>
    <row r="99" spans="1:26" x14ac:dyDescent="0.25">
      <c r="A99" s="566" t="s">
        <v>2097</v>
      </c>
      <c r="B99" s="566"/>
      <c r="C99" s="566"/>
      <c r="D99" s="566"/>
      <c r="E99" s="566"/>
      <c r="F99" s="566"/>
      <c r="G99" s="566"/>
      <c r="H99" s="566"/>
      <c r="I99" s="566"/>
      <c r="J99" s="566"/>
      <c r="K99" s="566"/>
      <c r="L99" s="566"/>
      <c r="M99" s="566"/>
      <c r="N99" s="566"/>
      <c r="O99" s="566"/>
      <c r="P99" s="566"/>
      <c r="Q99" s="566"/>
      <c r="R99" s="566"/>
      <c r="S99" s="566"/>
      <c r="T99" s="566"/>
      <c r="U99" s="566"/>
      <c r="V99" s="566"/>
      <c r="W99" s="566"/>
      <c r="X99" s="566"/>
      <c r="Y99" s="566"/>
      <c r="Z99" s="566"/>
    </row>
    <row r="100" spans="1:26" x14ac:dyDescent="0.25">
      <c r="A100" s="566" t="s">
        <v>2098</v>
      </c>
      <c r="B100" s="566"/>
      <c r="C100" s="566"/>
      <c r="D100" s="566"/>
      <c r="E100" s="566"/>
      <c r="F100" s="566"/>
      <c r="G100" s="566"/>
      <c r="H100" s="566"/>
      <c r="I100" s="566"/>
      <c r="J100" s="566"/>
      <c r="K100" s="566"/>
      <c r="L100" s="566"/>
      <c r="M100" s="566"/>
      <c r="N100" s="566"/>
      <c r="O100" s="566"/>
      <c r="P100" s="566"/>
      <c r="Q100" s="566"/>
      <c r="R100" s="566"/>
      <c r="S100" s="566"/>
      <c r="T100" s="566"/>
      <c r="U100" s="566"/>
      <c r="V100" s="566"/>
      <c r="W100" s="566"/>
      <c r="X100" s="566"/>
      <c r="Y100" s="566"/>
      <c r="Z100" s="566"/>
    </row>
    <row r="101" spans="1:26" x14ac:dyDescent="0.25">
      <c r="A101" s="566" t="s">
        <v>2099</v>
      </c>
      <c r="B101" s="566"/>
      <c r="C101" s="566"/>
      <c r="D101" s="566"/>
      <c r="E101" s="566"/>
      <c r="F101" s="566"/>
      <c r="G101" s="566"/>
      <c r="H101" s="566"/>
      <c r="I101" s="566"/>
      <c r="J101" s="566"/>
      <c r="K101" s="566"/>
      <c r="L101" s="566"/>
      <c r="M101" s="566"/>
      <c r="N101" s="566"/>
      <c r="O101" s="566"/>
      <c r="P101" s="566"/>
      <c r="Q101" s="566"/>
      <c r="R101" s="566"/>
      <c r="S101" s="566"/>
      <c r="T101" s="566"/>
      <c r="U101" s="566"/>
      <c r="V101" s="566"/>
      <c r="W101" s="566"/>
      <c r="X101" s="566"/>
      <c r="Y101" s="566"/>
      <c r="Z101" s="566"/>
    </row>
    <row r="102" spans="1:26" x14ac:dyDescent="0.25">
      <c r="A102" s="566" t="s">
        <v>2100</v>
      </c>
      <c r="B102" s="566"/>
      <c r="C102" s="566"/>
      <c r="D102" s="566"/>
      <c r="E102" s="566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6"/>
      <c r="R102" s="566"/>
      <c r="S102" s="566"/>
      <c r="T102" s="566"/>
      <c r="U102" s="566"/>
      <c r="V102" s="566"/>
      <c r="W102" s="566"/>
      <c r="X102" s="566"/>
      <c r="Y102" s="566"/>
      <c r="Z102" s="566"/>
    </row>
    <row r="103" spans="1:26" x14ac:dyDescent="0.25">
      <c r="A103" s="566" t="s">
        <v>2101</v>
      </c>
      <c r="B103" s="566"/>
      <c r="C103" s="566"/>
      <c r="D103" s="566"/>
      <c r="E103" s="566"/>
      <c r="F103" s="566"/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</row>
    <row r="104" spans="1:26" x14ac:dyDescent="0.25">
      <c r="A104" s="566" t="s">
        <v>2102</v>
      </c>
      <c r="B104" s="566"/>
      <c r="C104" s="566"/>
      <c r="D104" s="566"/>
      <c r="E104" s="566"/>
      <c r="F104" s="566"/>
      <c r="G104" s="566"/>
      <c r="H104" s="566"/>
      <c r="I104" s="566"/>
      <c r="J104" s="566"/>
      <c r="K104" s="566"/>
      <c r="L104" s="566"/>
      <c r="M104" s="566"/>
      <c r="N104" s="566"/>
      <c r="O104" s="566"/>
      <c r="P104" s="566"/>
      <c r="Q104" s="566"/>
      <c r="R104" s="566"/>
      <c r="S104" s="566"/>
      <c r="T104" s="566"/>
      <c r="U104" s="566"/>
      <c r="V104" s="566"/>
      <c r="W104" s="566"/>
      <c r="X104" s="566"/>
      <c r="Y104" s="566"/>
      <c r="Z104" s="566"/>
    </row>
    <row r="105" spans="1:26" x14ac:dyDescent="0.25">
      <c r="A105" s="566" t="s">
        <v>2103</v>
      </c>
      <c r="B105" s="566"/>
      <c r="C105" s="566"/>
      <c r="D105" s="566"/>
      <c r="E105" s="566"/>
      <c r="F105" s="566"/>
      <c r="G105" s="566"/>
      <c r="H105" s="566"/>
      <c r="I105" s="566"/>
      <c r="J105" s="566"/>
      <c r="K105" s="566"/>
      <c r="L105" s="566"/>
      <c r="M105" s="566"/>
      <c r="N105" s="566"/>
      <c r="O105" s="566"/>
      <c r="P105" s="566"/>
      <c r="Q105" s="566"/>
      <c r="R105" s="566"/>
      <c r="S105" s="566"/>
      <c r="T105" s="566"/>
      <c r="U105" s="566"/>
      <c r="V105" s="566"/>
      <c r="W105" s="566"/>
      <c r="X105" s="566"/>
      <c r="Y105" s="566"/>
      <c r="Z105" s="566"/>
    </row>
    <row r="106" spans="1:26" x14ac:dyDescent="0.25">
      <c r="A106" s="566" t="s">
        <v>2104</v>
      </c>
      <c r="B106" s="566"/>
      <c r="C106" s="566"/>
      <c r="D106" s="566"/>
      <c r="E106" s="566"/>
      <c r="F106" s="566"/>
      <c r="G106" s="566"/>
      <c r="H106" s="566"/>
      <c r="I106" s="566"/>
      <c r="J106" s="566"/>
      <c r="K106" s="566"/>
      <c r="L106" s="566"/>
      <c r="M106" s="566"/>
      <c r="N106" s="566"/>
      <c r="O106" s="566"/>
      <c r="P106" s="566"/>
      <c r="Q106" s="566"/>
      <c r="R106" s="566"/>
      <c r="S106" s="566"/>
      <c r="T106" s="566"/>
      <c r="U106" s="566"/>
      <c r="V106" s="566"/>
      <c r="W106" s="566"/>
      <c r="X106" s="566"/>
      <c r="Y106" s="566"/>
      <c r="Z106" s="566"/>
    </row>
    <row r="107" spans="1:26" x14ac:dyDescent="0.25">
      <c r="A107" s="566" t="s">
        <v>2105</v>
      </c>
      <c r="B107" s="566"/>
      <c r="C107" s="566"/>
      <c r="D107" s="566"/>
      <c r="E107" s="566"/>
      <c r="F107" s="566"/>
      <c r="G107" s="566"/>
      <c r="H107" s="566"/>
      <c r="I107" s="566"/>
      <c r="J107" s="566"/>
      <c r="K107" s="566"/>
      <c r="L107" s="566"/>
      <c r="M107" s="566"/>
      <c r="N107" s="566"/>
      <c r="O107" s="566"/>
      <c r="P107" s="566"/>
      <c r="Q107" s="566"/>
      <c r="R107" s="566"/>
      <c r="S107" s="566"/>
      <c r="T107" s="566"/>
      <c r="U107" s="566"/>
      <c r="V107" s="566"/>
      <c r="W107" s="566"/>
      <c r="X107" s="566"/>
      <c r="Y107" s="566"/>
      <c r="Z107" s="566"/>
    </row>
    <row r="108" spans="1:26" x14ac:dyDescent="0.25">
      <c r="A108" s="566" t="s">
        <v>2106</v>
      </c>
      <c r="B108" s="566"/>
      <c r="C108" s="566"/>
      <c r="D108" s="566"/>
      <c r="E108" s="566"/>
      <c r="F108" s="566"/>
      <c r="G108" s="566"/>
      <c r="H108" s="566"/>
      <c r="I108" s="566"/>
      <c r="J108" s="566"/>
      <c r="K108" s="566"/>
      <c r="L108" s="566"/>
      <c r="M108" s="566"/>
      <c r="N108" s="566"/>
      <c r="O108" s="566"/>
      <c r="P108" s="566"/>
      <c r="Q108" s="566"/>
      <c r="R108" s="566"/>
      <c r="S108" s="566"/>
      <c r="T108" s="566"/>
      <c r="U108" s="566"/>
      <c r="V108" s="566"/>
      <c r="W108" s="566"/>
      <c r="X108" s="566"/>
      <c r="Y108" s="566"/>
      <c r="Z108" s="566"/>
    </row>
    <row r="109" spans="1:26" x14ac:dyDescent="0.25">
      <c r="A109" s="566" t="s">
        <v>2107</v>
      </c>
      <c r="B109" s="566"/>
      <c r="C109" s="566"/>
      <c r="D109" s="566"/>
      <c r="E109" s="566"/>
      <c r="F109" s="566"/>
      <c r="G109" s="566"/>
      <c r="H109" s="566"/>
      <c r="I109" s="566"/>
      <c r="J109" s="566"/>
      <c r="K109" s="566"/>
      <c r="L109" s="566"/>
      <c r="M109" s="566"/>
      <c r="N109" s="566"/>
      <c r="O109" s="566"/>
      <c r="P109" s="566"/>
      <c r="Q109" s="566"/>
      <c r="R109" s="566"/>
      <c r="S109" s="566"/>
      <c r="T109" s="566"/>
      <c r="U109" s="566"/>
      <c r="V109" s="566"/>
      <c r="W109" s="566"/>
      <c r="X109" s="566"/>
      <c r="Y109" s="566"/>
      <c r="Z109" s="566"/>
    </row>
    <row r="110" spans="1:26" x14ac:dyDescent="0.25">
      <c r="A110" s="566" t="s">
        <v>2108</v>
      </c>
      <c r="B110" s="566"/>
      <c r="C110" s="566"/>
      <c r="D110" s="566"/>
      <c r="E110" s="566"/>
      <c r="F110" s="566"/>
      <c r="G110" s="566"/>
      <c r="H110" s="566"/>
      <c r="I110" s="566"/>
      <c r="J110" s="566"/>
      <c r="K110" s="566"/>
      <c r="L110" s="566"/>
      <c r="M110" s="566"/>
      <c r="N110" s="566"/>
      <c r="O110" s="566"/>
      <c r="P110" s="566"/>
      <c r="Q110" s="566"/>
      <c r="R110" s="566"/>
      <c r="S110" s="566"/>
      <c r="T110" s="566"/>
      <c r="U110" s="566"/>
      <c r="V110" s="566"/>
      <c r="W110" s="566"/>
      <c r="X110" s="566"/>
      <c r="Y110" s="566"/>
      <c r="Z110" s="566"/>
    </row>
    <row r="111" spans="1:26" x14ac:dyDescent="0.25">
      <c r="A111" s="566" t="s">
        <v>2109</v>
      </c>
      <c r="B111" s="566"/>
      <c r="C111" s="566"/>
      <c r="D111" s="566"/>
      <c r="E111" s="566"/>
      <c r="F111" s="566"/>
      <c r="G111" s="566"/>
      <c r="H111" s="566"/>
      <c r="I111" s="566"/>
      <c r="J111" s="566"/>
      <c r="K111" s="566"/>
      <c r="L111" s="566"/>
      <c r="M111" s="566"/>
      <c r="N111" s="566"/>
      <c r="O111" s="566"/>
      <c r="P111" s="566"/>
      <c r="Q111" s="566"/>
      <c r="R111" s="566"/>
      <c r="S111" s="566"/>
      <c r="T111" s="566"/>
      <c r="U111" s="566"/>
      <c r="V111" s="566"/>
      <c r="W111" s="566"/>
      <c r="X111" s="566"/>
      <c r="Y111" s="566"/>
      <c r="Z111" s="566"/>
    </row>
    <row r="112" spans="1:26" x14ac:dyDescent="0.25">
      <c r="A112" s="566" t="s">
        <v>2110</v>
      </c>
      <c r="B112" s="566"/>
      <c r="C112" s="566"/>
      <c r="D112" s="566"/>
      <c r="E112" s="566"/>
      <c r="F112" s="566"/>
      <c r="G112" s="566"/>
      <c r="H112" s="566"/>
      <c r="I112" s="566"/>
      <c r="J112" s="566"/>
      <c r="K112" s="566"/>
      <c r="L112" s="566"/>
      <c r="M112" s="566"/>
      <c r="N112" s="566"/>
      <c r="O112" s="566"/>
      <c r="P112" s="566"/>
      <c r="Q112" s="566"/>
      <c r="R112" s="566"/>
      <c r="S112" s="566"/>
      <c r="T112" s="566"/>
      <c r="U112" s="566"/>
      <c r="V112" s="566"/>
      <c r="W112" s="566"/>
      <c r="X112" s="566"/>
      <c r="Y112" s="566"/>
      <c r="Z112" s="566"/>
    </row>
    <row r="113" spans="1:26" x14ac:dyDescent="0.25">
      <c r="A113" s="566" t="s">
        <v>2815</v>
      </c>
      <c r="B113" s="566"/>
      <c r="C113" s="566"/>
      <c r="D113" s="566"/>
      <c r="E113" s="566"/>
      <c r="F113" s="566"/>
      <c r="G113" s="566"/>
      <c r="H113" s="566"/>
      <c r="I113" s="566"/>
      <c r="J113" s="566"/>
      <c r="K113" s="566"/>
      <c r="L113" s="566"/>
      <c r="M113" s="566"/>
      <c r="N113" s="566"/>
      <c r="O113" s="566"/>
      <c r="P113" s="566"/>
      <c r="Q113" s="566"/>
      <c r="R113" s="566"/>
      <c r="S113" s="566"/>
      <c r="T113" s="566"/>
      <c r="U113" s="566"/>
      <c r="V113" s="566"/>
      <c r="W113" s="566"/>
      <c r="X113" s="566"/>
      <c r="Y113" s="566"/>
      <c r="Z113" s="566"/>
    </row>
    <row r="114" spans="1:26" x14ac:dyDescent="0.25">
      <c r="A114" s="566" t="s">
        <v>2816</v>
      </c>
      <c r="B114" s="566"/>
      <c r="C114" s="566"/>
      <c r="D114" s="566"/>
      <c r="E114" s="566"/>
      <c r="F114" s="566"/>
      <c r="G114" s="566"/>
      <c r="H114" s="566"/>
      <c r="I114" s="566"/>
      <c r="J114" s="566"/>
      <c r="K114" s="566"/>
      <c r="L114" s="566"/>
      <c r="M114" s="566"/>
      <c r="N114" s="566"/>
      <c r="O114" s="566"/>
      <c r="P114" s="566"/>
      <c r="Q114" s="566"/>
      <c r="R114" s="566"/>
      <c r="S114" s="566"/>
      <c r="T114" s="566"/>
      <c r="U114" s="566"/>
      <c r="V114" s="566"/>
      <c r="W114" s="566"/>
      <c r="X114" s="566"/>
      <c r="Y114" s="566"/>
      <c r="Z114" s="566"/>
    </row>
    <row r="115" spans="1:26" x14ac:dyDescent="0.25">
      <c r="A115" s="566" t="s">
        <v>2817</v>
      </c>
      <c r="B115" s="566"/>
      <c r="C115" s="566"/>
      <c r="D115" s="566"/>
      <c r="E115" s="566"/>
      <c r="F115" s="566"/>
      <c r="G115" s="566"/>
      <c r="H115" s="566"/>
      <c r="I115" s="566"/>
      <c r="J115" s="566"/>
      <c r="K115" s="566"/>
      <c r="L115" s="566"/>
      <c r="M115" s="566"/>
      <c r="N115" s="566"/>
      <c r="O115" s="566"/>
      <c r="P115" s="566"/>
      <c r="Q115" s="566"/>
      <c r="R115" s="566"/>
      <c r="S115" s="566"/>
      <c r="T115" s="566"/>
      <c r="U115" s="566"/>
      <c r="V115" s="566"/>
      <c r="W115" s="566"/>
      <c r="X115" s="566"/>
      <c r="Y115" s="566"/>
      <c r="Z115" s="566"/>
    </row>
    <row r="116" spans="1:26" x14ac:dyDescent="0.25">
      <c r="A116" s="566" t="s">
        <v>2818</v>
      </c>
      <c r="B116" s="566"/>
      <c r="C116" s="566"/>
      <c r="D116" s="566"/>
      <c r="E116" s="566"/>
      <c r="F116" s="566"/>
      <c r="G116" s="566"/>
      <c r="H116" s="566"/>
      <c r="I116" s="566"/>
      <c r="J116" s="566"/>
      <c r="K116" s="566"/>
      <c r="L116" s="566"/>
      <c r="M116" s="566"/>
      <c r="N116" s="566"/>
      <c r="O116" s="566"/>
      <c r="P116" s="566"/>
      <c r="Q116" s="566"/>
      <c r="R116" s="566"/>
      <c r="S116" s="566"/>
      <c r="T116" s="566"/>
      <c r="U116" s="566"/>
      <c r="V116" s="566"/>
      <c r="W116" s="566"/>
      <c r="X116" s="566"/>
      <c r="Y116" s="566"/>
      <c r="Z116" s="566"/>
    </row>
    <row r="117" spans="1:26" x14ac:dyDescent="0.25">
      <c r="A117" s="566" t="s">
        <v>2819</v>
      </c>
      <c r="B117" s="566"/>
      <c r="C117" s="566"/>
      <c r="D117" s="566"/>
      <c r="E117" s="566"/>
      <c r="F117" s="566"/>
      <c r="G117" s="566"/>
      <c r="H117" s="566"/>
      <c r="I117" s="566"/>
      <c r="J117" s="566"/>
      <c r="K117" s="566"/>
      <c r="L117" s="566"/>
      <c r="M117" s="566"/>
      <c r="N117" s="566"/>
      <c r="O117" s="566"/>
      <c r="P117" s="566"/>
      <c r="Q117" s="566"/>
      <c r="R117" s="566"/>
      <c r="S117" s="566"/>
      <c r="T117" s="566"/>
      <c r="U117" s="566"/>
      <c r="V117" s="566"/>
      <c r="W117" s="566"/>
      <c r="X117" s="566"/>
      <c r="Y117" s="566"/>
      <c r="Z117" s="566"/>
    </row>
    <row r="118" spans="1:26" x14ac:dyDescent="0.25">
      <c r="A118" s="566" t="s">
        <v>2820</v>
      </c>
      <c r="B118" s="566"/>
      <c r="C118" s="566"/>
      <c r="D118" s="566"/>
      <c r="E118" s="566"/>
      <c r="F118" s="566"/>
      <c r="G118" s="566"/>
      <c r="H118" s="566"/>
      <c r="I118" s="566"/>
      <c r="J118" s="566"/>
      <c r="K118" s="566"/>
      <c r="L118" s="566"/>
      <c r="M118" s="566"/>
      <c r="N118" s="566"/>
      <c r="O118" s="566"/>
      <c r="P118" s="566"/>
      <c r="Q118" s="566"/>
      <c r="R118" s="566"/>
      <c r="S118" s="566"/>
      <c r="T118" s="566"/>
      <c r="U118" s="566"/>
      <c r="V118" s="566"/>
      <c r="W118" s="566"/>
      <c r="X118" s="566"/>
      <c r="Y118" s="566"/>
      <c r="Z118" s="566"/>
    </row>
    <row r="119" spans="1:26" x14ac:dyDescent="0.25">
      <c r="A119" s="566" t="s">
        <v>2821</v>
      </c>
      <c r="B119" s="566"/>
      <c r="C119" s="566"/>
      <c r="D119" s="566"/>
      <c r="E119" s="566"/>
      <c r="F119" s="566"/>
      <c r="G119" s="566"/>
      <c r="H119" s="566"/>
      <c r="I119" s="566"/>
      <c r="J119" s="566"/>
      <c r="K119" s="566"/>
      <c r="L119" s="566"/>
      <c r="M119" s="566"/>
      <c r="N119" s="566"/>
      <c r="O119" s="566"/>
      <c r="P119" s="566"/>
      <c r="Q119" s="566"/>
      <c r="R119" s="566"/>
      <c r="S119" s="566"/>
      <c r="T119" s="566"/>
      <c r="U119" s="566"/>
      <c r="V119" s="566"/>
      <c r="W119" s="566"/>
      <c r="X119" s="566"/>
      <c r="Y119" s="566"/>
      <c r="Z119" s="566"/>
    </row>
    <row r="120" spans="1:26" x14ac:dyDescent="0.25">
      <c r="A120" s="566" t="s">
        <v>2822</v>
      </c>
      <c r="B120" s="566"/>
      <c r="C120" s="566"/>
      <c r="D120" s="566"/>
      <c r="E120" s="566"/>
      <c r="F120" s="566"/>
      <c r="G120" s="566"/>
      <c r="H120" s="566"/>
      <c r="I120" s="566"/>
      <c r="J120" s="566"/>
      <c r="K120" s="566"/>
      <c r="L120" s="566"/>
      <c r="M120" s="566"/>
      <c r="N120" s="566"/>
      <c r="O120" s="566"/>
      <c r="P120" s="566"/>
      <c r="Q120" s="566"/>
      <c r="R120" s="566"/>
      <c r="S120" s="566"/>
      <c r="T120" s="566"/>
      <c r="U120" s="566"/>
      <c r="V120" s="566"/>
      <c r="W120" s="566"/>
      <c r="X120" s="566"/>
      <c r="Y120" s="566"/>
      <c r="Z120" s="566"/>
    </row>
    <row r="121" spans="1:26" x14ac:dyDescent="0.25">
      <c r="A121" s="566" t="s">
        <v>2132</v>
      </c>
      <c r="B121" s="566"/>
      <c r="C121" s="566"/>
      <c r="D121" s="566"/>
      <c r="E121" s="566"/>
      <c r="F121" s="566"/>
      <c r="G121" s="566"/>
      <c r="H121" s="566"/>
      <c r="I121" s="566"/>
      <c r="J121" s="566"/>
      <c r="K121" s="566"/>
      <c r="L121" s="566"/>
      <c r="M121" s="566"/>
      <c r="N121" s="566"/>
      <c r="O121" s="566"/>
      <c r="P121" s="566"/>
      <c r="Q121" s="566"/>
      <c r="R121" s="566"/>
      <c r="S121" s="566"/>
      <c r="T121" s="566"/>
      <c r="U121" s="566"/>
      <c r="V121" s="566"/>
      <c r="W121" s="566"/>
      <c r="X121" s="566"/>
      <c r="Y121" s="566"/>
      <c r="Z121" s="566"/>
    </row>
    <row r="122" spans="1:26" x14ac:dyDescent="0.25">
      <c r="A122" s="566" t="s">
        <v>2133</v>
      </c>
      <c r="B122" s="566"/>
      <c r="C122" s="566"/>
      <c r="D122" s="566"/>
      <c r="E122" s="566"/>
      <c r="F122" s="566"/>
      <c r="G122" s="566"/>
      <c r="H122" s="566"/>
      <c r="I122" s="566"/>
      <c r="J122" s="566"/>
      <c r="K122" s="566"/>
      <c r="L122" s="566"/>
      <c r="M122" s="566"/>
      <c r="N122" s="566"/>
      <c r="O122" s="566"/>
      <c r="P122" s="566"/>
      <c r="Q122" s="566"/>
      <c r="R122" s="566"/>
      <c r="S122" s="566"/>
      <c r="T122" s="566"/>
      <c r="U122" s="566"/>
      <c r="V122" s="566"/>
      <c r="W122" s="566"/>
      <c r="X122" s="566"/>
      <c r="Y122" s="566"/>
      <c r="Z122" s="566"/>
    </row>
    <row r="123" spans="1:26" x14ac:dyDescent="0.25">
      <c r="A123" s="566" t="s">
        <v>2134</v>
      </c>
      <c r="B123" s="566"/>
      <c r="C123" s="566"/>
      <c r="D123" s="566"/>
      <c r="E123" s="566"/>
      <c r="F123" s="566"/>
      <c r="G123" s="566"/>
      <c r="H123" s="566"/>
      <c r="I123" s="566"/>
      <c r="J123" s="566"/>
      <c r="K123" s="566"/>
      <c r="L123" s="566"/>
      <c r="M123" s="566"/>
      <c r="N123" s="566"/>
      <c r="O123" s="566"/>
      <c r="P123" s="566"/>
      <c r="Q123" s="566"/>
      <c r="R123" s="566"/>
      <c r="S123" s="566"/>
      <c r="T123" s="566"/>
      <c r="U123" s="566"/>
      <c r="V123" s="566"/>
      <c r="W123" s="566"/>
      <c r="X123" s="566"/>
      <c r="Y123" s="566"/>
      <c r="Z123" s="566"/>
    </row>
    <row r="124" spans="1:26" x14ac:dyDescent="0.25">
      <c r="A124" s="566" t="s">
        <v>2823</v>
      </c>
      <c r="B124" s="566"/>
      <c r="C124" s="566"/>
      <c r="D124" s="566"/>
      <c r="E124" s="566"/>
      <c r="F124" s="566"/>
      <c r="G124" s="566"/>
      <c r="H124" s="566"/>
      <c r="I124" s="566"/>
      <c r="J124" s="566"/>
      <c r="K124" s="566"/>
      <c r="L124" s="566"/>
      <c r="M124" s="566"/>
      <c r="N124" s="566"/>
      <c r="O124" s="566"/>
      <c r="P124" s="566"/>
      <c r="Q124" s="566"/>
      <c r="R124" s="566"/>
      <c r="S124" s="566"/>
      <c r="T124" s="566"/>
      <c r="U124" s="566"/>
      <c r="V124" s="566"/>
      <c r="W124" s="566"/>
      <c r="X124" s="566"/>
      <c r="Y124" s="566"/>
      <c r="Z124" s="566"/>
    </row>
    <row r="125" spans="1:26" x14ac:dyDescent="0.25">
      <c r="A125" s="566" t="s">
        <v>2824</v>
      </c>
      <c r="B125" s="566"/>
      <c r="C125" s="566"/>
      <c r="D125" s="566"/>
      <c r="E125" s="566"/>
      <c r="F125" s="566"/>
      <c r="G125" s="566"/>
      <c r="H125" s="566"/>
      <c r="I125" s="566"/>
      <c r="J125" s="566"/>
      <c r="K125" s="566"/>
      <c r="L125" s="566"/>
      <c r="M125" s="566"/>
      <c r="N125" s="566"/>
      <c r="O125" s="566"/>
      <c r="P125" s="566"/>
      <c r="Q125" s="566"/>
      <c r="R125" s="566"/>
      <c r="S125" s="566"/>
      <c r="T125" s="566"/>
      <c r="U125" s="566"/>
      <c r="V125" s="566"/>
      <c r="W125" s="566"/>
      <c r="X125" s="566"/>
      <c r="Y125" s="566"/>
      <c r="Z125" s="566"/>
    </row>
    <row r="126" spans="1:26" x14ac:dyDescent="0.25">
      <c r="A126" s="566" t="s">
        <v>2825</v>
      </c>
      <c r="B126" s="566"/>
      <c r="C126" s="566"/>
      <c r="D126" s="566"/>
      <c r="E126" s="566"/>
      <c r="F126" s="566"/>
      <c r="G126" s="566"/>
      <c r="H126" s="566"/>
      <c r="I126" s="566"/>
      <c r="J126" s="566"/>
      <c r="K126" s="566"/>
      <c r="L126" s="566"/>
      <c r="M126" s="566"/>
      <c r="N126" s="566"/>
      <c r="O126" s="566"/>
      <c r="P126" s="566"/>
      <c r="Q126" s="566"/>
      <c r="R126" s="566"/>
      <c r="S126" s="566"/>
      <c r="T126" s="566"/>
      <c r="U126" s="566"/>
      <c r="V126" s="566"/>
      <c r="W126" s="566"/>
      <c r="X126" s="566"/>
      <c r="Y126" s="566"/>
      <c r="Z126" s="566"/>
    </row>
    <row r="127" spans="1:26" x14ac:dyDescent="0.25">
      <c r="A127" s="566" t="s">
        <v>2826</v>
      </c>
      <c r="B127" s="566"/>
      <c r="C127" s="566"/>
      <c r="D127" s="566"/>
      <c r="E127" s="566"/>
      <c r="F127" s="566"/>
      <c r="G127" s="566"/>
      <c r="H127" s="566"/>
      <c r="I127" s="566"/>
      <c r="J127" s="566"/>
      <c r="K127" s="566"/>
      <c r="L127" s="566"/>
      <c r="M127" s="566"/>
      <c r="N127" s="566"/>
      <c r="O127" s="566"/>
      <c r="P127" s="566"/>
      <c r="Q127" s="566"/>
      <c r="R127" s="566"/>
      <c r="S127" s="566"/>
      <c r="T127" s="566"/>
      <c r="U127" s="566"/>
      <c r="V127" s="566"/>
      <c r="W127" s="566"/>
      <c r="X127" s="566"/>
      <c r="Y127" s="566"/>
      <c r="Z127" s="566"/>
    </row>
    <row r="128" spans="1:26" x14ac:dyDescent="0.25">
      <c r="A128" s="566" t="s">
        <v>2827</v>
      </c>
      <c r="B128" s="566"/>
      <c r="C128" s="566"/>
      <c r="D128" s="566"/>
      <c r="E128" s="566"/>
      <c r="F128" s="566"/>
      <c r="G128" s="566"/>
      <c r="H128" s="566"/>
      <c r="I128" s="566"/>
      <c r="J128" s="566"/>
      <c r="K128" s="566"/>
      <c r="L128" s="566"/>
      <c r="M128" s="566"/>
      <c r="N128" s="566"/>
      <c r="O128" s="566"/>
      <c r="P128" s="566"/>
      <c r="Q128" s="566"/>
      <c r="R128" s="566"/>
      <c r="S128" s="566"/>
      <c r="T128" s="566"/>
      <c r="U128" s="566"/>
      <c r="V128" s="566"/>
      <c r="W128" s="566"/>
      <c r="X128" s="566"/>
      <c r="Y128" s="566"/>
      <c r="Z128" s="566"/>
    </row>
    <row r="129" spans="1:26" x14ac:dyDescent="0.25">
      <c r="A129" s="566" t="s">
        <v>2828</v>
      </c>
      <c r="B129" s="566"/>
      <c r="C129" s="566"/>
      <c r="D129" s="566"/>
      <c r="E129" s="566"/>
      <c r="F129" s="566"/>
      <c r="G129" s="566"/>
      <c r="H129" s="566"/>
      <c r="I129" s="566"/>
      <c r="J129" s="566"/>
      <c r="K129" s="566"/>
      <c r="L129" s="566"/>
      <c r="M129" s="566"/>
      <c r="N129" s="566"/>
      <c r="O129" s="566"/>
      <c r="P129" s="566"/>
      <c r="Q129" s="566"/>
      <c r="R129" s="566"/>
      <c r="S129" s="566"/>
      <c r="T129" s="566"/>
      <c r="U129" s="566"/>
      <c r="V129" s="566"/>
      <c r="W129" s="566"/>
      <c r="X129" s="566"/>
      <c r="Y129" s="566"/>
      <c r="Z129" s="566"/>
    </row>
    <row r="130" spans="1:26" x14ac:dyDescent="0.25">
      <c r="A130" s="566" t="s">
        <v>2829</v>
      </c>
      <c r="B130" s="566"/>
      <c r="C130" s="566"/>
      <c r="D130" s="566"/>
      <c r="E130" s="566"/>
      <c r="F130" s="566"/>
      <c r="G130" s="566"/>
      <c r="H130" s="566"/>
      <c r="I130" s="566"/>
      <c r="J130" s="566"/>
      <c r="K130" s="566"/>
      <c r="L130" s="566"/>
      <c r="M130" s="566"/>
      <c r="N130" s="566"/>
      <c r="O130" s="566"/>
      <c r="P130" s="566"/>
      <c r="Q130" s="566"/>
      <c r="R130" s="566"/>
      <c r="S130" s="566"/>
      <c r="T130" s="566"/>
      <c r="U130" s="566"/>
      <c r="V130" s="566"/>
      <c r="W130" s="566"/>
      <c r="X130" s="566"/>
      <c r="Y130" s="566"/>
      <c r="Z130" s="566"/>
    </row>
    <row r="131" spans="1:26" x14ac:dyDescent="0.25">
      <c r="A131" s="566" t="s">
        <v>2830</v>
      </c>
      <c r="B131" s="566"/>
      <c r="C131" s="566"/>
      <c r="D131" s="566"/>
      <c r="E131" s="566"/>
      <c r="F131" s="566"/>
      <c r="G131" s="566"/>
      <c r="H131" s="566"/>
      <c r="I131" s="566"/>
      <c r="J131" s="566"/>
      <c r="K131" s="566"/>
      <c r="L131" s="566"/>
      <c r="M131" s="566"/>
      <c r="N131" s="566"/>
      <c r="O131" s="566"/>
      <c r="P131" s="566"/>
      <c r="Q131" s="566"/>
      <c r="R131" s="566"/>
      <c r="S131" s="566"/>
      <c r="T131" s="566"/>
      <c r="U131" s="566"/>
      <c r="V131" s="566"/>
      <c r="W131" s="566"/>
      <c r="X131" s="566"/>
      <c r="Y131" s="566"/>
      <c r="Z131" s="566"/>
    </row>
    <row r="132" spans="1:26" x14ac:dyDescent="0.25">
      <c r="A132" s="566" t="s">
        <v>2831</v>
      </c>
      <c r="B132" s="566"/>
      <c r="C132" s="566"/>
      <c r="D132" s="566"/>
      <c r="E132" s="566"/>
      <c r="F132" s="566"/>
      <c r="G132" s="566"/>
      <c r="H132" s="566"/>
      <c r="I132" s="566"/>
      <c r="J132" s="566"/>
      <c r="K132" s="566"/>
      <c r="L132" s="566"/>
      <c r="M132" s="566"/>
      <c r="N132" s="566"/>
      <c r="O132" s="566"/>
      <c r="P132" s="566"/>
      <c r="Q132" s="566"/>
      <c r="R132" s="566"/>
      <c r="S132" s="566"/>
      <c r="T132" s="566"/>
      <c r="U132" s="566"/>
      <c r="V132" s="566"/>
      <c r="W132" s="566"/>
      <c r="X132" s="566"/>
      <c r="Y132" s="566"/>
      <c r="Z132" s="566"/>
    </row>
    <row r="133" spans="1:26" x14ac:dyDescent="0.25">
      <c r="A133" s="566" t="s">
        <v>2832</v>
      </c>
      <c r="B133" s="566"/>
      <c r="C133" s="566"/>
      <c r="D133" s="566"/>
      <c r="E133" s="566"/>
      <c r="F133" s="566"/>
      <c r="G133" s="566"/>
      <c r="H133" s="566"/>
      <c r="I133" s="566"/>
      <c r="J133" s="566"/>
      <c r="K133" s="566"/>
      <c r="L133" s="566"/>
      <c r="M133" s="566"/>
      <c r="N133" s="566"/>
      <c r="O133" s="566"/>
      <c r="P133" s="566"/>
      <c r="Q133" s="566"/>
      <c r="R133" s="566"/>
      <c r="S133" s="566"/>
      <c r="T133" s="566"/>
      <c r="U133" s="566"/>
      <c r="V133" s="566"/>
      <c r="W133" s="566"/>
      <c r="X133" s="566"/>
      <c r="Y133" s="566"/>
      <c r="Z133" s="566"/>
    </row>
    <row r="134" spans="1:26" x14ac:dyDescent="0.25">
      <c r="A134" s="566" t="s">
        <v>2135</v>
      </c>
      <c r="B134" s="566"/>
      <c r="C134" s="566"/>
      <c r="D134" s="566"/>
      <c r="E134" s="566"/>
      <c r="F134" s="566"/>
      <c r="G134" s="566"/>
      <c r="H134" s="566"/>
      <c r="I134" s="566"/>
      <c r="J134" s="566"/>
      <c r="K134" s="566"/>
      <c r="L134" s="566"/>
      <c r="M134" s="566"/>
      <c r="N134" s="566"/>
      <c r="O134" s="566"/>
      <c r="P134" s="566"/>
      <c r="Q134" s="566"/>
      <c r="R134" s="566"/>
      <c r="S134" s="566"/>
      <c r="T134" s="566"/>
      <c r="U134" s="566"/>
      <c r="V134" s="566"/>
      <c r="W134" s="566"/>
      <c r="X134" s="566"/>
      <c r="Y134" s="566"/>
      <c r="Z134" s="566"/>
    </row>
    <row r="135" spans="1:26" x14ac:dyDescent="0.25">
      <c r="A135" s="566" t="s">
        <v>2136</v>
      </c>
      <c r="B135" s="566"/>
      <c r="C135" s="566"/>
      <c r="D135" s="566"/>
      <c r="E135" s="566"/>
      <c r="F135" s="566"/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</row>
    <row r="136" spans="1:26" x14ac:dyDescent="0.25">
      <c r="A136" s="566" t="s">
        <v>2137</v>
      </c>
      <c r="B136" s="566"/>
      <c r="C136" s="566"/>
      <c r="D136" s="566"/>
      <c r="E136" s="566"/>
      <c r="F136" s="566"/>
      <c r="G136" s="566"/>
      <c r="H136" s="566"/>
      <c r="I136" s="566"/>
      <c r="J136" s="566"/>
      <c r="K136" s="566"/>
      <c r="L136" s="566"/>
      <c r="M136" s="566"/>
      <c r="N136" s="566"/>
      <c r="O136" s="566"/>
      <c r="P136" s="566"/>
      <c r="Q136" s="566"/>
      <c r="R136" s="566"/>
      <c r="S136" s="566"/>
      <c r="T136" s="566"/>
      <c r="U136" s="566"/>
      <c r="V136" s="566"/>
      <c r="W136" s="566"/>
      <c r="X136" s="566"/>
      <c r="Y136" s="566"/>
      <c r="Z136" s="566"/>
    </row>
    <row r="137" spans="1:26" x14ac:dyDescent="0.25">
      <c r="A137" s="566" t="s">
        <v>2138</v>
      </c>
      <c r="B137" s="566"/>
      <c r="C137" s="566"/>
      <c r="D137" s="566"/>
      <c r="E137" s="566"/>
      <c r="F137" s="566"/>
      <c r="G137" s="566"/>
      <c r="H137" s="566"/>
      <c r="I137" s="566"/>
      <c r="J137" s="566"/>
      <c r="K137" s="566"/>
      <c r="L137" s="566"/>
      <c r="M137" s="566"/>
      <c r="N137" s="566"/>
      <c r="O137" s="566"/>
      <c r="P137" s="566"/>
      <c r="Q137" s="566"/>
      <c r="R137" s="566"/>
      <c r="S137" s="566"/>
      <c r="T137" s="566"/>
      <c r="U137" s="566"/>
      <c r="V137" s="566"/>
      <c r="W137" s="566"/>
      <c r="X137" s="566"/>
      <c r="Y137" s="566"/>
      <c r="Z137" s="566"/>
    </row>
    <row r="138" spans="1:26" x14ac:dyDescent="0.25">
      <c r="A138" s="566" t="s">
        <v>2139</v>
      </c>
      <c r="B138" s="566"/>
      <c r="C138" s="566"/>
      <c r="D138" s="566"/>
      <c r="E138" s="566"/>
      <c r="F138" s="566"/>
      <c r="G138" s="566"/>
      <c r="H138" s="566"/>
      <c r="I138" s="566"/>
      <c r="J138" s="566"/>
      <c r="K138" s="566"/>
      <c r="L138" s="566"/>
      <c r="M138" s="566"/>
      <c r="N138" s="566"/>
      <c r="O138" s="566"/>
      <c r="P138" s="566"/>
      <c r="Q138" s="566"/>
      <c r="R138" s="566"/>
      <c r="S138" s="566"/>
      <c r="T138" s="566"/>
      <c r="U138" s="566"/>
      <c r="V138" s="566"/>
      <c r="W138" s="566"/>
      <c r="X138" s="566"/>
      <c r="Y138" s="566"/>
      <c r="Z138" s="566"/>
    </row>
    <row r="139" spans="1:26" x14ac:dyDescent="0.25">
      <c r="A139" s="566" t="s">
        <v>2833</v>
      </c>
      <c r="B139" s="566"/>
      <c r="C139" s="566"/>
      <c r="D139" s="566"/>
      <c r="E139" s="566"/>
      <c r="F139" s="566"/>
      <c r="G139" s="566"/>
      <c r="H139" s="566"/>
      <c r="I139" s="566"/>
      <c r="J139" s="566"/>
      <c r="K139" s="566"/>
      <c r="L139" s="566"/>
      <c r="M139" s="566"/>
      <c r="N139" s="566"/>
      <c r="O139" s="566"/>
      <c r="P139" s="566"/>
      <c r="Q139" s="566"/>
      <c r="R139" s="566"/>
      <c r="S139" s="566"/>
      <c r="T139" s="566"/>
      <c r="U139" s="566"/>
      <c r="V139" s="566"/>
      <c r="W139" s="566"/>
      <c r="X139" s="566"/>
      <c r="Y139" s="566"/>
      <c r="Z139" s="566"/>
    </row>
    <row r="140" spans="1:26" x14ac:dyDescent="0.25">
      <c r="A140" s="566" t="s">
        <v>2834</v>
      </c>
      <c r="B140" s="566"/>
      <c r="C140" s="566"/>
      <c r="D140" s="566"/>
      <c r="E140" s="566"/>
      <c r="F140" s="566"/>
      <c r="G140" s="566"/>
      <c r="H140" s="566"/>
      <c r="I140" s="566"/>
      <c r="J140" s="566"/>
      <c r="K140" s="566"/>
      <c r="L140" s="566"/>
      <c r="M140" s="566"/>
      <c r="N140" s="566"/>
      <c r="O140" s="566"/>
      <c r="P140" s="566"/>
      <c r="Q140" s="566"/>
      <c r="R140" s="566"/>
      <c r="S140" s="566"/>
      <c r="T140" s="566"/>
      <c r="U140" s="566"/>
      <c r="V140" s="566"/>
      <c r="W140" s="566"/>
      <c r="X140" s="566"/>
      <c r="Y140" s="566"/>
      <c r="Z140" s="566"/>
    </row>
    <row r="141" spans="1:26" x14ac:dyDescent="0.25">
      <c r="A141" s="566" t="s">
        <v>2835</v>
      </c>
      <c r="B141" s="566"/>
      <c r="C141" s="566"/>
      <c r="D141" s="566"/>
      <c r="E141" s="566"/>
      <c r="F141" s="566"/>
      <c r="G141" s="566"/>
      <c r="H141" s="566"/>
      <c r="I141" s="566"/>
      <c r="J141" s="566"/>
      <c r="K141" s="566"/>
      <c r="L141" s="566"/>
      <c r="M141" s="566"/>
      <c r="N141" s="566"/>
      <c r="O141" s="566"/>
      <c r="P141" s="566"/>
      <c r="Q141" s="566"/>
      <c r="R141" s="566"/>
      <c r="S141" s="566"/>
      <c r="T141" s="566"/>
      <c r="U141" s="566"/>
      <c r="V141" s="566"/>
      <c r="W141" s="566"/>
      <c r="X141" s="566"/>
      <c r="Y141" s="566"/>
      <c r="Z141" s="566"/>
    </row>
    <row r="142" spans="1:26" x14ac:dyDescent="0.25">
      <c r="A142" s="566" t="s">
        <v>2836</v>
      </c>
      <c r="B142" s="566"/>
      <c r="C142" s="566"/>
      <c r="D142" s="566"/>
      <c r="E142" s="566"/>
      <c r="F142" s="566"/>
      <c r="G142" s="566"/>
      <c r="H142" s="566"/>
      <c r="I142" s="566"/>
      <c r="J142" s="566"/>
      <c r="K142" s="566"/>
      <c r="L142" s="566"/>
      <c r="M142" s="566"/>
      <c r="N142" s="566"/>
      <c r="O142" s="566"/>
      <c r="P142" s="566"/>
      <c r="Q142" s="566"/>
      <c r="R142" s="566"/>
      <c r="S142" s="566"/>
      <c r="T142" s="566"/>
      <c r="U142" s="566"/>
      <c r="V142" s="566"/>
      <c r="W142" s="566"/>
      <c r="X142" s="566"/>
      <c r="Y142" s="566"/>
      <c r="Z142" s="566"/>
    </row>
    <row r="143" spans="1:26" x14ac:dyDescent="0.25">
      <c r="A143" s="566" t="s">
        <v>2837</v>
      </c>
      <c r="B143" s="566"/>
      <c r="C143" s="566"/>
      <c r="D143" s="566"/>
      <c r="E143" s="566"/>
      <c r="F143" s="566"/>
      <c r="G143" s="566"/>
      <c r="H143" s="566"/>
      <c r="I143" s="566"/>
      <c r="J143" s="566"/>
      <c r="K143" s="566"/>
      <c r="L143" s="566"/>
      <c r="M143" s="566"/>
      <c r="N143" s="566"/>
      <c r="O143" s="566"/>
      <c r="P143" s="566"/>
      <c r="Q143" s="566"/>
      <c r="R143" s="566"/>
      <c r="S143" s="566"/>
      <c r="T143" s="566"/>
      <c r="U143" s="566"/>
      <c r="V143" s="566"/>
      <c r="W143" s="566"/>
      <c r="X143" s="566"/>
      <c r="Y143" s="566"/>
      <c r="Z143" s="566"/>
    </row>
    <row r="144" spans="1:26" x14ac:dyDescent="0.25">
      <c r="A144" s="566" t="s">
        <v>2838</v>
      </c>
      <c r="B144" s="566"/>
      <c r="C144" s="566"/>
      <c r="D144" s="566"/>
      <c r="E144" s="566"/>
      <c r="F144" s="566"/>
      <c r="G144" s="566"/>
      <c r="H144" s="566"/>
      <c r="I144" s="566"/>
      <c r="J144" s="566"/>
      <c r="K144" s="566"/>
      <c r="L144" s="566"/>
      <c r="M144" s="566"/>
      <c r="N144" s="566"/>
      <c r="O144" s="566"/>
      <c r="P144" s="566"/>
      <c r="Q144" s="566"/>
      <c r="R144" s="566"/>
      <c r="S144" s="566"/>
      <c r="T144" s="566"/>
      <c r="U144" s="566"/>
      <c r="V144" s="566"/>
      <c r="W144" s="566"/>
      <c r="X144" s="566"/>
      <c r="Y144" s="566"/>
      <c r="Z144" s="566"/>
    </row>
    <row r="145" spans="1:26" x14ac:dyDescent="0.25">
      <c r="A145" s="566" t="s">
        <v>2839</v>
      </c>
      <c r="B145" s="566"/>
      <c r="C145" s="566"/>
      <c r="D145" s="566"/>
      <c r="E145" s="566"/>
      <c r="F145" s="566"/>
      <c r="G145" s="566"/>
      <c r="H145" s="566"/>
      <c r="I145" s="566"/>
      <c r="J145" s="566"/>
      <c r="K145" s="566"/>
      <c r="L145" s="566"/>
      <c r="M145" s="566"/>
      <c r="N145" s="566"/>
      <c r="O145" s="566"/>
      <c r="P145" s="566"/>
      <c r="Q145" s="566"/>
      <c r="R145" s="566"/>
      <c r="S145" s="566"/>
      <c r="T145" s="566"/>
      <c r="U145" s="566"/>
      <c r="V145" s="566"/>
      <c r="W145" s="566"/>
      <c r="X145" s="566"/>
      <c r="Y145" s="566"/>
      <c r="Z145" s="566"/>
    </row>
    <row r="146" spans="1:26" x14ac:dyDescent="0.25">
      <c r="A146" s="566" t="s">
        <v>2840</v>
      </c>
      <c r="B146" s="566"/>
      <c r="C146" s="566"/>
      <c r="D146" s="566"/>
      <c r="E146" s="566"/>
      <c r="F146" s="566"/>
      <c r="G146" s="566"/>
      <c r="H146" s="566"/>
      <c r="I146" s="566"/>
      <c r="J146" s="566"/>
      <c r="K146" s="566"/>
      <c r="L146" s="566"/>
      <c r="M146" s="566"/>
      <c r="N146" s="566"/>
      <c r="O146" s="566"/>
      <c r="P146" s="566"/>
      <c r="Q146" s="566"/>
      <c r="R146" s="566"/>
      <c r="S146" s="566"/>
      <c r="T146" s="566"/>
      <c r="U146" s="566"/>
      <c r="V146" s="566"/>
      <c r="W146" s="566"/>
      <c r="X146" s="566"/>
      <c r="Y146" s="566"/>
      <c r="Z146" s="566"/>
    </row>
    <row r="147" spans="1:26" x14ac:dyDescent="0.25">
      <c r="A147" s="566" t="s">
        <v>2841</v>
      </c>
      <c r="B147" s="566"/>
      <c r="C147" s="566"/>
      <c r="D147" s="566"/>
      <c r="E147" s="566"/>
      <c r="F147" s="566"/>
      <c r="G147" s="566"/>
      <c r="H147" s="566"/>
      <c r="I147" s="566"/>
      <c r="J147" s="566"/>
      <c r="K147" s="566"/>
      <c r="L147" s="566"/>
      <c r="M147" s="566"/>
      <c r="N147" s="566"/>
      <c r="O147" s="566"/>
      <c r="P147" s="566"/>
      <c r="Q147" s="566"/>
      <c r="R147" s="566"/>
      <c r="S147" s="566"/>
      <c r="T147" s="566"/>
      <c r="U147" s="566"/>
      <c r="V147" s="566"/>
      <c r="W147" s="566"/>
      <c r="X147" s="566"/>
      <c r="Y147" s="566"/>
      <c r="Z147" s="566"/>
    </row>
    <row r="148" spans="1:26" x14ac:dyDescent="0.25">
      <c r="A148" s="566" t="s">
        <v>2140</v>
      </c>
      <c r="B148" s="566"/>
      <c r="C148" s="566"/>
      <c r="D148" s="566"/>
      <c r="E148" s="566"/>
      <c r="F148" s="566"/>
      <c r="G148" s="566"/>
      <c r="H148" s="566"/>
      <c r="I148" s="566"/>
      <c r="J148" s="566"/>
      <c r="K148" s="566"/>
      <c r="L148" s="566"/>
      <c r="M148" s="566"/>
      <c r="N148" s="566"/>
      <c r="O148" s="566"/>
      <c r="P148" s="566"/>
      <c r="Q148" s="566"/>
      <c r="R148" s="566"/>
      <c r="S148" s="566"/>
      <c r="T148" s="566"/>
      <c r="U148" s="566"/>
      <c r="V148" s="566"/>
      <c r="W148" s="566"/>
      <c r="X148" s="566"/>
      <c r="Y148" s="566"/>
      <c r="Z148" s="566"/>
    </row>
    <row r="149" spans="1:26" x14ac:dyDescent="0.25">
      <c r="A149" s="566" t="s">
        <v>2141</v>
      </c>
      <c r="B149" s="566"/>
      <c r="C149" s="566"/>
      <c r="D149" s="566"/>
      <c r="E149" s="566"/>
      <c r="F149" s="566"/>
      <c r="G149" s="566"/>
      <c r="H149" s="566"/>
      <c r="I149" s="566"/>
      <c r="J149" s="566"/>
      <c r="K149" s="566"/>
      <c r="L149" s="566"/>
      <c r="M149" s="566"/>
      <c r="N149" s="566"/>
      <c r="O149" s="566"/>
      <c r="P149" s="566"/>
      <c r="Q149" s="566"/>
      <c r="R149" s="566"/>
      <c r="S149" s="566"/>
      <c r="T149" s="566"/>
      <c r="U149" s="566"/>
      <c r="V149" s="566"/>
      <c r="W149" s="566"/>
      <c r="X149" s="566"/>
      <c r="Y149" s="566"/>
      <c r="Z149" s="566"/>
    </row>
    <row r="150" spans="1:26" x14ac:dyDescent="0.25">
      <c r="A150" s="566" t="s">
        <v>2142</v>
      </c>
      <c r="B150" s="566"/>
      <c r="C150" s="566"/>
      <c r="D150" s="566"/>
      <c r="E150" s="566"/>
      <c r="F150" s="566"/>
      <c r="G150" s="566"/>
      <c r="H150" s="566"/>
      <c r="I150" s="566"/>
      <c r="J150" s="566"/>
      <c r="K150" s="566"/>
      <c r="L150" s="566"/>
      <c r="M150" s="566"/>
      <c r="N150" s="566"/>
      <c r="O150" s="566"/>
      <c r="P150" s="566"/>
      <c r="Q150" s="566"/>
      <c r="R150" s="566"/>
      <c r="S150" s="566"/>
      <c r="T150" s="566"/>
      <c r="U150" s="566"/>
      <c r="V150" s="566"/>
      <c r="W150" s="566"/>
      <c r="X150" s="566"/>
      <c r="Y150" s="566"/>
      <c r="Z150" s="566"/>
    </row>
    <row r="151" spans="1:26" x14ac:dyDescent="0.25">
      <c r="A151" s="566" t="s">
        <v>2143</v>
      </c>
      <c r="B151" s="566"/>
      <c r="C151" s="566"/>
      <c r="D151" s="566"/>
      <c r="E151" s="566"/>
      <c r="F151" s="566"/>
      <c r="G151" s="566"/>
      <c r="H151" s="566"/>
      <c r="I151" s="566"/>
      <c r="J151" s="566"/>
      <c r="K151" s="566"/>
      <c r="L151" s="566"/>
      <c r="M151" s="566"/>
      <c r="N151" s="566"/>
      <c r="O151" s="566"/>
      <c r="P151" s="566"/>
      <c r="Q151" s="566"/>
      <c r="R151" s="566"/>
      <c r="S151" s="566"/>
      <c r="T151" s="566"/>
      <c r="U151" s="566"/>
      <c r="V151" s="566"/>
      <c r="W151" s="566"/>
      <c r="X151" s="566"/>
      <c r="Y151" s="566"/>
      <c r="Z151" s="566"/>
    </row>
    <row r="152" spans="1:26" x14ac:dyDescent="0.25">
      <c r="A152" s="566" t="s">
        <v>2842</v>
      </c>
      <c r="B152" s="566"/>
      <c r="C152" s="566"/>
      <c r="D152" s="566"/>
      <c r="E152" s="566"/>
      <c r="F152" s="566"/>
      <c r="G152" s="566"/>
      <c r="H152" s="566"/>
      <c r="I152" s="566"/>
      <c r="J152" s="566"/>
      <c r="K152" s="566"/>
      <c r="L152" s="566"/>
      <c r="M152" s="566"/>
      <c r="N152" s="566"/>
      <c r="O152" s="566"/>
      <c r="P152" s="566"/>
      <c r="Q152" s="566"/>
      <c r="R152" s="566"/>
      <c r="S152" s="566"/>
      <c r="T152" s="566"/>
      <c r="U152" s="566"/>
      <c r="V152" s="566"/>
      <c r="W152" s="566"/>
      <c r="X152" s="566"/>
      <c r="Y152" s="566"/>
      <c r="Z152" s="566"/>
    </row>
    <row r="153" spans="1:26" x14ac:dyDescent="0.25">
      <c r="A153" s="566" t="s">
        <v>2843</v>
      </c>
      <c r="B153" s="566"/>
      <c r="C153" s="566"/>
      <c r="D153" s="566"/>
      <c r="E153" s="566"/>
      <c r="F153" s="566"/>
      <c r="G153" s="566"/>
      <c r="H153" s="566"/>
      <c r="I153" s="566"/>
      <c r="J153" s="566"/>
      <c r="K153" s="566"/>
      <c r="L153" s="566"/>
      <c r="M153" s="566"/>
      <c r="N153" s="566"/>
      <c r="O153" s="566"/>
      <c r="P153" s="566"/>
      <c r="Q153" s="566"/>
      <c r="R153" s="566"/>
      <c r="S153" s="566"/>
      <c r="T153" s="566"/>
      <c r="U153" s="566"/>
      <c r="V153" s="566"/>
      <c r="W153" s="566"/>
      <c r="X153" s="566"/>
      <c r="Y153" s="566"/>
      <c r="Z153" s="566"/>
    </row>
    <row r="154" spans="1:26" x14ac:dyDescent="0.25">
      <c r="A154" s="566" t="s">
        <v>2844</v>
      </c>
      <c r="B154" s="566"/>
      <c r="C154" s="566"/>
      <c r="D154" s="566"/>
      <c r="E154" s="566"/>
      <c r="F154" s="566"/>
      <c r="G154" s="566"/>
      <c r="H154" s="566"/>
      <c r="I154" s="566"/>
      <c r="J154" s="566"/>
      <c r="K154" s="566"/>
      <c r="L154" s="566"/>
      <c r="M154" s="566"/>
      <c r="N154" s="566"/>
      <c r="O154" s="566"/>
      <c r="P154" s="566"/>
      <c r="Q154" s="566"/>
      <c r="R154" s="566"/>
      <c r="S154" s="566"/>
      <c r="T154" s="566"/>
      <c r="U154" s="566"/>
      <c r="V154" s="566"/>
      <c r="W154" s="566"/>
      <c r="X154" s="566"/>
      <c r="Y154" s="566"/>
      <c r="Z154" s="566"/>
    </row>
    <row r="155" spans="1:26" x14ac:dyDescent="0.25">
      <c r="A155" s="566" t="s">
        <v>2845</v>
      </c>
      <c r="B155" s="566"/>
      <c r="C155" s="566"/>
      <c r="D155" s="566"/>
      <c r="E155" s="566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</row>
    <row r="156" spans="1:26" x14ac:dyDescent="0.25">
      <c r="A156" s="566" t="s">
        <v>2846</v>
      </c>
      <c r="B156" s="566"/>
      <c r="C156" s="566"/>
      <c r="D156" s="566"/>
      <c r="E156" s="566"/>
      <c r="F156" s="566"/>
      <c r="G156" s="566"/>
      <c r="H156" s="566"/>
      <c r="I156" s="566"/>
      <c r="J156" s="566"/>
      <c r="K156" s="566"/>
      <c r="L156" s="566"/>
      <c r="M156" s="566"/>
      <c r="N156" s="566"/>
      <c r="O156" s="566"/>
      <c r="P156" s="566"/>
      <c r="Q156" s="566"/>
      <c r="R156" s="566"/>
      <c r="S156" s="566"/>
      <c r="T156" s="566"/>
      <c r="U156" s="566"/>
      <c r="V156" s="566"/>
      <c r="W156" s="566"/>
      <c r="X156" s="566"/>
      <c r="Y156" s="566"/>
      <c r="Z156" s="566"/>
    </row>
    <row r="157" spans="1:26" x14ac:dyDescent="0.25">
      <c r="A157" s="566" t="s">
        <v>2847</v>
      </c>
      <c r="B157" s="566"/>
      <c r="C157" s="566"/>
      <c r="D157" s="566"/>
      <c r="E157" s="566"/>
      <c r="F157" s="566"/>
      <c r="G157" s="566"/>
      <c r="H157" s="566"/>
      <c r="I157" s="566"/>
      <c r="J157" s="566"/>
      <c r="K157" s="566"/>
      <c r="L157" s="566"/>
      <c r="M157" s="566"/>
      <c r="N157" s="566"/>
      <c r="O157" s="566"/>
      <c r="P157" s="566"/>
      <c r="Q157" s="566"/>
      <c r="R157" s="566"/>
      <c r="S157" s="566"/>
      <c r="T157" s="566"/>
      <c r="U157" s="566"/>
      <c r="V157" s="566"/>
      <c r="W157" s="566"/>
      <c r="X157" s="566"/>
      <c r="Y157" s="566"/>
      <c r="Z157" s="566"/>
    </row>
    <row r="158" spans="1:26" x14ac:dyDescent="0.25">
      <c r="A158" s="566" t="s">
        <v>2848</v>
      </c>
      <c r="B158" s="566"/>
      <c r="C158" s="566"/>
      <c r="D158" s="566"/>
      <c r="E158" s="566"/>
      <c r="F158" s="566"/>
      <c r="G158" s="566"/>
      <c r="H158" s="566"/>
      <c r="I158" s="566"/>
      <c r="J158" s="566"/>
      <c r="K158" s="566"/>
      <c r="L158" s="566"/>
      <c r="M158" s="566"/>
      <c r="N158" s="566"/>
      <c r="O158" s="566"/>
      <c r="P158" s="566"/>
      <c r="Q158" s="566"/>
      <c r="R158" s="566"/>
      <c r="S158" s="566"/>
      <c r="T158" s="566"/>
      <c r="U158" s="566"/>
      <c r="V158" s="566"/>
      <c r="W158" s="566"/>
      <c r="X158" s="566"/>
      <c r="Y158" s="566"/>
      <c r="Z158" s="566"/>
    </row>
    <row r="159" spans="1:26" x14ac:dyDescent="0.25">
      <c r="A159" s="566" t="s">
        <v>2849</v>
      </c>
      <c r="B159" s="566"/>
      <c r="C159" s="566"/>
      <c r="D159" s="566"/>
      <c r="E159" s="566"/>
      <c r="F159" s="566"/>
      <c r="G159" s="566"/>
      <c r="H159" s="566"/>
      <c r="I159" s="566"/>
      <c r="J159" s="566"/>
      <c r="K159" s="566"/>
      <c r="L159" s="566"/>
      <c r="M159" s="566"/>
      <c r="N159" s="566"/>
      <c r="O159" s="566"/>
      <c r="P159" s="566"/>
      <c r="Q159" s="566"/>
      <c r="R159" s="566"/>
      <c r="S159" s="566"/>
      <c r="T159" s="566"/>
      <c r="U159" s="566"/>
      <c r="V159" s="566"/>
      <c r="W159" s="566"/>
      <c r="X159" s="566"/>
      <c r="Y159" s="566"/>
      <c r="Z159" s="566"/>
    </row>
    <row r="160" spans="1:26" x14ac:dyDescent="0.25">
      <c r="A160" s="566" t="s">
        <v>2850</v>
      </c>
      <c r="B160" s="566"/>
      <c r="C160" s="566"/>
      <c r="D160" s="566"/>
      <c r="E160" s="566"/>
      <c r="F160" s="566"/>
      <c r="G160" s="566"/>
      <c r="H160" s="566"/>
      <c r="I160" s="566"/>
      <c r="J160" s="566"/>
      <c r="K160" s="566"/>
      <c r="L160" s="566"/>
      <c r="M160" s="566"/>
      <c r="N160" s="566"/>
      <c r="O160" s="566"/>
      <c r="P160" s="566"/>
      <c r="Q160" s="566"/>
      <c r="R160" s="566"/>
      <c r="S160" s="566"/>
      <c r="T160" s="566"/>
      <c r="U160" s="566"/>
      <c r="V160" s="566"/>
      <c r="W160" s="566"/>
      <c r="X160" s="566"/>
      <c r="Y160" s="566"/>
      <c r="Z160" s="566"/>
    </row>
    <row r="161" spans="1:26" x14ac:dyDescent="0.25">
      <c r="A161" s="566" t="s">
        <v>2851</v>
      </c>
      <c r="B161" s="566"/>
      <c r="C161" s="566"/>
      <c r="D161" s="566"/>
      <c r="E161" s="566"/>
      <c r="F161" s="566"/>
      <c r="G161" s="566"/>
      <c r="H161" s="566"/>
      <c r="I161" s="566"/>
      <c r="J161" s="566"/>
      <c r="K161" s="566"/>
      <c r="L161" s="566"/>
      <c r="M161" s="566"/>
      <c r="N161" s="566"/>
      <c r="O161" s="566"/>
      <c r="P161" s="566"/>
      <c r="Q161" s="566"/>
      <c r="R161" s="566"/>
      <c r="S161" s="566"/>
      <c r="T161" s="566"/>
      <c r="U161" s="566"/>
      <c r="V161" s="566"/>
      <c r="W161" s="566"/>
      <c r="X161" s="566"/>
      <c r="Y161" s="566"/>
      <c r="Z161" s="566"/>
    </row>
    <row r="162" spans="1:26" x14ac:dyDescent="0.25">
      <c r="A162" s="566" t="s">
        <v>2852</v>
      </c>
      <c r="B162" s="566"/>
      <c r="C162" s="566"/>
      <c r="D162" s="566"/>
      <c r="E162" s="566"/>
      <c r="F162" s="566"/>
      <c r="G162" s="566"/>
      <c r="H162" s="566"/>
      <c r="I162" s="566"/>
      <c r="J162" s="566"/>
      <c r="K162" s="566"/>
      <c r="L162" s="566"/>
      <c r="M162" s="566"/>
      <c r="N162" s="566"/>
      <c r="O162" s="566"/>
      <c r="P162" s="566"/>
      <c r="Q162" s="566"/>
      <c r="R162" s="566"/>
      <c r="S162" s="566"/>
      <c r="T162" s="566"/>
      <c r="U162" s="566"/>
      <c r="V162" s="566"/>
      <c r="W162" s="566"/>
      <c r="X162" s="566"/>
      <c r="Y162" s="566"/>
      <c r="Z162" s="566"/>
    </row>
    <row r="163" spans="1:26" x14ac:dyDescent="0.25">
      <c r="A163" s="566" t="s">
        <v>2853</v>
      </c>
      <c r="B163" s="566"/>
      <c r="C163" s="566"/>
      <c r="D163" s="566"/>
      <c r="E163" s="566"/>
      <c r="F163" s="566"/>
      <c r="G163" s="566"/>
      <c r="H163" s="566"/>
      <c r="I163" s="566"/>
      <c r="J163" s="566"/>
      <c r="K163" s="566"/>
      <c r="L163" s="566"/>
      <c r="M163" s="566"/>
      <c r="N163" s="566"/>
      <c r="O163" s="566"/>
      <c r="P163" s="566"/>
      <c r="Q163" s="566"/>
      <c r="R163" s="566"/>
      <c r="S163" s="566"/>
      <c r="T163" s="566"/>
      <c r="U163" s="566"/>
      <c r="V163" s="566"/>
      <c r="W163" s="566"/>
      <c r="X163" s="566"/>
      <c r="Y163" s="566"/>
      <c r="Z163" s="566"/>
    </row>
    <row r="164" spans="1:26" x14ac:dyDescent="0.25">
      <c r="A164" s="566" t="s">
        <v>2144</v>
      </c>
      <c r="B164" s="566"/>
      <c r="C164" s="566"/>
      <c r="D164" s="566"/>
      <c r="E164" s="566"/>
      <c r="F164" s="566"/>
      <c r="G164" s="566"/>
      <c r="H164" s="566"/>
      <c r="I164" s="566"/>
      <c r="J164" s="566"/>
      <c r="K164" s="566"/>
      <c r="L164" s="566"/>
      <c r="M164" s="566"/>
      <c r="N164" s="566"/>
      <c r="O164" s="566"/>
      <c r="P164" s="566"/>
      <c r="Q164" s="566"/>
      <c r="R164" s="566"/>
      <c r="S164" s="566"/>
      <c r="T164" s="566"/>
      <c r="U164" s="566"/>
      <c r="V164" s="566"/>
      <c r="W164" s="566"/>
      <c r="X164" s="566"/>
      <c r="Y164" s="566"/>
      <c r="Z164" s="566"/>
    </row>
    <row r="165" spans="1:26" x14ac:dyDescent="0.25">
      <c r="A165" s="566" t="s">
        <v>2145</v>
      </c>
      <c r="B165" s="566"/>
      <c r="C165" s="566"/>
      <c r="D165" s="566"/>
      <c r="E165" s="566"/>
      <c r="F165" s="566"/>
      <c r="G165" s="566"/>
      <c r="H165" s="566"/>
      <c r="I165" s="566"/>
      <c r="J165" s="566"/>
      <c r="K165" s="566"/>
      <c r="L165" s="566"/>
      <c r="M165" s="566"/>
      <c r="N165" s="566"/>
      <c r="O165" s="566"/>
      <c r="P165" s="566"/>
      <c r="Q165" s="566"/>
      <c r="R165" s="566"/>
      <c r="S165" s="566"/>
      <c r="T165" s="566"/>
      <c r="U165" s="566"/>
      <c r="V165" s="566"/>
      <c r="W165" s="566"/>
      <c r="X165" s="566"/>
      <c r="Y165" s="566"/>
      <c r="Z165" s="566"/>
    </row>
    <row r="166" spans="1:26" x14ac:dyDescent="0.25">
      <c r="A166" s="566" t="s">
        <v>2568</v>
      </c>
      <c r="B166" s="566"/>
      <c r="C166" s="566"/>
      <c r="D166" s="566"/>
      <c r="E166" s="566"/>
      <c r="F166" s="566"/>
      <c r="G166" s="566"/>
      <c r="H166" s="566"/>
      <c r="I166" s="566"/>
      <c r="J166" s="566"/>
      <c r="K166" s="566"/>
      <c r="L166" s="566"/>
      <c r="M166" s="566"/>
      <c r="N166" s="566"/>
      <c r="O166" s="566"/>
      <c r="P166" s="566"/>
      <c r="Q166" s="566"/>
      <c r="R166" s="566"/>
      <c r="S166" s="566"/>
      <c r="T166" s="566"/>
      <c r="U166" s="566"/>
      <c r="V166" s="566"/>
      <c r="W166" s="566"/>
      <c r="X166" s="566"/>
      <c r="Y166" s="566"/>
      <c r="Z166" s="566"/>
    </row>
    <row r="167" spans="1:26" x14ac:dyDescent="0.25">
      <c r="A167" s="566" t="s">
        <v>2569</v>
      </c>
      <c r="B167" s="566"/>
      <c r="C167" s="566"/>
      <c r="D167" s="566"/>
      <c r="E167" s="566"/>
      <c r="F167" s="566"/>
      <c r="G167" s="566"/>
      <c r="H167" s="566"/>
      <c r="I167" s="566"/>
      <c r="J167" s="566"/>
      <c r="K167" s="566"/>
      <c r="L167" s="566"/>
      <c r="M167" s="566"/>
      <c r="N167" s="566"/>
      <c r="O167" s="566"/>
      <c r="P167" s="566"/>
      <c r="Q167" s="566"/>
      <c r="R167" s="566"/>
      <c r="S167" s="566"/>
      <c r="T167" s="566"/>
      <c r="U167" s="566"/>
      <c r="V167" s="566"/>
      <c r="W167" s="566"/>
      <c r="X167" s="566"/>
      <c r="Y167" s="566"/>
      <c r="Z167" s="566"/>
    </row>
    <row r="168" spans="1:26" x14ac:dyDescent="0.25">
      <c r="A168" s="566" t="s">
        <v>2570</v>
      </c>
      <c r="B168" s="566"/>
      <c r="C168" s="566"/>
      <c r="D168" s="566"/>
      <c r="E168" s="566"/>
      <c r="F168" s="566"/>
      <c r="G168" s="566"/>
      <c r="H168" s="566"/>
      <c r="I168" s="566"/>
      <c r="J168" s="566"/>
      <c r="K168" s="566"/>
      <c r="L168" s="566"/>
      <c r="M168" s="566"/>
      <c r="N168" s="566"/>
      <c r="O168" s="566"/>
      <c r="P168" s="566"/>
      <c r="Q168" s="566"/>
      <c r="R168" s="566"/>
      <c r="S168" s="566"/>
      <c r="T168" s="566"/>
      <c r="U168" s="566"/>
      <c r="V168" s="566"/>
      <c r="W168" s="566"/>
      <c r="X168" s="566"/>
      <c r="Y168" s="566"/>
      <c r="Z168" s="566"/>
    </row>
    <row r="169" spans="1:26" x14ac:dyDescent="0.25">
      <c r="A169" s="566" t="s">
        <v>2571</v>
      </c>
      <c r="B169" s="566"/>
      <c r="C169" s="566"/>
      <c r="D169" s="566"/>
      <c r="E169" s="566"/>
      <c r="F169" s="566"/>
      <c r="G169" s="566"/>
      <c r="H169" s="566"/>
      <c r="I169" s="566"/>
      <c r="J169" s="566"/>
      <c r="K169" s="566"/>
      <c r="L169" s="566"/>
      <c r="M169" s="566"/>
      <c r="N169" s="566"/>
      <c r="O169" s="566"/>
      <c r="P169" s="566"/>
      <c r="Q169" s="566"/>
      <c r="R169" s="566"/>
      <c r="S169" s="566"/>
      <c r="T169" s="566"/>
      <c r="U169" s="566"/>
      <c r="V169" s="566"/>
      <c r="W169" s="566"/>
      <c r="X169" s="566"/>
      <c r="Y169" s="566"/>
      <c r="Z169" s="566"/>
    </row>
    <row r="170" spans="1:26" x14ac:dyDescent="0.25">
      <c r="A170" s="566" t="s">
        <v>2572</v>
      </c>
      <c r="B170" s="566"/>
      <c r="C170" s="566"/>
      <c r="D170" s="566"/>
      <c r="E170" s="566"/>
      <c r="F170" s="566"/>
      <c r="G170" s="566"/>
      <c r="H170" s="566"/>
      <c r="I170" s="566"/>
      <c r="J170" s="566"/>
      <c r="K170" s="566"/>
      <c r="L170" s="566"/>
      <c r="M170" s="566"/>
      <c r="N170" s="566"/>
      <c r="O170" s="566"/>
      <c r="P170" s="566"/>
      <c r="Q170" s="566"/>
      <c r="R170" s="566"/>
      <c r="S170" s="566"/>
      <c r="T170" s="566"/>
      <c r="U170" s="566"/>
      <c r="V170" s="566"/>
      <c r="W170" s="566"/>
      <c r="X170" s="566"/>
      <c r="Y170" s="566"/>
      <c r="Z170" s="566"/>
    </row>
    <row r="171" spans="1:26" x14ac:dyDescent="0.25">
      <c r="A171" s="566" t="s">
        <v>2573</v>
      </c>
      <c r="B171" s="566"/>
      <c r="C171" s="566"/>
      <c r="D171" s="566"/>
      <c r="E171" s="566"/>
      <c r="F171" s="566"/>
      <c r="G171" s="566"/>
      <c r="H171" s="566"/>
      <c r="I171" s="566"/>
      <c r="J171" s="566"/>
      <c r="K171" s="566"/>
      <c r="L171" s="566"/>
      <c r="M171" s="566"/>
      <c r="N171" s="566"/>
      <c r="O171" s="566"/>
      <c r="P171" s="566"/>
      <c r="Q171" s="566"/>
      <c r="R171" s="566"/>
      <c r="S171" s="566"/>
      <c r="T171" s="566"/>
      <c r="U171" s="566"/>
      <c r="V171" s="566"/>
      <c r="W171" s="566"/>
      <c r="X171" s="566"/>
      <c r="Y171" s="566"/>
      <c r="Z171" s="566"/>
    </row>
    <row r="172" spans="1:26" x14ac:dyDescent="0.25">
      <c r="A172" s="566" t="s">
        <v>2574</v>
      </c>
      <c r="B172" s="566"/>
      <c r="C172" s="566"/>
      <c r="D172" s="566"/>
      <c r="E172" s="566"/>
      <c r="F172" s="566"/>
      <c r="G172" s="566"/>
      <c r="H172" s="566"/>
      <c r="I172" s="566"/>
      <c r="J172" s="566"/>
      <c r="K172" s="566"/>
      <c r="L172" s="566"/>
      <c r="M172" s="566"/>
      <c r="N172" s="566"/>
      <c r="O172" s="566"/>
      <c r="P172" s="566"/>
      <c r="Q172" s="566"/>
      <c r="R172" s="566"/>
      <c r="S172" s="566"/>
      <c r="T172" s="566"/>
      <c r="U172" s="566"/>
      <c r="V172" s="566"/>
      <c r="W172" s="566"/>
      <c r="X172" s="566"/>
      <c r="Y172" s="566"/>
      <c r="Z172" s="566"/>
    </row>
    <row r="173" spans="1:26" x14ac:dyDescent="0.25">
      <c r="A173" s="566" t="s">
        <v>2575</v>
      </c>
      <c r="B173" s="566"/>
      <c r="C173" s="566"/>
      <c r="D173" s="566"/>
      <c r="E173" s="566"/>
      <c r="F173" s="566"/>
      <c r="G173" s="566"/>
      <c r="H173" s="566"/>
      <c r="I173" s="566"/>
      <c r="J173" s="566"/>
      <c r="K173" s="566"/>
      <c r="L173" s="566"/>
      <c r="M173" s="566"/>
      <c r="N173" s="566"/>
      <c r="O173" s="566"/>
      <c r="P173" s="566"/>
      <c r="Q173" s="566"/>
      <c r="R173" s="566"/>
      <c r="S173" s="566"/>
      <c r="T173" s="566"/>
      <c r="U173" s="566"/>
      <c r="V173" s="566"/>
      <c r="W173" s="566"/>
      <c r="X173" s="566"/>
      <c r="Y173" s="566"/>
      <c r="Z173" s="566"/>
    </row>
    <row r="174" spans="1:26" x14ac:dyDescent="0.25">
      <c r="A174" s="566" t="s">
        <v>2115</v>
      </c>
      <c r="B174" s="566"/>
      <c r="C174" s="566"/>
      <c r="D174" s="566"/>
      <c r="E174" s="566"/>
      <c r="F174" s="566"/>
      <c r="G174" s="566"/>
      <c r="H174" s="566"/>
      <c r="I174" s="566"/>
      <c r="J174" s="566"/>
      <c r="K174" s="566"/>
      <c r="L174" s="566"/>
      <c r="M174" s="566"/>
      <c r="N174" s="566"/>
      <c r="O174" s="566"/>
      <c r="P174" s="566"/>
      <c r="Q174" s="566"/>
      <c r="R174" s="566"/>
      <c r="S174" s="566"/>
      <c r="T174" s="566"/>
      <c r="U174" s="566"/>
      <c r="V174" s="566"/>
      <c r="W174" s="566"/>
      <c r="X174" s="566"/>
      <c r="Y174" s="566"/>
      <c r="Z174" s="566"/>
    </row>
    <row r="175" spans="1:26" x14ac:dyDescent="0.25">
      <c r="A175" s="566" t="s">
        <v>2116</v>
      </c>
      <c r="B175" s="566"/>
      <c r="C175" s="566"/>
      <c r="D175" s="566"/>
      <c r="E175" s="566"/>
      <c r="F175" s="566"/>
      <c r="G175" s="566"/>
      <c r="H175" s="566"/>
      <c r="I175" s="566"/>
      <c r="J175" s="566"/>
      <c r="K175" s="566"/>
      <c r="L175" s="566"/>
      <c r="M175" s="566"/>
      <c r="N175" s="566"/>
      <c r="O175" s="566"/>
      <c r="P175" s="566"/>
      <c r="Q175" s="566"/>
      <c r="R175" s="566"/>
      <c r="S175" s="566"/>
      <c r="T175" s="566"/>
      <c r="U175" s="566"/>
      <c r="V175" s="566"/>
      <c r="W175" s="566"/>
      <c r="X175" s="566"/>
      <c r="Y175" s="566"/>
      <c r="Z175" s="566"/>
    </row>
    <row r="176" spans="1:26" x14ac:dyDescent="0.25">
      <c r="A176" s="566" t="s">
        <v>2117</v>
      </c>
      <c r="B176" s="566"/>
      <c r="C176" s="566"/>
      <c r="D176" s="566"/>
      <c r="E176" s="566"/>
      <c r="F176" s="566"/>
      <c r="G176" s="566"/>
      <c r="H176" s="566"/>
      <c r="I176" s="566"/>
      <c r="J176" s="566"/>
      <c r="K176" s="566"/>
      <c r="L176" s="566"/>
      <c r="M176" s="566"/>
      <c r="N176" s="566"/>
      <c r="O176" s="566"/>
      <c r="P176" s="566"/>
      <c r="Q176" s="566"/>
      <c r="R176" s="566"/>
      <c r="S176" s="566"/>
      <c r="T176" s="566"/>
      <c r="U176" s="566"/>
      <c r="V176" s="566"/>
      <c r="W176" s="566"/>
      <c r="X176" s="566"/>
      <c r="Y176" s="566"/>
      <c r="Z176" s="566"/>
    </row>
    <row r="177" spans="1:26" x14ac:dyDescent="0.25">
      <c r="A177" s="566" t="s">
        <v>2118</v>
      </c>
      <c r="B177" s="566"/>
      <c r="C177" s="566"/>
      <c r="D177" s="566"/>
      <c r="E177" s="566"/>
      <c r="F177" s="566"/>
      <c r="G177" s="566"/>
      <c r="H177" s="566"/>
      <c r="I177" s="566"/>
      <c r="J177" s="566"/>
      <c r="K177" s="566"/>
      <c r="L177" s="566"/>
      <c r="M177" s="566"/>
      <c r="N177" s="566"/>
      <c r="O177" s="566"/>
      <c r="P177" s="566"/>
      <c r="Q177" s="566"/>
      <c r="R177" s="566"/>
      <c r="S177" s="566"/>
      <c r="T177" s="566"/>
      <c r="U177" s="566"/>
      <c r="V177" s="566"/>
      <c r="W177" s="566"/>
      <c r="X177" s="566"/>
      <c r="Y177" s="566"/>
      <c r="Z177" s="566"/>
    </row>
    <row r="178" spans="1:26" x14ac:dyDescent="0.25">
      <c r="A178" s="566" t="s">
        <v>2119</v>
      </c>
      <c r="B178" s="566"/>
      <c r="C178" s="566"/>
      <c r="D178" s="566"/>
      <c r="E178" s="566"/>
      <c r="F178" s="566"/>
      <c r="G178" s="566"/>
      <c r="H178" s="566"/>
      <c r="I178" s="566"/>
      <c r="J178" s="566"/>
      <c r="K178" s="566"/>
      <c r="L178" s="566"/>
      <c r="M178" s="566"/>
      <c r="N178" s="566"/>
      <c r="O178" s="566"/>
      <c r="P178" s="566"/>
      <c r="Q178" s="566"/>
      <c r="R178" s="566"/>
      <c r="S178" s="566"/>
      <c r="T178" s="566"/>
      <c r="U178" s="566"/>
      <c r="V178" s="566"/>
      <c r="W178" s="566"/>
      <c r="X178" s="566"/>
      <c r="Y178" s="566"/>
      <c r="Z178" s="566"/>
    </row>
    <row r="179" spans="1:26" x14ac:dyDescent="0.25">
      <c r="A179" s="566" t="s">
        <v>2120</v>
      </c>
      <c r="B179" s="566"/>
      <c r="C179" s="566"/>
      <c r="D179" s="566"/>
      <c r="E179" s="566"/>
      <c r="F179" s="566"/>
      <c r="G179" s="566"/>
      <c r="H179" s="566"/>
      <c r="I179" s="566"/>
      <c r="J179" s="566"/>
      <c r="K179" s="566"/>
      <c r="L179" s="566"/>
      <c r="M179" s="566"/>
      <c r="N179" s="566"/>
      <c r="O179" s="566"/>
      <c r="P179" s="566"/>
      <c r="Q179" s="566"/>
      <c r="R179" s="566"/>
      <c r="S179" s="566"/>
      <c r="T179" s="566"/>
      <c r="U179" s="566"/>
      <c r="V179" s="566"/>
      <c r="W179" s="566"/>
      <c r="X179" s="566"/>
      <c r="Y179" s="566"/>
      <c r="Z179" s="566"/>
    </row>
    <row r="180" spans="1:26" x14ac:dyDescent="0.25">
      <c r="A180" s="566" t="s">
        <v>2121</v>
      </c>
      <c r="B180" s="566"/>
      <c r="C180" s="566"/>
      <c r="D180" s="566"/>
      <c r="E180" s="566"/>
      <c r="F180" s="566"/>
      <c r="G180" s="566"/>
      <c r="H180" s="566"/>
      <c r="I180" s="566"/>
      <c r="J180" s="566"/>
      <c r="K180" s="566"/>
      <c r="L180" s="566"/>
      <c r="M180" s="566"/>
      <c r="N180" s="566"/>
      <c r="O180" s="566"/>
      <c r="P180" s="566"/>
      <c r="Q180" s="566"/>
      <c r="R180" s="566"/>
      <c r="S180" s="566"/>
      <c r="T180" s="566"/>
      <c r="U180" s="566"/>
      <c r="V180" s="566"/>
      <c r="W180" s="566"/>
      <c r="X180" s="566"/>
      <c r="Y180" s="566"/>
      <c r="Z180" s="566"/>
    </row>
    <row r="181" spans="1:26" x14ac:dyDescent="0.25">
      <c r="A181" s="566" t="s">
        <v>2576</v>
      </c>
      <c r="B181" s="566"/>
      <c r="C181" s="566"/>
      <c r="D181" s="566"/>
      <c r="E181" s="566"/>
      <c r="F181" s="566"/>
      <c r="G181" s="566"/>
      <c r="H181" s="566"/>
      <c r="I181" s="566"/>
      <c r="J181" s="566"/>
      <c r="K181" s="566"/>
      <c r="L181" s="566"/>
      <c r="M181" s="566"/>
      <c r="N181" s="566"/>
      <c r="O181" s="566"/>
      <c r="P181" s="566"/>
      <c r="Q181" s="566"/>
      <c r="R181" s="566"/>
      <c r="S181" s="566"/>
      <c r="T181" s="566"/>
      <c r="U181" s="566"/>
      <c r="V181" s="566"/>
      <c r="W181" s="566"/>
      <c r="X181" s="566"/>
      <c r="Y181" s="566"/>
      <c r="Z181" s="566"/>
    </row>
    <row r="182" spans="1:26" x14ac:dyDescent="0.25">
      <c r="A182" s="566" t="s">
        <v>2577</v>
      </c>
      <c r="B182" s="566"/>
      <c r="C182" s="566"/>
      <c r="D182" s="566"/>
      <c r="E182" s="566"/>
      <c r="F182" s="566"/>
      <c r="G182" s="566"/>
      <c r="H182" s="566"/>
      <c r="I182" s="566"/>
      <c r="J182" s="566"/>
      <c r="K182" s="566"/>
      <c r="L182" s="566"/>
      <c r="M182" s="566"/>
      <c r="N182" s="566"/>
      <c r="O182" s="566"/>
      <c r="P182" s="566"/>
      <c r="Q182" s="566"/>
      <c r="R182" s="566"/>
      <c r="S182" s="566"/>
      <c r="T182" s="566"/>
      <c r="U182" s="566"/>
      <c r="V182" s="566"/>
      <c r="W182" s="566"/>
      <c r="X182" s="566"/>
      <c r="Y182" s="566"/>
      <c r="Z182" s="566"/>
    </row>
    <row r="183" spans="1:26" x14ac:dyDescent="0.25">
      <c r="A183" s="566" t="s">
        <v>2578</v>
      </c>
      <c r="B183" s="566"/>
      <c r="C183" s="566"/>
      <c r="D183" s="566"/>
      <c r="E183" s="566"/>
      <c r="F183" s="566"/>
      <c r="G183" s="566"/>
      <c r="H183" s="566"/>
      <c r="I183" s="566"/>
      <c r="J183" s="566"/>
      <c r="K183" s="566"/>
      <c r="L183" s="566"/>
      <c r="M183" s="566"/>
      <c r="N183" s="566"/>
      <c r="O183" s="566"/>
      <c r="P183" s="566"/>
      <c r="Q183" s="566"/>
      <c r="R183" s="566"/>
      <c r="S183" s="566"/>
      <c r="T183" s="566"/>
      <c r="U183" s="566"/>
      <c r="V183" s="566"/>
      <c r="W183" s="566"/>
      <c r="X183" s="566"/>
      <c r="Y183" s="566"/>
      <c r="Z183" s="566"/>
    </row>
    <row r="184" spans="1:26" x14ac:dyDescent="0.25">
      <c r="A184" s="566" t="s">
        <v>2579</v>
      </c>
      <c r="B184" s="566"/>
      <c r="C184" s="566"/>
      <c r="D184" s="566"/>
      <c r="E184" s="566"/>
      <c r="F184" s="566"/>
      <c r="G184" s="566"/>
      <c r="H184" s="566"/>
      <c r="I184" s="566"/>
      <c r="J184" s="566"/>
      <c r="K184" s="566"/>
      <c r="L184" s="566"/>
      <c r="M184" s="566"/>
      <c r="N184" s="566"/>
      <c r="O184" s="566"/>
      <c r="P184" s="566"/>
      <c r="Q184" s="566"/>
      <c r="R184" s="566"/>
      <c r="S184" s="566"/>
      <c r="T184" s="566"/>
      <c r="U184" s="566"/>
      <c r="V184" s="566"/>
      <c r="W184" s="566"/>
      <c r="X184" s="566"/>
      <c r="Y184" s="566"/>
      <c r="Z184" s="566"/>
    </row>
    <row r="185" spans="1:26" x14ac:dyDescent="0.25">
      <c r="A185" s="566" t="s">
        <v>2580</v>
      </c>
      <c r="B185" s="566"/>
      <c r="C185" s="566"/>
      <c r="D185" s="566"/>
      <c r="E185" s="566"/>
      <c r="F185" s="566"/>
      <c r="G185" s="566"/>
      <c r="H185" s="566"/>
      <c r="I185" s="566"/>
      <c r="J185" s="566"/>
      <c r="K185" s="566"/>
      <c r="L185" s="566"/>
      <c r="M185" s="566"/>
      <c r="N185" s="566"/>
      <c r="O185" s="566"/>
      <c r="P185" s="566"/>
      <c r="Q185" s="566"/>
      <c r="R185" s="566"/>
      <c r="S185" s="566"/>
      <c r="T185" s="566"/>
      <c r="U185" s="566"/>
      <c r="V185" s="566"/>
      <c r="W185" s="566"/>
      <c r="X185" s="566"/>
      <c r="Y185" s="566"/>
      <c r="Z185" s="566"/>
    </row>
    <row r="186" spans="1:26" x14ac:dyDescent="0.25">
      <c r="A186" s="566" t="s">
        <v>2581</v>
      </c>
      <c r="B186" s="566"/>
      <c r="C186" s="566"/>
      <c r="D186" s="566"/>
      <c r="E186" s="566"/>
      <c r="F186" s="566"/>
      <c r="G186" s="566"/>
      <c r="H186" s="566"/>
      <c r="I186" s="566"/>
      <c r="J186" s="566"/>
      <c r="K186" s="566"/>
      <c r="L186" s="566"/>
      <c r="M186" s="566"/>
      <c r="N186" s="566"/>
      <c r="O186" s="566"/>
      <c r="P186" s="566"/>
      <c r="Q186" s="566"/>
      <c r="R186" s="566"/>
      <c r="S186" s="566"/>
      <c r="T186" s="566"/>
      <c r="U186" s="566"/>
      <c r="V186" s="566"/>
      <c r="W186" s="566"/>
      <c r="X186" s="566"/>
      <c r="Y186" s="566"/>
      <c r="Z186" s="566"/>
    </row>
    <row r="187" spans="1:26" x14ac:dyDescent="0.25">
      <c r="A187" s="566" t="s">
        <v>2122</v>
      </c>
      <c r="B187" s="566"/>
      <c r="C187" s="566"/>
      <c r="D187" s="566"/>
      <c r="E187" s="566"/>
      <c r="F187" s="566"/>
      <c r="G187" s="566"/>
      <c r="H187" s="566"/>
      <c r="I187" s="566"/>
      <c r="J187" s="566"/>
      <c r="K187" s="566"/>
      <c r="L187" s="566"/>
      <c r="M187" s="566"/>
      <c r="N187" s="566"/>
      <c r="O187" s="566"/>
      <c r="P187" s="566"/>
      <c r="Q187" s="566"/>
      <c r="R187" s="566"/>
      <c r="S187" s="566"/>
      <c r="T187" s="566"/>
      <c r="U187" s="566"/>
      <c r="V187" s="566"/>
      <c r="W187" s="566"/>
      <c r="X187" s="566"/>
      <c r="Y187" s="566"/>
      <c r="Z187" s="566"/>
    </row>
    <row r="188" spans="1:26" x14ac:dyDescent="0.25">
      <c r="A188" s="566" t="s">
        <v>2123</v>
      </c>
      <c r="B188" s="566"/>
      <c r="C188" s="566"/>
      <c r="D188" s="566"/>
      <c r="E188" s="566"/>
      <c r="F188" s="566"/>
      <c r="G188" s="566"/>
      <c r="H188" s="566"/>
      <c r="I188" s="566"/>
      <c r="J188" s="566"/>
      <c r="K188" s="566"/>
      <c r="L188" s="566"/>
      <c r="M188" s="566"/>
      <c r="N188" s="566"/>
      <c r="O188" s="566"/>
      <c r="P188" s="566"/>
      <c r="Q188" s="566"/>
      <c r="R188" s="566"/>
      <c r="S188" s="566"/>
      <c r="T188" s="566"/>
      <c r="U188" s="566"/>
      <c r="V188" s="566"/>
      <c r="W188" s="566"/>
      <c r="X188" s="566"/>
      <c r="Y188" s="566"/>
      <c r="Z188" s="566"/>
    </row>
    <row r="189" spans="1:26" x14ac:dyDescent="0.25">
      <c r="A189" s="566" t="s">
        <v>2124</v>
      </c>
      <c r="B189" s="566"/>
      <c r="C189" s="566"/>
      <c r="D189" s="566"/>
      <c r="E189" s="566"/>
      <c r="F189" s="566"/>
      <c r="G189" s="566"/>
      <c r="H189" s="566"/>
      <c r="I189" s="566"/>
      <c r="J189" s="566"/>
      <c r="K189" s="566"/>
      <c r="L189" s="566"/>
      <c r="M189" s="566"/>
      <c r="N189" s="566"/>
      <c r="O189" s="566"/>
      <c r="P189" s="566"/>
      <c r="Q189" s="566"/>
      <c r="R189" s="566"/>
      <c r="S189" s="566"/>
      <c r="T189" s="566"/>
      <c r="U189" s="566"/>
      <c r="V189" s="566"/>
      <c r="W189" s="566"/>
      <c r="X189" s="566"/>
      <c r="Y189" s="566"/>
      <c r="Z189" s="566"/>
    </row>
    <row r="190" spans="1:26" x14ac:dyDescent="0.25">
      <c r="A190" s="566" t="s">
        <v>2125</v>
      </c>
      <c r="B190" s="566"/>
      <c r="C190" s="566"/>
      <c r="D190" s="566"/>
      <c r="E190" s="566"/>
      <c r="F190" s="566"/>
      <c r="G190" s="566"/>
      <c r="H190" s="566"/>
      <c r="I190" s="566"/>
      <c r="J190" s="566"/>
      <c r="K190" s="566"/>
      <c r="L190" s="566"/>
      <c r="M190" s="566"/>
      <c r="N190" s="566"/>
      <c r="O190" s="566"/>
      <c r="P190" s="566"/>
      <c r="Q190" s="566"/>
      <c r="R190" s="566"/>
      <c r="S190" s="566"/>
      <c r="T190" s="566"/>
      <c r="U190" s="566"/>
      <c r="V190" s="566"/>
      <c r="W190" s="566"/>
      <c r="X190" s="566"/>
      <c r="Y190" s="566"/>
      <c r="Z190" s="566"/>
    </row>
    <row r="191" spans="1:26" x14ac:dyDescent="0.25">
      <c r="A191" s="566" t="s">
        <v>2126</v>
      </c>
      <c r="B191" s="566"/>
      <c r="C191" s="566"/>
      <c r="D191" s="566"/>
      <c r="E191" s="566"/>
      <c r="F191" s="566"/>
      <c r="G191" s="566"/>
      <c r="H191" s="566"/>
      <c r="I191" s="566"/>
      <c r="J191" s="566"/>
      <c r="K191" s="566"/>
      <c r="L191" s="566"/>
      <c r="M191" s="566"/>
      <c r="N191" s="566"/>
      <c r="O191" s="566"/>
      <c r="P191" s="566"/>
      <c r="Q191" s="566"/>
      <c r="R191" s="566"/>
      <c r="S191" s="566"/>
      <c r="T191" s="566"/>
      <c r="U191" s="566"/>
      <c r="V191" s="566"/>
      <c r="W191" s="566"/>
      <c r="X191" s="566"/>
      <c r="Y191" s="566"/>
      <c r="Z191" s="566"/>
    </row>
    <row r="192" spans="1:26" x14ac:dyDescent="0.25">
      <c r="A192" s="566" t="s">
        <v>2582</v>
      </c>
      <c r="B192" s="566"/>
      <c r="C192" s="566"/>
      <c r="D192" s="566"/>
      <c r="E192" s="566"/>
      <c r="F192" s="566"/>
      <c r="G192" s="566"/>
      <c r="H192" s="566"/>
      <c r="I192" s="566"/>
      <c r="J192" s="566"/>
      <c r="K192" s="566"/>
      <c r="L192" s="566"/>
      <c r="M192" s="566"/>
      <c r="N192" s="566"/>
      <c r="O192" s="566"/>
      <c r="P192" s="566"/>
      <c r="Q192" s="566"/>
      <c r="R192" s="566"/>
      <c r="S192" s="566"/>
      <c r="T192" s="566"/>
      <c r="U192" s="566"/>
      <c r="V192" s="566"/>
      <c r="W192" s="566"/>
      <c r="X192" s="566"/>
      <c r="Y192" s="566"/>
      <c r="Z192" s="566"/>
    </row>
    <row r="193" spans="1:26" x14ac:dyDescent="0.25">
      <c r="A193" s="566" t="s">
        <v>2583</v>
      </c>
      <c r="B193" s="566"/>
      <c r="C193" s="566"/>
      <c r="D193" s="566"/>
      <c r="E193" s="566"/>
      <c r="F193" s="566"/>
      <c r="G193" s="566"/>
      <c r="H193" s="566"/>
      <c r="I193" s="566"/>
      <c r="J193" s="566"/>
      <c r="K193" s="566"/>
      <c r="L193" s="566"/>
      <c r="M193" s="566"/>
      <c r="N193" s="566"/>
      <c r="O193" s="566"/>
      <c r="P193" s="566"/>
      <c r="Q193" s="566"/>
      <c r="R193" s="566"/>
      <c r="S193" s="566"/>
      <c r="T193" s="566"/>
      <c r="U193" s="566"/>
      <c r="V193" s="566"/>
      <c r="W193" s="566"/>
      <c r="X193" s="566"/>
      <c r="Y193" s="566"/>
      <c r="Z193" s="566"/>
    </row>
    <row r="194" spans="1:26" x14ac:dyDescent="0.25">
      <c r="A194" s="566" t="s">
        <v>2584</v>
      </c>
      <c r="B194" s="566"/>
      <c r="C194" s="566"/>
      <c r="D194" s="566"/>
      <c r="E194" s="566"/>
      <c r="F194" s="566"/>
      <c r="G194" s="566"/>
      <c r="H194" s="566"/>
      <c r="I194" s="566"/>
      <c r="J194" s="566"/>
      <c r="K194" s="566"/>
      <c r="L194" s="566"/>
      <c r="M194" s="566"/>
      <c r="N194" s="566"/>
      <c r="O194" s="566"/>
      <c r="P194" s="566"/>
      <c r="Q194" s="566"/>
      <c r="R194" s="566"/>
      <c r="S194" s="566"/>
      <c r="T194" s="566"/>
      <c r="U194" s="566"/>
      <c r="V194" s="566"/>
      <c r="W194" s="566"/>
      <c r="X194" s="566"/>
      <c r="Y194" s="566"/>
      <c r="Z194" s="566"/>
    </row>
    <row r="195" spans="1:26" x14ac:dyDescent="0.25">
      <c r="A195" s="566" t="s">
        <v>2585</v>
      </c>
      <c r="B195" s="566"/>
      <c r="C195" s="566"/>
      <c r="D195" s="566"/>
      <c r="E195" s="566"/>
      <c r="F195" s="566"/>
      <c r="G195" s="566"/>
      <c r="H195" s="566"/>
      <c r="I195" s="566"/>
      <c r="J195" s="566"/>
      <c r="K195" s="566"/>
      <c r="L195" s="566"/>
      <c r="M195" s="566"/>
      <c r="N195" s="566"/>
      <c r="O195" s="566"/>
      <c r="P195" s="566"/>
      <c r="Q195" s="566"/>
      <c r="R195" s="566"/>
      <c r="S195" s="566"/>
      <c r="T195" s="566"/>
      <c r="U195" s="566"/>
      <c r="V195" s="566"/>
      <c r="W195" s="566"/>
      <c r="X195" s="566"/>
      <c r="Y195" s="566"/>
      <c r="Z195" s="566"/>
    </row>
    <row r="196" spans="1:26" x14ac:dyDescent="0.25">
      <c r="A196" s="566" t="s">
        <v>2586</v>
      </c>
      <c r="B196" s="566"/>
      <c r="C196" s="566"/>
      <c r="D196" s="566"/>
      <c r="E196" s="566"/>
      <c r="F196" s="566"/>
      <c r="G196" s="566"/>
      <c r="H196" s="566"/>
      <c r="I196" s="566"/>
      <c r="J196" s="566"/>
      <c r="K196" s="566"/>
      <c r="L196" s="566"/>
      <c r="M196" s="566"/>
      <c r="N196" s="566"/>
      <c r="O196" s="566"/>
      <c r="P196" s="566"/>
      <c r="Q196" s="566"/>
      <c r="R196" s="566"/>
      <c r="S196" s="566"/>
      <c r="T196" s="566"/>
      <c r="U196" s="566"/>
      <c r="V196" s="566"/>
      <c r="W196" s="566"/>
      <c r="X196" s="566"/>
      <c r="Y196" s="566"/>
      <c r="Z196" s="566"/>
    </row>
    <row r="197" spans="1:26" x14ac:dyDescent="0.25">
      <c r="A197" s="566" t="s">
        <v>2587</v>
      </c>
      <c r="B197" s="566"/>
      <c r="C197" s="566"/>
      <c r="D197" s="566"/>
      <c r="E197" s="566"/>
      <c r="F197" s="566"/>
      <c r="G197" s="566"/>
      <c r="H197" s="566"/>
      <c r="I197" s="566"/>
      <c r="J197" s="566"/>
      <c r="K197" s="566"/>
      <c r="L197" s="566"/>
      <c r="M197" s="566"/>
      <c r="N197" s="566"/>
      <c r="O197" s="566"/>
      <c r="P197" s="566"/>
      <c r="Q197" s="566"/>
      <c r="R197" s="566"/>
      <c r="S197" s="566"/>
      <c r="T197" s="566"/>
      <c r="U197" s="566"/>
      <c r="V197" s="566"/>
      <c r="W197" s="566"/>
      <c r="X197" s="566"/>
      <c r="Y197" s="566"/>
      <c r="Z197" s="566"/>
    </row>
    <row r="198" spans="1:26" x14ac:dyDescent="0.25">
      <c r="A198" s="566" t="s">
        <v>2588</v>
      </c>
      <c r="B198" s="566"/>
      <c r="C198" s="566"/>
      <c r="D198" s="566"/>
      <c r="E198" s="566"/>
      <c r="F198" s="566"/>
      <c r="G198" s="566"/>
      <c r="H198" s="566"/>
      <c r="I198" s="566"/>
      <c r="J198" s="566"/>
      <c r="K198" s="566"/>
      <c r="L198" s="566"/>
      <c r="M198" s="566"/>
      <c r="N198" s="566"/>
      <c r="O198" s="566"/>
      <c r="P198" s="566"/>
      <c r="Q198" s="566"/>
      <c r="R198" s="566"/>
      <c r="S198" s="566"/>
      <c r="T198" s="566"/>
      <c r="U198" s="566"/>
      <c r="V198" s="566"/>
      <c r="W198" s="566"/>
      <c r="X198" s="566"/>
      <c r="Y198" s="566"/>
      <c r="Z198" s="566"/>
    </row>
    <row r="199" spans="1:26" x14ac:dyDescent="0.25">
      <c r="A199" s="566" t="s">
        <v>2589</v>
      </c>
      <c r="B199" s="566"/>
      <c r="C199" s="566"/>
      <c r="D199" s="566"/>
      <c r="E199" s="566"/>
      <c r="F199" s="566"/>
      <c r="G199" s="566"/>
      <c r="H199" s="566"/>
      <c r="I199" s="566"/>
      <c r="J199" s="566"/>
      <c r="K199" s="566"/>
      <c r="L199" s="566"/>
      <c r="M199" s="566"/>
      <c r="N199" s="566"/>
      <c r="O199" s="566"/>
      <c r="P199" s="566"/>
      <c r="Q199" s="566"/>
      <c r="R199" s="566"/>
      <c r="S199" s="566"/>
      <c r="T199" s="566"/>
      <c r="U199" s="566"/>
      <c r="V199" s="566"/>
      <c r="W199" s="566"/>
      <c r="X199" s="566"/>
      <c r="Y199" s="566"/>
      <c r="Z199" s="566"/>
    </row>
    <row r="200" spans="1:26" x14ac:dyDescent="0.25">
      <c r="A200" s="566" t="s">
        <v>2590</v>
      </c>
      <c r="B200" s="566"/>
      <c r="C200" s="566"/>
      <c r="D200" s="566"/>
      <c r="E200" s="566"/>
      <c r="F200" s="566"/>
      <c r="G200" s="566"/>
      <c r="H200" s="566"/>
      <c r="I200" s="566"/>
      <c r="J200" s="566"/>
      <c r="K200" s="566"/>
      <c r="L200" s="566"/>
      <c r="M200" s="566"/>
      <c r="N200" s="566"/>
      <c r="O200" s="566"/>
      <c r="P200" s="566"/>
      <c r="Q200" s="566"/>
      <c r="R200" s="566"/>
      <c r="S200" s="566"/>
      <c r="T200" s="566"/>
      <c r="U200" s="566"/>
      <c r="V200" s="566"/>
      <c r="W200" s="566"/>
      <c r="X200" s="566"/>
      <c r="Y200" s="566"/>
      <c r="Z200" s="566"/>
    </row>
    <row r="201" spans="1:26" x14ac:dyDescent="0.25">
      <c r="A201" s="566" t="s">
        <v>2127</v>
      </c>
      <c r="B201" s="566"/>
      <c r="C201" s="566"/>
      <c r="D201" s="566"/>
      <c r="E201" s="566"/>
      <c r="F201" s="566"/>
      <c r="G201" s="566"/>
      <c r="H201" s="566"/>
      <c r="I201" s="566"/>
      <c r="J201" s="566"/>
      <c r="K201" s="566"/>
      <c r="L201" s="566"/>
      <c r="M201" s="566"/>
      <c r="N201" s="566"/>
      <c r="O201" s="566"/>
      <c r="P201" s="566"/>
      <c r="Q201" s="566"/>
      <c r="R201" s="566"/>
      <c r="S201" s="566"/>
      <c r="T201" s="566"/>
      <c r="U201" s="566"/>
      <c r="V201" s="566"/>
      <c r="W201" s="566"/>
      <c r="X201" s="566"/>
      <c r="Y201" s="566"/>
      <c r="Z201" s="566"/>
    </row>
    <row r="202" spans="1:26" x14ac:dyDescent="0.25">
      <c r="A202" s="566" t="s">
        <v>2591</v>
      </c>
      <c r="B202" s="566"/>
      <c r="C202" s="566"/>
      <c r="D202" s="566"/>
      <c r="E202" s="566"/>
      <c r="F202" s="566"/>
      <c r="G202" s="566"/>
      <c r="H202" s="566"/>
      <c r="I202" s="566"/>
      <c r="J202" s="566"/>
      <c r="K202" s="566"/>
      <c r="L202" s="566"/>
      <c r="M202" s="566"/>
      <c r="N202" s="566"/>
      <c r="O202" s="566"/>
      <c r="P202" s="566"/>
      <c r="Q202" s="566"/>
      <c r="R202" s="566"/>
      <c r="S202" s="566"/>
      <c r="T202" s="566"/>
      <c r="U202" s="566"/>
      <c r="V202" s="566"/>
      <c r="W202" s="566"/>
      <c r="X202" s="566"/>
      <c r="Y202" s="566"/>
      <c r="Z202" s="566"/>
    </row>
    <row r="203" spans="1:26" x14ac:dyDescent="0.25">
      <c r="A203" s="566" t="s">
        <v>2592</v>
      </c>
      <c r="B203" s="566"/>
      <c r="C203" s="566"/>
      <c r="D203" s="566"/>
      <c r="E203" s="566"/>
      <c r="F203" s="566"/>
      <c r="G203" s="566"/>
      <c r="H203" s="566"/>
      <c r="I203" s="566"/>
      <c r="J203" s="566"/>
      <c r="K203" s="566"/>
      <c r="L203" s="566"/>
      <c r="M203" s="566"/>
      <c r="N203" s="566"/>
      <c r="O203" s="566"/>
      <c r="P203" s="566"/>
      <c r="Q203" s="566"/>
      <c r="R203" s="566"/>
      <c r="S203" s="566"/>
      <c r="T203" s="566"/>
      <c r="U203" s="566"/>
      <c r="V203" s="566"/>
      <c r="W203" s="566"/>
      <c r="X203" s="566"/>
      <c r="Y203" s="566"/>
      <c r="Z203" s="566"/>
    </row>
    <row r="204" spans="1:26" x14ac:dyDescent="0.25">
      <c r="A204" s="566" t="s">
        <v>2593</v>
      </c>
      <c r="B204" s="566"/>
      <c r="C204" s="566"/>
      <c r="D204" s="566"/>
      <c r="E204" s="566"/>
      <c r="F204" s="566"/>
      <c r="G204" s="566"/>
      <c r="H204" s="566"/>
      <c r="I204" s="566"/>
      <c r="J204" s="566"/>
      <c r="K204" s="566"/>
      <c r="L204" s="566"/>
      <c r="M204" s="566"/>
      <c r="N204" s="566"/>
      <c r="O204" s="566"/>
      <c r="P204" s="566"/>
      <c r="Q204" s="566"/>
      <c r="R204" s="566"/>
      <c r="S204" s="566"/>
      <c r="T204" s="566"/>
      <c r="U204" s="566"/>
      <c r="V204" s="566"/>
      <c r="W204" s="566"/>
      <c r="X204" s="566"/>
      <c r="Y204" s="566"/>
      <c r="Z204" s="566"/>
    </row>
    <row r="205" spans="1:26" x14ac:dyDescent="0.25">
      <c r="A205" s="566" t="s">
        <v>2594</v>
      </c>
      <c r="B205" s="566"/>
      <c r="C205" s="566"/>
      <c r="D205" s="566"/>
      <c r="E205" s="566"/>
      <c r="F205" s="566"/>
      <c r="G205" s="566"/>
      <c r="H205" s="566"/>
      <c r="I205" s="566"/>
      <c r="J205" s="566"/>
      <c r="K205" s="566"/>
      <c r="L205" s="566"/>
      <c r="M205" s="566"/>
      <c r="N205" s="566"/>
      <c r="O205" s="566"/>
      <c r="P205" s="566"/>
      <c r="Q205" s="566"/>
      <c r="R205" s="566"/>
      <c r="S205" s="566"/>
      <c r="T205" s="566"/>
      <c r="U205" s="566"/>
      <c r="V205" s="566"/>
      <c r="W205" s="566"/>
      <c r="X205" s="566"/>
      <c r="Y205" s="566"/>
      <c r="Z205" s="566"/>
    </row>
    <row r="206" spans="1:26" x14ac:dyDescent="0.25">
      <c r="A206" s="566" t="s">
        <v>2595</v>
      </c>
      <c r="B206" s="566"/>
      <c r="C206" s="566"/>
      <c r="D206" s="566"/>
      <c r="E206" s="566"/>
      <c r="F206" s="566"/>
      <c r="G206" s="566"/>
      <c r="H206" s="566"/>
      <c r="I206" s="566"/>
      <c r="J206" s="566"/>
      <c r="K206" s="566"/>
      <c r="L206" s="566"/>
      <c r="M206" s="566"/>
      <c r="N206" s="566"/>
      <c r="O206" s="566"/>
      <c r="P206" s="566"/>
      <c r="Q206" s="566"/>
      <c r="R206" s="566"/>
      <c r="S206" s="566"/>
      <c r="T206" s="566"/>
      <c r="U206" s="566"/>
      <c r="V206" s="566"/>
      <c r="W206" s="566"/>
      <c r="X206" s="566"/>
      <c r="Y206" s="566"/>
      <c r="Z206" s="566"/>
    </row>
    <row r="207" spans="1:26" x14ac:dyDescent="0.25">
      <c r="A207" s="566" t="s">
        <v>2128</v>
      </c>
      <c r="B207" s="566"/>
      <c r="C207" s="566"/>
      <c r="D207" s="566"/>
      <c r="E207" s="566"/>
      <c r="F207" s="566"/>
      <c r="G207" s="566"/>
      <c r="H207" s="566"/>
      <c r="I207" s="566"/>
      <c r="J207" s="566"/>
      <c r="K207" s="566"/>
      <c r="L207" s="566"/>
      <c r="M207" s="566"/>
      <c r="N207" s="566"/>
      <c r="O207" s="566"/>
      <c r="P207" s="566"/>
      <c r="Q207" s="566"/>
      <c r="R207" s="566"/>
      <c r="S207" s="566"/>
      <c r="T207" s="566"/>
      <c r="U207" s="566"/>
      <c r="V207" s="566"/>
      <c r="W207" s="566"/>
      <c r="X207" s="566"/>
      <c r="Y207" s="566"/>
      <c r="Z207" s="566"/>
    </row>
    <row r="208" spans="1:26" x14ac:dyDescent="0.25">
      <c r="A208" s="566" t="s">
        <v>2129</v>
      </c>
      <c r="B208" s="566"/>
      <c r="C208" s="566"/>
      <c r="D208" s="566"/>
      <c r="E208" s="566"/>
      <c r="F208" s="566"/>
      <c r="G208" s="566"/>
      <c r="H208" s="566"/>
      <c r="I208" s="566"/>
      <c r="J208" s="566"/>
      <c r="K208" s="566"/>
      <c r="L208" s="566"/>
      <c r="M208" s="566"/>
      <c r="N208" s="566"/>
      <c r="O208" s="566"/>
      <c r="P208" s="566"/>
      <c r="Q208" s="566"/>
      <c r="R208" s="566"/>
      <c r="S208" s="566"/>
      <c r="T208" s="566"/>
      <c r="U208" s="566"/>
      <c r="V208" s="566"/>
      <c r="W208" s="566"/>
      <c r="X208" s="566"/>
      <c r="Y208" s="566"/>
      <c r="Z208" s="566"/>
    </row>
    <row r="209" spans="1:26" x14ac:dyDescent="0.25">
      <c r="A209" s="566" t="s">
        <v>2596</v>
      </c>
      <c r="B209" s="566"/>
      <c r="C209" s="566"/>
      <c r="D209" s="566"/>
      <c r="E209" s="566"/>
      <c r="F209" s="566"/>
      <c r="G209" s="566"/>
      <c r="H209" s="566"/>
      <c r="I209" s="566"/>
      <c r="J209" s="566"/>
      <c r="K209" s="566"/>
      <c r="L209" s="566"/>
      <c r="M209" s="566"/>
      <c r="N209" s="566"/>
      <c r="O209" s="566"/>
      <c r="P209" s="566"/>
      <c r="Q209" s="566"/>
      <c r="R209" s="566"/>
      <c r="S209" s="566"/>
      <c r="T209" s="566"/>
      <c r="U209" s="566"/>
      <c r="V209" s="566"/>
      <c r="W209" s="566"/>
      <c r="X209" s="566"/>
      <c r="Y209" s="566"/>
      <c r="Z209" s="566"/>
    </row>
    <row r="210" spans="1:26" x14ac:dyDescent="0.25">
      <c r="A210" s="566" t="s">
        <v>2597</v>
      </c>
      <c r="B210" s="566"/>
      <c r="C210" s="566"/>
      <c r="D210" s="566"/>
      <c r="E210" s="566"/>
      <c r="F210" s="566"/>
      <c r="G210" s="566"/>
      <c r="H210" s="566"/>
      <c r="I210" s="566"/>
      <c r="J210" s="566"/>
      <c r="K210" s="566"/>
      <c r="L210" s="566"/>
      <c r="M210" s="566"/>
      <c r="N210" s="566"/>
      <c r="O210" s="566"/>
      <c r="P210" s="566"/>
      <c r="Q210" s="566"/>
      <c r="R210" s="566"/>
      <c r="S210" s="566"/>
      <c r="T210" s="566"/>
      <c r="U210" s="566"/>
      <c r="V210" s="566"/>
      <c r="W210" s="566"/>
      <c r="X210" s="566"/>
      <c r="Y210" s="566"/>
      <c r="Z210" s="566"/>
    </row>
    <row r="211" spans="1:26" x14ac:dyDescent="0.25">
      <c r="A211" s="566" t="s">
        <v>2598</v>
      </c>
      <c r="B211" s="566"/>
      <c r="C211" s="566"/>
      <c r="D211" s="566"/>
      <c r="E211" s="566"/>
      <c r="F211" s="566"/>
      <c r="G211" s="566"/>
      <c r="H211" s="566"/>
      <c r="I211" s="566"/>
      <c r="J211" s="566"/>
      <c r="K211" s="566"/>
      <c r="L211" s="566"/>
      <c r="M211" s="566"/>
      <c r="N211" s="566"/>
      <c r="O211" s="566"/>
      <c r="P211" s="566"/>
      <c r="Q211" s="566"/>
      <c r="R211" s="566"/>
      <c r="S211" s="566"/>
      <c r="T211" s="566"/>
      <c r="U211" s="566"/>
      <c r="V211" s="566"/>
      <c r="W211" s="566"/>
      <c r="X211" s="566"/>
      <c r="Y211" s="566"/>
      <c r="Z211" s="566"/>
    </row>
    <row r="212" spans="1:26" x14ac:dyDescent="0.25">
      <c r="A212" s="566" t="s">
        <v>2599</v>
      </c>
      <c r="B212" s="566"/>
      <c r="C212" s="566"/>
      <c r="D212" s="566"/>
      <c r="E212" s="566"/>
      <c r="F212" s="566"/>
      <c r="G212" s="566"/>
      <c r="H212" s="566"/>
      <c r="I212" s="566"/>
      <c r="J212" s="566"/>
      <c r="K212" s="566"/>
      <c r="L212" s="566"/>
      <c r="M212" s="566"/>
      <c r="N212" s="566"/>
      <c r="O212" s="566"/>
      <c r="P212" s="566"/>
      <c r="Q212" s="566"/>
      <c r="R212" s="566"/>
      <c r="S212" s="566"/>
      <c r="T212" s="566"/>
      <c r="U212" s="566"/>
      <c r="V212" s="566"/>
      <c r="W212" s="566"/>
      <c r="X212" s="566"/>
      <c r="Y212" s="566"/>
      <c r="Z212" s="566"/>
    </row>
    <row r="213" spans="1:26" x14ac:dyDescent="0.25">
      <c r="A213" s="566" t="s">
        <v>2600</v>
      </c>
      <c r="B213" s="566"/>
      <c r="C213" s="566"/>
      <c r="D213" s="566"/>
      <c r="E213" s="566"/>
      <c r="F213" s="566"/>
      <c r="G213" s="566"/>
      <c r="H213" s="566"/>
      <c r="I213" s="566"/>
      <c r="J213" s="566"/>
      <c r="K213" s="566"/>
      <c r="L213" s="566"/>
      <c r="M213" s="566"/>
      <c r="N213" s="566"/>
      <c r="O213" s="566"/>
      <c r="P213" s="566"/>
      <c r="Q213" s="566"/>
      <c r="R213" s="566"/>
      <c r="S213" s="566"/>
      <c r="T213" s="566"/>
      <c r="U213" s="566"/>
      <c r="V213" s="566"/>
      <c r="W213" s="566"/>
      <c r="X213" s="566"/>
      <c r="Y213" s="566"/>
      <c r="Z213" s="566"/>
    </row>
    <row r="214" spans="1:26" x14ac:dyDescent="0.25">
      <c r="A214" s="566" t="s">
        <v>2601</v>
      </c>
      <c r="B214" s="566"/>
      <c r="C214" s="566"/>
      <c r="D214" s="566"/>
      <c r="E214" s="566"/>
      <c r="F214" s="566"/>
      <c r="G214" s="566"/>
      <c r="H214" s="566"/>
      <c r="I214" s="566"/>
      <c r="J214" s="566"/>
      <c r="K214" s="566"/>
      <c r="L214" s="566"/>
      <c r="M214" s="566"/>
      <c r="N214" s="566"/>
      <c r="O214" s="566"/>
      <c r="P214" s="566"/>
      <c r="Q214" s="566"/>
      <c r="R214" s="566"/>
      <c r="S214" s="566"/>
      <c r="T214" s="566"/>
      <c r="U214" s="566"/>
      <c r="V214" s="566"/>
      <c r="W214" s="566"/>
      <c r="X214" s="566"/>
      <c r="Y214" s="566"/>
      <c r="Z214" s="566"/>
    </row>
    <row r="215" spans="1:26" x14ac:dyDescent="0.25">
      <c r="A215" s="566" t="s">
        <v>2602</v>
      </c>
      <c r="B215" s="566"/>
      <c r="C215" s="566"/>
      <c r="D215" s="566"/>
      <c r="E215" s="566"/>
      <c r="F215" s="566"/>
      <c r="G215" s="566"/>
      <c r="H215" s="566"/>
      <c r="I215" s="566"/>
      <c r="J215" s="566"/>
      <c r="K215" s="566"/>
      <c r="L215" s="566"/>
      <c r="M215" s="566"/>
      <c r="N215" s="566"/>
      <c r="O215" s="566"/>
      <c r="P215" s="566"/>
      <c r="Q215" s="566"/>
      <c r="R215" s="566"/>
      <c r="S215" s="566"/>
      <c r="T215" s="566"/>
      <c r="U215" s="566"/>
      <c r="V215" s="566"/>
      <c r="W215" s="566"/>
      <c r="X215" s="566"/>
      <c r="Y215" s="566"/>
      <c r="Z215" s="566"/>
    </row>
    <row r="216" spans="1:26" x14ac:dyDescent="0.25">
      <c r="A216" s="566" t="s">
        <v>2603</v>
      </c>
      <c r="B216" s="566"/>
      <c r="C216" s="566"/>
      <c r="D216" s="566"/>
      <c r="E216" s="566"/>
      <c r="F216" s="566"/>
      <c r="G216" s="566"/>
      <c r="H216" s="566"/>
      <c r="I216" s="566"/>
      <c r="J216" s="566"/>
      <c r="K216" s="566"/>
      <c r="L216" s="566"/>
      <c r="M216" s="566"/>
      <c r="N216" s="566"/>
      <c r="O216" s="566"/>
      <c r="P216" s="566"/>
      <c r="Q216" s="566"/>
      <c r="R216" s="566"/>
      <c r="S216" s="566"/>
      <c r="T216" s="566"/>
      <c r="U216" s="566"/>
      <c r="V216" s="566"/>
      <c r="W216" s="566"/>
      <c r="X216" s="566"/>
      <c r="Y216" s="566"/>
      <c r="Z216" s="566"/>
    </row>
    <row r="217" spans="1:26" x14ac:dyDescent="0.25">
      <c r="A217" s="566" t="s">
        <v>2130</v>
      </c>
      <c r="B217" s="566"/>
      <c r="C217" s="566"/>
      <c r="D217" s="566"/>
      <c r="E217" s="566"/>
      <c r="F217" s="566"/>
      <c r="G217" s="566"/>
      <c r="H217" s="566"/>
      <c r="I217" s="566"/>
      <c r="J217" s="566"/>
      <c r="K217" s="566"/>
      <c r="L217" s="566"/>
      <c r="M217" s="566"/>
      <c r="N217" s="566"/>
      <c r="O217" s="566"/>
      <c r="P217" s="566"/>
      <c r="Q217" s="566"/>
      <c r="R217" s="566"/>
      <c r="S217" s="566"/>
      <c r="T217" s="566"/>
      <c r="U217" s="566"/>
      <c r="V217" s="566"/>
      <c r="W217" s="566"/>
      <c r="X217" s="566"/>
      <c r="Y217" s="566"/>
      <c r="Z217" s="566"/>
    </row>
    <row r="218" spans="1:26" x14ac:dyDescent="0.25">
      <c r="A218" s="566" t="s">
        <v>2131</v>
      </c>
      <c r="B218" s="566"/>
      <c r="C218" s="566"/>
      <c r="D218" s="566"/>
      <c r="E218" s="566"/>
      <c r="F218" s="566"/>
      <c r="G218" s="566"/>
      <c r="H218" s="566"/>
      <c r="I218" s="566"/>
      <c r="J218" s="566"/>
      <c r="K218" s="566"/>
      <c r="L218" s="566"/>
      <c r="M218" s="566"/>
      <c r="N218" s="566"/>
      <c r="O218" s="566"/>
      <c r="P218" s="566"/>
      <c r="Q218" s="566"/>
      <c r="R218" s="566"/>
      <c r="S218" s="566"/>
      <c r="T218" s="566"/>
      <c r="U218" s="566"/>
      <c r="V218" s="566"/>
      <c r="W218" s="566"/>
      <c r="X218" s="566"/>
      <c r="Y218" s="566"/>
      <c r="Z218" s="566"/>
    </row>
    <row r="219" spans="1:26" x14ac:dyDescent="0.25">
      <c r="A219" s="566" t="s">
        <v>2111</v>
      </c>
      <c r="B219" s="566"/>
      <c r="C219" s="566"/>
      <c r="D219" s="566"/>
      <c r="E219" s="566"/>
      <c r="F219" s="566"/>
      <c r="G219" s="566"/>
      <c r="H219" s="566"/>
      <c r="I219" s="566"/>
      <c r="J219" s="566"/>
      <c r="K219" s="566"/>
      <c r="L219" s="566"/>
      <c r="M219" s="566"/>
      <c r="N219" s="566"/>
      <c r="O219" s="566"/>
      <c r="P219" s="566"/>
      <c r="Q219" s="566"/>
      <c r="R219" s="566"/>
      <c r="S219" s="566"/>
      <c r="T219" s="566"/>
      <c r="U219" s="566"/>
      <c r="V219" s="566"/>
      <c r="W219" s="566"/>
      <c r="X219" s="566"/>
      <c r="Y219" s="566"/>
      <c r="Z219" s="566"/>
    </row>
    <row r="220" spans="1:26" x14ac:dyDescent="0.25">
      <c r="A220" s="566" t="s">
        <v>2112</v>
      </c>
      <c r="B220" s="566"/>
      <c r="C220" s="566"/>
      <c r="D220" s="566"/>
      <c r="E220" s="566"/>
      <c r="F220" s="566"/>
      <c r="G220" s="566"/>
      <c r="H220" s="566"/>
      <c r="I220" s="566"/>
      <c r="J220" s="566"/>
      <c r="K220" s="566"/>
      <c r="L220" s="566"/>
      <c r="M220" s="566"/>
      <c r="N220" s="566"/>
      <c r="O220" s="566"/>
      <c r="P220" s="566"/>
      <c r="Q220" s="566"/>
      <c r="R220" s="566"/>
      <c r="S220" s="566"/>
      <c r="T220" s="566"/>
      <c r="U220" s="566"/>
      <c r="V220" s="566"/>
      <c r="W220" s="566"/>
      <c r="X220" s="566"/>
      <c r="Y220" s="566"/>
      <c r="Z220" s="566"/>
    </row>
    <row r="221" spans="1:26" x14ac:dyDescent="0.25">
      <c r="A221" s="566" t="s">
        <v>2113</v>
      </c>
      <c r="B221" s="566"/>
      <c r="C221" s="566"/>
      <c r="D221" s="566"/>
      <c r="E221" s="566"/>
      <c r="F221" s="566"/>
      <c r="G221" s="566"/>
      <c r="H221" s="566"/>
      <c r="I221" s="566"/>
      <c r="J221" s="566"/>
      <c r="K221" s="566"/>
      <c r="L221" s="566"/>
      <c r="M221" s="566"/>
      <c r="N221" s="566"/>
      <c r="O221" s="566"/>
      <c r="P221" s="566"/>
      <c r="Q221" s="566"/>
      <c r="R221" s="566"/>
      <c r="S221" s="566"/>
      <c r="T221" s="566"/>
      <c r="U221" s="566"/>
      <c r="V221" s="566"/>
      <c r="W221" s="566"/>
      <c r="X221" s="566"/>
      <c r="Y221" s="566"/>
      <c r="Z221" s="566"/>
    </row>
    <row r="222" spans="1:26" x14ac:dyDescent="0.25">
      <c r="A222" s="566" t="s">
        <v>490</v>
      </c>
      <c r="B222" s="566"/>
      <c r="C222" s="566"/>
      <c r="D222" s="566"/>
      <c r="E222" s="566"/>
      <c r="F222" s="566"/>
      <c r="G222" s="566"/>
      <c r="H222" s="566"/>
      <c r="I222" s="566"/>
      <c r="J222" s="566"/>
      <c r="K222" s="566"/>
      <c r="L222" s="566"/>
      <c r="M222" s="566"/>
      <c r="N222" s="566"/>
      <c r="O222" s="566"/>
      <c r="P222" s="566"/>
      <c r="Q222" s="566"/>
      <c r="R222" s="566"/>
      <c r="S222" s="566"/>
      <c r="T222" s="566"/>
      <c r="U222" s="566"/>
      <c r="V222" s="566"/>
      <c r="W222" s="566"/>
      <c r="X222" s="566"/>
      <c r="Y222" s="566"/>
      <c r="Z222" s="566"/>
    </row>
    <row r="223" spans="1:26" x14ac:dyDescent="0.25">
      <c r="A223" s="566"/>
      <c r="B223" s="566"/>
      <c r="C223" s="566"/>
      <c r="D223" s="566"/>
      <c r="E223" s="566"/>
      <c r="F223" s="566"/>
      <c r="G223" s="566"/>
      <c r="H223" s="566"/>
      <c r="I223" s="566"/>
      <c r="J223" s="566"/>
      <c r="K223" s="566"/>
      <c r="L223" s="566"/>
      <c r="M223" s="566"/>
      <c r="N223" s="566"/>
      <c r="O223" s="566"/>
      <c r="P223" s="566"/>
      <c r="Q223" s="566"/>
      <c r="R223" s="566"/>
      <c r="S223" s="566"/>
      <c r="T223" s="566"/>
      <c r="U223" s="566"/>
      <c r="V223" s="566"/>
      <c r="W223" s="566"/>
      <c r="X223" s="566"/>
      <c r="Y223" s="566"/>
      <c r="Z223" s="566"/>
    </row>
    <row r="224" spans="1:26" x14ac:dyDescent="0.25">
      <c r="A224" s="566"/>
      <c r="B224" s="566"/>
      <c r="C224" s="566"/>
      <c r="D224" s="566"/>
      <c r="E224" s="566"/>
      <c r="F224" s="566"/>
      <c r="G224" s="566"/>
      <c r="H224" s="566"/>
      <c r="I224" s="566"/>
      <c r="J224" s="566"/>
      <c r="K224" s="566"/>
      <c r="L224" s="566"/>
      <c r="M224" s="566"/>
      <c r="N224" s="566"/>
      <c r="O224" s="566"/>
      <c r="P224" s="566"/>
      <c r="Q224" s="566"/>
      <c r="R224" s="566"/>
      <c r="S224" s="566"/>
      <c r="T224" s="566"/>
      <c r="U224" s="566"/>
      <c r="V224" s="566"/>
      <c r="W224" s="566"/>
      <c r="X224" s="566"/>
      <c r="Y224" s="566"/>
      <c r="Z224" s="566"/>
    </row>
    <row r="225" spans="1:26" x14ac:dyDescent="0.25">
      <c r="A225" s="566"/>
      <c r="B225" s="566"/>
      <c r="C225" s="566"/>
      <c r="D225" s="566"/>
      <c r="E225" s="566"/>
      <c r="F225" s="566"/>
      <c r="G225" s="566"/>
      <c r="H225" s="566"/>
      <c r="I225" s="566"/>
      <c r="J225" s="566"/>
      <c r="K225" s="566"/>
      <c r="L225" s="566"/>
      <c r="M225" s="566"/>
      <c r="N225" s="566"/>
      <c r="O225" s="566"/>
      <c r="P225" s="566"/>
      <c r="Q225" s="566"/>
      <c r="R225" s="566"/>
      <c r="S225" s="566"/>
      <c r="T225" s="566"/>
      <c r="U225" s="566"/>
      <c r="V225" s="566"/>
      <c r="W225" s="566"/>
      <c r="X225" s="566"/>
      <c r="Y225" s="566"/>
      <c r="Z225" s="566"/>
    </row>
    <row r="226" spans="1:26" x14ac:dyDescent="0.25">
      <c r="A226" s="566"/>
      <c r="B226" s="566"/>
      <c r="C226" s="566"/>
      <c r="D226" s="566"/>
      <c r="E226" s="566"/>
      <c r="F226" s="566"/>
      <c r="G226" s="566"/>
      <c r="H226" s="566"/>
      <c r="I226" s="566"/>
      <c r="J226" s="566"/>
      <c r="K226" s="566"/>
      <c r="L226" s="566"/>
      <c r="M226" s="566"/>
      <c r="N226" s="566"/>
      <c r="O226" s="566"/>
      <c r="P226" s="566"/>
      <c r="Q226" s="566"/>
      <c r="R226" s="566"/>
      <c r="S226" s="566"/>
      <c r="T226" s="566"/>
      <c r="U226" s="566"/>
      <c r="V226" s="566"/>
      <c r="W226" s="566"/>
      <c r="X226" s="566"/>
      <c r="Y226" s="566"/>
      <c r="Z226" s="566"/>
    </row>
    <row r="227" spans="1:26" x14ac:dyDescent="0.25">
      <c r="A227" s="566"/>
      <c r="B227" s="566"/>
      <c r="C227" s="566"/>
      <c r="D227" s="566"/>
      <c r="E227" s="566"/>
      <c r="F227" s="566"/>
      <c r="G227" s="566"/>
      <c r="H227" s="566"/>
      <c r="I227" s="566"/>
      <c r="J227" s="566"/>
      <c r="K227" s="566"/>
      <c r="L227" s="566"/>
      <c r="M227" s="566"/>
      <c r="N227" s="566"/>
      <c r="O227" s="566"/>
      <c r="P227" s="566"/>
      <c r="Q227" s="566"/>
      <c r="R227" s="566"/>
      <c r="S227" s="566"/>
      <c r="T227" s="566"/>
      <c r="U227" s="566"/>
      <c r="V227" s="566"/>
      <c r="W227" s="566"/>
      <c r="X227" s="566"/>
      <c r="Y227" s="566"/>
      <c r="Z227" s="566"/>
    </row>
    <row r="228" spans="1:26" x14ac:dyDescent="0.25">
      <c r="A228" s="566"/>
      <c r="B228" s="566"/>
      <c r="C228" s="566"/>
      <c r="D228" s="566"/>
      <c r="E228" s="566"/>
      <c r="F228" s="566"/>
      <c r="G228" s="566"/>
      <c r="H228" s="566"/>
      <c r="I228" s="566"/>
      <c r="J228" s="566"/>
      <c r="K228" s="566"/>
      <c r="L228" s="566"/>
      <c r="M228" s="566"/>
      <c r="N228" s="566"/>
      <c r="O228" s="566"/>
      <c r="P228" s="566"/>
      <c r="Q228" s="566"/>
      <c r="R228" s="566"/>
      <c r="S228" s="566"/>
      <c r="T228" s="566"/>
      <c r="U228" s="566"/>
      <c r="V228" s="566"/>
      <c r="W228" s="566"/>
      <c r="X228" s="566"/>
      <c r="Y228" s="566"/>
      <c r="Z228" s="566"/>
    </row>
    <row r="229" spans="1:26" x14ac:dyDescent="0.25">
      <c r="A229" s="566"/>
      <c r="B229" s="566"/>
      <c r="C229" s="566"/>
      <c r="D229" s="566"/>
      <c r="E229" s="566"/>
      <c r="F229" s="566"/>
      <c r="G229" s="566"/>
      <c r="H229" s="566"/>
      <c r="I229" s="566"/>
      <c r="J229" s="566"/>
      <c r="K229" s="566"/>
      <c r="L229" s="566"/>
      <c r="M229" s="566"/>
      <c r="N229" s="566"/>
      <c r="O229" s="566"/>
      <c r="P229" s="566"/>
      <c r="Q229" s="566"/>
      <c r="R229" s="566"/>
      <c r="S229" s="566"/>
      <c r="T229" s="566"/>
      <c r="U229" s="566"/>
      <c r="V229" s="566"/>
      <c r="W229" s="566"/>
      <c r="X229" s="566"/>
      <c r="Y229" s="566"/>
      <c r="Z229" s="566"/>
    </row>
    <row r="230" spans="1:26" x14ac:dyDescent="0.25">
      <c r="A230" s="566"/>
      <c r="B230" s="566"/>
      <c r="C230" s="566"/>
      <c r="D230" s="566"/>
      <c r="E230" s="566"/>
      <c r="F230" s="566"/>
      <c r="G230" s="566"/>
      <c r="H230" s="566"/>
      <c r="I230" s="566"/>
      <c r="J230" s="566"/>
      <c r="K230" s="566"/>
      <c r="L230" s="566"/>
      <c r="M230" s="566"/>
      <c r="N230" s="566"/>
      <c r="O230" s="566"/>
      <c r="P230" s="566"/>
      <c r="Q230" s="566"/>
      <c r="R230" s="566"/>
      <c r="S230" s="566"/>
      <c r="T230" s="566"/>
      <c r="U230" s="566"/>
      <c r="V230" s="566"/>
      <c r="W230" s="566"/>
      <c r="X230" s="566"/>
      <c r="Y230" s="566"/>
      <c r="Z230" s="566"/>
    </row>
    <row r="231" spans="1:26" x14ac:dyDescent="0.25">
      <c r="A231" s="566"/>
      <c r="B231" s="566"/>
      <c r="C231" s="566"/>
      <c r="D231" s="566"/>
      <c r="E231" s="566"/>
      <c r="F231" s="566"/>
      <c r="G231" s="566"/>
      <c r="H231" s="566"/>
      <c r="I231" s="566"/>
      <c r="J231" s="566"/>
      <c r="K231" s="566"/>
      <c r="L231" s="566"/>
      <c r="M231" s="566"/>
      <c r="N231" s="566"/>
      <c r="O231" s="566"/>
      <c r="P231" s="566"/>
      <c r="Q231" s="566"/>
      <c r="R231" s="566"/>
      <c r="S231" s="566"/>
      <c r="T231" s="566"/>
      <c r="U231" s="566"/>
      <c r="V231" s="566"/>
      <c r="W231" s="566"/>
      <c r="X231" s="566"/>
      <c r="Y231" s="566"/>
      <c r="Z231" s="566"/>
    </row>
    <row r="232" spans="1:26" x14ac:dyDescent="0.25">
      <c r="A232" s="566"/>
      <c r="B232" s="566"/>
      <c r="C232" s="566"/>
      <c r="D232" s="566"/>
      <c r="E232" s="566"/>
      <c r="F232" s="566"/>
      <c r="G232" s="566"/>
      <c r="H232" s="566"/>
      <c r="I232" s="566"/>
      <c r="J232" s="566"/>
      <c r="K232" s="566"/>
      <c r="L232" s="566"/>
      <c r="M232" s="566"/>
      <c r="N232" s="566"/>
      <c r="O232" s="566"/>
      <c r="P232" s="566"/>
      <c r="Q232" s="566"/>
      <c r="R232" s="566"/>
      <c r="S232" s="566"/>
      <c r="T232" s="566"/>
      <c r="U232" s="566"/>
      <c r="V232" s="566"/>
      <c r="W232" s="566"/>
      <c r="X232" s="566"/>
      <c r="Y232" s="566"/>
      <c r="Z232" s="566"/>
    </row>
    <row r="233" spans="1:26" x14ac:dyDescent="0.25">
      <c r="A233" s="566"/>
      <c r="B233" s="566"/>
      <c r="C233" s="566"/>
      <c r="D233" s="566"/>
      <c r="E233" s="566"/>
      <c r="F233" s="566"/>
      <c r="G233" s="566"/>
      <c r="H233" s="566"/>
      <c r="I233" s="566"/>
      <c r="J233" s="566"/>
      <c r="K233" s="566"/>
      <c r="L233" s="566"/>
      <c r="M233" s="566"/>
      <c r="N233" s="566"/>
      <c r="O233" s="566"/>
      <c r="P233" s="566"/>
      <c r="Q233" s="566"/>
      <c r="R233" s="566"/>
      <c r="S233" s="566"/>
      <c r="T233" s="566"/>
      <c r="U233" s="566"/>
      <c r="V233" s="566"/>
      <c r="W233" s="566"/>
      <c r="X233" s="566"/>
      <c r="Y233" s="566"/>
      <c r="Z233" s="566"/>
    </row>
    <row r="234" spans="1:26" x14ac:dyDescent="0.25">
      <c r="A234" s="566"/>
      <c r="B234" s="566"/>
      <c r="C234" s="566"/>
      <c r="D234" s="566"/>
      <c r="E234" s="566"/>
      <c r="F234" s="566"/>
      <c r="G234" s="566"/>
      <c r="H234" s="566"/>
      <c r="I234" s="566"/>
      <c r="J234" s="566"/>
      <c r="K234" s="566"/>
      <c r="L234" s="566"/>
      <c r="M234" s="566"/>
      <c r="N234" s="566"/>
      <c r="O234" s="566"/>
      <c r="P234" s="566"/>
      <c r="Q234" s="566"/>
      <c r="R234" s="566"/>
      <c r="S234" s="566"/>
      <c r="T234" s="566"/>
      <c r="U234" s="566"/>
      <c r="V234" s="566"/>
      <c r="W234" s="566"/>
      <c r="X234" s="566"/>
      <c r="Y234" s="566"/>
      <c r="Z234" s="566"/>
    </row>
    <row r="235" spans="1:26" x14ac:dyDescent="0.25">
      <c r="A235" s="566"/>
      <c r="B235" s="566"/>
      <c r="C235" s="566"/>
      <c r="D235" s="566"/>
      <c r="E235" s="566"/>
      <c r="F235" s="566"/>
      <c r="G235" s="566"/>
      <c r="H235" s="566"/>
      <c r="I235" s="566"/>
      <c r="J235" s="566"/>
      <c r="K235" s="566"/>
      <c r="L235" s="566"/>
      <c r="M235" s="566"/>
      <c r="N235" s="566"/>
      <c r="O235" s="566"/>
      <c r="P235" s="566"/>
      <c r="Q235" s="566"/>
      <c r="R235" s="566"/>
      <c r="S235" s="566"/>
      <c r="T235" s="566"/>
      <c r="U235" s="566"/>
      <c r="V235" s="566"/>
      <c r="W235" s="566"/>
      <c r="X235" s="566"/>
      <c r="Y235" s="566"/>
      <c r="Z235" s="566"/>
    </row>
    <row r="236" spans="1:26" x14ac:dyDescent="0.25">
      <c r="A236" s="566"/>
      <c r="B236" s="566"/>
      <c r="C236" s="566"/>
      <c r="D236" s="566"/>
      <c r="E236" s="566"/>
      <c r="F236" s="566"/>
      <c r="G236" s="566"/>
      <c r="H236" s="566"/>
      <c r="I236" s="566"/>
      <c r="J236" s="566"/>
      <c r="K236" s="566"/>
      <c r="L236" s="566"/>
      <c r="M236" s="566"/>
      <c r="N236" s="566"/>
      <c r="O236" s="566"/>
      <c r="P236" s="566"/>
      <c r="Q236" s="566"/>
      <c r="R236" s="566"/>
      <c r="S236" s="566"/>
      <c r="T236" s="566"/>
      <c r="U236" s="566"/>
      <c r="V236" s="566"/>
      <c r="W236" s="566"/>
      <c r="X236" s="566"/>
      <c r="Y236" s="566"/>
      <c r="Z236" s="566"/>
    </row>
    <row r="237" spans="1:26" x14ac:dyDescent="0.25">
      <c r="A237" s="566"/>
      <c r="B237" s="566"/>
      <c r="C237" s="566"/>
      <c r="D237" s="566"/>
      <c r="E237" s="566"/>
      <c r="F237" s="566"/>
      <c r="G237" s="566"/>
      <c r="H237" s="566"/>
      <c r="I237" s="566"/>
      <c r="J237" s="566"/>
      <c r="K237" s="566"/>
      <c r="L237" s="566"/>
      <c r="M237" s="566"/>
      <c r="N237" s="566"/>
      <c r="O237" s="566"/>
      <c r="P237" s="566"/>
      <c r="Q237" s="566"/>
      <c r="R237" s="566"/>
      <c r="S237" s="566"/>
      <c r="T237" s="566"/>
      <c r="U237" s="566"/>
      <c r="V237" s="566"/>
      <c r="W237" s="566"/>
      <c r="X237" s="566"/>
      <c r="Y237" s="566"/>
      <c r="Z237" s="566"/>
    </row>
    <row r="238" spans="1:26" x14ac:dyDescent="0.25">
      <c r="A238" s="566"/>
      <c r="B238" s="566"/>
      <c r="C238" s="566"/>
      <c r="D238" s="566"/>
      <c r="E238" s="566"/>
      <c r="F238" s="566"/>
      <c r="G238" s="566"/>
      <c r="H238" s="566"/>
      <c r="I238" s="566"/>
      <c r="J238" s="566"/>
      <c r="K238" s="566"/>
      <c r="L238" s="566"/>
      <c r="M238" s="566"/>
      <c r="N238" s="566"/>
      <c r="O238" s="566"/>
      <c r="P238" s="566"/>
      <c r="Q238" s="566"/>
      <c r="R238" s="566"/>
      <c r="S238" s="566"/>
      <c r="T238" s="566"/>
      <c r="U238" s="566"/>
      <c r="V238" s="566"/>
      <c r="W238" s="566"/>
      <c r="X238" s="566"/>
      <c r="Y238" s="566"/>
      <c r="Z238" s="566"/>
    </row>
    <row r="239" spans="1:26" x14ac:dyDescent="0.25">
      <c r="A239" s="566"/>
      <c r="B239" s="566"/>
      <c r="C239" s="566"/>
      <c r="D239" s="566"/>
      <c r="E239" s="566"/>
      <c r="F239" s="566"/>
      <c r="G239" s="566"/>
      <c r="H239" s="566"/>
      <c r="I239" s="566"/>
      <c r="J239" s="566"/>
      <c r="K239" s="566"/>
      <c r="L239" s="566"/>
      <c r="M239" s="566"/>
      <c r="N239" s="566"/>
      <c r="O239" s="566"/>
      <c r="P239" s="566"/>
      <c r="Q239" s="566"/>
      <c r="R239" s="566"/>
      <c r="S239" s="566"/>
      <c r="T239" s="566"/>
      <c r="U239" s="566"/>
      <c r="V239" s="566"/>
      <c r="W239" s="566"/>
      <c r="X239" s="566"/>
      <c r="Y239" s="566"/>
      <c r="Z239" s="566"/>
    </row>
    <row r="240" spans="1:26" x14ac:dyDescent="0.25">
      <c r="A240" s="566"/>
      <c r="B240" s="566"/>
      <c r="C240" s="566"/>
      <c r="D240" s="566"/>
      <c r="E240" s="566"/>
      <c r="F240" s="566"/>
      <c r="G240" s="566"/>
      <c r="H240" s="566"/>
      <c r="I240" s="566"/>
      <c r="J240" s="566"/>
      <c r="K240" s="566"/>
      <c r="L240" s="566"/>
      <c r="M240" s="566"/>
      <c r="N240" s="566"/>
      <c r="O240" s="566"/>
      <c r="P240" s="566"/>
      <c r="Q240" s="566"/>
      <c r="R240" s="566"/>
      <c r="S240" s="566"/>
      <c r="T240" s="566"/>
      <c r="U240" s="566"/>
      <c r="V240" s="566"/>
      <c r="W240" s="566"/>
      <c r="X240" s="566"/>
      <c r="Y240" s="566"/>
      <c r="Z240" s="566"/>
    </row>
    <row r="241" spans="1:26" x14ac:dyDescent="0.25">
      <c r="A241" s="566"/>
      <c r="B241" s="566"/>
      <c r="C241" s="566"/>
      <c r="D241" s="566"/>
      <c r="E241" s="566"/>
      <c r="F241" s="566"/>
      <c r="G241" s="566"/>
      <c r="H241" s="566"/>
      <c r="I241" s="566"/>
      <c r="J241" s="566"/>
      <c r="K241" s="566"/>
      <c r="L241" s="566"/>
      <c r="M241" s="566"/>
      <c r="N241" s="566"/>
      <c r="O241" s="566"/>
      <c r="P241" s="566"/>
      <c r="Q241" s="566"/>
      <c r="R241" s="566"/>
      <c r="S241" s="566"/>
      <c r="T241" s="566"/>
      <c r="U241" s="566"/>
      <c r="V241" s="566"/>
      <c r="W241" s="566"/>
      <c r="X241" s="566"/>
      <c r="Y241" s="566"/>
      <c r="Z241" s="566"/>
    </row>
    <row r="242" spans="1:26" x14ac:dyDescent="0.25">
      <c r="A242" s="566"/>
      <c r="B242" s="566"/>
      <c r="C242" s="566"/>
      <c r="D242" s="566"/>
      <c r="E242" s="566"/>
      <c r="F242" s="566"/>
      <c r="G242" s="566"/>
      <c r="H242" s="566"/>
      <c r="I242" s="566"/>
      <c r="J242" s="566"/>
      <c r="K242" s="566"/>
      <c r="L242" s="566"/>
      <c r="M242" s="566"/>
      <c r="N242" s="566"/>
      <c r="O242" s="566"/>
      <c r="P242" s="566"/>
      <c r="Q242" s="566"/>
      <c r="R242" s="566"/>
      <c r="S242" s="566"/>
      <c r="T242" s="566"/>
      <c r="U242" s="566"/>
      <c r="V242" s="566"/>
      <c r="W242" s="566"/>
      <c r="X242" s="566"/>
      <c r="Y242" s="566"/>
      <c r="Z242" s="566"/>
    </row>
    <row r="243" spans="1:26" x14ac:dyDescent="0.25">
      <c r="A243" s="566"/>
      <c r="B243" s="566"/>
      <c r="C243" s="566"/>
      <c r="D243" s="566"/>
      <c r="E243" s="566"/>
      <c r="F243" s="566"/>
      <c r="G243" s="566"/>
      <c r="H243" s="566"/>
      <c r="I243" s="566"/>
      <c r="J243" s="566"/>
      <c r="K243" s="566"/>
      <c r="L243" s="566"/>
      <c r="M243" s="566"/>
      <c r="N243" s="566"/>
      <c r="O243" s="566"/>
      <c r="P243" s="566"/>
      <c r="Q243" s="566"/>
      <c r="R243" s="566"/>
      <c r="S243" s="566"/>
      <c r="T243" s="566"/>
      <c r="U243" s="566"/>
      <c r="V243" s="566"/>
      <c r="W243" s="566"/>
      <c r="X243" s="566"/>
      <c r="Y243" s="566"/>
      <c r="Z243" s="566"/>
    </row>
    <row r="244" spans="1:26" x14ac:dyDescent="0.25">
      <c r="A244" s="566"/>
      <c r="B244" s="566"/>
      <c r="C244" s="566"/>
      <c r="D244" s="566"/>
      <c r="E244" s="566"/>
      <c r="F244" s="566"/>
      <c r="G244" s="566"/>
      <c r="H244" s="566"/>
      <c r="I244" s="566"/>
      <c r="J244" s="566"/>
      <c r="K244" s="566"/>
      <c r="L244" s="566"/>
      <c r="M244" s="566"/>
      <c r="N244" s="566"/>
      <c r="O244" s="566"/>
      <c r="P244" s="566"/>
      <c r="Q244" s="566"/>
      <c r="R244" s="566"/>
      <c r="S244" s="566"/>
      <c r="T244" s="566"/>
      <c r="U244" s="566"/>
      <c r="V244" s="566"/>
      <c r="W244" s="566"/>
      <c r="X244" s="566"/>
      <c r="Y244" s="566"/>
      <c r="Z244" s="566"/>
    </row>
    <row r="245" spans="1:26" x14ac:dyDescent="0.25">
      <c r="A245" s="566"/>
      <c r="B245" s="566"/>
      <c r="C245" s="566"/>
      <c r="D245" s="566"/>
      <c r="E245" s="566"/>
      <c r="F245" s="566"/>
      <c r="G245" s="566"/>
      <c r="H245" s="566"/>
      <c r="I245" s="566"/>
      <c r="J245" s="566"/>
      <c r="K245" s="566"/>
      <c r="L245" s="566"/>
      <c r="M245" s="566"/>
      <c r="N245" s="566"/>
      <c r="O245" s="566"/>
      <c r="P245" s="566"/>
      <c r="Q245" s="566"/>
      <c r="R245" s="566"/>
      <c r="S245" s="566"/>
      <c r="T245" s="566"/>
      <c r="U245" s="566"/>
      <c r="V245" s="566"/>
      <c r="W245" s="566"/>
      <c r="X245" s="566"/>
      <c r="Y245" s="566"/>
      <c r="Z245" s="566"/>
    </row>
    <row r="246" spans="1:26" x14ac:dyDescent="0.25">
      <c r="A246" s="566"/>
      <c r="B246" s="566"/>
      <c r="C246" s="566"/>
      <c r="D246" s="566"/>
      <c r="E246" s="566"/>
      <c r="F246" s="566"/>
      <c r="G246" s="566"/>
      <c r="H246" s="566"/>
      <c r="I246" s="566"/>
      <c r="J246" s="566"/>
      <c r="K246" s="566"/>
      <c r="L246" s="566"/>
      <c r="M246" s="566"/>
      <c r="N246" s="566"/>
      <c r="O246" s="566"/>
      <c r="P246" s="566"/>
      <c r="Q246" s="566"/>
      <c r="R246" s="566"/>
      <c r="S246" s="566"/>
      <c r="T246" s="566"/>
      <c r="U246" s="566"/>
      <c r="V246" s="566"/>
      <c r="W246" s="566"/>
      <c r="X246" s="566"/>
      <c r="Y246" s="566"/>
      <c r="Z246" s="566"/>
    </row>
    <row r="247" spans="1:26" x14ac:dyDescent="0.25">
      <c r="A247" s="566"/>
      <c r="B247" s="566"/>
      <c r="C247" s="566"/>
      <c r="D247" s="566"/>
      <c r="E247" s="566"/>
      <c r="F247" s="566"/>
      <c r="G247" s="566"/>
      <c r="H247" s="566"/>
      <c r="I247" s="566"/>
      <c r="J247" s="566"/>
      <c r="K247" s="566"/>
      <c r="L247" s="566"/>
      <c r="M247" s="566"/>
      <c r="N247" s="566"/>
      <c r="O247" s="566"/>
      <c r="P247" s="566"/>
      <c r="Q247" s="566"/>
      <c r="R247" s="566"/>
      <c r="S247" s="566"/>
      <c r="T247" s="566"/>
      <c r="U247" s="566"/>
      <c r="V247" s="566"/>
      <c r="W247" s="566"/>
      <c r="X247" s="566"/>
      <c r="Y247" s="566"/>
      <c r="Z247" s="566"/>
    </row>
    <row r="248" spans="1:26" x14ac:dyDescent="0.25">
      <c r="A248" s="566"/>
      <c r="B248" s="566"/>
      <c r="C248" s="566"/>
      <c r="D248" s="566"/>
      <c r="E248" s="566"/>
      <c r="F248" s="566"/>
      <c r="G248" s="566"/>
      <c r="H248" s="566"/>
      <c r="I248" s="566"/>
      <c r="J248" s="566"/>
      <c r="K248" s="566"/>
      <c r="L248" s="566"/>
      <c r="M248" s="566"/>
      <c r="N248" s="566"/>
      <c r="O248" s="566"/>
      <c r="P248" s="566"/>
      <c r="Q248" s="566"/>
      <c r="R248" s="566"/>
      <c r="S248" s="566"/>
      <c r="T248" s="566"/>
      <c r="U248" s="566"/>
      <c r="V248" s="566"/>
      <c r="W248" s="566"/>
      <c r="X248" s="566"/>
      <c r="Y248" s="566"/>
      <c r="Z248" s="566"/>
    </row>
    <row r="249" spans="1:26" x14ac:dyDescent="0.25">
      <c r="A249" s="566"/>
      <c r="B249" s="566"/>
      <c r="C249" s="566"/>
      <c r="D249" s="566"/>
      <c r="E249" s="566"/>
      <c r="F249" s="566"/>
      <c r="G249" s="566"/>
      <c r="H249" s="566"/>
      <c r="I249" s="566"/>
      <c r="J249" s="566"/>
      <c r="K249" s="566"/>
      <c r="L249" s="566"/>
      <c r="M249" s="566"/>
      <c r="N249" s="566"/>
      <c r="O249" s="566"/>
      <c r="P249" s="566"/>
      <c r="Q249" s="566"/>
      <c r="R249" s="566"/>
      <c r="S249" s="566"/>
      <c r="T249" s="566"/>
      <c r="U249" s="566"/>
      <c r="V249" s="566"/>
      <c r="W249" s="566"/>
      <c r="X249" s="566"/>
      <c r="Y249" s="566"/>
      <c r="Z249" s="566"/>
    </row>
    <row r="250" spans="1:26" x14ac:dyDescent="0.25">
      <c r="A250" s="566"/>
      <c r="B250" s="566"/>
      <c r="C250" s="566"/>
      <c r="D250" s="566"/>
      <c r="E250" s="566"/>
      <c r="F250" s="566"/>
      <c r="G250" s="566"/>
      <c r="H250" s="566"/>
      <c r="I250" s="566"/>
      <c r="J250" s="566"/>
      <c r="K250" s="566"/>
      <c r="L250" s="566"/>
      <c r="M250" s="566"/>
      <c r="N250" s="566"/>
      <c r="O250" s="566"/>
      <c r="P250" s="566"/>
      <c r="Q250" s="566"/>
      <c r="R250" s="566"/>
      <c r="S250" s="566"/>
      <c r="T250" s="566"/>
      <c r="U250" s="566"/>
      <c r="V250" s="566"/>
      <c r="W250" s="566"/>
      <c r="X250" s="566"/>
      <c r="Y250" s="566"/>
      <c r="Z250" s="566"/>
    </row>
    <row r="251" spans="1:26" x14ac:dyDescent="0.25">
      <c r="A251" s="566"/>
      <c r="B251" s="566"/>
      <c r="C251" s="566"/>
      <c r="D251" s="566"/>
      <c r="E251" s="566"/>
      <c r="F251" s="566"/>
      <c r="G251" s="566"/>
      <c r="H251" s="566"/>
      <c r="I251" s="566"/>
      <c r="J251" s="566"/>
      <c r="K251" s="566"/>
      <c r="L251" s="566"/>
      <c r="M251" s="566"/>
      <c r="N251" s="566"/>
      <c r="O251" s="566"/>
      <c r="P251" s="566"/>
      <c r="Q251" s="566"/>
      <c r="R251" s="566"/>
      <c r="S251" s="566"/>
      <c r="T251" s="566"/>
      <c r="U251" s="566"/>
      <c r="V251" s="566"/>
      <c r="W251" s="566"/>
      <c r="X251" s="566"/>
      <c r="Y251" s="566"/>
      <c r="Z251" s="566"/>
    </row>
    <row r="252" spans="1:26" x14ac:dyDescent="0.25">
      <c r="A252" s="566"/>
      <c r="B252" s="566"/>
      <c r="C252" s="566"/>
      <c r="D252" s="566"/>
      <c r="E252" s="566"/>
      <c r="F252" s="566"/>
      <c r="G252" s="566"/>
      <c r="H252" s="566"/>
      <c r="I252" s="566"/>
      <c r="J252" s="566"/>
      <c r="K252" s="566"/>
      <c r="L252" s="566"/>
      <c r="M252" s="566"/>
      <c r="N252" s="566"/>
      <c r="O252" s="566"/>
      <c r="P252" s="566"/>
      <c r="Q252" s="566"/>
      <c r="R252" s="566"/>
      <c r="S252" s="566"/>
      <c r="T252" s="566"/>
      <c r="U252" s="566"/>
      <c r="V252" s="566"/>
      <c r="W252" s="566"/>
      <c r="X252" s="566"/>
      <c r="Y252" s="566"/>
      <c r="Z252" s="566"/>
    </row>
    <row r="253" spans="1:26" x14ac:dyDescent="0.25">
      <c r="A253" s="566"/>
      <c r="B253" s="566"/>
      <c r="C253" s="566"/>
      <c r="D253" s="566"/>
      <c r="E253" s="566"/>
      <c r="F253" s="566"/>
      <c r="G253" s="566"/>
      <c r="H253" s="566"/>
      <c r="I253" s="566"/>
      <c r="J253" s="566"/>
      <c r="K253" s="566"/>
      <c r="L253" s="566"/>
      <c r="M253" s="566"/>
      <c r="N253" s="566"/>
      <c r="O253" s="566"/>
      <c r="P253" s="566"/>
      <c r="Q253" s="566"/>
      <c r="R253" s="566"/>
      <c r="S253" s="566"/>
      <c r="T253" s="566"/>
      <c r="U253" s="566"/>
      <c r="V253" s="566"/>
      <c r="W253" s="566"/>
      <c r="X253" s="566"/>
      <c r="Y253" s="566"/>
      <c r="Z253" s="566"/>
    </row>
    <row r="254" spans="1:26" x14ac:dyDescent="0.25">
      <c r="A254" s="566"/>
      <c r="B254" s="566"/>
      <c r="C254" s="566"/>
      <c r="D254" s="566"/>
      <c r="E254" s="566"/>
      <c r="F254" s="566"/>
      <c r="G254" s="566"/>
      <c r="H254" s="566"/>
      <c r="I254" s="566"/>
      <c r="J254" s="566"/>
      <c r="K254" s="566"/>
      <c r="L254" s="566"/>
      <c r="M254" s="566"/>
      <c r="N254" s="566"/>
      <c r="O254" s="566"/>
      <c r="P254" s="566"/>
      <c r="Q254" s="566"/>
      <c r="R254" s="566"/>
      <c r="S254" s="566"/>
      <c r="T254" s="566"/>
      <c r="U254" s="566"/>
      <c r="V254" s="566"/>
      <c r="W254" s="566"/>
      <c r="X254" s="566"/>
      <c r="Y254" s="566"/>
      <c r="Z254" s="566"/>
    </row>
    <row r="255" spans="1:26" x14ac:dyDescent="0.25">
      <c r="A255" s="566"/>
      <c r="B255" s="566"/>
      <c r="C255" s="566"/>
      <c r="D255" s="566"/>
      <c r="E255" s="566"/>
      <c r="F255" s="566"/>
      <c r="G255" s="566"/>
      <c r="H255" s="566"/>
      <c r="I255" s="566"/>
      <c r="J255" s="566"/>
      <c r="K255" s="566"/>
      <c r="L255" s="566"/>
      <c r="M255" s="566"/>
      <c r="N255" s="566"/>
      <c r="O255" s="566"/>
      <c r="P255" s="566"/>
      <c r="Q255" s="566"/>
      <c r="R255" s="566"/>
      <c r="S255" s="566"/>
      <c r="T255" s="566"/>
      <c r="U255" s="566"/>
      <c r="V255" s="566"/>
      <c r="W255" s="566"/>
      <c r="X255" s="566"/>
      <c r="Y255" s="566"/>
      <c r="Z255" s="566"/>
    </row>
    <row r="256" spans="1:26" x14ac:dyDescent="0.25">
      <c r="A256" s="566"/>
      <c r="B256" s="566"/>
      <c r="C256" s="566"/>
      <c r="D256" s="566"/>
      <c r="E256" s="566"/>
      <c r="F256" s="566"/>
      <c r="G256" s="566"/>
      <c r="H256" s="566"/>
      <c r="I256" s="566"/>
      <c r="J256" s="566"/>
      <c r="K256" s="566"/>
      <c r="L256" s="566"/>
      <c r="M256" s="566"/>
      <c r="N256" s="566"/>
      <c r="O256" s="566"/>
      <c r="P256" s="566"/>
      <c r="Q256" s="566"/>
      <c r="R256" s="566"/>
      <c r="S256" s="566"/>
      <c r="T256" s="566"/>
      <c r="U256" s="566"/>
      <c r="V256" s="566"/>
      <c r="W256" s="566"/>
      <c r="X256" s="566"/>
      <c r="Y256" s="566"/>
      <c r="Z256" s="566"/>
    </row>
    <row r="257" spans="1:26" x14ac:dyDescent="0.25">
      <c r="A257" s="566"/>
      <c r="B257" s="566"/>
      <c r="C257" s="566"/>
      <c r="D257" s="566"/>
      <c r="E257" s="566"/>
      <c r="F257" s="566"/>
      <c r="G257" s="566"/>
      <c r="H257" s="566"/>
      <c r="I257" s="566"/>
      <c r="J257" s="566"/>
      <c r="K257" s="566"/>
      <c r="L257" s="566"/>
      <c r="M257" s="566"/>
      <c r="N257" s="566"/>
      <c r="O257" s="566"/>
      <c r="P257" s="566"/>
      <c r="Q257" s="566"/>
      <c r="R257" s="566"/>
      <c r="S257" s="566"/>
      <c r="T257" s="566"/>
      <c r="U257" s="566"/>
      <c r="V257" s="566"/>
      <c r="W257" s="566"/>
      <c r="X257" s="566"/>
      <c r="Y257" s="566"/>
      <c r="Z257" s="566"/>
    </row>
    <row r="258" spans="1:26" x14ac:dyDescent="0.25">
      <c r="A258" s="566"/>
      <c r="B258" s="566"/>
      <c r="C258" s="566"/>
      <c r="D258" s="566"/>
      <c r="E258" s="566"/>
      <c r="F258" s="566"/>
      <c r="G258" s="566"/>
      <c r="H258" s="566"/>
      <c r="I258" s="566"/>
      <c r="J258" s="566"/>
      <c r="K258" s="566"/>
      <c r="L258" s="566"/>
      <c r="M258" s="566"/>
      <c r="N258" s="566"/>
      <c r="O258" s="566"/>
      <c r="P258" s="566"/>
      <c r="Q258" s="566"/>
      <c r="R258" s="566"/>
      <c r="S258" s="566"/>
      <c r="T258" s="566"/>
      <c r="U258" s="566"/>
      <c r="V258" s="566"/>
      <c r="W258" s="566"/>
      <c r="X258" s="566"/>
      <c r="Y258" s="566"/>
      <c r="Z258" s="566"/>
    </row>
    <row r="259" spans="1:26" x14ac:dyDescent="0.25">
      <c r="A259" s="566"/>
      <c r="B259" s="566"/>
      <c r="C259" s="566"/>
      <c r="D259" s="566"/>
      <c r="E259" s="566"/>
      <c r="F259" s="566"/>
      <c r="G259" s="566"/>
      <c r="H259" s="566"/>
      <c r="I259" s="566"/>
      <c r="J259" s="566"/>
      <c r="K259" s="566"/>
      <c r="L259" s="566"/>
      <c r="M259" s="566"/>
      <c r="N259" s="566"/>
      <c r="O259" s="566"/>
      <c r="P259" s="566"/>
      <c r="Q259" s="566"/>
      <c r="R259" s="566"/>
      <c r="S259" s="566"/>
      <c r="T259" s="566"/>
      <c r="U259" s="566"/>
      <c r="V259" s="566"/>
      <c r="W259" s="566"/>
      <c r="X259" s="566"/>
      <c r="Y259" s="566"/>
      <c r="Z259" s="566"/>
    </row>
    <row r="260" spans="1:26" x14ac:dyDescent="0.25">
      <c r="A260" s="566"/>
      <c r="B260" s="566"/>
      <c r="C260" s="566"/>
      <c r="D260" s="566"/>
      <c r="E260" s="566"/>
      <c r="F260" s="566"/>
      <c r="G260" s="566"/>
      <c r="H260" s="566"/>
      <c r="I260" s="566"/>
      <c r="J260" s="566"/>
      <c r="K260" s="566"/>
      <c r="L260" s="566"/>
      <c r="M260" s="566"/>
      <c r="N260" s="566"/>
      <c r="O260" s="566"/>
      <c r="P260" s="566"/>
      <c r="Q260" s="566"/>
      <c r="R260" s="566"/>
      <c r="S260" s="566"/>
      <c r="T260" s="566"/>
      <c r="U260" s="566"/>
      <c r="V260" s="566"/>
      <c r="W260" s="566"/>
      <c r="X260" s="566"/>
      <c r="Y260" s="566"/>
      <c r="Z260" s="566"/>
    </row>
    <row r="261" spans="1:26" x14ac:dyDescent="0.25">
      <c r="A261" s="566"/>
      <c r="B261" s="566"/>
      <c r="C261" s="566"/>
      <c r="D261" s="566"/>
      <c r="E261" s="566"/>
      <c r="F261" s="566"/>
      <c r="G261" s="566"/>
      <c r="H261" s="566"/>
      <c r="I261" s="566"/>
      <c r="J261" s="566"/>
      <c r="K261" s="566"/>
      <c r="L261" s="566"/>
      <c r="M261" s="566"/>
      <c r="N261" s="566"/>
      <c r="O261" s="566"/>
      <c r="P261" s="566"/>
      <c r="Q261" s="566"/>
      <c r="R261" s="566"/>
      <c r="S261" s="566"/>
      <c r="T261" s="566"/>
      <c r="U261" s="566"/>
      <c r="V261" s="566"/>
      <c r="W261" s="566"/>
      <c r="X261" s="566"/>
      <c r="Y261" s="566"/>
      <c r="Z261" s="566"/>
    </row>
    <row r="262" spans="1:26" x14ac:dyDescent="0.25">
      <c r="A262" s="566"/>
      <c r="B262" s="566"/>
      <c r="C262" s="566"/>
      <c r="D262" s="566"/>
      <c r="E262" s="566"/>
      <c r="F262" s="566"/>
      <c r="G262" s="566"/>
      <c r="H262" s="566"/>
      <c r="I262" s="566"/>
      <c r="J262" s="566"/>
      <c r="K262" s="566"/>
      <c r="L262" s="566"/>
      <c r="M262" s="566"/>
      <c r="N262" s="566"/>
      <c r="O262" s="566"/>
      <c r="P262" s="566"/>
      <c r="Q262" s="566"/>
      <c r="R262" s="566"/>
      <c r="S262" s="566"/>
      <c r="T262" s="566"/>
      <c r="U262" s="566"/>
      <c r="V262" s="566"/>
      <c r="W262" s="566"/>
      <c r="X262" s="566"/>
      <c r="Y262" s="566"/>
      <c r="Z262" s="566"/>
    </row>
    <row r="263" spans="1:26" x14ac:dyDescent="0.25">
      <c r="A263" s="566"/>
      <c r="B263" s="566"/>
      <c r="C263" s="566"/>
      <c r="D263" s="566"/>
      <c r="E263" s="566"/>
      <c r="F263" s="566"/>
      <c r="G263" s="566"/>
      <c r="H263" s="566"/>
      <c r="I263" s="566"/>
      <c r="J263" s="566"/>
      <c r="K263" s="566"/>
      <c r="L263" s="566"/>
      <c r="M263" s="566"/>
      <c r="N263" s="566"/>
      <c r="O263" s="566"/>
      <c r="P263" s="566"/>
      <c r="Q263" s="566"/>
      <c r="R263" s="566"/>
      <c r="S263" s="566"/>
      <c r="T263" s="566"/>
      <c r="U263" s="566"/>
      <c r="V263" s="566"/>
      <c r="W263" s="566"/>
      <c r="X263" s="566"/>
      <c r="Y263" s="566"/>
      <c r="Z263" s="566"/>
    </row>
    <row r="264" spans="1:26" x14ac:dyDescent="0.25">
      <c r="A264" s="566"/>
      <c r="B264" s="566"/>
      <c r="C264" s="566"/>
      <c r="D264" s="566"/>
      <c r="E264" s="566"/>
      <c r="F264" s="566"/>
      <c r="G264" s="566"/>
      <c r="H264" s="566"/>
      <c r="I264" s="566"/>
      <c r="J264" s="566"/>
      <c r="K264" s="566"/>
      <c r="L264" s="566"/>
      <c r="M264" s="566"/>
      <c r="N264" s="566"/>
      <c r="O264" s="566"/>
      <c r="P264" s="566"/>
      <c r="Q264" s="566"/>
      <c r="R264" s="566"/>
      <c r="S264" s="566"/>
      <c r="T264" s="566"/>
      <c r="U264" s="566"/>
      <c r="V264" s="566"/>
      <c r="W264" s="566"/>
      <c r="X264" s="566"/>
      <c r="Y264" s="566"/>
      <c r="Z264" s="566"/>
    </row>
    <row r="265" spans="1:26" x14ac:dyDescent="0.25">
      <c r="A265" s="566"/>
      <c r="B265" s="566"/>
      <c r="C265" s="566"/>
      <c r="D265" s="566"/>
      <c r="E265" s="566"/>
      <c r="F265" s="566"/>
      <c r="G265" s="566"/>
      <c r="H265" s="566"/>
      <c r="I265" s="566"/>
      <c r="J265" s="566"/>
      <c r="K265" s="566"/>
      <c r="L265" s="566"/>
      <c r="M265" s="566"/>
      <c r="N265" s="566"/>
      <c r="O265" s="566"/>
      <c r="P265" s="566"/>
      <c r="Q265" s="566"/>
      <c r="R265" s="566"/>
      <c r="S265" s="566"/>
      <c r="T265" s="566"/>
      <c r="U265" s="566"/>
      <c r="V265" s="566"/>
      <c r="W265" s="566"/>
      <c r="X265" s="566"/>
      <c r="Y265" s="566"/>
      <c r="Z265" s="566"/>
    </row>
    <row r="266" spans="1:26" x14ac:dyDescent="0.25">
      <c r="A266" s="566"/>
      <c r="B266" s="566"/>
      <c r="C266" s="566"/>
      <c r="D266" s="566"/>
      <c r="E266" s="566"/>
      <c r="F266" s="566"/>
      <c r="G266" s="566"/>
      <c r="H266" s="566"/>
      <c r="I266" s="566"/>
      <c r="J266" s="566"/>
      <c r="K266" s="566"/>
      <c r="L266" s="566"/>
      <c r="M266" s="566"/>
      <c r="N266" s="566"/>
      <c r="O266" s="566"/>
      <c r="P266" s="566"/>
      <c r="Q266" s="566"/>
      <c r="R266" s="566"/>
      <c r="S266" s="566"/>
      <c r="T266" s="566"/>
      <c r="U266" s="566"/>
      <c r="V266" s="566"/>
      <c r="W266" s="566"/>
      <c r="X266" s="566"/>
      <c r="Y266" s="566"/>
      <c r="Z266" s="566"/>
    </row>
    <row r="267" spans="1:26" x14ac:dyDescent="0.25">
      <c r="A267" s="566"/>
      <c r="B267" s="566"/>
      <c r="C267" s="566"/>
      <c r="D267" s="566"/>
      <c r="E267" s="566"/>
      <c r="F267" s="566"/>
      <c r="G267" s="566"/>
      <c r="H267" s="566"/>
      <c r="I267" s="566"/>
      <c r="J267" s="566"/>
      <c r="K267" s="566"/>
      <c r="L267" s="566"/>
      <c r="M267" s="566"/>
      <c r="N267" s="566"/>
      <c r="O267" s="566"/>
      <c r="P267" s="566"/>
      <c r="Q267" s="566"/>
      <c r="R267" s="566"/>
      <c r="S267" s="566"/>
      <c r="T267" s="566"/>
      <c r="U267" s="566"/>
      <c r="V267" s="566"/>
      <c r="W267" s="566"/>
      <c r="X267" s="566"/>
      <c r="Y267" s="566"/>
      <c r="Z267" s="566"/>
    </row>
    <row r="268" spans="1:26" x14ac:dyDescent="0.25">
      <c r="A268" s="566"/>
      <c r="B268" s="566"/>
      <c r="C268" s="566"/>
      <c r="D268" s="566"/>
      <c r="E268" s="566"/>
      <c r="F268" s="566"/>
      <c r="G268" s="566"/>
      <c r="H268" s="566"/>
      <c r="I268" s="566"/>
      <c r="J268" s="566"/>
      <c r="K268" s="566"/>
      <c r="L268" s="566"/>
      <c r="M268" s="566"/>
      <c r="N268" s="566"/>
      <c r="O268" s="566"/>
      <c r="P268" s="566"/>
      <c r="Q268" s="566"/>
      <c r="R268" s="566"/>
      <c r="S268" s="566"/>
      <c r="T268" s="566"/>
      <c r="U268" s="566"/>
      <c r="V268" s="566"/>
      <c r="W268" s="566"/>
      <c r="X268" s="566"/>
      <c r="Y268" s="566"/>
      <c r="Z268" s="566"/>
    </row>
    <row r="269" spans="1:26" x14ac:dyDescent="0.25">
      <c r="A269" s="566"/>
      <c r="B269" s="566"/>
      <c r="C269" s="566"/>
      <c r="D269" s="566"/>
      <c r="E269" s="566"/>
      <c r="F269" s="566"/>
      <c r="G269" s="566"/>
      <c r="H269" s="566"/>
      <c r="I269" s="566"/>
      <c r="J269" s="566"/>
      <c r="K269" s="566"/>
      <c r="L269" s="566"/>
      <c r="M269" s="566"/>
      <c r="N269" s="566"/>
      <c r="O269" s="566"/>
      <c r="P269" s="566"/>
      <c r="Q269" s="566"/>
      <c r="R269" s="566"/>
      <c r="S269" s="566"/>
      <c r="T269" s="566"/>
      <c r="U269" s="566"/>
      <c r="V269" s="566"/>
      <c r="W269" s="566"/>
      <c r="X269" s="566"/>
      <c r="Y269" s="566"/>
      <c r="Z269" s="566"/>
    </row>
    <row r="270" spans="1:26" x14ac:dyDescent="0.25">
      <c r="A270" s="566"/>
      <c r="B270" s="566"/>
      <c r="C270" s="566"/>
      <c r="D270" s="566"/>
      <c r="E270" s="566"/>
      <c r="F270" s="566"/>
      <c r="G270" s="566"/>
      <c r="H270" s="566"/>
      <c r="I270" s="566"/>
      <c r="J270" s="566"/>
      <c r="K270" s="566"/>
      <c r="L270" s="566"/>
      <c r="M270" s="566"/>
      <c r="N270" s="566"/>
      <c r="O270" s="566"/>
      <c r="P270" s="566"/>
      <c r="Q270" s="566"/>
      <c r="R270" s="566"/>
      <c r="S270" s="566"/>
      <c r="T270" s="566"/>
      <c r="U270" s="566"/>
      <c r="V270" s="566"/>
      <c r="W270" s="566"/>
      <c r="X270" s="566"/>
      <c r="Y270" s="566"/>
      <c r="Z270" s="566"/>
    </row>
    <row r="271" spans="1:26" x14ac:dyDescent="0.25">
      <c r="A271" s="566"/>
      <c r="B271" s="566"/>
      <c r="C271" s="566"/>
      <c r="D271" s="566"/>
      <c r="E271" s="566"/>
      <c r="F271" s="566"/>
      <c r="G271" s="566"/>
      <c r="H271" s="566"/>
      <c r="I271" s="566"/>
      <c r="J271" s="566"/>
      <c r="K271" s="566"/>
      <c r="L271" s="566"/>
      <c r="M271" s="566"/>
      <c r="N271" s="566"/>
      <c r="O271" s="566"/>
      <c r="P271" s="566"/>
      <c r="Q271" s="566"/>
      <c r="R271" s="566"/>
      <c r="S271" s="566"/>
      <c r="T271" s="566"/>
      <c r="U271" s="566"/>
      <c r="V271" s="566"/>
      <c r="W271" s="566"/>
      <c r="X271" s="566"/>
      <c r="Y271" s="566"/>
      <c r="Z271" s="566"/>
    </row>
    <row r="272" spans="1:26" x14ac:dyDescent="0.25">
      <c r="A272" s="566"/>
      <c r="B272" s="566"/>
      <c r="C272" s="566"/>
      <c r="D272" s="566"/>
      <c r="E272" s="566"/>
      <c r="F272" s="566"/>
      <c r="G272" s="566"/>
      <c r="H272" s="566"/>
      <c r="I272" s="566"/>
      <c r="J272" s="566"/>
      <c r="K272" s="566"/>
      <c r="L272" s="566"/>
      <c r="M272" s="566"/>
      <c r="N272" s="566"/>
      <c r="O272" s="566"/>
      <c r="P272" s="566"/>
      <c r="Q272" s="566"/>
      <c r="R272" s="566"/>
      <c r="S272" s="566"/>
      <c r="T272" s="566"/>
      <c r="U272" s="566"/>
      <c r="V272" s="566"/>
      <c r="W272" s="566"/>
      <c r="X272" s="566"/>
      <c r="Y272" s="566"/>
      <c r="Z272" s="566"/>
    </row>
    <row r="273" spans="1:26" x14ac:dyDescent="0.25">
      <c r="A273" s="566"/>
      <c r="B273" s="566"/>
      <c r="C273" s="566"/>
      <c r="D273" s="566"/>
      <c r="E273" s="566"/>
      <c r="F273" s="566"/>
      <c r="G273" s="566"/>
      <c r="H273" s="566"/>
      <c r="I273" s="566"/>
      <c r="J273" s="566"/>
      <c r="K273" s="566"/>
      <c r="L273" s="566"/>
      <c r="M273" s="566"/>
      <c r="N273" s="566"/>
      <c r="O273" s="566"/>
      <c r="P273" s="566"/>
      <c r="Q273" s="566"/>
      <c r="R273" s="566"/>
      <c r="S273" s="566"/>
      <c r="T273" s="566"/>
      <c r="U273" s="566"/>
      <c r="V273" s="566"/>
      <c r="W273" s="566"/>
      <c r="X273" s="566"/>
      <c r="Y273" s="566"/>
      <c r="Z273" s="566"/>
    </row>
    <row r="274" spans="1:26" x14ac:dyDescent="0.25">
      <c r="A274" s="566"/>
      <c r="B274" s="566"/>
      <c r="C274" s="566"/>
      <c r="D274" s="566"/>
      <c r="E274" s="566"/>
      <c r="F274" s="566"/>
      <c r="G274" s="566"/>
      <c r="H274" s="566"/>
      <c r="I274" s="566"/>
      <c r="J274" s="566"/>
      <c r="K274" s="566"/>
      <c r="L274" s="566"/>
      <c r="M274" s="566"/>
      <c r="N274" s="566"/>
      <c r="O274" s="566"/>
      <c r="P274" s="566"/>
      <c r="Q274" s="566"/>
      <c r="R274" s="566"/>
      <c r="S274" s="566"/>
      <c r="T274" s="566"/>
      <c r="U274" s="566"/>
      <c r="V274" s="566"/>
      <c r="W274" s="566"/>
      <c r="X274" s="566"/>
      <c r="Y274" s="566"/>
      <c r="Z274" s="566"/>
    </row>
    <row r="275" spans="1:26" x14ac:dyDescent="0.25">
      <c r="A275" s="566"/>
      <c r="B275" s="566"/>
      <c r="C275" s="566"/>
      <c r="D275" s="566"/>
      <c r="E275" s="566"/>
      <c r="F275" s="566"/>
      <c r="G275" s="566"/>
      <c r="H275" s="566"/>
      <c r="I275" s="566"/>
      <c r="J275" s="566"/>
      <c r="K275" s="566"/>
      <c r="L275" s="566"/>
      <c r="M275" s="566"/>
      <c r="N275" s="566"/>
      <c r="O275" s="566"/>
      <c r="P275" s="566"/>
      <c r="Q275" s="566"/>
      <c r="R275" s="566"/>
      <c r="S275" s="566"/>
      <c r="T275" s="566"/>
      <c r="U275" s="566"/>
      <c r="V275" s="566"/>
      <c r="W275" s="566"/>
      <c r="X275" s="566"/>
      <c r="Y275" s="566"/>
      <c r="Z275" s="566"/>
    </row>
    <row r="276" spans="1:26" x14ac:dyDescent="0.25">
      <c r="A276" s="566"/>
      <c r="B276" s="566"/>
      <c r="C276" s="566"/>
      <c r="D276" s="566"/>
      <c r="E276" s="566"/>
      <c r="F276" s="566"/>
      <c r="G276" s="566"/>
      <c r="H276" s="566"/>
      <c r="I276" s="566"/>
      <c r="J276" s="566"/>
      <c r="K276" s="566"/>
      <c r="L276" s="566"/>
      <c r="M276" s="566"/>
      <c r="N276" s="566"/>
      <c r="O276" s="566"/>
      <c r="P276" s="566"/>
      <c r="Q276" s="566"/>
      <c r="R276" s="566"/>
      <c r="S276" s="566"/>
      <c r="T276" s="566"/>
      <c r="U276" s="566"/>
      <c r="V276" s="566"/>
      <c r="W276" s="566"/>
      <c r="X276" s="566"/>
      <c r="Y276" s="566"/>
      <c r="Z276" s="566"/>
    </row>
    <row r="277" spans="1:26" x14ac:dyDescent="0.25">
      <c r="A277" s="566"/>
      <c r="B277" s="566"/>
      <c r="C277" s="566"/>
      <c r="D277" s="566"/>
      <c r="E277" s="566"/>
      <c r="F277" s="566"/>
      <c r="G277" s="566"/>
      <c r="H277" s="566"/>
      <c r="I277" s="566"/>
      <c r="J277" s="566"/>
      <c r="K277" s="566"/>
      <c r="L277" s="566"/>
      <c r="M277" s="566"/>
      <c r="N277" s="566"/>
      <c r="O277" s="566"/>
      <c r="P277" s="566"/>
      <c r="Q277" s="566"/>
      <c r="R277" s="566"/>
      <c r="S277" s="566"/>
      <c r="T277" s="566"/>
      <c r="U277" s="566"/>
      <c r="V277" s="566"/>
      <c r="W277" s="566"/>
      <c r="X277" s="566"/>
      <c r="Y277" s="566"/>
      <c r="Z277" s="566"/>
    </row>
    <row r="278" spans="1:26" x14ac:dyDescent="0.25">
      <c r="A278" s="566"/>
      <c r="B278" s="566"/>
      <c r="C278" s="566"/>
      <c r="D278" s="566"/>
      <c r="E278" s="566"/>
      <c r="F278" s="566"/>
      <c r="G278" s="566"/>
      <c r="H278" s="566"/>
      <c r="I278" s="566"/>
      <c r="J278" s="566"/>
      <c r="K278" s="566"/>
      <c r="L278" s="566"/>
      <c r="M278" s="566"/>
      <c r="N278" s="566"/>
      <c r="O278" s="566"/>
      <c r="P278" s="566"/>
      <c r="Q278" s="566"/>
      <c r="R278" s="566"/>
      <c r="S278" s="566"/>
      <c r="T278" s="566"/>
      <c r="U278" s="566"/>
      <c r="V278" s="566"/>
      <c r="W278" s="566"/>
      <c r="X278" s="566"/>
      <c r="Y278" s="566"/>
      <c r="Z278" s="566"/>
    </row>
    <row r="279" spans="1:26" x14ac:dyDescent="0.25">
      <c r="A279" s="566"/>
      <c r="B279" s="566"/>
      <c r="C279" s="566"/>
      <c r="D279" s="566"/>
      <c r="E279" s="566"/>
      <c r="F279" s="566"/>
      <c r="G279" s="566"/>
      <c r="H279" s="566"/>
      <c r="I279" s="566"/>
      <c r="J279" s="566"/>
      <c r="K279" s="566"/>
      <c r="L279" s="566"/>
      <c r="M279" s="566"/>
      <c r="N279" s="566"/>
      <c r="O279" s="566"/>
      <c r="P279" s="566"/>
      <c r="Q279" s="566"/>
      <c r="R279" s="566"/>
      <c r="S279" s="566"/>
      <c r="T279" s="566"/>
      <c r="U279" s="566"/>
      <c r="V279" s="566"/>
      <c r="W279" s="566"/>
      <c r="X279" s="566"/>
      <c r="Y279" s="566"/>
      <c r="Z279" s="566"/>
    </row>
    <row r="280" spans="1:26" x14ac:dyDescent="0.25">
      <c r="A280" s="566"/>
      <c r="B280" s="566"/>
      <c r="C280" s="566"/>
      <c r="D280" s="566"/>
      <c r="E280" s="566"/>
      <c r="F280" s="566"/>
      <c r="G280" s="566"/>
      <c r="H280" s="566"/>
      <c r="I280" s="566"/>
      <c r="J280" s="566"/>
      <c r="K280" s="566"/>
      <c r="L280" s="566"/>
      <c r="M280" s="566"/>
      <c r="N280" s="566"/>
      <c r="O280" s="566"/>
      <c r="P280" s="566"/>
      <c r="Q280" s="566"/>
      <c r="R280" s="566"/>
      <c r="S280" s="566"/>
      <c r="T280" s="566"/>
      <c r="U280" s="566"/>
      <c r="V280" s="566"/>
      <c r="W280" s="566"/>
      <c r="X280" s="566"/>
      <c r="Y280" s="566"/>
      <c r="Z280" s="566"/>
    </row>
    <row r="281" spans="1:26" x14ac:dyDescent="0.25">
      <c r="A281" s="566"/>
      <c r="B281" s="566"/>
      <c r="C281" s="566"/>
      <c r="D281" s="566"/>
      <c r="E281" s="566"/>
      <c r="F281" s="566"/>
      <c r="G281" s="566"/>
      <c r="H281" s="566"/>
      <c r="I281" s="566"/>
      <c r="J281" s="566"/>
      <c r="K281" s="566"/>
      <c r="L281" s="566"/>
      <c r="M281" s="566"/>
      <c r="N281" s="566"/>
      <c r="O281" s="566"/>
      <c r="P281" s="566"/>
      <c r="Q281" s="566"/>
      <c r="R281" s="566"/>
      <c r="S281" s="566"/>
      <c r="T281" s="566"/>
      <c r="U281" s="566"/>
      <c r="V281" s="566"/>
      <c r="W281" s="566"/>
      <c r="X281" s="566"/>
      <c r="Y281" s="566"/>
      <c r="Z281" s="566"/>
    </row>
    <row r="282" spans="1:26" x14ac:dyDescent="0.25">
      <c r="A282" s="566"/>
      <c r="B282" s="566"/>
      <c r="C282" s="566"/>
      <c r="D282" s="566"/>
      <c r="E282" s="566"/>
      <c r="F282" s="566"/>
      <c r="G282" s="566"/>
      <c r="H282" s="566"/>
      <c r="I282" s="566"/>
      <c r="J282" s="566"/>
      <c r="K282" s="566"/>
      <c r="L282" s="566"/>
      <c r="M282" s="566"/>
      <c r="N282" s="566"/>
      <c r="O282" s="566"/>
      <c r="P282" s="566"/>
      <c r="Q282" s="566"/>
      <c r="R282" s="566"/>
      <c r="S282" s="566"/>
      <c r="T282" s="566"/>
      <c r="U282" s="566"/>
      <c r="V282" s="566"/>
      <c r="W282" s="566"/>
      <c r="X282" s="566"/>
      <c r="Y282" s="566"/>
      <c r="Z282" s="566"/>
    </row>
    <row r="283" spans="1:26" x14ac:dyDescent="0.25">
      <c r="A283" s="566"/>
      <c r="B283" s="566"/>
      <c r="C283" s="566"/>
      <c r="D283" s="566"/>
      <c r="E283" s="566"/>
      <c r="F283" s="566"/>
      <c r="G283" s="566"/>
      <c r="H283" s="566"/>
      <c r="I283" s="566"/>
      <c r="J283" s="566"/>
      <c r="K283" s="566"/>
      <c r="L283" s="566"/>
      <c r="M283" s="566"/>
      <c r="N283" s="566"/>
      <c r="O283" s="566"/>
      <c r="P283" s="566"/>
      <c r="Q283" s="566"/>
      <c r="R283" s="566"/>
      <c r="S283" s="566"/>
      <c r="T283" s="566"/>
      <c r="U283" s="566"/>
      <c r="V283" s="566"/>
      <c r="W283" s="566"/>
      <c r="X283" s="566"/>
      <c r="Y283" s="566"/>
      <c r="Z283" s="566"/>
    </row>
    <row r="284" spans="1:26" x14ac:dyDescent="0.25">
      <c r="A284" s="566"/>
      <c r="B284" s="566"/>
      <c r="C284" s="566"/>
      <c r="D284" s="566"/>
      <c r="E284" s="566"/>
      <c r="F284" s="566"/>
      <c r="G284" s="566"/>
      <c r="H284" s="566"/>
      <c r="I284" s="566"/>
      <c r="J284" s="566"/>
      <c r="K284" s="566"/>
      <c r="L284" s="566"/>
      <c r="M284" s="566"/>
      <c r="N284" s="566"/>
      <c r="O284" s="566"/>
      <c r="P284" s="566"/>
      <c r="Q284" s="566"/>
      <c r="R284" s="566"/>
      <c r="S284" s="566"/>
      <c r="T284" s="566"/>
      <c r="U284" s="566"/>
      <c r="V284" s="566"/>
      <c r="W284" s="566"/>
      <c r="X284" s="566"/>
      <c r="Y284" s="566"/>
      <c r="Z284" s="566"/>
    </row>
    <row r="285" spans="1:26" x14ac:dyDescent="0.25">
      <c r="A285" s="566"/>
      <c r="B285" s="566"/>
      <c r="C285" s="566"/>
      <c r="D285" s="566"/>
      <c r="E285" s="566"/>
      <c r="F285" s="566"/>
      <c r="G285" s="566"/>
      <c r="H285" s="566"/>
      <c r="I285" s="566"/>
      <c r="J285" s="566"/>
      <c r="K285" s="566"/>
      <c r="L285" s="566"/>
      <c r="M285" s="566"/>
      <c r="N285" s="566"/>
      <c r="O285" s="566"/>
      <c r="P285" s="566"/>
      <c r="Q285" s="566"/>
      <c r="R285" s="566"/>
      <c r="S285" s="566"/>
      <c r="T285" s="566"/>
      <c r="U285" s="566"/>
      <c r="V285" s="566"/>
      <c r="W285" s="566"/>
      <c r="X285" s="566"/>
      <c r="Y285" s="566"/>
      <c r="Z285" s="566"/>
    </row>
    <row r="286" spans="1:26" x14ac:dyDescent="0.25">
      <c r="A286" s="566"/>
      <c r="B286" s="566"/>
      <c r="C286" s="566"/>
      <c r="D286" s="566"/>
      <c r="E286" s="566"/>
      <c r="F286" s="566"/>
      <c r="G286" s="566"/>
      <c r="H286" s="566"/>
      <c r="I286" s="566"/>
      <c r="J286" s="566"/>
      <c r="K286" s="566"/>
      <c r="L286" s="566"/>
      <c r="M286" s="566"/>
      <c r="N286" s="566"/>
      <c r="O286" s="566"/>
      <c r="P286" s="566"/>
      <c r="Q286" s="566"/>
      <c r="R286" s="566"/>
      <c r="S286" s="566"/>
      <c r="T286" s="566"/>
      <c r="U286" s="566"/>
      <c r="V286" s="566"/>
      <c r="W286" s="566"/>
      <c r="X286" s="566"/>
      <c r="Y286" s="566"/>
      <c r="Z286" s="566"/>
    </row>
    <row r="287" spans="1:26" x14ac:dyDescent="0.25">
      <c r="A287" s="566"/>
      <c r="B287" s="566"/>
      <c r="C287" s="566"/>
      <c r="D287" s="566"/>
      <c r="E287" s="566"/>
      <c r="F287" s="566"/>
      <c r="G287" s="566"/>
      <c r="H287" s="566"/>
      <c r="I287" s="566"/>
      <c r="J287" s="566"/>
      <c r="K287" s="566"/>
      <c r="L287" s="566"/>
      <c r="M287" s="566"/>
      <c r="N287" s="566"/>
      <c r="O287" s="566"/>
      <c r="P287" s="566"/>
      <c r="Q287" s="566"/>
      <c r="R287" s="566"/>
      <c r="S287" s="566"/>
      <c r="T287" s="566"/>
      <c r="U287" s="566"/>
      <c r="V287" s="566"/>
      <c r="W287" s="566"/>
      <c r="X287" s="566"/>
      <c r="Y287" s="566"/>
      <c r="Z287" s="566"/>
    </row>
    <row r="288" spans="1:26" x14ac:dyDescent="0.25">
      <c r="A288" s="566"/>
      <c r="B288" s="566"/>
      <c r="C288" s="566"/>
      <c r="D288" s="566"/>
      <c r="E288" s="566"/>
      <c r="F288" s="566"/>
      <c r="G288" s="566"/>
      <c r="H288" s="566"/>
      <c r="I288" s="566"/>
      <c r="J288" s="566"/>
      <c r="K288" s="566"/>
      <c r="L288" s="566"/>
      <c r="M288" s="566"/>
      <c r="N288" s="566"/>
      <c r="O288" s="566"/>
      <c r="P288" s="566"/>
      <c r="Q288" s="566"/>
      <c r="R288" s="566"/>
      <c r="S288" s="566"/>
      <c r="T288" s="566"/>
      <c r="U288" s="566"/>
      <c r="V288" s="566"/>
      <c r="W288" s="566"/>
      <c r="X288" s="566"/>
      <c r="Y288" s="566"/>
      <c r="Z288" s="566"/>
    </row>
    <row r="289" spans="1:26" x14ac:dyDescent="0.25">
      <c r="A289" s="566"/>
      <c r="B289" s="566"/>
      <c r="C289" s="566"/>
      <c r="D289" s="566"/>
      <c r="E289" s="566"/>
      <c r="F289" s="566"/>
      <c r="G289" s="566"/>
      <c r="H289" s="566"/>
      <c r="I289" s="566"/>
      <c r="J289" s="566"/>
      <c r="K289" s="566"/>
      <c r="L289" s="566"/>
      <c r="M289" s="566"/>
      <c r="N289" s="566"/>
      <c r="O289" s="566"/>
      <c r="P289" s="566"/>
      <c r="Q289" s="566"/>
      <c r="R289" s="566"/>
      <c r="S289" s="566"/>
      <c r="T289" s="566"/>
      <c r="U289" s="566"/>
      <c r="V289" s="566"/>
      <c r="W289" s="566"/>
      <c r="X289" s="566"/>
      <c r="Y289" s="566"/>
      <c r="Z289" s="566"/>
    </row>
    <row r="290" spans="1:26" x14ac:dyDescent="0.25">
      <c r="A290" s="566"/>
      <c r="B290" s="566"/>
      <c r="C290" s="566"/>
      <c r="D290" s="566"/>
      <c r="E290" s="566"/>
      <c r="F290" s="566"/>
      <c r="G290" s="566"/>
      <c r="H290" s="566"/>
      <c r="I290" s="566"/>
      <c r="J290" s="566"/>
      <c r="K290" s="566"/>
      <c r="L290" s="566"/>
      <c r="M290" s="566"/>
      <c r="N290" s="566"/>
      <c r="O290" s="566"/>
      <c r="P290" s="566"/>
      <c r="Q290" s="566"/>
      <c r="R290" s="566"/>
      <c r="S290" s="566"/>
      <c r="T290" s="566"/>
      <c r="U290" s="566"/>
      <c r="V290" s="566"/>
      <c r="W290" s="566"/>
      <c r="X290" s="566"/>
      <c r="Y290" s="566"/>
      <c r="Z290" s="566"/>
    </row>
    <row r="291" spans="1:26" x14ac:dyDescent="0.25">
      <c r="A291" s="566"/>
      <c r="B291" s="566"/>
      <c r="C291" s="566"/>
      <c r="D291" s="566"/>
      <c r="E291" s="566"/>
      <c r="F291" s="566"/>
      <c r="G291" s="566"/>
      <c r="H291" s="566"/>
      <c r="I291" s="566"/>
      <c r="J291" s="566"/>
      <c r="K291" s="566"/>
      <c r="L291" s="566"/>
      <c r="M291" s="566"/>
      <c r="N291" s="566"/>
      <c r="O291" s="566"/>
      <c r="P291" s="566"/>
      <c r="Q291" s="566"/>
      <c r="R291" s="566"/>
      <c r="S291" s="566"/>
      <c r="T291" s="566"/>
      <c r="U291" s="566"/>
      <c r="V291" s="566"/>
      <c r="W291" s="566"/>
      <c r="X291" s="566"/>
      <c r="Y291" s="566"/>
      <c r="Z291" s="566"/>
    </row>
    <row r="292" spans="1:26" x14ac:dyDescent="0.25">
      <c r="A292" s="566"/>
      <c r="B292" s="566"/>
      <c r="C292" s="566"/>
      <c r="D292" s="566"/>
      <c r="E292" s="566"/>
      <c r="F292" s="566"/>
      <c r="G292" s="566"/>
      <c r="H292" s="566"/>
      <c r="I292" s="566"/>
      <c r="J292" s="566"/>
      <c r="K292" s="566"/>
      <c r="L292" s="566"/>
      <c r="M292" s="566"/>
      <c r="N292" s="566"/>
      <c r="O292" s="566"/>
      <c r="P292" s="566"/>
      <c r="Q292" s="566"/>
      <c r="R292" s="566"/>
      <c r="S292" s="566"/>
      <c r="T292" s="566"/>
      <c r="U292" s="566"/>
      <c r="V292" s="566"/>
      <c r="W292" s="566"/>
      <c r="X292" s="566"/>
      <c r="Y292" s="566"/>
      <c r="Z292" s="566"/>
    </row>
    <row r="293" spans="1:26" x14ac:dyDescent="0.25">
      <c r="A293" s="566"/>
      <c r="B293" s="566"/>
      <c r="C293" s="566"/>
      <c r="D293" s="566"/>
      <c r="E293" s="566"/>
      <c r="F293" s="566"/>
      <c r="G293" s="566"/>
      <c r="H293" s="566"/>
      <c r="I293" s="566"/>
      <c r="J293" s="566"/>
      <c r="K293" s="566"/>
      <c r="L293" s="566"/>
      <c r="M293" s="566"/>
      <c r="N293" s="566"/>
      <c r="O293" s="566"/>
      <c r="P293" s="566"/>
      <c r="Q293" s="566"/>
      <c r="R293" s="566"/>
      <c r="S293" s="566"/>
      <c r="T293" s="566"/>
      <c r="U293" s="566"/>
      <c r="V293" s="566"/>
      <c r="W293" s="566"/>
      <c r="X293" s="566"/>
      <c r="Y293" s="566"/>
      <c r="Z293" s="566"/>
    </row>
    <row r="294" spans="1:26" x14ac:dyDescent="0.25">
      <c r="A294" s="566"/>
      <c r="B294" s="566"/>
      <c r="C294" s="566"/>
      <c r="D294" s="566"/>
      <c r="E294" s="566"/>
      <c r="F294" s="566"/>
      <c r="G294" s="566"/>
      <c r="H294" s="566"/>
      <c r="I294" s="566"/>
      <c r="J294" s="566"/>
      <c r="K294" s="566"/>
      <c r="L294" s="566"/>
      <c r="M294" s="566"/>
      <c r="N294" s="566"/>
      <c r="O294" s="566"/>
      <c r="P294" s="566"/>
      <c r="Q294" s="566"/>
      <c r="R294" s="566"/>
      <c r="S294" s="566"/>
      <c r="T294" s="566"/>
      <c r="U294" s="566"/>
      <c r="V294" s="566"/>
      <c r="W294" s="566"/>
      <c r="X294" s="566"/>
      <c r="Y294" s="566"/>
      <c r="Z294" s="566"/>
    </row>
    <row r="295" spans="1:26" x14ac:dyDescent="0.25">
      <c r="A295" s="566"/>
      <c r="B295" s="566"/>
      <c r="C295" s="566"/>
      <c r="D295" s="566"/>
      <c r="E295" s="566"/>
      <c r="F295" s="566"/>
      <c r="G295" s="566"/>
      <c r="H295" s="566"/>
      <c r="I295" s="566"/>
      <c r="J295" s="566"/>
      <c r="K295" s="566"/>
      <c r="L295" s="566"/>
      <c r="M295" s="566"/>
      <c r="N295" s="566"/>
      <c r="O295" s="566"/>
      <c r="P295" s="566"/>
      <c r="Q295" s="566"/>
      <c r="R295" s="566"/>
      <c r="S295" s="566"/>
      <c r="T295" s="566"/>
      <c r="U295" s="566"/>
      <c r="V295" s="566"/>
      <c r="W295" s="566"/>
      <c r="X295" s="566"/>
      <c r="Y295" s="566"/>
      <c r="Z295" s="566"/>
    </row>
    <row r="296" spans="1:26" x14ac:dyDescent="0.25">
      <c r="A296" s="566"/>
      <c r="B296" s="566"/>
      <c r="C296" s="566"/>
      <c r="D296" s="566"/>
      <c r="E296" s="566"/>
      <c r="F296" s="566"/>
      <c r="G296" s="566"/>
      <c r="H296" s="566"/>
      <c r="I296" s="566"/>
      <c r="J296" s="566"/>
      <c r="K296" s="566"/>
      <c r="L296" s="566"/>
      <c r="M296" s="566"/>
      <c r="N296" s="566"/>
      <c r="O296" s="566"/>
      <c r="P296" s="566"/>
      <c r="Q296" s="566"/>
      <c r="R296" s="566"/>
      <c r="S296" s="566"/>
      <c r="T296" s="566"/>
      <c r="U296" s="566"/>
      <c r="V296" s="566"/>
      <c r="W296" s="566"/>
      <c r="X296" s="566"/>
      <c r="Y296" s="566"/>
      <c r="Z296" s="566"/>
    </row>
    <row r="297" spans="1:26" x14ac:dyDescent="0.25">
      <c r="A297" s="566"/>
      <c r="B297" s="566"/>
      <c r="C297" s="566"/>
      <c r="D297" s="566"/>
      <c r="E297" s="566"/>
      <c r="F297" s="566"/>
      <c r="G297" s="566"/>
      <c r="H297" s="566"/>
      <c r="I297" s="566"/>
      <c r="J297" s="566"/>
      <c r="K297" s="566"/>
      <c r="L297" s="566"/>
      <c r="M297" s="566"/>
      <c r="N297" s="566"/>
      <c r="O297" s="566"/>
      <c r="P297" s="566"/>
      <c r="Q297" s="566"/>
      <c r="R297" s="566"/>
      <c r="S297" s="566"/>
      <c r="T297" s="566"/>
      <c r="U297" s="566"/>
      <c r="V297" s="566"/>
      <c r="W297" s="566"/>
      <c r="X297" s="566"/>
      <c r="Y297" s="566"/>
      <c r="Z297" s="566"/>
    </row>
    <row r="298" spans="1:26" x14ac:dyDescent="0.25">
      <c r="A298" s="566"/>
      <c r="B298" s="566"/>
      <c r="C298" s="566"/>
      <c r="D298" s="566"/>
      <c r="E298" s="566"/>
      <c r="F298" s="566"/>
      <c r="G298" s="566"/>
      <c r="H298" s="566"/>
      <c r="I298" s="566"/>
      <c r="J298" s="566"/>
      <c r="K298" s="566"/>
      <c r="L298" s="566"/>
      <c r="M298" s="566"/>
      <c r="N298" s="566"/>
      <c r="O298" s="566"/>
      <c r="P298" s="566"/>
      <c r="Q298" s="566"/>
      <c r="R298" s="566"/>
      <c r="S298" s="566"/>
      <c r="T298" s="566"/>
      <c r="U298" s="566"/>
      <c r="V298" s="566"/>
      <c r="W298" s="566"/>
      <c r="X298" s="566"/>
      <c r="Y298" s="566"/>
      <c r="Z298" s="566"/>
    </row>
    <row r="299" spans="1:26" x14ac:dyDescent="0.25">
      <c r="A299" s="566"/>
      <c r="B299" s="566"/>
      <c r="C299" s="566"/>
      <c r="D299" s="566"/>
      <c r="E299" s="566"/>
      <c r="F299" s="566"/>
      <c r="G299" s="566"/>
      <c r="H299" s="566"/>
      <c r="I299" s="566"/>
      <c r="J299" s="566"/>
      <c r="K299" s="566"/>
      <c r="L299" s="566"/>
      <c r="M299" s="566"/>
      <c r="N299" s="566"/>
      <c r="O299" s="566"/>
      <c r="P299" s="566"/>
      <c r="Q299" s="566"/>
      <c r="R299" s="566"/>
      <c r="S299" s="566"/>
      <c r="T299" s="566"/>
      <c r="U299" s="566"/>
      <c r="V299" s="566"/>
      <c r="W299" s="566"/>
      <c r="X299" s="566"/>
      <c r="Y299" s="566"/>
      <c r="Z299" s="566"/>
    </row>
    <row r="300" spans="1:26" x14ac:dyDescent="0.25">
      <c r="A300" s="566"/>
      <c r="B300" s="566"/>
      <c r="C300" s="566"/>
      <c r="D300" s="566"/>
      <c r="E300" s="566"/>
      <c r="F300" s="566"/>
      <c r="G300" s="566"/>
      <c r="H300" s="566"/>
      <c r="I300" s="566"/>
      <c r="J300" s="566"/>
      <c r="K300" s="566"/>
      <c r="L300" s="566"/>
      <c r="M300" s="566"/>
      <c r="N300" s="566"/>
      <c r="O300" s="566"/>
      <c r="P300" s="566"/>
      <c r="Q300" s="566"/>
      <c r="R300" s="566"/>
      <c r="S300" s="566"/>
      <c r="T300" s="566"/>
      <c r="U300" s="566"/>
      <c r="V300" s="566"/>
      <c r="W300" s="566"/>
      <c r="X300" s="566"/>
      <c r="Y300" s="566"/>
      <c r="Z300" s="566"/>
    </row>
    <row r="301" spans="1:26" x14ac:dyDescent="0.25">
      <c r="A301" s="566"/>
      <c r="B301" s="566"/>
      <c r="C301" s="566"/>
      <c r="D301" s="566"/>
      <c r="E301" s="566"/>
      <c r="F301" s="566"/>
      <c r="G301" s="566"/>
      <c r="H301" s="566"/>
      <c r="I301" s="566"/>
      <c r="J301" s="566"/>
      <c r="K301" s="566"/>
      <c r="L301" s="566"/>
      <c r="M301" s="566"/>
      <c r="N301" s="566"/>
      <c r="O301" s="566"/>
      <c r="P301" s="566"/>
      <c r="Q301" s="566"/>
      <c r="R301" s="566"/>
      <c r="S301" s="566"/>
      <c r="T301" s="566"/>
      <c r="U301" s="566"/>
      <c r="V301" s="566"/>
      <c r="W301" s="566"/>
      <c r="X301" s="566"/>
      <c r="Y301" s="566"/>
      <c r="Z301" s="566"/>
    </row>
    <row r="302" spans="1:26" x14ac:dyDescent="0.25">
      <c r="A302" s="566"/>
      <c r="B302" s="566"/>
      <c r="C302" s="566"/>
      <c r="D302" s="566"/>
      <c r="E302" s="566"/>
      <c r="F302" s="566"/>
      <c r="G302" s="566"/>
      <c r="H302" s="566"/>
      <c r="I302" s="566"/>
      <c r="J302" s="566"/>
      <c r="K302" s="566"/>
      <c r="L302" s="566"/>
      <c r="M302" s="566"/>
      <c r="N302" s="566"/>
      <c r="O302" s="566"/>
      <c r="P302" s="566"/>
      <c r="Q302" s="566"/>
      <c r="R302" s="566"/>
      <c r="S302" s="566"/>
      <c r="T302" s="566"/>
      <c r="U302" s="566"/>
      <c r="V302" s="566"/>
      <c r="W302" s="566"/>
      <c r="X302" s="566"/>
      <c r="Y302" s="566"/>
      <c r="Z302" s="566"/>
    </row>
    <row r="303" spans="1:26" x14ac:dyDescent="0.25">
      <c r="A303" s="566"/>
      <c r="B303" s="566"/>
      <c r="C303" s="566"/>
      <c r="D303" s="566"/>
      <c r="E303" s="566"/>
      <c r="F303" s="566"/>
      <c r="G303" s="566"/>
      <c r="H303" s="566"/>
      <c r="I303" s="566"/>
      <c r="J303" s="566"/>
      <c r="K303" s="566"/>
      <c r="L303" s="566"/>
      <c r="M303" s="566"/>
      <c r="N303" s="566"/>
      <c r="O303" s="566"/>
      <c r="P303" s="566"/>
      <c r="Q303" s="566"/>
      <c r="R303" s="566"/>
      <c r="S303" s="566"/>
      <c r="T303" s="566"/>
      <c r="U303" s="566"/>
      <c r="V303" s="566"/>
      <c r="W303" s="566"/>
      <c r="X303" s="566"/>
      <c r="Y303" s="566"/>
      <c r="Z303" s="566"/>
    </row>
    <row r="304" spans="1:26" x14ac:dyDescent="0.25">
      <c r="A304" s="566"/>
      <c r="B304" s="566"/>
      <c r="C304" s="566"/>
      <c r="D304" s="566"/>
      <c r="E304" s="566"/>
      <c r="F304" s="566"/>
      <c r="G304" s="566"/>
      <c r="H304" s="566"/>
      <c r="I304" s="566"/>
      <c r="J304" s="566"/>
      <c r="K304" s="566"/>
      <c r="L304" s="566"/>
      <c r="M304" s="566"/>
      <c r="N304" s="566"/>
      <c r="O304" s="566"/>
      <c r="P304" s="566"/>
      <c r="Q304" s="566"/>
      <c r="R304" s="566"/>
      <c r="S304" s="566"/>
      <c r="T304" s="566"/>
      <c r="U304" s="566"/>
      <c r="V304" s="566"/>
      <c r="W304" s="566"/>
      <c r="X304" s="566"/>
      <c r="Y304" s="566"/>
      <c r="Z304" s="566"/>
    </row>
    <row r="305" spans="1:26" x14ac:dyDescent="0.25">
      <c r="A305" s="566"/>
      <c r="B305" s="566"/>
      <c r="C305" s="566"/>
      <c r="D305" s="566"/>
      <c r="E305" s="566"/>
      <c r="F305" s="566"/>
      <c r="G305" s="566"/>
      <c r="H305" s="566"/>
      <c r="I305" s="566"/>
      <c r="J305" s="566"/>
      <c r="K305" s="566"/>
      <c r="L305" s="566"/>
      <c r="M305" s="566"/>
      <c r="N305" s="566"/>
      <c r="O305" s="566"/>
      <c r="P305" s="566"/>
      <c r="Q305" s="566"/>
      <c r="R305" s="566"/>
      <c r="S305" s="566"/>
      <c r="T305" s="566"/>
      <c r="U305" s="566"/>
      <c r="V305" s="566"/>
      <c r="W305" s="566"/>
      <c r="X305" s="566"/>
      <c r="Y305" s="566"/>
      <c r="Z305" s="566"/>
    </row>
    <row r="306" spans="1:26" x14ac:dyDescent="0.25">
      <c r="A306" s="566"/>
      <c r="B306" s="566"/>
      <c r="C306" s="566"/>
      <c r="D306" s="566"/>
      <c r="E306" s="566"/>
      <c r="F306" s="566"/>
      <c r="G306" s="566"/>
      <c r="H306" s="566"/>
      <c r="I306" s="566"/>
      <c r="J306" s="566"/>
      <c r="K306" s="566"/>
      <c r="L306" s="566"/>
      <c r="M306" s="566"/>
      <c r="N306" s="566"/>
      <c r="O306" s="566"/>
      <c r="P306" s="566"/>
      <c r="Q306" s="566"/>
      <c r="R306" s="566"/>
      <c r="S306" s="566"/>
      <c r="T306" s="566"/>
      <c r="U306" s="566"/>
      <c r="V306" s="566"/>
      <c r="W306" s="566"/>
      <c r="X306" s="566"/>
      <c r="Y306" s="566"/>
      <c r="Z306" s="566"/>
    </row>
    <row r="307" spans="1:26" x14ac:dyDescent="0.25">
      <c r="A307" s="566"/>
      <c r="B307" s="566"/>
      <c r="C307" s="566"/>
      <c r="D307" s="566"/>
      <c r="E307" s="566"/>
      <c r="F307" s="566"/>
      <c r="G307" s="566"/>
      <c r="H307" s="566"/>
      <c r="I307" s="566"/>
      <c r="J307" s="566"/>
      <c r="K307" s="566"/>
      <c r="L307" s="566"/>
      <c r="M307" s="566"/>
      <c r="N307" s="566"/>
      <c r="O307" s="566"/>
      <c r="P307" s="566"/>
      <c r="Q307" s="566"/>
      <c r="R307" s="566"/>
      <c r="S307" s="566"/>
      <c r="T307" s="566"/>
      <c r="U307" s="566"/>
      <c r="V307" s="566"/>
      <c r="W307" s="566"/>
      <c r="X307" s="566"/>
      <c r="Y307" s="566"/>
      <c r="Z307" s="566"/>
    </row>
    <row r="308" spans="1:26" x14ac:dyDescent="0.25">
      <c r="A308" s="566"/>
      <c r="B308" s="566"/>
      <c r="C308" s="566"/>
      <c r="D308" s="566"/>
      <c r="E308" s="566"/>
      <c r="F308" s="566"/>
      <c r="G308" s="566"/>
      <c r="H308" s="566"/>
      <c r="I308" s="566"/>
      <c r="J308" s="566"/>
      <c r="K308" s="566"/>
      <c r="L308" s="566"/>
      <c r="M308" s="566"/>
      <c r="N308" s="566"/>
      <c r="O308" s="566"/>
      <c r="P308" s="566"/>
      <c r="Q308" s="566"/>
      <c r="R308" s="566"/>
      <c r="S308" s="566"/>
      <c r="T308" s="566"/>
      <c r="U308" s="566"/>
      <c r="V308" s="566"/>
      <c r="W308" s="566"/>
      <c r="X308" s="566"/>
      <c r="Y308" s="566"/>
      <c r="Z308" s="566"/>
    </row>
    <row r="309" spans="1:26" x14ac:dyDescent="0.25">
      <c r="A309" s="566"/>
      <c r="B309" s="566"/>
      <c r="C309" s="566"/>
      <c r="D309" s="566"/>
      <c r="E309" s="566"/>
      <c r="F309" s="566"/>
      <c r="G309" s="566"/>
      <c r="H309" s="566"/>
      <c r="I309" s="566"/>
      <c r="J309" s="566"/>
      <c r="K309" s="566"/>
      <c r="L309" s="566"/>
      <c r="M309" s="566"/>
      <c r="N309" s="566"/>
      <c r="O309" s="566"/>
      <c r="P309" s="566"/>
      <c r="Q309" s="566"/>
      <c r="R309" s="566"/>
      <c r="S309" s="566"/>
      <c r="T309" s="566"/>
      <c r="U309" s="566"/>
      <c r="V309" s="566"/>
      <c r="W309" s="566"/>
      <c r="X309" s="566"/>
      <c r="Y309" s="566"/>
      <c r="Z309" s="566"/>
    </row>
    <row r="310" spans="1:26" x14ac:dyDescent="0.25">
      <c r="A310" s="566"/>
      <c r="B310" s="566"/>
      <c r="C310" s="566"/>
      <c r="D310" s="566"/>
      <c r="E310" s="566"/>
      <c r="F310" s="566"/>
      <c r="G310" s="566"/>
      <c r="H310" s="566"/>
      <c r="I310" s="566"/>
      <c r="J310" s="566"/>
      <c r="K310" s="566"/>
      <c r="L310" s="566"/>
      <c r="M310" s="566"/>
      <c r="N310" s="566"/>
      <c r="O310" s="566"/>
      <c r="P310" s="566"/>
      <c r="Q310" s="566"/>
      <c r="R310" s="566"/>
      <c r="S310" s="566"/>
      <c r="T310" s="566"/>
      <c r="U310" s="566"/>
      <c r="V310" s="566"/>
      <c r="W310" s="566"/>
      <c r="X310" s="566"/>
      <c r="Y310" s="566"/>
      <c r="Z310" s="566"/>
    </row>
    <row r="311" spans="1:26" x14ac:dyDescent="0.25">
      <c r="A311" s="566"/>
      <c r="B311" s="566"/>
      <c r="C311" s="566"/>
      <c r="D311" s="566"/>
      <c r="E311" s="566"/>
      <c r="F311" s="566"/>
      <c r="G311" s="566"/>
      <c r="H311" s="566"/>
      <c r="I311" s="566"/>
      <c r="J311" s="566"/>
      <c r="K311" s="566"/>
      <c r="L311" s="566"/>
      <c r="M311" s="566"/>
      <c r="N311" s="566"/>
      <c r="O311" s="566"/>
      <c r="P311" s="566"/>
      <c r="Q311" s="566"/>
      <c r="R311" s="566"/>
      <c r="S311" s="566"/>
      <c r="T311" s="566"/>
      <c r="U311" s="566"/>
      <c r="V311" s="566"/>
      <c r="W311" s="566"/>
      <c r="X311" s="566"/>
      <c r="Y311" s="566"/>
      <c r="Z311" s="566"/>
    </row>
    <row r="312" spans="1:26" x14ac:dyDescent="0.25">
      <c r="A312" s="566"/>
      <c r="B312" s="566"/>
      <c r="C312" s="566"/>
      <c r="D312" s="566"/>
      <c r="E312" s="566"/>
      <c r="F312" s="566"/>
      <c r="G312" s="566"/>
      <c r="H312" s="566"/>
      <c r="I312" s="566"/>
      <c r="J312" s="566"/>
      <c r="K312" s="566"/>
      <c r="L312" s="566"/>
      <c r="M312" s="566"/>
      <c r="N312" s="566"/>
      <c r="O312" s="566"/>
      <c r="P312" s="566"/>
      <c r="Q312" s="566"/>
      <c r="R312" s="566"/>
      <c r="S312" s="566"/>
      <c r="T312" s="566"/>
      <c r="U312" s="566"/>
      <c r="V312" s="566"/>
      <c r="W312" s="566"/>
      <c r="X312" s="566"/>
      <c r="Y312" s="566"/>
      <c r="Z312" s="566"/>
    </row>
    <row r="313" spans="1:26" x14ac:dyDescent="0.25">
      <c r="A313" s="566"/>
      <c r="B313" s="566"/>
      <c r="C313" s="566"/>
      <c r="D313" s="566"/>
      <c r="E313" s="566"/>
      <c r="F313" s="566"/>
      <c r="G313" s="566"/>
      <c r="H313" s="566"/>
      <c r="I313" s="566"/>
      <c r="J313" s="566"/>
      <c r="K313" s="566"/>
      <c r="L313" s="566"/>
      <c r="M313" s="566"/>
      <c r="N313" s="566"/>
      <c r="O313" s="566"/>
      <c r="P313" s="566"/>
      <c r="Q313" s="566"/>
      <c r="R313" s="566"/>
      <c r="S313" s="566"/>
      <c r="T313" s="566"/>
      <c r="U313" s="566"/>
      <c r="V313" s="566"/>
      <c r="W313" s="566"/>
      <c r="X313" s="566"/>
      <c r="Y313" s="566"/>
      <c r="Z313" s="566"/>
    </row>
    <row r="314" spans="1:26" x14ac:dyDescent="0.25">
      <c r="A314" s="566"/>
      <c r="B314" s="566"/>
      <c r="C314" s="566"/>
      <c r="D314" s="566"/>
      <c r="E314" s="566"/>
      <c r="F314" s="566"/>
      <c r="G314" s="566"/>
      <c r="H314" s="566"/>
      <c r="I314" s="566"/>
      <c r="J314" s="566"/>
      <c r="K314" s="566"/>
      <c r="L314" s="566"/>
      <c r="M314" s="566"/>
      <c r="N314" s="566"/>
      <c r="O314" s="566"/>
      <c r="P314" s="566"/>
      <c r="Q314" s="566"/>
      <c r="R314" s="566"/>
      <c r="S314" s="566"/>
      <c r="T314" s="566"/>
      <c r="U314" s="566"/>
      <c r="V314" s="566"/>
      <c r="W314" s="566"/>
      <c r="X314" s="566"/>
      <c r="Y314" s="566"/>
      <c r="Z314" s="566"/>
    </row>
    <row r="315" spans="1:26" x14ac:dyDescent="0.25">
      <c r="A315" s="566"/>
      <c r="B315" s="566"/>
      <c r="C315" s="566"/>
      <c r="D315" s="566"/>
      <c r="E315" s="566"/>
      <c r="F315" s="566"/>
      <c r="G315" s="566"/>
      <c r="H315" s="566"/>
      <c r="I315" s="566"/>
      <c r="J315" s="566"/>
      <c r="K315" s="566"/>
      <c r="L315" s="566"/>
      <c r="M315" s="566"/>
      <c r="N315" s="566"/>
      <c r="O315" s="566"/>
      <c r="P315" s="566"/>
      <c r="Q315" s="566"/>
      <c r="R315" s="566"/>
      <c r="S315" s="566"/>
      <c r="T315" s="566"/>
      <c r="U315" s="566"/>
      <c r="V315" s="566"/>
      <c r="W315" s="566"/>
      <c r="X315" s="566"/>
      <c r="Y315" s="566"/>
      <c r="Z315" s="566"/>
    </row>
    <row r="316" spans="1:26" x14ac:dyDescent="0.25">
      <c r="A316" s="566"/>
      <c r="B316" s="566"/>
      <c r="C316" s="566"/>
      <c r="D316" s="566"/>
      <c r="E316" s="566"/>
      <c r="F316" s="566"/>
      <c r="G316" s="566"/>
      <c r="H316" s="566"/>
      <c r="I316" s="566"/>
      <c r="J316" s="566"/>
      <c r="K316" s="566"/>
      <c r="L316" s="566"/>
      <c r="M316" s="566"/>
      <c r="N316" s="566"/>
      <c r="O316" s="566"/>
      <c r="P316" s="566"/>
      <c r="Q316" s="566"/>
      <c r="R316" s="566"/>
      <c r="S316" s="566"/>
      <c r="T316" s="566"/>
      <c r="U316" s="566"/>
      <c r="V316" s="566"/>
      <c r="W316" s="566"/>
      <c r="X316" s="566"/>
      <c r="Y316" s="566"/>
      <c r="Z316" s="566"/>
    </row>
    <row r="317" spans="1:26" x14ac:dyDescent="0.25">
      <c r="A317" s="566"/>
      <c r="B317" s="566"/>
      <c r="C317" s="566"/>
      <c r="D317" s="566"/>
      <c r="E317" s="566"/>
      <c r="F317" s="566"/>
      <c r="G317" s="566"/>
      <c r="H317" s="566"/>
      <c r="I317" s="566"/>
      <c r="J317" s="566"/>
      <c r="K317" s="566"/>
      <c r="L317" s="566"/>
      <c r="M317" s="566"/>
      <c r="N317" s="566"/>
      <c r="O317" s="566"/>
      <c r="P317" s="566"/>
      <c r="Q317" s="566"/>
      <c r="R317" s="566"/>
      <c r="S317" s="566"/>
      <c r="T317" s="566"/>
      <c r="U317" s="566"/>
      <c r="V317" s="566"/>
      <c r="W317" s="566"/>
      <c r="X317" s="566"/>
      <c r="Y317" s="566"/>
      <c r="Z317" s="566"/>
    </row>
    <row r="318" spans="1:26" x14ac:dyDescent="0.25">
      <c r="A318" s="566"/>
      <c r="B318" s="566"/>
      <c r="C318" s="566"/>
      <c r="D318" s="566"/>
      <c r="E318" s="566"/>
      <c r="F318" s="566"/>
      <c r="G318" s="566"/>
      <c r="H318" s="566"/>
      <c r="I318" s="566"/>
      <c r="J318" s="566"/>
      <c r="K318" s="566"/>
      <c r="L318" s="566"/>
      <c r="M318" s="566"/>
      <c r="N318" s="566"/>
      <c r="O318" s="566"/>
      <c r="P318" s="566"/>
      <c r="Q318" s="566"/>
      <c r="R318" s="566"/>
      <c r="S318" s="566"/>
      <c r="T318" s="566"/>
      <c r="U318" s="566"/>
      <c r="V318" s="566"/>
      <c r="W318" s="566"/>
      <c r="X318" s="566"/>
      <c r="Y318" s="566"/>
      <c r="Z318" s="566"/>
    </row>
    <row r="319" spans="1:26" x14ac:dyDescent="0.25">
      <c r="A319" s="566"/>
      <c r="B319" s="566"/>
      <c r="C319" s="566"/>
      <c r="D319" s="566"/>
      <c r="E319" s="566"/>
      <c r="F319" s="566"/>
      <c r="G319" s="566"/>
      <c r="H319" s="566"/>
      <c r="I319" s="566"/>
      <c r="J319" s="566"/>
      <c r="K319" s="566"/>
      <c r="L319" s="566"/>
      <c r="M319" s="566"/>
      <c r="N319" s="566"/>
      <c r="O319" s="566"/>
      <c r="P319" s="566"/>
      <c r="Q319" s="566"/>
      <c r="R319" s="566"/>
      <c r="S319" s="566"/>
      <c r="T319" s="566"/>
      <c r="U319" s="566"/>
      <c r="V319" s="566"/>
      <c r="W319" s="566"/>
      <c r="X319" s="566"/>
      <c r="Y319" s="566"/>
      <c r="Z319" s="566"/>
    </row>
    <row r="320" spans="1:26" x14ac:dyDescent="0.25">
      <c r="A320" s="566"/>
      <c r="B320" s="566"/>
      <c r="C320" s="566"/>
      <c r="D320" s="566"/>
      <c r="E320" s="566"/>
      <c r="F320" s="566"/>
      <c r="G320" s="566"/>
      <c r="H320" s="566"/>
      <c r="I320" s="566"/>
      <c r="J320" s="566"/>
      <c r="K320" s="566"/>
      <c r="L320" s="566"/>
      <c r="M320" s="566"/>
      <c r="N320" s="566"/>
      <c r="O320" s="566"/>
      <c r="P320" s="566"/>
      <c r="Q320" s="566"/>
      <c r="R320" s="566"/>
      <c r="S320" s="566"/>
      <c r="T320" s="566"/>
      <c r="U320" s="566"/>
      <c r="V320" s="566"/>
      <c r="W320" s="566"/>
      <c r="X320" s="566"/>
      <c r="Y320" s="566"/>
      <c r="Z320" s="566"/>
    </row>
    <row r="321" spans="1:26" x14ac:dyDescent="0.25">
      <c r="A321" s="566"/>
      <c r="B321" s="566"/>
      <c r="C321" s="566"/>
      <c r="D321" s="566"/>
      <c r="E321" s="566"/>
      <c r="F321" s="566"/>
      <c r="G321" s="566"/>
      <c r="H321" s="566"/>
      <c r="I321" s="566"/>
      <c r="J321" s="566"/>
      <c r="K321" s="566"/>
      <c r="L321" s="566"/>
      <c r="M321" s="566"/>
      <c r="N321" s="566"/>
      <c r="O321" s="566"/>
      <c r="P321" s="566"/>
      <c r="Q321" s="566"/>
      <c r="R321" s="566"/>
      <c r="S321" s="566"/>
      <c r="T321" s="566"/>
      <c r="U321" s="566"/>
      <c r="V321" s="566"/>
      <c r="W321" s="566"/>
      <c r="X321" s="566"/>
      <c r="Y321" s="566"/>
      <c r="Z321" s="566"/>
    </row>
    <row r="322" spans="1:26" x14ac:dyDescent="0.25">
      <c r="A322" s="566"/>
      <c r="B322" s="566"/>
      <c r="C322" s="566"/>
      <c r="D322" s="566"/>
      <c r="E322" s="566"/>
      <c r="F322" s="566"/>
      <c r="G322" s="566"/>
      <c r="H322" s="566"/>
      <c r="I322" s="566"/>
      <c r="J322" s="566"/>
      <c r="K322" s="566"/>
      <c r="L322" s="566"/>
      <c r="M322" s="566"/>
      <c r="N322" s="566"/>
      <c r="O322" s="566"/>
      <c r="P322" s="566"/>
      <c r="Q322" s="566"/>
      <c r="R322" s="566"/>
      <c r="S322" s="566"/>
      <c r="T322" s="566"/>
      <c r="U322" s="566"/>
      <c r="V322" s="566"/>
      <c r="W322" s="566"/>
      <c r="X322" s="566"/>
      <c r="Y322" s="566"/>
      <c r="Z322" s="566"/>
    </row>
    <row r="323" spans="1:26" x14ac:dyDescent="0.25">
      <c r="A323" s="566"/>
      <c r="B323" s="566"/>
      <c r="C323" s="566"/>
      <c r="D323" s="566"/>
      <c r="E323" s="566"/>
      <c r="F323" s="566"/>
      <c r="G323" s="566"/>
      <c r="H323" s="566"/>
      <c r="I323" s="566"/>
      <c r="J323" s="566"/>
      <c r="K323" s="566"/>
      <c r="L323" s="566"/>
      <c r="M323" s="566"/>
      <c r="N323" s="566"/>
      <c r="O323" s="566"/>
      <c r="P323" s="566"/>
      <c r="Q323" s="566"/>
      <c r="R323" s="566"/>
      <c r="S323" s="566"/>
      <c r="T323" s="566"/>
      <c r="U323" s="566"/>
      <c r="V323" s="566"/>
      <c r="W323" s="566"/>
      <c r="X323" s="566"/>
      <c r="Y323" s="566"/>
      <c r="Z323" s="566"/>
    </row>
    <row r="324" spans="1:26" x14ac:dyDescent="0.25">
      <c r="A324" s="566"/>
      <c r="B324" s="566"/>
      <c r="C324" s="566"/>
      <c r="D324" s="566"/>
      <c r="E324" s="566"/>
      <c r="F324" s="566"/>
      <c r="G324" s="566"/>
      <c r="H324" s="566"/>
      <c r="I324" s="566"/>
      <c r="J324" s="566"/>
      <c r="K324" s="566"/>
      <c r="L324" s="566"/>
      <c r="M324" s="566"/>
      <c r="N324" s="566"/>
      <c r="O324" s="566"/>
      <c r="P324" s="566"/>
      <c r="Q324" s="566"/>
      <c r="R324" s="566"/>
      <c r="S324" s="566"/>
      <c r="T324" s="566"/>
      <c r="U324" s="566"/>
      <c r="V324" s="566"/>
      <c r="W324" s="566"/>
      <c r="X324" s="566"/>
      <c r="Y324" s="566"/>
      <c r="Z324" s="566"/>
    </row>
    <row r="325" spans="1:26" x14ac:dyDescent="0.25">
      <c r="A325" s="566"/>
      <c r="B325" s="566"/>
      <c r="C325" s="566"/>
      <c r="D325" s="566"/>
      <c r="E325" s="566"/>
      <c r="F325" s="566"/>
      <c r="G325" s="566"/>
      <c r="H325" s="566"/>
      <c r="I325" s="566"/>
      <c r="J325" s="566"/>
      <c r="K325" s="566"/>
      <c r="L325" s="566"/>
      <c r="M325" s="566"/>
      <c r="N325" s="566"/>
      <c r="O325" s="566"/>
      <c r="P325" s="566"/>
      <c r="Q325" s="566"/>
      <c r="R325" s="566"/>
      <c r="S325" s="566"/>
      <c r="T325" s="566"/>
      <c r="U325" s="566"/>
      <c r="V325" s="566"/>
      <c r="W325" s="566"/>
      <c r="X325" s="566"/>
      <c r="Y325" s="566"/>
      <c r="Z325" s="566"/>
    </row>
    <row r="326" spans="1:26" x14ac:dyDescent="0.25">
      <c r="A326" s="566"/>
      <c r="B326" s="566"/>
      <c r="C326" s="566"/>
      <c r="D326" s="566"/>
      <c r="E326" s="566"/>
      <c r="F326" s="566"/>
      <c r="G326" s="566"/>
      <c r="H326" s="566"/>
      <c r="I326" s="566"/>
      <c r="J326" s="566"/>
      <c r="K326" s="566"/>
      <c r="L326" s="566"/>
      <c r="M326" s="566"/>
      <c r="N326" s="566"/>
      <c r="O326" s="566"/>
      <c r="P326" s="566"/>
      <c r="Q326" s="566"/>
      <c r="R326" s="566"/>
      <c r="S326" s="566"/>
      <c r="T326" s="566"/>
      <c r="U326" s="566"/>
      <c r="V326" s="566"/>
      <c r="W326" s="566"/>
      <c r="X326" s="566"/>
      <c r="Y326" s="566"/>
      <c r="Z326" s="566"/>
    </row>
    <row r="327" spans="1:26" x14ac:dyDescent="0.25">
      <c r="A327" s="566"/>
      <c r="B327" s="566"/>
      <c r="C327" s="566"/>
      <c r="D327" s="566"/>
      <c r="E327" s="566"/>
      <c r="F327" s="566"/>
      <c r="G327" s="566"/>
      <c r="H327" s="566"/>
      <c r="I327" s="566"/>
      <c r="J327" s="566"/>
      <c r="K327" s="566"/>
      <c r="L327" s="566"/>
      <c r="M327" s="566"/>
      <c r="N327" s="566"/>
      <c r="O327" s="566"/>
      <c r="P327" s="566"/>
      <c r="Q327" s="566"/>
      <c r="R327" s="566"/>
      <c r="S327" s="566"/>
      <c r="T327" s="566"/>
      <c r="U327" s="566"/>
      <c r="V327" s="566"/>
      <c r="W327" s="566"/>
      <c r="X327" s="566"/>
      <c r="Y327" s="566"/>
      <c r="Z327" s="566"/>
    </row>
    <row r="328" spans="1:26" x14ac:dyDescent="0.25">
      <c r="A328" s="566"/>
      <c r="B328" s="566"/>
      <c r="C328" s="566"/>
      <c r="D328" s="566"/>
      <c r="E328" s="566"/>
      <c r="F328" s="566"/>
      <c r="G328" s="566"/>
      <c r="H328" s="566"/>
      <c r="I328" s="566"/>
      <c r="J328" s="566"/>
      <c r="K328" s="566"/>
      <c r="L328" s="566"/>
      <c r="M328" s="566"/>
      <c r="N328" s="566"/>
      <c r="O328" s="566"/>
      <c r="P328" s="566"/>
      <c r="Q328" s="566"/>
      <c r="R328" s="566"/>
      <c r="S328" s="566"/>
      <c r="T328" s="566"/>
      <c r="U328" s="566"/>
      <c r="V328" s="566"/>
      <c r="W328" s="566"/>
      <c r="X328" s="566"/>
      <c r="Y328" s="566"/>
      <c r="Z328" s="566"/>
    </row>
    <row r="329" spans="1:26" x14ac:dyDescent="0.25">
      <c r="A329" s="566"/>
      <c r="B329" s="566"/>
      <c r="C329" s="566"/>
      <c r="D329" s="566"/>
      <c r="E329" s="566"/>
      <c r="F329" s="566"/>
      <c r="G329" s="566"/>
      <c r="H329" s="566"/>
      <c r="I329" s="566"/>
      <c r="J329" s="566"/>
      <c r="K329" s="566"/>
      <c r="L329" s="566"/>
      <c r="M329" s="566"/>
      <c r="N329" s="566"/>
      <c r="O329" s="566"/>
      <c r="P329" s="566"/>
      <c r="Q329" s="566"/>
      <c r="R329" s="566"/>
      <c r="S329" s="566"/>
      <c r="T329" s="566"/>
      <c r="U329" s="566"/>
      <c r="V329" s="566"/>
      <c r="W329" s="566"/>
      <c r="X329" s="566"/>
      <c r="Y329" s="566"/>
      <c r="Z329" s="566"/>
    </row>
    <row r="330" spans="1:26" x14ac:dyDescent="0.25">
      <c r="A330" s="566"/>
      <c r="B330" s="566"/>
      <c r="C330" s="566"/>
      <c r="D330" s="566"/>
      <c r="E330" s="566"/>
      <c r="F330" s="566"/>
      <c r="G330" s="566"/>
      <c r="H330" s="566"/>
      <c r="I330" s="566"/>
      <c r="J330" s="566"/>
      <c r="K330" s="566"/>
      <c r="L330" s="566"/>
      <c r="M330" s="566"/>
      <c r="N330" s="566"/>
      <c r="O330" s="566"/>
      <c r="P330" s="566"/>
      <c r="Q330" s="566"/>
      <c r="R330" s="566"/>
      <c r="S330" s="566"/>
      <c r="T330" s="566"/>
      <c r="U330" s="566"/>
      <c r="V330" s="566"/>
      <c r="W330" s="566"/>
      <c r="X330" s="566"/>
      <c r="Y330" s="566"/>
      <c r="Z330" s="566"/>
    </row>
    <row r="331" spans="1:26" x14ac:dyDescent="0.25">
      <c r="A331" s="566"/>
      <c r="B331" s="566"/>
      <c r="C331" s="566"/>
      <c r="D331" s="566"/>
      <c r="E331" s="566"/>
      <c r="F331" s="566"/>
      <c r="G331" s="566"/>
      <c r="H331" s="566"/>
      <c r="I331" s="566"/>
      <c r="J331" s="566"/>
      <c r="K331" s="566"/>
      <c r="L331" s="566"/>
      <c r="M331" s="566"/>
      <c r="N331" s="566"/>
      <c r="O331" s="566"/>
      <c r="P331" s="566"/>
      <c r="Q331" s="566"/>
      <c r="R331" s="566"/>
      <c r="S331" s="566"/>
      <c r="T331" s="566"/>
      <c r="U331" s="566"/>
      <c r="V331" s="566"/>
      <c r="W331" s="566"/>
      <c r="X331" s="566"/>
      <c r="Y331" s="566"/>
      <c r="Z331" s="566"/>
    </row>
    <row r="332" spans="1:26" x14ac:dyDescent="0.25">
      <c r="A332" s="566"/>
      <c r="B332" s="566"/>
      <c r="C332" s="566"/>
      <c r="D332" s="566"/>
      <c r="E332" s="566"/>
      <c r="F332" s="566"/>
      <c r="G332" s="566"/>
      <c r="H332" s="566"/>
      <c r="I332" s="566"/>
      <c r="J332" s="566"/>
      <c r="K332" s="566"/>
      <c r="L332" s="566"/>
      <c r="M332" s="566"/>
      <c r="N332" s="566"/>
      <c r="O332" s="566"/>
      <c r="P332" s="566"/>
      <c r="Q332" s="566"/>
      <c r="R332" s="566"/>
      <c r="S332" s="566"/>
      <c r="T332" s="566"/>
      <c r="U332" s="566"/>
      <c r="V332" s="566"/>
      <c r="W332" s="566"/>
      <c r="X332" s="566"/>
      <c r="Y332" s="566"/>
      <c r="Z332" s="566"/>
    </row>
    <row r="333" spans="1:26" x14ac:dyDescent="0.25">
      <c r="A333" s="566"/>
      <c r="B333" s="566"/>
      <c r="C333" s="566"/>
      <c r="D333" s="566"/>
      <c r="E333" s="566"/>
      <c r="F333" s="566"/>
      <c r="G333" s="566"/>
      <c r="H333" s="566"/>
      <c r="I333" s="566"/>
      <c r="J333" s="566"/>
      <c r="K333" s="566"/>
      <c r="L333" s="566"/>
      <c r="M333" s="566"/>
      <c r="N333" s="566"/>
      <c r="O333" s="566"/>
      <c r="P333" s="566"/>
      <c r="Q333" s="566"/>
      <c r="R333" s="566"/>
      <c r="S333" s="566"/>
      <c r="T333" s="566"/>
      <c r="U333" s="566"/>
      <c r="V333" s="566"/>
      <c r="W333" s="566"/>
      <c r="X333" s="566"/>
      <c r="Y333" s="566"/>
      <c r="Z333" s="566"/>
    </row>
    <row r="334" spans="1:26" x14ac:dyDescent="0.25">
      <c r="A334" s="566"/>
      <c r="B334" s="566"/>
      <c r="C334" s="566"/>
      <c r="D334" s="566"/>
      <c r="E334" s="566"/>
      <c r="F334" s="566"/>
      <c r="G334" s="566"/>
      <c r="H334" s="566"/>
      <c r="I334" s="566"/>
      <c r="J334" s="566"/>
      <c r="K334" s="566"/>
      <c r="L334" s="566"/>
      <c r="M334" s="566"/>
      <c r="N334" s="566"/>
      <c r="O334" s="566"/>
      <c r="P334" s="566"/>
      <c r="Q334" s="566"/>
      <c r="R334" s="566"/>
      <c r="S334" s="566"/>
      <c r="T334" s="566"/>
      <c r="U334" s="566"/>
      <c r="V334" s="566"/>
      <c r="W334" s="566"/>
      <c r="X334" s="566"/>
      <c r="Y334" s="566"/>
      <c r="Z334" s="566"/>
    </row>
    <row r="335" spans="1:26" x14ac:dyDescent="0.25">
      <c r="A335" s="566"/>
      <c r="B335" s="566"/>
      <c r="C335" s="566"/>
      <c r="D335" s="566"/>
      <c r="E335" s="566"/>
      <c r="F335" s="566"/>
      <c r="G335" s="566"/>
      <c r="H335" s="566"/>
      <c r="I335" s="566"/>
      <c r="J335" s="566"/>
      <c r="K335" s="566"/>
      <c r="L335" s="566"/>
      <c r="M335" s="566"/>
      <c r="N335" s="566"/>
      <c r="O335" s="566"/>
      <c r="P335" s="566"/>
      <c r="Q335" s="566"/>
      <c r="R335" s="566"/>
      <c r="S335" s="566"/>
      <c r="T335" s="566"/>
      <c r="U335" s="566"/>
      <c r="V335" s="566"/>
      <c r="W335" s="566"/>
      <c r="X335" s="566"/>
      <c r="Y335" s="566"/>
      <c r="Z335" s="566"/>
    </row>
    <row r="336" spans="1:26" x14ac:dyDescent="0.25">
      <c r="A336" s="566"/>
      <c r="B336" s="566"/>
      <c r="C336" s="566"/>
      <c r="D336" s="566"/>
      <c r="E336" s="566"/>
      <c r="F336" s="566"/>
      <c r="G336" s="566"/>
      <c r="H336" s="566"/>
      <c r="I336" s="566"/>
      <c r="J336" s="566"/>
      <c r="K336" s="566"/>
      <c r="L336" s="566"/>
      <c r="M336" s="566"/>
      <c r="N336" s="566"/>
      <c r="O336" s="566"/>
      <c r="P336" s="566"/>
      <c r="Q336" s="566"/>
      <c r="R336" s="566"/>
      <c r="S336" s="566"/>
      <c r="T336" s="566"/>
      <c r="U336" s="566"/>
      <c r="V336" s="566"/>
      <c r="W336" s="566"/>
      <c r="X336" s="566"/>
      <c r="Y336" s="566"/>
      <c r="Z336" s="566"/>
    </row>
    <row r="337" spans="1:26" x14ac:dyDescent="0.25">
      <c r="A337" s="566"/>
      <c r="B337" s="566"/>
      <c r="C337" s="566"/>
      <c r="D337" s="566"/>
      <c r="E337" s="566"/>
      <c r="F337" s="566"/>
      <c r="G337" s="566"/>
      <c r="H337" s="566"/>
      <c r="I337" s="566"/>
      <c r="J337" s="566"/>
      <c r="K337" s="566"/>
      <c r="L337" s="566"/>
      <c r="M337" s="566"/>
      <c r="N337" s="566"/>
      <c r="O337" s="566"/>
      <c r="P337" s="566"/>
      <c r="Q337" s="566"/>
      <c r="R337" s="566"/>
      <c r="S337" s="566"/>
      <c r="T337" s="566"/>
      <c r="U337" s="566"/>
      <c r="V337" s="566"/>
      <c r="W337" s="566"/>
      <c r="X337" s="566"/>
      <c r="Y337" s="566"/>
      <c r="Z337" s="566"/>
    </row>
    <row r="338" spans="1:26" x14ac:dyDescent="0.25">
      <c r="A338" s="566"/>
      <c r="B338" s="566"/>
      <c r="C338" s="566"/>
      <c r="D338" s="566"/>
      <c r="E338" s="566"/>
      <c r="F338" s="566"/>
      <c r="G338" s="566"/>
      <c r="H338" s="566"/>
      <c r="I338" s="566"/>
      <c r="J338" s="566"/>
      <c r="K338" s="566"/>
      <c r="L338" s="566"/>
      <c r="M338" s="566"/>
      <c r="N338" s="566"/>
      <c r="O338" s="566"/>
      <c r="P338" s="566"/>
      <c r="Q338" s="566"/>
      <c r="R338" s="566"/>
      <c r="S338" s="566"/>
      <c r="T338" s="566"/>
      <c r="U338" s="566"/>
      <c r="V338" s="566"/>
      <c r="W338" s="566"/>
      <c r="X338" s="566"/>
      <c r="Y338" s="566"/>
      <c r="Z338" s="566"/>
    </row>
    <row r="339" spans="1:26" x14ac:dyDescent="0.25">
      <c r="A339" s="566"/>
      <c r="B339" s="566"/>
      <c r="C339" s="566"/>
      <c r="D339" s="566"/>
      <c r="E339" s="566"/>
      <c r="F339" s="566"/>
      <c r="G339" s="566"/>
      <c r="H339" s="566"/>
      <c r="I339" s="566"/>
      <c r="J339" s="566"/>
      <c r="K339" s="566"/>
      <c r="L339" s="566"/>
      <c r="M339" s="566"/>
      <c r="N339" s="566"/>
      <c r="O339" s="566"/>
      <c r="P339" s="566"/>
      <c r="Q339" s="566"/>
      <c r="R339" s="566"/>
      <c r="S339" s="566"/>
      <c r="T339" s="566"/>
      <c r="U339" s="566"/>
      <c r="V339" s="566"/>
      <c r="W339" s="566"/>
      <c r="X339" s="566"/>
      <c r="Y339" s="566"/>
      <c r="Z339" s="566"/>
    </row>
    <row r="340" spans="1:26" x14ac:dyDescent="0.25">
      <c r="A340" s="566"/>
      <c r="B340" s="566"/>
      <c r="C340" s="566"/>
      <c r="D340" s="566"/>
      <c r="E340" s="566"/>
      <c r="F340" s="566"/>
      <c r="G340" s="566"/>
      <c r="H340" s="566"/>
      <c r="I340" s="566"/>
      <c r="J340" s="566"/>
      <c r="K340" s="566"/>
      <c r="L340" s="566"/>
      <c r="M340" s="566"/>
      <c r="N340" s="566"/>
      <c r="O340" s="566"/>
      <c r="P340" s="566"/>
      <c r="Q340" s="566"/>
      <c r="R340" s="566"/>
      <c r="S340" s="566"/>
      <c r="T340" s="566"/>
      <c r="U340" s="566"/>
      <c r="V340" s="566"/>
      <c r="W340" s="566"/>
      <c r="X340" s="566"/>
      <c r="Y340" s="566"/>
      <c r="Z340" s="566"/>
    </row>
    <row r="341" spans="1:26" x14ac:dyDescent="0.25">
      <c r="A341" s="566"/>
      <c r="B341" s="566"/>
      <c r="C341" s="566"/>
      <c r="D341" s="566"/>
      <c r="E341" s="566"/>
      <c r="F341" s="566"/>
      <c r="G341" s="566"/>
      <c r="H341" s="566"/>
      <c r="I341" s="566"/>
      <c r="J341" s="566"/>
      <c r="K341" s="566"/>
      <c r="L341" s="566"/>
      <c r="M341" s="566"/>
      <c r="N341" s="566"/>
      <c r="O341" s="566"/>
      <c r="P341" s="566"/>
      <c r="Q341" s="566"/>
      <c r="R341" s="566"/>
      <c r="S341" s="566"/>
      <c r="T341" s="566"/>
      <c r="U341" s="566"/>
      <c r="V341" s="566"/>
      <c r="W341" s="566"/>
      <c r="X341" s="566"/>
      <c r="Y341" s="566"/>
      <c r="Z341" s="566"/>
    </row>
    <row r="342" spans="1:26" x14ac:dyDescent="0.25">
      <c r="A342" s="566"/>
      <c r="B342" s="566"/>
      <c r="C342" s="566"/>
      <c r="D342" s="566"/>
      <c r="E342" s="566"/>
      <c r="F342" s="566"/>
      <c r="G342" s="566"/>
      <c r="H342" s="566"/>
      <c r="I342" s="566"/>
      <c r="J342" s="566"/>
      <c r="K342" s="566"/>
      <c r="L342" s="566"/>
      <c r="M342" s="566"/>
      <c r="N342" s="566"/>
      <c r="O342" s="566"/>
      <c r="P342" s="566"/>
      <c r="Q342" s="566"/>
      <c r="R342" s="566"/>
      <c r="S342" s="566"/>
      <c r="T342" s="566"/>
      <c r="U342" s="566"/>
      <c r="V342" s="566"/>
      <c r="W342" s="566"/>
      <c r="X342" s="566"/>
      <c r="Y342" s="566"/>
      <c r="Z342" s="566"/>
    </row>
    <row r="343" spans="1:26" x14ac:dyDescent="0.25">
      <c r="A343" s="566"/>
      <c r="B343" s="566"/>
      <c r="C343" s="566"/>
      <c r="D343" s="566"/>
      <c r="E343" s="566"/>
      <c r="F343" s="566"/>
      <c r="G343" s="566"/>
      <c r="H343" s="566"/>
      <c r="I343" s="566"/>
      <c r="J343" s="566"/>
      <c r="K343" s="566"/>
      <c r="L343" s="566"/>
      <c r="M343" s="566"/>
      <c r="N343" s="566"/>
      <c r="O343" s="566"/>
      <c r="P343" s="566"/>
      <c r="Q343" s="566"/>
      <c r="R343" s="566"/>
      <c r="S343" s="566"/>
      <c r="T343" s="566"/>
      <c r="U343" s="566"/>
      <c r="V343" s="566"/>
      <c r="W343" s="566"/>
      <c r="X343" s="566"/>
      <c r="Y343" s="566"/>
      <c r="Z343" s="566"/>
    </row>
    <row r="344" spans="1:26" x14ac:dyDescent="0.25">
      <c r="A344" s="566"/>
      <c r="B344" s="566"/>
      <c r="C344" s="566"/>
      <c r="D344" s="566"/>
      <c r="E344" s="566"/>
      <c r="F344" s="566"/>
      <c r="G344" s="566"/>
      <c r="H344" s="566"/>
      <c r="I344" s="566"/>
      <c r="J344" s="566"/>
      <c r="K344" s="566"/>
      <c r="L344" s="566"/>
      <c r="M344" s="566"/>
      <c r="N344" s="566"/>
      <c r="O344" s="566"/>
      <c r="P344" s="566"/>
      <c r="Q344" s="566"/>
      <c r="R344" s="566"/>
      <c r="S344" s="566"/>
      <c r="T344" s="566"/>
      <c r="U344" s="566"/>
      <c r="V344" s="566"/>
      <c r="W344" s="566"/>
      <c r="X344" s="566"/>
      <c r="Y344" s="566"/>
      <c r="Z344" s="566"/>
    </row>
    <row r="345" spans="1:26" x14ac:dyDescent="0.25">
      <c r="A345" s="566"/>
      <c r="B345" s="566"/>
      <c r="C345" s="566"/>
      <c r="D345" s="566"/>
      <c r="E345" s="566"/>
      <c r="F345" s="566"/>
      <c r="G345" s="566"/>
      <c r="H345" s="566"/>
      <c r="I345" s="566"/>
      <c r="J345" s="566"/>
      <c r="K345" s="566"/>
      <c r="L345" s="566"/>
      <c r="M345" s="566"/>
      <c r="N345" s="566"/>
      <c r="O345" s="566"/>
      <c r="P345" s="566"/>
      <c r="Q345" s="566"/>
      <c r="R345" s="566"/>
      <c r="S345" s="566"/>
      <c r="T345" s="566"/>
      <c r="U345" s="566"/>
      <c r="V345" s="566"/>
      <c r="W345" s="566"/>
      <c r="X345" s="566"/>
      <c r="Y345" s="566"/>
      <c r="Z345" s="566"/>
    </row>
    <row r="346" spans="1:26" x14ac:dyDescent="0.25">
      <c r="A346" s="566"/>
      <c r="B346" s="566"/>
      <c r="C346" s="566"/>
      <c r="D346" s="566"/>
      <c r="E346" s="566"/>
      <c r="F346" s="566"/>
      <c r="G346" s="566"/>
      <c r="H346" s="566"/>
      <c r="I346" s="566"/>
      <c r="J346" s="566"/>
      <c r="K346" s="566"/>
      <c r="L346" s="566"/>
      <c r="M346" s="566"/>
      <c r="N346" s="566"/>
      <c r="O346" s="566"/>
      <c r="P346" s="566"/>
      <c r="Q346" s="566"/>
      <c r="R346" s="566"/>
      <c r="S346" s="566"/>
      <c r="T346" s="566"/>
      <c r="U346" s="566"/>
      <c r="V346" s="566"/>
      <c r="W346" s="566"/>
      <c r="X346" s="566"/>
      <c r="Y346" s="566"/>
      <c r="Z346" s="566"/>
    </row>
    <row r="347" spans="1:26" x14ac:dyDescent="0.25">
      <c r="A347" s="566"/>
      <c r="B347" s="566"/>
      <c r="C347" s="566"/>
      <c r="D347" s="566"/>
      <c r="E347" s="566"/>
      <c r="F347" s="566"/>
      <c r="G347" s="566"/>
      <c r="H347" s="566"/>
      <c r="I347" s="566"/>
      <c r="J347" s="566"/>
      <c r="K347" s="566"/>
      <c r="L347" s="566"/>
      <c r="M347" s="566"/>
      <c r="N347" s="566"/>
      <c r="O347" s="566"/>
      <c r="P347" s="566"/>
      <c r="Q347" s="566"/>
      <c r="R347" s="566"/>
      <c r="S347" s="566"/>
      <c r="T347" s="566"/>
      <c r="U347" s="566"/>
      <c r="V347" s="566"/>
      <c r="W347" s="566"/>
      <c r="X347" s="566"/>
      <c r="Y347" s="566"/>
      <c r="Z347" s="566"/>
    </row>
    <row r="348" spans="1:26" x14ac:dyDescent="0.25">
      <c r="A348" s="566"/>
      <c r="B348" s="566"/>
      <c r="C348" s="566"/>
      <c r="D348" s="566"/>
      <c r="E348" s="566"/>
      <c r="F348" s="566"/>
      <c r="G348" s="566"/>
      <c r="H348" s="566"/>
      <c r="I348" s="566"/>
      <c r="J348" s="566"/>
      <c r="K348" s="566"/>
      <c r="L348" s="566"/>
      <c r="M348" s="566"/>
      <c r="N348" s="566"/>
      <c r="O348" s="566"/>
      <c r="P348" s="566"/>
      <c r="Q348" s="566"/>
      <c r="R348" s="566"/>
      <c r="S348" s="566"/>
      <c r="T348" s="566"/>
      <c r="U348" s="566"/>
      <c r="V348" s="566"/>
      <c r="W348" s="566"/>
      <c r="X348" s="566"/>
      <c r="Y348" s="566"/>
      <c r="Z348" s="566"/>
    </row>
    <row r="349" spans="1:26" x14ac:dyDescent="0.25">
      <c r="A349" s="566"/>
      <c r="B349" s="566"/>
      <c r="C349" s="566"/>
      <c r="D349" s="566"/>
      <c r="E349" s="566"/>
      <c r="F349" s="566"/>
      <c r="G349" s="566"/>
      <c r="H349" s="566"/>
      <c r="I349" s="566"/>
      <c r="J349" s="566"/>
      <c r="K349" s="566"/>
      <c r="L349" s="566"/>
      <c r="M349" s="566"/>
      <c r="N349" s="566"/>
      <c r="O349" s="566"/>
      <c r="P349" s="566"/>
      <c r="Q349" s="566"/>
      <c r="R349" s="566"/>
      <c r="S349" s="566"/>
      <c r="T349" s="566"/>
      <c r="U349" s="566"/>
      <c r="V349" s="566"/>
      <c r="W349" s="566"/>
      <c r="X349" s="566"/>
      <c r="Y349" s="566"/>
      <c r="Z349" s="566"/>
    </row>
    <row r="350" spans="1:26" x14ac:dyDescent="0.25">
      <c r="A350" s="566"/>
      <c r="B350" s="566"/>
      <c r="C350" s="566"/>
      <c r="D350" s="566"/>
      <c r="E350" s="566"/>
      <c r="F350" s="566"/>
      <c r="G350" s="566"/>
      <c r="H350" s="566"/>
      <c r="I350" s="566"/>
      <c r="J350" s="566"/>
      <c r="K350" s="566"/>
      <c r="L350" s="566"/>
      <c r="M350" s="566"/>
      <c r="N350" s="566"/>
      <c r="O350" s="566"/>
      <c r="P350" s="566"/>
      <c r="Q350" s="566"/>
      <c r="R350" s="566"/>
      <c r="S350" s="566"/>
      <c r="T350" s="566"/>
      <c r="U350" s="566"/>
      <c r="V350" s="566"/>
      <c r="W350" s="566"/>
      <c r="X350" s="566"/>
      <c r="Y350" s="566"/>
      <c r="Z350" s="566"/>
    </row>
    <row r="351" spans="1:26" x14ac:dyDescent="0.25">
      <c r="A351" s="566"/>
      <c r="B351" s="566"/>
      <c r="C351" s="566"/>
      <c r="D351" s="566"/>
      <c r="E351" s="566"/>
      <c r="F351" s="566"/>
      <c r="G351" s="566"/>
      <c r="H351" s="566"/>
      <c r="I351" s="566"/>
      <c r="J351" s="566"/>
      <c r="K351" s="566"/>
      <c r="L351" s="566"/>
      <c r="M351" s="566"/>
      <c r="N351" s="566"/>
      <c r="O351" s="566"/>
      <c r="P351" s="566"/>
      <c r="Q351" s="566"/>
      <c r="R351" s="566"/>
      <c r="S351" s="566"/>
      <c r="T351" s="566"/>
      <c r="U351" s="566"/>
      <c r="V351" s="566"/>
      <c r="W351" s="566"/>
      <c r="X351" s="566"/>
      <c r="Y351" s="566"/>
      <c r="Z351" s="566"/>
    </row>
    <row r="352" spans="1:26" x14ac:dyDescent="0.25">
      <c r="A352" s="566"/>
      <c r="B352" s="566"/>
      <c r="C352" s="566"/>
      <c r="D352" s="566"/>
      <c r="E352" s="566"/>
      <c r="F352" s="566"/>
      <c r="G352" s="566"/>
      <c r="H352" s="566"/>
      <c r="I352" s="566"/>
      <c r="J352" s="566"/>
      <c r="K352" s="566"/>
      <c r="L352" s="566"/>
      <c r="M352" s="566"/>
      <c r="N352" s="566"/>
      <c r="O352" s="566"/>
      <c r="P352" s="566"/>
      <c r="Q352" s="566"/>
      <c r="R352" s="566"/>
      <c r="S352" s="566"/>
      <c r="T352" s="566"/>
      <c r="U352" s="566"/>
      <c r="V352" s="566"/>
      <c r="W352" s="566"/>
      <c r="X352" s="566"/>
      <c r="Y352" s="566"/>
      <c r="Z352" s="566"/>
    </row>
    <row r="353" spans="1:26" x14ac:dyDescent="0.25">
      <c r="A353" s="566"/>
      <c r="B353" s="566"/>
      <c r="C353" s="566"/>
      <c r="D353" s="566"/>
      <c r="E353" s="566"/>
      <c r="F353" s="566"/>
      <c r="G353" s="566"/>
      <c r="H353" s="566"/>
      <c r="I353" s="566"/>
      <c r="J353" s="566"/>
      <c r="K353" s="566"/>
      <c r="L353" s="566"/>
      <c r="M353" s="566"/>
      <c r="N353" s="566"/>
      <c r="O353" s="566"/>
      <c r="P353" s="566"/>
      <c r="Q353" s="566"/>
      <c r="R353" s="566"/>
      <c r="S353" s="566"/>
      <c r="T353" s="566"/>
      <c r="U353" s="566"/>
      <c r="V353" s="566"/>
      <c r="W353" s="566"/>
      <c r="X353" s="566"/>
      <c r="Y353" s="566"/>
      <c r="Z353" s="566"/>
    </row>
    <row r="354" spans="1:26" x14ac:dyDescent="0.25">
      <c r="A354" s="566"/>
      <c r="B354" s="566"/>
      <c r="C354" s="566"/>
      <c r="D354" s="566"/>
      <c r="E354" s="566"/>
      <c r="F354" s="566"/>
      <c r="G354" s="566"/>
      <c r="H354" s="566"/>
      <c r="I354" s="566"/>
      <c r="J354" s="566"/>
      <c r="K354" s="566"/>
      <c r="L354" s="566"/>
      <c r="M354" s="566"/>
      <c r="N354" s="566"/>
      <c r="O354" s="566"/>
      <c r="P354" s="566"/>
      <c r="Q354" s="566"/>
      <c r="R354" s="566"/>
      <c r="S354" s="566"/>
      <c r="T354" s="566"/>
      <c r="U354" s="566"/>
      <c r="V354" s="566"/>
      <c r="W354" s="566"/>
      <c r="X354" s="566"/>
      <c r="Y354" s="566"/>
      <c r="Z354" s="566"/>
    </row>
    <row r="355" spans="1:26" x14ac:dyDescent="0.25">
      <c r="A355" s="566"/>
      <c r="B355" s="566"/>
      <c r="C355" s="566"/>
      <c r="D355" s="566"/>
      <c r="E355" s="566"/>
      <c r="F355" s="566"/>
      <c r="G355" s="566"/>
      <c r="H355" s="566"/>
      <c r="I355" s="566"/>
      <c r="J355" s="566"/>
      <c r="K355" s="566"/>
      <c r="L355" s="566"/>
      <c r="M355" s="566"/>
      <c r="N355" s="566"/>
      <c r="O355" s="566"/>
      <c r="P355" s="566"/>
      <c r="Q355" s="566"/>
      <c r="R355" s="566"/>
      <c r="S355" s="566"/>
      <c r="T355" s="566"/>
      <c r="U355" s="566"/>
      <c r="V355" s="566"/>
      <c r="W355" s="566"/>
      <c r="X355" s="566"/>
      <c r="Y355" s="566"/>
      <c r="Z355" s="566"/>
    </row>
    <row r="356" spans="1:26" x14ac:dyDescent="0.25">
      <c r="A356" s="566"/>
      <c r="B356" s="566"/>
      <c r="C356" s="566"/>
      <c r="D356" s="566"/>
      <c r="E356" s="566"/>
      <c r="F356" s="566"/>
      <c r="G356" s="566"/>
      <c r="H356" s="566"/>
      <c r="I356" s="566"/>
      <c r="J356" s="566"/>
      <c r="K356" s="566"/>
      <c r="L356" s="566"/>
      <c r="M356" s="566"/>
      <c r="N356" s="566"/>
      <c r="O356" s="566"/>
      <c r="P356" s="566"/>
      <c r="Q356" s="566"/>
      <c r="R356" s="566"/>
      <c r="S356" s="566"/>
      <c r="T356" s="566"/>
      <c r="U356" s="566"/>
      <c r="V356" s="566"/>
      <c r="W356" s="566"/>
      <c r="X356" s="566"/>
      <c r="Y356" s="566"/>
      <c r="Z356" s="566"/>
    </row>
    <row r="357" spans="1:26" x14ac:dyDescent="0.25">
      <c r="A357" s="566"/>
      <c r="B357" s="566"/>
      <c r="C357" s="566"/>
      <c r="D357" s="566"/>
      <c r="E357" s="566"/>
      <c r="F357" s="566"/>
      <c r="G357" s="566"/>
      <c r="H357" s="566"/>
      <c r="I357" s="566"/>
      <c r="J357" s="566"/>
      <c r="K357" s="566"/>
      <c r="L357" s="566"/>
      <c r="M357" s="566"/>
      <c r="N357" s="566"/>
      <c r="O357" s="566"/>
      <c r="P357" s="566"/>
      <c r="Q357" s="566"/>
      <c r="R357" s="566"/>
      <c r="S357" s="566"/>
      <c r="T357" s="566"/>
      <c r="U357" s="566"/>
      <c r="V357" s="566"/>
      <c r="W357" s="566"/>
      <c r="X357" s="566"/>
      <c r="Y357" s="566"/>
      <c r="Z357" s="566"/>
    </row>
    <row r="358" spans="1:26" x14ac:dyDescent="0.25">
      <c r="A358" s="566"/>
      <c r="B358" s="566"/>
      <c r="C358" s="566"/>
      <c r="D358" s="566"/>
      <c r="E358" s="566"/>
      <c r="F358" s="566"/>
      <c r="G358" s="566"/>
      <c r="H358" s="566"/>
      <c r="I358" s="566"/>
      <c r="J358" s="566"/>
      <c r="K358" s="566"/>
      <c r="L358" s="566"/>
      <c r="M358" s="566"/>
      <c r="N358" s="566"/>
      <c r="O358" s="566"/>
      <c r="P358" s="566"/>
      <c r="Q358" s="566"/>
      <c r="R358" s="566"/>
      <c r="S358" s="566"/>
      <c r="T358" s="566"/>
      <c r="U358" s="566"/>
      <c r="V358" s="566"/>
      <c r="W358" s="566"/>
      <c r="X358" s="566"/>
      <c r="Y358" s="566"/>
      <c r="Z358" s="566"/>
    </row>
    <row r="359" spans="1:26" x14ac:dyDescent="0.25">
      <c r="A359" s="566"/>
      <c r="B359" s="566"/>
      <c r="C359" s="566"/>
      <c r="D359" s="566"/>
      <c r="E359" s="566"/>
      <c r="F359" s="566"/>
      <c r="G359" s="566"/>
      <c r="H359" s="566"/>
      <c r="I359" s="566"/>
      <c r="J359" s="566"/>
      <c r="K359" s="566"/>
      <c r="L359" s="566"/>
      <c r="M359" s="566"/>
      <c r="N359" s="566"/>
      <c r="O359" s="566"/>
      <c r="P359" s="566"/>
      <c r="Q359" s="566"/>
      <c r="R359" s="566"/>
      <c r="S359" s="566"/>
      <c r="T359" s="566"/>
      <c r="U359" s="566"/>
      <c r="V359" s="566"/>
      <c r="W359" s="566"/>
      <c r="X359" s="566"/>
      <c r="Y359" s="566"/>
      <c r="Z359" s="566"/>
    </row>
    <row r="360" spans="1:26" x14ac:dyDescent="0.25">
      <c r="A360" s="566"/>
      <c r="B360" s="566"/>
      <c r="C360" s="566"/>
      <c r="D360" s="566"/>
      <c r="E360" s="566"/>
      <c r="F360" s="566"/>
      <c r="G360" s="566"/>
      <c r="H360" s="566"/>
      <c r="I360" s="566"/>
      <c r="J360" s="566"/>
      <c r="K360" s="566"/>
      <c r="L360" s="566"/>
      <c r="M360" s="566"/>
      <c r="N360" s="566"/>
      <c r="O360" s="566"/>
      <c r="P360" s="566"/>
      <c r="Q360" s="566"/>
      <c r="R360" s="566"/>
      <c r="S360" s="566"/>
      <c r="T360" s="566"/>
      <c r="U360" s="566"/>
      <c r="V360" s="566"/>
      <c r="W360" s="566"/>
      <c r="X360" s="566"/>
      <c r="Y360" s="566"/>
      <c r="Z360" s="566"/>
    </row>
    <row r="361" spans="1:26" x14ac:dyDescent="0.25">
      <c r="A361" s="566"/>
      <c r="B361" s="566"/>
      <c r="C361" s="566"/>
      <c r="D361" s="566"/>
      <c r="E361" s="566"/>
      <c r="F361" s="566"/>
      <c r="G361" s="566"/>
      <c r="H361" s="566"/>
      <c r="I361" s="566"/>
      <c r="J361" s="566"/>
      <c r="K361" s="566"/>
      <c r="L361" s="566"/>
      <c r="M361" s="566"/>
      <c r="N361" s="566"/>
      <c r="O361" s="566"/>
      <c r="P361" s="566"/>
      <c r="Q361" s="566"/>
      <c r="R361" s="566"/>
      <c r="S361" s="566"/>
      <c r="T361" s="566"/>
      <c r="U361" s="566"/>
      <c r="V361" s="566"/>
      <c r="W361" s="566"/>
      <c r="X361" s="566"/>
      <c r="Y361" s="566"/>
      <c r="Z361" s="566"/>
    </row>
    <row r="362" spans="1:26" x14ac:dyDescent="0.25">
      <c r="A362" s="566"/>
      <c r="B362" s="566"/>
      <c r="C362" s="566"/>
      <c r="D362" s="566"/>
      <c r="E362" s="566"/>
      <c r="F362" s="566"/>
      <c r="G362" s="566"/>
      <c r="H362" s="566"/>
      <c r="I362" s="566"/>
      <c r="J362" s="566"/>
      <c r="K362" s="566"/>
      <c r="L362" s="566"/>
      <c r="M362" s="566"/>
      <c r="N362" s="566"/>
      <c r="O362" s="566"/>
      <c r="P362" s="566"/>
      <c r="Q362" s="566"/>
      <c r="R362" s="566"/>
      <c r="S362" s="566"/>
      <c r="T362" s="566"/>
      <c r="U362" s="566"/>
      <c r="V362" s="566"/>
      <c r="W362" s="566"/>
      <c r="X362" s="566"/>
      <c r="Y362" s="566"/>
      <c r="Z362" s="566"/>
    </row>
    <row r="363" spans="1:26" x14ac:dyDescent="0.25">
      <c r="A363" s="566"/>
      <c r="B363" s="566"/>
      <c r="C363" s="566"/>
      <c r="D363" s="566"/>
      <c r="E363" s="566"/>
      <c r="F363" s="566"/>
      <c r="G363" s="566"/>
      <c r="H363" s="566"/>
      <c r="I363" s="566"/>
      <c r="J363" s="566"/>
      <c r="K363" s="566"/>
      <c r="L363" s="566"/>
      <c r="M363" s="566"/>
      <c r="N363" s="566"/>
      <c r="O363" s="566"/>
      <c r="P363" s="566"/>
      <c r="Q363" s="566"/>
      <c r="R363" s="566"/>
      <c r="S363" s="566"/>
      <c r="T363" s="566"/>
      <c r="U363" s="566"/>
      <c r="V363" s="566"/>
      <c r="W363" s="566"/>
      <c r="X363" s="566"/>
      <c r="Y363" s="566"/>
      <c r="Z363" s="566"/>
    </row>
    <row r="364" spans="1:26" x14ac:dyDescent="0.25">
      <c r="A364" s="566"/>
      <c r="B364" s="566"/>
      <c r="C364" s="566"/>
      <c r="D364" s="566"/>
      <c r="E364" s="566"/>
      <c r="F364" s="566"/>
      <c r="G364" s="566"/>
      <c r="H364" s="566"/>
      <c r="I364" s="566"/>
      <c r="J364" s="566"/>
      <c r="K364" s="566"/>
      <c r="L364" s="566"/>
      <c r="M364" s="566"/>
      <c r="N364" s="566"/>
      <c r="O364" s="566"/>
      <c r="P364" s="566"/>
      <c r="Q364" s="566"/>
      <c r="R364" s="566"/>
      <c r="S364" s="566"/>
      <c r="T364" s="566"/>
      <c r="U364" s="566"/>
      <c r="V364" s="566"/>
      <c r="W364" s="566"/>
      <c r="X364" s="566"/>
      <c r="Y364" s="566"/>
      <c r="Z364" s="566"/>
    </row>
    <row r="365" spans="1:26" x14ac:dyDescent="0.25">
      <c r="A365" s="566"/>
      <c r="B365" s="566"/>
      <c r="C365" s="566"/>
      <c r="D365" s="566"/>
      <c r="E365" s="566"/>
      <c r="F365" s="566"/>
      <c r="G365" s="566"/>
      <c r="H365" s="566"/>
      <c r="I365" s="566"/>
      <c r="J365" s="566"/>
      <c r="K365" s="566"/>
      <c r="L365" s="566"/>
      <c r="M365" s="566"/>
      <c r="N365" s="566"/>
      <c r="O365" s="566"/>
      <c r="P365" s="566"/>
      <c r="Q365" s="566"/>
      <c r="R365" s="566"/>
      <c r="S365" s="566"/>
      <c r="T365" s="566"/>
      <c r="U365" s="566"/>
      <c r="V365" s="566"/>
      <c r="W365" s="566"/>
      <c r="X365" s="566"/>
      <c r="Y365" s="566"/>
      <c r="Z365" s="566"/>
    </row>
    <row r="366" spans="1:26" x14ac:dyDescent="0.25">
      <c r="A366" s="566"/>
      <c r="B366" s="566"/>
      <c r="C366" s="566"/>
      <c r="D366" s="566"/>
      <c r="E366" s="566"/>
      <c r="F366" s="566"/>
      <c r="G366" s="566"/>
      <c r="H366" s="566"/>
      <c r="I366" s="566"/>
      <c r="J366" s="566"/>
      <c r="K366" s="566"/>
      <c r="L366" s="566"/>
      <c r="M366" s="566"/>
      <c r="N366" s="566"/>
      <c r="O366" s="566"/>
      <c r="P366" s="566"/>
      <c r="Q366" s="566"/>
      <c r="R366" s="566"/>
      <c r="S366" s="566"/>
      <c r="T366" s="566"/>
      <c r="U366" s="566"/>
      <c r="V366" s="566"/>
      <c r="W366" s="566"/>
      <c r="X366" s="566"/>
      <c r="Y366" s="566"/>
      <c r="Z366" s="566"/>
    </row>
    <row r="367" spans="1:26" x14ac:dyDescent="0.25">
      <c r="A367" s="566"/>
      <c r="B367" s="566"/>
      <c r="C367" s="566"/>
      <c r="D367" s="566"/>
      <c r="E367" s="566"/>
      <c r="F367" s="566"/>
      <c r="G367" s="566"/>
      <c r="H367" s="566"/>
      <c r="I367" s="566"/>
      <c r="J367" s="566"/>
      <c r="K367" s="566"/>
      <c r="L367" s="566"/>
      <c r="M367" s="566"/>
      <c r="N367" s="566"/>
      <c r="O367" s="566"/>
      <c r="P367" s="566"/>
      <c r="Q367" s="566"/>
      <c r="R367" s="566"/>
      <c r="S367" s="566"/>
      <c r="T367" s="566"/>
      <c r="U367" s="566"/>
      <c r="V367" s="566"/>
      <c r="W367" s="566"/>
      <c r="X367" s="566"/>
      <c r="Y367" s="566"/>
      <c r="Z367" s="566"/>
    </row>
    <row r="368" spans="1:26" x14ac:dyDescent="0.25">
      <c r="A368" s="566"/>
      <c r="B368" s="566"/>
      <c r="C368" s="566"/>
      <c r="D368" s="566"/>
      <c r="E368" s="566"/>
      <c r="F368" s="566"/>
      <c r="G368" s="566"/>
      <c r="H368" s="566"/>
      <c r="I368" s="566"/>
      <c r="J368" s="566"/>
      <c r="K368" s="566"/>
      <c r="L368" s="566"/>
      <c r="M368" s="566"/>
      <c r="N368" s="566"/>
      <c r="O368" s="566"/>
      <c r="P368" s="566"/>
      <c r="Q368" s="566"/>
      <c r="R368" s="566"/>
      <c r="S368" s="566"/>
      <c r="T368" s="566"/>
      <c r="U368" s="566"/>
      <c r="V368" s="566"/>
      <c r="W368" s="566"/>
      <c r="X368" s="566"/>
      <c r="Y368" s="566"/>
      <c r="Z368" s="566"/>
    </row>
    <row r="369" spans="1:26" x14ac:dyDescent="0.25">
      <c r="A369" s="566"/>
      <c r="B369" s="566"/>
      <c r="C369" s="566"/>
      <c r="D369" s="566"/>
      <c r="E369" s="566"/>
      <c r="F369" s="566"/>
      <c r="G369" s="566"/>
      <c r="H369" s="566"/>
      <c r="I369" s="566"/>
      <c r="J369" s="566"/>
      <c r="K369" s="566"/>
      <c r="L369" s="566"/>
      <c r="M369" s="566"/>
      <c r="N369" s="566"/>
      <c r="O369" s="566"/>
      <c r="P369" s="566"/>
      <c r="Q369" s="566"/>
      <c r="R369" s="566"/>
      <c r="S369" s="566"/>
      <c r="T369" s="566"/>
      <c r="U369" s="566"/>
      <c r="V369" s="566"/>
      <c r="W369" s="566"/>
      <c r="X369" s="566"/>
      <c r="Y369" s="566"/>
      <c r="Z369" s="566"/>
    </row>
    <row r="370" spans="1:26" x14ac:dyDescent="0.25">
      <c r="A370" s="566"/>
      <c r="B370" s="566"/>
      <c r="C370" s="566"/>
      <c r="D370" s="566"/>
      <c r="E370" s="566"/>
      <c r="F370" s="566"/>
      <c r="G370" s="566"/>
      <c r="H370" s="566"/>
      <c r="I370" s="566"/>
      <c r="J370" s="566"/>
      <c r="K370" s="566"/>
      <c r="L370" s="566"/>
      <c r="M370" s="566"/>
      <c r="N370" s="566"/>
      <c r="O370" s="566"/>
      <c r="P370" s="566"/>
      <c r="Q370" s="566"/>
      <c r="R370" s="566"/>
      <c r="S370" s="566"/>
      <c r="T370" s="566"/>
      <c r="U370" s="566"/>
      <c r="V370" s="566"/>
      <c r="W370" s="566"/>
      <c r="X370" s="566"/>
      <c r="Y370" s="566"/>
      <c r="Z370" s="566"/>
    </row>
    <row r="371" spans="1:26" x14ac:dyDescent="0.25">
      <c r="A371" s="566"/>
      <c r="B371" s="566"/>
      <c r="C371" s="566"/>
      <c r="D371" s="566"/>
      <c r="E371" s="566"/>
      <c r="F371" s="566"/>
      <c r="G371" s="566"/>
      <c r="H371" s="566"/>
      <c r="I371" s="566"/>
      <c r="J371" s="566"/>
      <c r="K371" s="566"/>
      <c r="L371" s="566"/>
      <c r="M371" s="566"/>
      <c r="N371" s="566"/>
      <c r="O371" s="566"/>
      <c r="P371" s="566"/>
      <c r="Q371" s="566"/>
      <c r="R371" s="566"/>
      <c r="S371" s="566"/>
      <c r="T371" s="566"/>
      <c r="U371" s="566"/>
      <c r="V371" s="566"/>
      <c r="W371" s="566"/>
      <c r="X371" s="566"/>
      <c r="Y371" s="566"/>
      <c r="Z371" s="566"/>
    </row>
    <row r="372" spans="1:26" x14ac:dyDescent="0.25">
      <c r="A372" s="566"/>
      <c r="B372" s="566"/>
      <c r="C372" s="566"/>
      <c r="D372" s="566"/>
      <c r="E372" s="566"/>
      <c r="F372" s="566"/>
      <c r="G372" s="566"/>
      <c r="H372" s="566"/>
      <c r="I372" s="566"/>
      <c r="J372" s="566"/>
      <c r="K372" s="566"/>
      <c r="L372" s="566"/>
      <c r="M372" s="566"/>
      <c r="N372" s="566"/>
      <c r="O372" s="566"/>
      <c r="P372" s="566"/>
      <c r="Q372" s="566"/>
      <c r="R372" s="566"/>
      <c r="S372" s="566"/>
      <c r="T372" s="566"/>
      <c r="U372" s="566"/>
      <c r="V372" s="566"/>
      <c r="W372" s="566"/>
      <c r="X372" s="566"/>
      <c r="Y372" s="566"/>
      <c r="Z372" s="566"/>
    </row>
    <row r="373" spans="1:26" x14ac:dyDescent="0.25">
      <c r="A373" s="566"/>
      <c r="B373" s="566"/>
      <c r="C373" s="566"/>
      <c r="D373" s="566"/>
      <c r="E373" s="566"/>
      <c r="F373" s="566"/>
      <c r="G373" s="566"/>
      <c r="H373" s="566"/>
      <c r="I373" s="566"/>
      <c r="J373" s="566"/>
      <c r="K373" s="566"/>
      <c r="L373" s="566"/>
      <c r="M373" s="566"/>
      <c r="N373" s="566"/>
      <c r="O373" s="566"/>
      <c r="P373" s="566"/>
      <c r="Q373" s="566"/>
      <c r="R373" s="566"/>
      <c r="S373" s="566"/>
      <c r="T373" s="566"/>
      <c r="U373" s="566"/>
      <c r="V373" s="566"/>
      <c r="W373" s="566"/>
      <c r="X373" s="566"/>
      <c r="Y373" s="566"/>
      <c r="Z373" s="566"/>
    </row>
    <row r="374" spans="1:26" x14ac:dyDescent="0.25">
      <c r="A374" s="566"/>
      <c r="B374" s="566"/>
      <c r="C374" s="566"/>
      <c r="D374" s="566"/>
      <c r="E374" s="566"/>
      <c r="F374" s="566"/>
      <c r="G374" s="566"/>
      <c r="H374" s="566"/>
      <c r="I374" s="566"/>
      <c r="J374" s="566"/>
      <c r="K374" s="566"/>
      <c r="L374" s="566"/>
      <c r="M374" s="566"/>
      <c r="N374" s="566"/>
      <c r="O374" s="566"/>
      <c r="P374" s="566"/>
      <c r="Q374" s="566"/>
      <c r="R374" s="566"/>
      <c r="S374" s="566"/>
      <c r="T374" s="566"/>
      <c r="U374" s="566"/>
      <c r="V374" s="566"/>
      <c r="W374" s="566"/>
      <c r="X374" s="566"/>
      <c r="Y374" s="566"/>
      <c r="Z374" s="566"/>
    </row>
    <row r="375" spans="1:26" x14ac:dyDescent="0.25">
      <c r="A375" s="566"/>
      <c r="B375" s="566"/>
      <c r="C375" s="566"/>
      <c r="D375" s="566"/>
      <c r="E375" s="566"/>
      <c r="F375" s="566"/>
      <c r="G375" s="566"/>
      <c r="H375" s="566"/>
      <c r="I375" s="566"/>
      <c r="J375" s="566"/>
      <c r="K375" s="566"/>
      <c r="L375" s="566"/>
      <c r="M375" s="566"/>
      <c r="N375" s="566"/>
      <c r="O375" s="566"/>
      <c r="P375" s="566"/>
      <c r="Q375" s="566"/>
      <c r="R375" s="566"/>
      <c r="S375" s="566"/>
      <c r="T375" s="566"/>
      <c r="U375" s="566"/>
      <c r="V375" s="566"/>
      <c r="W375" s="566"/>
      <c r="X375" s="566"/>
      <c r="Y375" s="566"/>
      <c r="Z375" s="566"/>
    </row>
    <row r="376" spans="1:26" x14ac:dyDescent="0.25">
      <c r="A376" s="566"/>
      <c r="B376" s="566"/>
      <c r="C376" s="566"/>
      <c r="D376" s="566"/>
      <c r="E376" s="566"/>
      <c r="F376" s="566"/>
      <c r="G376" s="566"/>
      <c r="H376" s="566"/>
      <c r="I376" s="566"/>
      <c r="J376" s="566"/>
      <c r="K376" s="566"/>
      <c r="L376" s="566"/>
      <c r="M376" s="566"/>
      <c r="N376" s="566"/>
      <c r="O376" s="566"/>
      <c r="P376" s="566"/>
      <c r="Q376" s="566"/>
      <c r="R376" s="566"/>
      <c r="S376" s="566"/>
      <c r="T376" s="566"/>
      <c r="U376" s="566"/>
      <c r="V376" s="566"/>
      <c r="W376" s="566"/>
      <c r="X376" s="566"/>
      <c r="Y376" s="566"/>
      <c r="Z376" s="566"/>
    </row>
    <row r="377" spans="1:26" x14ac:dyDescent="0.25">
      <c r="A377" s="566"/>
      <c r="B377" s="566"/>
      <c r="C377" s="566"/>
      <c r="D377" s="566"/>
      <c r="E377" s="566"/>
      <c r="F377" s="566"/>
      <c r="G377" s="566"/>
      <c r="H377" s="566"/>
      <c r="I377" s="566"/>
      <c r="J377" s="566"/>
      <c r="K377" s="566"/>
      <c r="L377" s="566"/>
      <c r="M377" s="566"/>
      <c r="N377" s="566"/>
      <c r="O377" s="566"/>
      <c r="P377" s="566"/>
      <c r="Q377" s="566"/>
      <c r="R377" s="566"/>
      <c r="S377" s="566"/>
      <c r="T377" s="566"/>
      <c r="U377" s="566"/>
      <c r="V377" s="566"/>
      <c r="W377" s="566"/>
      <c r="X377" s="566"/>
      <c r="Y377" s="566"/>
      <c r="Z377" s="566"/>
    </row>
    <row r="378" spans="1:26" x14ac:dyDescent="0.25">
      <c r="A378" s="566"/>
      <c r="B378" s="566"/>
      <c r="C378" s="566"/>
      <c r="D378" s="566"/>
      <c r="E378" s="566"/>
      <c r="F378" s="566"/>
      <c r="G378" s="566"/>
      <c r="H378" s="566"/>
      <c r="I378" s="566"/>
      <c r="J378" s="566"/>
      <c r="K378" s="566"/>
      <c r="L378" s="566"/>
      <c r="M378" s="566"/>
      <c r="N378" s="566"/>
      <c r="O378" s="566"/>
      <c r="P378" s="566"/>
      <c r="Q378" s="566"/>
      <c r="R378" s="566"/>
      <c r="S378" s="566"/>
      <c r="T378" s="566"/>
      <c r="U378" s="566"/>
      <c r="V378" s="566"/>
      <c r="W378" s="566"/>
      <c r="X378" s="566"/>
      <c r="Y378" s="566"/>
      <c r="Z378" s="566"/>
    </row>
    <row r="379" spans="1:26" x14ac:dyDescent="0.25">
      <c r="A379" s="566"/>
      <c r="B379" s="566"/>
      <c r="C379" s="566"/>
      <c r="D379" s="566"/>
      <c r="E379" s="566"/>
      <c r="F379" s="566"/>
      <c r="G379" s="566"/>
      <c r="H379" s="566"/>
      <c r="I379" s="566"/>
      <c r="J379" s="566"/>
      <c r="K379" s="566"/>
      <c r="L379" s="566"/>
      <c r="M379" s="566"/>
      <c r="N379" s="566"/>
      <c r="O379" s="566"/>
      <c r="P379" s="566"/>
      <c r="Q379" s="566"/>
      <c r="R379" s="566"/>
      <c r="S379" s="566"/>
      <c r="T379" s="566"/>
      <c r="U379" s="566"/>
      <c r="V379" s="566"/>
      <c r="W379" s="566"/>
      <c r="X379" s="566"/>
      <c r="Y379" s="566"/>
      <c r="Z379" s="566"/>
    </row>
    <row r="380" spans="1:26" x14ac:dyDescent="0.25">
      <c r="A380" s="566"/>
      <c r="B380" s="566"/>
      <c r="C380" s="566"/>
      <c r="D380" s="566"/>
      <c r="E380" s="566"/>
      <c r="F380" s="566"/>
      <c r="G380" s="566"/>
      <c r="H380" s="566"/>
      <c r="I380" s="566"/>
      <c r="J380" s="566"/>
      <c r="K380" s="566"/>
      <c r="L380" s="566"/>
      <c r="M380" s="566"/>
      <c r="N380" s="566"/>
      <c r="O380" s="566"/>
      <c r="P380" s="566"/>
      <c r="Q380" s="566"/>
      <c r="R380" s="566"/>
      <c r="S380" s="566"/>
      <c r="T380" s="566"/>
      <c r="U380" s="566"/>
      <c r="V380" s="566"/>
      <c r="W380" s="566"/>
      <c r="X380" s="566"/>
      <c r="Y380" s="566"/>
      <c r="Z380" s="566"/>
    </row>
    <row r="381" spans="1:26" x14ac:dyDescent="0.25">
      <c r="A381" s="566"/>
      <c r="B381" s="566"/>
      <c r="C381" s="566"/>
      <c r="D381" s="566"/>
      <c r="E381" s="566"/>
      <c r="F381" s="566"/>
      <c r="G381" s="566"/>
      <c r="H381" s="566"/>
      <c r="I381" s="566"/>
      <c r="J381" s="566"/>
      <c r="K381" s="566"/>
      <c r="L381" s="566"/>
      <c r="M381" s="566"/>
      <c r="N381" s="566"/>
      <c r="O381" s="566"/>
      <c r="P381" s="566"/>
      <c r="Q381" s="566"/>
      <c r="R381" s="566"/>
      <c r="S381" s="566"/>
      <c r="T381" s="566"/>
      <c r="U381" s="566"/>
      <c r="V381" s="566"/>
      <c r="W381" s="566"/>
      <c r="X381" s="566"/>
      <c r="Y381" s="566"/>
      <c r="Z381" s="566"/>
    </row>
    <row r="382" spans="1:26" x14ac:dyDescent="0.25">
      <c r="A382" s="566"/>
      <c r="B382" s="566"/>
      <c r="C382" s="566"/>
      <c r="D382" s="566"/>
      <c r="E382" s="566"/>
      <c r="F382" s="566"/>
      <c r="G382" s="566"/>
      <c r="H382" s="566"/>
      <c r="I382" s="566"/>
      <c r="J382" s="566"/>
      <c r="K382" s="566"/>
      <c r="L382" s="566"/>
      <c r="M382" s="566"/>
      <c r="N382" s="566"/>
      <c r="O382" s="566"/>
      <c r="P382" s="566"/>
      <c r="Q382" s="566"/>
      <c r="R382" s="566"/>
      <c r="S382" s="566"/>
      <c r="T382" s="566"/>
      <c r="U382" s="566"/>
      <c r="V382" s="566"/>
      <c r="W382" s="566"/>
      <c r="X382" s="566"/>
      <c r="Y382" s="566"/>
      <c r="Z382" s="566"/>
    </row>
    <row r="383" spans="1:26" x14ac:dyDescent="0.25">
      <c r="A383" s="566"/>
      <c r="B383" s="566"/>
      <c r="C383" s="566"/>
      <c r="D383" s="566"/>
      <c r="E383" s="566"/>
      <c r="F383" s="566"/>
      <c r="G383" s="566"/>
      <c r="H383" s="566"/>
      <c r="I383" s="566"/>
      <c r="J383" s="566"/>
      <c r="K383" s="566"/>
      <c r="L383" s="566"/>
      <c r="M383" s="566"/>
      <c r="N383" s="566"/>
      <c r="O383" s="566"/>
      <c r="P383" s="566"/>
      <c r="Q383" s="566"/>
      <c r="R383" s="566"/>
      <c r="S383" s="566"/>
      <c r="T383" s="566"/>
      <c r="U383" s="566"/>
      <c r="V383" s="566"/>
      <c r="W383" s="566"/>
      <c r="X383" s="566"/>
      <c r="Y383" s="566"/>
      <c r="Z383" s="566"/>
    </row>
    <row r="384" spans="1:26" x14ac:dyDescent="0.25">
      <c r="A384" s="566"/>
      <c r="B384" s="566"/>
      <c r="C384" s="566"/>
      <c r="D384" s="566"/>
      <c r="E384" s="566"/>
      <c r="F384" s="566"/>
      <c r="G384" s="566"/>
      <c r="H384" s="566"/>
      <c r="I384" s="566"/>
      <c r="J384" s="566"/>
      <c r="K384" s="566"/>
      <c r="L384" s="566"/>
      <c r="M384" s="566"/>
      <c r="N384" s="566"/>
      <c r="O384" s="566"/>
      <c r="P384" s="566"/>
      <c r="Q384" s="566"/>
      <c r="R384" s="566"/>
      <c r="S384" s="566"/>
      <c r="T384" s="566"/>
      <c r="U384" s="566"/>
      <c r="V384" s="566"/>
      <c r="W384" s="566"/>
      <c r="X384" s="566"/>
      <c r="Y384" s="566"/>
      <c r="Z384" s="566"/>
    </row>
    <row r="385" spans="1:26" x14ac:dyDescent="0.25">
      <c r="A385" s="566"/>
      <c r="B385" s="566"/>
      <c r="C385" s="566"/>
      <c r="D385" s="566"/>
      <c r="E385" s="566"/>
      <c r="F385" s="566"/>
      <c r="G385" s="566"/>
      <c r="H385" s="566"/>
      <c r="I385" s="566"/>
      <c r="J385" s="566"/>
      <c r="K385" s="566"/>
      <c r="L385" s="566"/>
      <c r="M385" s="566"/>
      <c r="N385" s="566"/>
      <c r="O385" s="566"/>
      <c r="P385" s="566"/>
      <c r="Q385" s="566"/>
      <c r="R385" s="566"/>
      <c r="S385" s="566"/>
      <c r="T385" s="566"/>
      <c r="U385" s="566"/>
      <c r="V385" s="566"/>
      <c r="W385" s="566"/>
      <c r="X385" s="566"/>
      <c r="Y385" s="566"/>
      <c r="Z385" s="566"/>
    </row>
    <row r="386" spans="1:26" x14ac:dyDescent="0.25">
      <c r="A386" s="566"/>
      <c r="B386" s="566"/>
      <c r="C386" s="566"/>
      <c r="D386" s="566"/>
      <c r="E386" s="566"/>
      <c r="F386" s="566"/>
      <c r="G386" s="566"/>
      <c r="H386" s="566"/>
      <c r="I386" s="566"/>
      <c r="J386" s="566"/>
      <c r="K386" s="566"/>
      <c r="L386" s="566"/>
      <c r="M386" s="566"/>
      <c r="N386" s="566"/>
      <c r="O386" s="566"/>
      <c r="P386" s="566"/>
      <c r="Q386" s="566"/>
      <c r="R386" s="566"/>
      <c r="S386" s="566"/>
      <c r="T386" s="566"/>
      <c r="U386" s="566"/>
      <c r="V386" s="566"/>
      <c r="W386" s="566"/>
      <c r="X386" s="566"/>
      <c r="Y386" s="566"/>
      <c r="Z386" s="566"/>
    </row>
    <row r="387" spans="1:26" x14ac:dyDescent="0.25">
      <c r="A387" s="566"/>
      <c r="B387" s="566"/>
      <c r="C387" s="566"/>
      <c r="D387" s="566"/>
      <c r="E387" s="566"/>
      <c r="F387" s="566"/>
      <c r="G387" s="566"/>
      <c r="H387" s="566"/>
      <c r="I387" s="566"/>
      <c r="J387" s="566"/>
      <c r="K387" s="566"/>
      <c r="L387" s="566"/>
      <c r="M387" s="566"/>
      <c r="N387" s="566"/>
      <c r="O387" s="566"/>
      <c r="P387" s="566"/>
      <c r="Q387" s="566"/>
      <c r="R387" s="566"/>
      <c r="S387" s="566"/>
      <c r="T387" s="566"/>
      <c r="U387" s="566"/>
      <c r="V387" s="566"/>
      <c r="W387" s="566"/>
      <c r="X387" s="566"/>
      <c r="Y387" s="566"/>
      <c r="Z387" s="566"/>
    </row>
    <row r="388" spans="1:26" x14ac:dyDescent="0.25">
      <c r="A388" s="566"/>
      <c r="B388" s="566"/>
      <c r="C388" s="566"/>
      <c r="D388" s="566"/>
      <c r="E388" s="566"/>
      <c r="F388" s="566"/>
      <c r="G388" s="566"/>
      <c r="H388" s="566"/>
      <c r="I388" s="566"/>
      <c r="J388" s="566"/>
      <c r="K388" s="566"/>
      <c r="L388" s="566"/>
      <c r="M388" s="566"/>
      <c r="N388" s="566"/>
      <c r="O388" s="566"/>
      <c r="P388" s="566"/>
      <c r="Q388" s="566"/>
      <c r="R388" s="566"/>
      <c r="S388" s="566"/>
      <c r="T388" s="566"/>
      <c r="U388" s="566"/>
      <c r="V388" s="566"/>
      <c r="W388" s="566"/>
      <c r="X388" s="566"/>
      <c r="Y388" s="566"/>
      <c r="Z388" s="566"/>
    </row>
    <row r="389" spans="1:26" x14ac:dyDescent="0.25">
      <c r="A389" s="566"/>
      <c r="B389" s="566"/>
      <c r="C389" s="566"/>
      <c r="D389" s="566"/>
      <c r="E389" s="566"/>
      <c r="F389" s="566"/>
      <c r="G389" s="566"/>
      <c r="H389" s="566"/>
      <c r="I389" s="566"/>
      <c r="J389" s="566"/>
      <c r="K389" s="566"/>
      <c r="L389" s="566"/>
      <c r="M389" s="566"/>
      <c r="N389" s="566"/>
      <c r="O389" s="566"/>
      <c r="P389" s="566"/>
      <c r="Q389" s="566"/>
      <c r="R389" s="566"/>
      <c r="S389" s="566"/>
      <c r="T389" s="566"/>
      <c r="U389" s="566"/>
      <c r="V389" s="566"/>
      <c r="W389" s="566"/>
      <c r="X389" s="566"/>
      <c r="Y389" s="566"/>
      <c r="Z389" s="566"/>
    </row>
    <row r="390" spans="1:26" x14ac:dyDescent="0.25">
      <c r="A390" s="566"/>
      <c r="B390" s="566"/>
      <c r="C390" s="566"/>
      <c r="D390" s="566"/>
      <c r="E390" s="566"/>
      <c r="F390" s="566"/>
      <c r="G390" s="566"/>
      <c r="H390" s="566"/>
      <c r="I390" s="566"/>
      <c r="J390" s="566"/>
      <c r="K390" s="566"/>
      <c r="L390" s="566"/>
      <c r="M390" s="566"/>
      <c r="N390" s="566"/>
      <c r="O390" s="566"/>
      <c r="P390" s="566"/>
      <c r="Q390" s="566"/>
      <c r="R390" s="566"/>
      <c r="S390" s="566"/>
      <c r="T390" s="566"/>
      <c r="U390" s="566"/>
      <c r="V390" s="566"/>
      <c r="W390" s="566"/>
      <c r="X390" s="566"/>
      <c r="Y390" s="566"/>
      <c r="Z390" s="566"/>
    </row>
    <row r="391" spans="1:26" x14ac:dyDescent="0.25">
      <c r="A391" s="566"/>
      <c r="B391" s="566"/>
      <c r="C391" s="566"/>
      <c r="D391" s="566"/>
      <c r="E391" s="566"/>
      <c r="F391" s="566"/>
      <c r="G391" s="566"/>
      <c r="H391" s="566"/>
      <c r="I391" s="566"/>
      <c r="J391" s="566"/>
      <c r="K391" s="566"/>
      <c r="L391" s="566"/>
      <c r="M391" s="566"/>
      <c r="N391" s="566"/>
      <c r="O391" s="566"/>
      <c r="P391" s="566"/>
      <c r="Q391" s="566"/>
      <c r="R391" s="566"/>
      <c r="S391" s="566"/>
      <c r="T391" s="566"/>
      <c r="U391" s="566"/>
      <c r="V391" s="566"/>
      <c r="W391" s="566"/>
      <c r="X391" s="566"/>
      <c r="Y391" s="566"/>
      <c r="Z391" s="566"/>
    </row>
    <row r="392" spans="1:26" x14ac:dyDescent="0.25">
      <c r="A392" s="566"/>
      <c r="B392" s="566"/>
      <c r="C392" s="566"/>
      <c r="D392" s="566"/>
      <c r="E392" s="566"/>
      <c r="F392" s="566"/>
      <c r="G392" s="566"/>
      <c r="H392" s="566"/>
      <c r="I392" s="566"/>
      <c r="J392" s="566"/>
      <c r="K392" s="566"/>
      <c r="L392" s="566"/>
      <c r="M392" s="566"/>
      <c r="N392" s="566"/>
      <c r="O392" s="566"/>
      <c r="P392" s="566"/>
      <c r="Q392" s="566"/>
      <c r="R392" s="566"/>
      <c r="S392" s="566"/>
      <c r="T392" s="566"/>
      <c r="U392" s="566"/>
      <c r="V392" s="566"/>
      <c r="W392" s="566"/>
      <c r="X392" s="566"/>
      <c r="Y392" s="566"/>
      <c r="Z392" s="566"/>
    </row>
    <row r="393" spans="1:26" x14ac:dyDescent="0.25">
      <c r="A393" s="566"/>
      <c r="B393" s="566"/>
      <c r="C393" s="566"/>
      <c r="D393" s="566"/>
      <c r="E393" s="566"/>
      <c r="F393" s="566"/>
      <c r="G393" s="566"/>
      <c r="H393" s="566"/>
      <c r="I393" s="566"/>
      <c r="J393" s="566"/>
      <c r="K393" s="566"/>
      <c r="L393" s="566"/>
      <c r="M393" s="566"/>
      <c r="N393" s="566"/>
      <c r="O393" s="566"/>
      <c r="P393" s="566"/>
      <c r="Q393" s="566"/>
      <c r="R393" s="566"/>
      <c r="S393" s="566"/>
      <c r="T393" s="566"/>
      <c r="U393" s="566"/>
      <c r="V393" s="566"/>
      <c r="W393" s="566"/>
      <c r="X393" s="566"/>
      <c r="Y393" s="566"/>
      <c r="Z393" s="566"/>
    </row>
    <row r="394" spans="1:26" x14ac:dyDescent="0.25">
      <c r="A394" s="566"/>
      <c r="B394" s="566"/>
      <c r="C394" s="566"/>
      <c r="D394" s="566"/>
      <c r="E394" s="566"/>
      <c r="F394" s="566"/>
      <c r="G394" s="566"/>
      <c r="H394" s="566"/>
      <c r="I394" s="566"/>
      <c r="J394" s="566"/>
      <c r="K394" s="566"/>
      <c r="L394" s="566"/>
      <c r="M394" s="566"/>
      <c r="N394" s="566"/>
      <c r="O394" s="566"/>
      <c r="P394" s="566"/>
      <c r="Q394" s="566"/>
      <c r="R394" s="566"/>
      <c r="S394" s="566"/>
      <c r="T394" s="566"/>
      <c r="U394" s="566"/>
      <c r="V394" s="566"/>
      <c r="W394" s="566"/>
      <c r="X394" s="566"/>
      <c r="Y394" s="566"/>
      <c r="Z394" s="566"/>
    </row>
    <row r="395" spans="1:26" x14ac:dyDescent="0.25">
      <c r="A395" s="566"/>
      <c r="B395" s="566"/>
      <c r="C395" s="566"/>
      <c r="D395" s="566"/>
      <c r="E395" s="566"/>
      <c r="F395" s="566"/>
      <c r="G395" s="566"/>
      <c r="H395" s="566"/>
      <c r="I395" s="566"/>
      <c r="J395" s="566"/>
      <c r="K395" s="566"/>
      <c r="L395" s="566"/>
      <c r="M395" s="566"/>
      <c r="N395" s="566"/>
      <c r="O395" s="566"/>
      <c r="P395" s="566"/>
      <c r="Q395" s="566"/>
      <c r="R395" s="566"/>
      <c r="S395" s="566"/>
      <c r="T395" s="566"/>
      <c r="U395" s="566"/>
      <c r="V395" s="566"/>
      <c r="W395" s="566"/>
      <c r="X395" s="566"/>
      <c r="Y395" s="566"/>
      <c r="Z395" s="566"/>
    </row>
    <row r="396" spans="1:26" x14ac:dyDescent="0.25">
      <c r="A396" s="566"/>
      <c r="B396" s="566"/>
      <c r="C396" s="566"/>
      <c r="D396" s="566"/>
      <c r="E396" s="566"/>
      <c r="F396" s="566"/>
      <c r="G396" s="566"/>
      <c r="H396" s="566"/>
      <c r="I396" s="566"/>
      <c r="J396" s="566"/>
      <c r="K396" s="566"/>
      <c r="L396" s="566"/>
      <c r="M396" s="566"/>
      <c r="N396" s="566"/>
      <c r="O396" s="566"/>
      <c r="P396" s="566"/>
      <c r="Q396" s="566"/>
      <c r="R396" s="566"/>
      <c r="S396" s="566"/>
      <c r="T396" s="566"/>
      <c r="U396" s="566"/>
      <c r="V396" s="566"/>
      <c r="W396" s="566"/>
      <c r="X396" s="566"/>
      <c r="Y396" s="566"/>
      <c r="Z396" s="566"/>
    </row>
    <row r="397" spans="1:26" x14ac:dyDescent="0.25">
      <c r="A397" s="566"/>
      <c r="B397" s="566"/>
      <c r="C397" s="566"/>
      <c r="D397" s="566"/>
      <c r="E397" s="566"/>
      <c r="F397" s="566"/>
      <c r="G397" s="566"/>
      <c r="H397" s="566"/>
      <c r="I397" s="566"/>
      <c r="J397" s="566"/>
      <c r="K397" s="566"/>
      <c r="L397" s="566"/>
      <c r="M397" s="566"/>
      <c r="N397" s="566"/>
      <c r="O397" s="566"/>
      <c r="P397" s="566"/>
      <c r="Q397" s="566"/>
      <c r="R397" s="566"/>
      <c r="S397" s="566"/>
      <c r="T397" s="566"/>
      <c r="U397" s="566"/>
      <c r="V397" s="566"/>
      <c r="W397" s="566"/>
      <c r="X397" s="566"/>
      <c r="Y397" s="566"/>
      <c r="Z397" s="566"/>
    </row>
    <row r="398" spans="1:26" x14ac:dyDescent="0.25">
      <c r="A398" s="566"/>
      <c r="B398" s="566"/>
      <c r="C398" s="566"/>
      <c r="D398" s="566"/>
      <c r="E398" s="566"/>
      <c r="F398" s="566"/>
      <c r="G398" s="566"/>
      <c r="H398" s="566"/>
      <c r="I398" s="566"/>
      <c r="J398" s="566"/>
      <c r="K398" s="566"/>
      <c r="L398" s="566"/>
      <c r="M398" s="566"/>
      <c r="N398" s="566"/>
      <c r="O398" s="566"/>
      <c r="P398" s="566"/>
      <c r="Q398" s="566"/>
      <c r="R398" s="566"/>
      <c r="S398" s="566"/>
      <c r="T398" s="566"/>
      <c r="U398" s="566"/>
      <c r="V398" s="566"/>
      <c r="W398" s="566"/>
      <c r="X398" s="566"/>
      <c r="Y398" s="566"/>
      <c r="Z398" s="566"/>
    </row>
    <row r="399" spans="1:26" x14ac:dyDescent="0.25">
      <c r="A399" s="566"/>
      <c r="B399" s="566"/>
      <c r="C399" s="566"/>
      <c r="D399" s="566"/>
      <c r="E399" s="566"/>
      <c r="F399" s="566"/>
      <c r="G399" s="566"/>
      <c r="H399" s="566"/>
      <c r="I399" s="566"/>
      <c r="J399" s="566"/>
      <c r="K399" s="566"/>
      <c r="L399" s="566"/>
      <c r="M399" s="566"/>
      <c r="N399" s="566"/>
      <c r="O399" s="566"/>
      <c r="P399" s="566"/>
      <c r="Q399" s="566"/>
      <c r="R399" s="566"/>
      <c r="S399" s="566"/>
      <c r="T399" s="566"/>
      <c r="U399" s="566"/>
      <c r="V399" s="566"/>
      <c r="W399" s="566"/>
      <c r="X399" s="566"/>
      <c r="Y399" s="566"/>
      <c r="Z399" s="566"/>
    </row>
    <row r="400" spans="1:26" x14ac:dyDescent="0.25">
      <c r="A400" s="566"/>
      <c r="B400" s="566"/>
      <c r="C400" s="566"/>
      <c r="D400" s="566"/>
      <c r="E400" s="566"/>
      <c r="F400" s="566"/>
      <c r="G400" s="566"/>
      <c r="H400" s="566"/>
      <c r="I400" s="566"/>
      <c r="J400" s="566"/>
      <c r="K400" s="566"/>
      <c r="L400" s="566"/>
      <c r="M400" s="566"/>
      <c r="N400" s="566"/>
      <c r="O400" s="566"/>
      <c r="P400" s="566"/>
      <c r="Q400" s="566"/>
      <c r="R400" s="566"/>
      <c r="S400" s="566"/>
      <c r="T400" s="566"/>
      <c r="U400" s="566"/>
      <c r="V400" s="566"/>
      <c r="W400" s="566"/>
      <c r="X400" s="566"/>
      <c r="Y400" s="566"/>
      <c r="Z400" s="566"/>
    </row>
    <row r="401" spans="1:26" x14ac:dyDescent="0.25">
      <c r="A401" s="566"/>
      <c r="B401" s="566"/>
      <c r="C401" s="566"/>
      <c r="D401" s="566"/>
      <c r="E401" s="566"/>
      <c r="F401" s="566"/>
      <c r="G401" s="566"/>
      <c r="H401" s="566"/>
      <c r="I401" s="566"/>
      <c r="J401" s="566"/>
      <c r="K401" s="566"/>
      <c r="L401" s="566"/>
      <c r="M401" s="566"/>
      <c r="N401" s="566"/>
      <c r="O401" s="566"/>
      <c r="P401" s="566"/>
      <c r="Q401" s="566"/>
      <c r="R401" s="566"/>
      <c r="S401" s="566"/>
      <c r="T401" s="566"/>
      <c r="U401" s="566"/>
      <c r="V401" s="566"/>
      <c r="W401" s="566"/>
      <c r="X401" s="566"/>
      <c r="Y401" s="566"/>
      <c r="Z401" s="566"/>
    </row>
    <row r="402" spans="1:26" x14ac:dyDescent="0.25">
      <c r="A402" s="566"/>
      <c r="B402" s="566"/>
      <c r="C402" s="566"/>
      <c r="D402" s="566"/>
      <c r="E402" s="566"/>
      <c r="F402" s="566"/>
      <c r="G402" s="566"/>
      <c r="H402" s="566"/>
      <c r="I402" s="566"/>
      <c r="J402" s="566"/>
      <c r="K402" s="566"/>
      <c r="L402" s="566"/>
      <c r="M402" s="566"/>
      <c r="N402" s="566"/>
      <c r="O402" s="566"/>
      <c r="P402" s="566"/>
      <c r="Q402" s="566"/>
      <c r="R402" s="566"/>
      <c r="S402" s="566"/>
      <c r="T402" s="566"/>
      <c r="U402" s="566"/>
      <c r="V402" s="566"/>
      <c r="W402" s="566"/>
      <c r="X402" s="566"/>
      <c r="Y402" s="566"/>
      <c r="Z402" s="566"/>
    </row>
    <row r="403" spans="1:26" x14ac:dyDescent="0.25">
      <c r="A403" s="566"/>
      <c r="B403" s="566"/>
      <c r="C403" s="566"/>
      <c r="D403" s="566"/>
      <c r="E403" s="566"/>
      <c r="F403" s="566"/>
      <c r="G403" s="566"/>
      <c r="H403" s="566"/>
      <c r="I403" s="566"/>
      <c r="J403" s="566"/>
      <c r="K403" s="566"/>
      <c r="L403" s="566"/>
      <c r="M403" s="566"/>
      <c r="N403" s="566"/>
      <c r="O403" s="566"/>
      <c r="P403" s="566"/>
      <c r="Q403" s="566"/>
      <c r="R403" s="566"/>
      <c r="S403" s="566"/>
      <c r="T403" s="566"/>
      <c r="U403" s="566"/>
      <c r="V403" s="566"/>
      <c r="W403" s="566"/>
      <c r="X403" s="566"/>
      <c r="Y403" s="566"/>
      <c r="Z403" s="566"/>
    </row>
    <row r="404" spans="1:26" x14ac:dyDescent="0.25">
      <c r="A404" s="566"/>
      <c r="B404" s="566"/>
      <c r="C404" s="566"/>
      <c r="D404" s="566"/>
      <c r="E404" s="566"/>
      <c r="F404" s="566"/>
      <c r="G404" s="566"/>
      <c r="H404" s="566"/>
      <c r="I404" s="566"/>
      <c r="J404" s="566"/>
      <c r="K404" s="566"/>
      <c r="L404" s="566"/>
      <c r="M404" s="566"/>
      <c r="N404" s="566"/>
      <c r="O404" s="566"/>
      <c r="P404" s="566"/>
      <c r="Q404" s="566"/>
      <c r="R404" s="566"/>
      <c r="S404" s="566"/>
      <c r="T404" s="566"/>
      <c r="U404" s="566"/>
      <c r="V404" s="566"/>
      <c r="W404" s="566"/>
      <c r="X404" s="566"/>
      <c r="Y404" s="566"/>
      <c r="Z404" s="566"/>
    </row>
    <row r="405" spans="1:26" x14ac:dyDescent="0.25">
      <c r="A405" s="566"/>
      <c r="B405" s="566"/>
      <c r="C405" s="566"/>
      <c r="D405" s="566"/>
      <c r="E405" s="566"/>
      <c r="F405" s="566"/>
      <c r="G405" s="566"/>
      <c r="H405" s="566"/>
      <c r="I405" s="566"/>
      <c r="J405" s="566"/>
      <c r="K405" s="566"/>
      <c r="L405" s="566"/>
      <c r="M405" s="566"/>
      <c r="N405" s="566"/>
      <c r="O405" s="566"/>
      <c r="P405" s="566"/>
      <c r="Q405" s="566"/>
      <c r="R405" s="566"/>
      <c r="S405" s="566"/>
      <c r="T405" s="566"/>
      <c r="U405" s="566"/>
      <c r="V405" s="566"/>
      <c r="W405" s="566"/>
      <c r="X405" s="566"/>
      <c r="Y405" s="566"/>
      <c r="Z405" s="566"/>
    </row>
    <row r="406" spans="1:26" x14ac:dyDescent="0.25">
      <c r="A406" s="566"/>
      <c r="B406" s="566"/>
      <c r="C406" s="566"/>
      <c r="D406" s="566"/>
      <c r="E406" s="566"/>
      <c r="F406" s="566"/>
      <c r="G406" s="566"/>
      <c r="H406" s="566"/>
      <c r="I406" s="566"/>
      <c r="J406" s="566"/>
      <c r="K406" s="566"/>
      <c r="L406" s="566"/>
      <c r="M406" s="566"/>
      <c r="N406" s="566"/>
      <c r="O406" s="566"/>
      <c r="P406" s="566"/>
      <c r="Q406" s="566"/>
      <c r="R406" s="566"/>
      <c r="S406" s="566"/>
      <c r="T406" s="566"/>
      <c r="U406" s="566"/>
      <c r="V406" s="566"/>
      <c r="W406" s="566"/>
      <c r="X406" s="566"/>
      <c r="Y406" s="566"/>
      <c r="Z406" s="566"/>
    </row>
    <row r="407" spans="1:26" x14ac:dyDescent="0.25">
      <c r="A407" s="566"/>
      <c r="B407" s="566"/>
      <c r="C407" s="566"/>
      <c r="D407" s="566"/>
      <c r="E407" s="566"/>
      <c r="F407" s="566"/>
      <c r="G407" s="566"/>
      <c r="H407" s="566"/>
      <c r="I407" s="566"/>
      <c r="J407" s="566"/>
      <c r="K407" s="566"/>
      <c r="L407" s="566"/>
      <c r="M407" s="566"/>
      <c r="N407" s="566"/>
      <c r="O407" s="566"/>
      <c r="P407" s="566"/>
      <c r="Q407" s="566"/>
      <c r="R407" s="566"/>
      <c r="S407" s="566"/>
      <c r="T407" s="566"/>
      <c r="U407" s="566"/>
      <c r="V407" s="566"/>
      <c r="W407" s="566"/>
      <c r="X407" s="566"/>
      <c r="Y407" s="566"/>
      <c r="Z407" s="566"/>
    </row>
    <row r="408" spans="1:26" x14ac:dyDescent="0.25">
      <c r="A408" s="566"/>
      <c r="B408" s="566"/>
      <c r="C408" s="566"/>
      <c r="D408" s="566"/>
      <c r="E408" s="566"/>
      <c r="F408" s="566"/>
      <c r="G408" s="566"/>
      <c r="H408" s="566"/>
      <c r="I408" s="566"/>
      <c r="J408" s="566"/>
      <c r="K408" s="566"/>
      <c r="L408" s="566"/>
      <c r="M408" s="566"/>
      <c r="N408" s="566"/>
      <c r="O408" s="566"/>
      <c r="P408" s="566"/>
      <c r="Q408" s="566"/>
      <c r="R408" s="566"/>
      <c r="S408" s="566"/>
      <c r="T408" s="566"/>
      <c r="U408" s="566"/>
      <c r="V408" s="566"/>
      <c r="W408" s="566"/>
      <c r="X408" s="566"/>
      <c r="Y408" s="566"/>
      <c r="Z408" s="566"/>
    </row>
    <row r="409" spans="1:26" x14ac:dyDescent="0.25">
      <c r="A409" s="566"/>
      <c r="B409" s="566"/>
      <c r="C409" s="566"/>
      <c r="D409" s="566"/>
      <c r="E409" s="566"/>
      <c r="F409" s="566"/>
      <c r="G409" s="566"/>
      <c r="H409" s="566"/>
      <c r="I409" s="566"/>
      <c r="J409" s="566"/>
      <c r="K409" s="566"/>
      <c r="L409" s="566"/>
      <c r="M409" s="566"/>
      <c r="N409" s="566"/>
      <c r="O409" s="566"/>
      <c r="P409" s="566"/>
      <c r="Q409" s="566"/>
      <c r="R409" s="566"/>
      <c r="S409" s="566"/>
      <c r="T409" s="566"/>
      <c r="U409" s="566"/>
      <c r="V409" s="566"/>
      <c r="W409" s="566"/>
      <c r="X409" s="566"/>
      <c r="Y409" s="566"/>
      <c r="Z409" s="566"/>
    </row>
    <row r="410" spans="1:26" x14ac:dyDescent="0.25">
      <c r="A410" s="566"/>
      <c r="B410" s="566"/>
      <c r="C410" s="566"/>
      <c r="D410" s="566"/>
      <c r="E410" s="566"/>
      <c r="F410" s="566"/>
      <c r="G410" s="566"/>
      <c r="H410" s="566"/>
      <c r="I410" s="566"/>
      <c r="J410" s="566"/>
      <c r="K410" s="566"/>
      <c r="L410" s="566"/>
      <c r="M410" s="566"/>
      <c r="N410" s="566"/>
      <c r="O410" s="566"/>
      <c r="P410" s="566"/>
      <c r="Q410" s="566"/>
      <c r="R410" s="566"/>
      <c r="S410" s="566"/>
      <c r="T410" s="566"/>
      <c r="U410" s="566"/>
      <c r="V410" s="566"/>
      <c r="W410" s="566"/>
      <c r="X410" s="566"/>
      <c r="Y410" s="566"/>
      <c r="Z410" s="566"/>
    </row>
    <row r="411" spans="1:26" x14ac:dyDescent="0.25">
      <c r="A411" s="566"/>
      <c r="B411" s="566"/>
      <c r="C411" s="566"/>
      <c r="D411" s="566"/>
      <c r="E411" s="566"/>
      <c r="F411" s="566"/>
      <c r="G411" s="566"/>
      <c r="H411" s="566"/>
      <c r="I411" s="566"/>
      <c r="J411" s="566"/>
      <c r="K411" s="566"/>
      <c r="L411" s="566"/>
      <c r="M411" s="566"/>
      <c r="N411" s="566"/>
      <c r="O411" s="566"/>
      <c r="P411" s="566"/>
      <c r="Q411" s="566"/>
      <c r="R411" s="566"/>
      <c r="S411" s="566"/>
      <c r="T411" s="566"/>
      <c r="U411" s="566"/>
      <c r="V411" s="566"/>
      <c r="W411" s="566"/>
      <c r="X411" s="566"/>
      <c r="Y411" s="566"/>
      <c r="Z411" s="566"/>
    </row>
    <row r="412" spans="1:26" x14ac:dyDescent="0.25">
      <c r="A412" s="566"/>
      <c r="B412" s="566"/>
      <c r="C412" s="566"/>
      <c r="D412" s="566"/>
      <c r="E412" s="566"/>
      <c r="F412" s="566"/>
      <c r="G412" s="566"/>
      <c r="H412" s="566"/>
      <c r="I412" s="566"/>
      <c r="J412" s="566"/>
      <c r="K412" s="566"/>
      <c r="L412" s="566"/>
      <c r="M412" s="566"/>
      <c r="N412" s="566"/>
      <c r="O412" s="566"/>
      <c r="P412" s="566"/>
      <c r="Q412" s="566"/>
      <c r="R412" s="566"/>
      <c r="S412" s="566"/>
      <c r="T412" s="566"/>
      <c r="U412" s="566"/>
      <c r="V412" s="566"/>
      <c r="W412" s="566"/>
      <c r="X412" s="566"/>
      <c r="Y412" s="566"/>
      <c r="Z412" s="566"/>
    </row>
    <row r="413" spans="1:26" x14ac:dyDescent="0.25">
      <c r="A413" s="566"/>
      <c r="B413" s="566"/>
      <c r="C413" s="566"/>
      <c r="D413" s="566"/>
      <c r="E413" s="566"/>
      <c r="F413" s="566"/>
      <c r="G413" s="566"/>
      <c r="H413" s="566"/>
      <c r="I413" s="566"/>
      <c r="J413" s="566"/>
      <c r="K413" s="566"/>
      <c r="L413" s="566"/>
      <c r="M413" s="566"/>
      <c r="N413" s="566"/>
      <c r="O413" s="566"/>
      <c r="P413" s="566"/>
      <c r="Q413" s="566"/>
      <c r="R413" s="566"/>
      <c r="S413" s="566"/>
      <c r="T413" s="566"/>
      <c r="U413" s="566"/>
      <c r="V413" s="566"/>
      <c r="W413" s="566"/>
      <c r="X413" s="566"/>
      <c r="Y413" s="566"/>
      <c r="Z413" s="566"/>
    </row>
    <row r="414" spans="1:26" x14ac:dyDescent="0.25">
      <c r="A414" s="566"/>
      <c r="B414" s="566"/>
      <c r="C414" s="566"/>
      <c r="D414" s="566"/>
      <c r="E414" s="566"/>
      <c r="F414" s="566"/>
      <c r="G414" s="566"/>
      <c r="H414" s="566"/>
      <c r="I414" s="566"/>
      <c r="J414" s="566"/>
      <c r="K414" s="566"/>
      <c r="L414" s="566"/>
      <c r="M414" s="566"/>
      <c r="N414" s="566"/>
      <c r="O414" s="566"/>
      <c r="P414" s="566"/>
      <c r="Q414" s="566"/>
      <c r="R414" s="566"/>
      <c r="S414" s="566"/>
      <c r="T414" s="566"/>
      <c r="U414" s="566"/>
      <c r="V414" s="566"/>
      <c r="W414" s="566"/>
      <c r="X414" s="566"/>
      <c r="Y414" s="566"/>
      <c r="Z414" s="566"/>
    </row>
    <row r="415" spans="1:26" x14ac:dyDescent="0.25">
      <c r="A415" s="566"/>
      <c r="B415" s="566"/>
      <c r="C415" s="566"/>
      <c r="D415" s="566"/>
      <c r="E415" s="566"/>
      <c r="F415" s="566"/>
      <c r="G415" s="566"/>
      <c r="H415" s="566"/>
      <c r="I415" s="566"/>
      <c r="J415" s="566"/>
      <c r="K415" s="566"/>
      <c r="L415" s="566"/>
      <c r="M415" s="566"/>
      <c r="N415" s="566"/>
      <c r="O415" s="566"/>
      <c r="P415" s="566"/>
      <c r="Q415" s="566"/>
      <c r="R415" s="566"/>
      <c r="S415" s="566"/>
      <c r="T415" s="566"/>
      <c r="U415" s="566"/>
      <c r="V415" s="566"/>
      <c r="W415" s="566"/>
      <c r="X415" s="566"/>
      <c r="Y415" s="566"/>
      <c r="Z415" s="566"/>
    </row>
    <row r="416" spans="1:26" x14ac:dyDescent="0.25">
      <c r="A416" s="566"/>
      <c r="B416" s="566"/>
      <c r="C416" s="566"/>
      <c r="D416" s="566"/>
      <c r="E416" s="566"/>
      <c r="F416" s="566"/>
      <c r="G416" s="566"/>
      <c r="H416" s="566"/>
      <c r="I416" s="566"/>
      <c r="J416" s="566"/>
      <c r="K416" s="566"/>
      <c r="L416" s="566"/>
      <c r="M416" s="566"/>
      <c r="N416" s="566"/>
      <c r="O416" s="566"/>
      <c r="P416" s="566"/>
      <c r="Q416" s="566"/>
      <c r="R416" s="566"/>
      <c r="S416" s="566"/>
      <c r="T416" s="566"/>
      <c r="U416" s="566"/>
      <c r="V416" s="566"/>
      <c r="W416" s="566"/>
      <c r="X416" s="566"/>
      <c r="Y416" s="566"/>
      <c r="Z416" s="566"/>
    </row>
    <row r="417" spans="1:26" x14ac:dyDescent="0.25">
      <c r="A417" s="566"/>
      <c r="B417" s="566"/>
      <c r="C417" s="566"/>
      <c r="D417" s="566"/>
      <c r="E417" s="566"/>
      <c r="F417" s="566"/>
      <c r="G417" s="566"/>
      <c r="H417" s="566"/>
      <c r="I417" s="566"/>
      <c r="J417" s="566"/>
      <c r="K417" s="566"/>
      <c r="L417" s="566"/>
      <c r="M417" s="566"/>
      <c r="N417" s="566"/>
      <c r="O417" s="566"/>
      <c r="P417" s="566"/>
      <c r="Q417" s="566"/>
      <c r="R417" s="566"/>
      <c r="S417" s="566"/>
      <c r="T417" s="566"/>
      <c r="U417" s="566"/>
      <c r="V417" s="566"/>
      <c r="W417" s="566"/>
      <c r="X417" s="566"/>
      <c r="Y417" s="566"/>
      <c r="Z417" s="566"/>
    </row>
    <row r="418" spans="1:26" x14ac:dyDescent="0.25">
      <c r="A418" s="566"/>
      <c r="B418" s="566"/>
      <c r="C418" s="566"/>
      <c r="D418" s="566"/>
      <c r="E418" s="566"/>
      <c r="F418" s="566"/>
      <c r="G418" s="566"/>
      <c r="H418" s="566"/>
      <c r="I418" s="566"/>
      <c r="J418" s="566"/>
      <c r="K418" s="566"/>
      <c r="L418" s="566"/>
      <c r="M418" s="566"/>
      <c r="N418" s="566"/>
      <c r="O418" s="566"/>
      <c r="P418" s="566"/>
      <c r="Q418" s="566"/>
      <c r="R418" s="566"/>
      <c r="S418" s="566"/>
      <c r="T418" s="566"/>
      <c r="U418" s="566"/>
      <c r="V418" s="566"/>
      <c r="W418" s="566"/>
      <c r="X418" s="566"/>
      <c r="Y418" s="566"/>
      <c r="Z418" s="566"/>
    </row>
    <row r="419" spans="1:26" x14ac:dyDescent="0.25">
      <c r="A419" s="566"/>
      <c r="B419" s="566"/>
      <c r="C419" s="566"/>
      <c r="D419" s="566"/>
      <c r="E419" s="566"/>
      <c r="F419" s="566"/>
      <c r="G419" s="566"/>
      <c r="H419" s="566"/>
      <c r="I419" s="566"/>
      <c r="J419" s="566"/>
      <c r="K419" s="566"/>
      <c r="L419" s="566"/>
      <c r="M419" s="566"/>
      <c r="N419" s="566"/>
      <c r="O419" s="566"/>
      <c r="P419" s="566"/>
      <c r="Q419" s="566"/>
      <c r="R419" s="566"/>
      <c r="S419" s="566"/>
      <c r="T419" s="566"/>
      <c r="U419" s="566"/>
      <c r="V419" s="566"/>
      <c r="W419" s="566"/>
      <c r="X419" s="566"/>
      <c r="Y419" s="566"/>
      <c r="Z419" s="566"/>
    </row>
    <row r="420" spans="1:26" x14ac:dyDescent="0.25">
      <c r="A420" s="566"/>
      <c r="B420" s="566"/>
      <c r="C420" s="566"/>
      <c r="D420" s="566"/>
      <c r="E420" s="566"/>
      <c r="F420" s="566"/>
      <c r="G420" s="566"/>
      <c r="H420" s="566"/>
      <c r="I420" s="566"/>
      <c r="J420" s="566"/>
      <c r="K420" s="566"/>
      <c r="L420" s="566"/>
      <c r="M420" s="566"/>
      <c r="N420" s="566"/>
      <c r="O420" s="566"/>
      <c r="P420" s="566"/>
      <c r="Q420" s="566"/>
      <c r="R420" s="566"/>
      <c r="S420" s="566"/>
      <c r="T420" s="566"/>
      <c r="U420" s="566"/>
      <c r="V420" s="566"/>
      <c r="W420" s="566"/>
      <c r="X420" s="566"/>
      <c r="Y420" s="566"/>
      <c r="Z420" s="566"/>
    </row>
    <row r="421" spans="1:26" x14ac:dyDescent="0.25">
      <c r="A421" s="566"/>
      <c r="B421" s="566"/>
      <c r="C421" s="566"/>
      <c r="D421" s="566"/>
      <c r="E421" s="566"/>
      <c r="F421" s="566"/>
      <c r="G421" s="566"/>
      <c r="H421" s="566"/>
      <c r="I421" s="566"/>
      <c r="J421" s="566"/>
      <c r="K421" s="566"/>
      <c r="L421" s="566"/>
      <c r="M421" s="566"/>
      <c r="N421" s="566"/>
      <c r="O421" s="566"/>
      <c r="P421" s="566"/>
      <c r="Q421" s="566"/>
      <c r="R421" s="566"/>
      <c r="S421" s="566"/>
      <c r="T421" s="566"/>
      <c r="U421" s="566"/>
      <c r="V421" s="566"/>
      <c r="W421" s="566"/>
      <c r="X421" s="566"/>
      <c r="Y421" s="566"/>
      <c r="Z421" s="566"/>
    </row>
    <row r="422" spans="1:26" x14ac:dyDescent="0.25">
      <c r="A422" s="566"/>
      <c r="B422" s="566"/>
      <c r="C422" s="566"/>
      <c r="D422" s="566"/>
      <c r="E422" s="566"/>
      <c r="F422" s="566"/>
      <c r="G422" s="566"/>
      <c r="H422" s="566"/>
      <c r="I422" s="566"/>
      <c r="J422" s="566"/>
      <c r="K422" s="566"/>
      <c r="L422" s="566"/>
      <c r="M422" s="566"/>
      <c r="N422" s="566"/>
      <c r="O422" s="566"/>
      <c r="P422" s="566"/>
      <c r="Q422" s="566"/>
      <c r="R422" s="566"/>
      <c r="S422" s="566"/>
      <c r="T422" s="566"/>
      <c r="U422" s="566"/>
      <c r="V422" s="566"/>
      <c r="W422" s="566"/>
      <c r="X422" s="566"/>
      <c r="Y422" s="566"/>
      <c r="Z422" s="566"/>
    </row>
    <row r="423" spans="1:26" x14ac:dyDescent="0.25">
      <c r="A423" s="566"/>
      <c r="B423" s="566"/>
      <c r="C423" s="566"/>
      <c r="D423" s="566"/>
      <c r="E423" s="566"/>
      <c r="F423" s="566"/>
      <c r="G423" s="566"/>
      <c r="H423" s="566"/>
      <c r="I423" s="566"/>
      <c r="J423" s="566"/>
      <c r="K423" s="566"/>
      <c r="L423" s="566"/>
      <c r="M423" s="566"/>
      <c r="N423" s="566"/>
      <c r="O423" s="566"/>
      <c r="P423" s="566"/>
      <c r="Q423" s="566"/>
      <c r="R423" s="566"/>
      <c r="S423" s="566"/>
      <c r="T423" s="566"/>
      <c r="U423" s="566"/>
      <c r="V423" s="566"/>
      <c r="W423" s="566"/>
      <c r="X423" s="566"/>
      <c r="Y423" s="566"/>
      <c r="Z423" s="566"/>
    </row>
    <row r="424" spans="1:26" x14ac:dyDescent="0.25">
      <c r="A424" s="566"/>
      <c r="B424" s="566"/>
      <c r="C424" s="566"/>
      <c r="D424" s="566"/>
      <c r="E424" s="566"/>
      <c r="F424" s="566"/>
      <c r="G424" s="566"/>
      <c r="H424" s="566"/>
      <c r="I424" s="566"/>
      <c r="J424" s="566"/>
      <c r="K424" s="566"/>
      <c r="L424" s="566"/>
      <c r="M424" s="566"/>
      <c r="N424" s="566"/>
      <c r="O424" s="566"/>
      <c r="P424" s="566"/>
      <c r="Q424" s="566"/>
      <c r="R424" s="566"/>
      <c r="S424" s="566"/>
      <c r="T424" s="566"/>
      <c r="U424" s="566"/>
      <c r="V424" s="566"/>
      <c r="W424" s="566"/>
      <c r="X424" s="566"/>
      <c r="Y424" s="566"/>
      <c r="Z424" s="566"/>
    </row>
    <row r="425" spans="1:26" x14ac:dyDescent="0.25">
      <c r="A425" s="566"/>
      <c r="B425" s="566"/>
      <c r="C425" s="566"/>
      <c r="D425" s="566"/>
      <c r="E425" s="566"/>
      <c r="F425" s="566"/>
      <c r="G425" s="566"/>
      <c r="H425" s="566"/>
      <c r="I425" s="566"/>
      <c r="J425" s="566"/>
      <c r="K425" s="566"/>
      <c r="L425" s="566"/>
      <c r="M425" s="566"/>
      <c r="N425" s="566"/>
      <c r="O425" s="566"/>
      <c r="P425" s="566"/>
      <c r="Q425" s="566"/>
      <c r="R425" s="566"/>
      <c r="S425" s="566"/>
      <c r="T425" s="566"/>
      <c r="U425" s="566"/>
      <c r="V425" s="566"/>
      <c r="W425" s="566"/>
      <c r="X425" s="566"/>
      <c r="Y425" s="566"/>
      <c r="Z425" s="566"/>
    </row>
    <row r="426" spans="1:26" x14ac:dyDescent="0.25">
      <c r="A426" s="566"/>
      <c r="B426" s="566"/>
      <c r="C426" s="566"/>
      <c r="D426" s="566"/>
      <c r="E426" s="566"/>
      <c r="F426" s="566"/>
      <c r="G426" s="566"/>
      <c r="H426" s="566"/>
      <c r="I426" s="566"/>
      <c r="J426" s="566"/>
      <c r="K426" s="566"/>
      <c r="L426" s="566"/>
      <c r="M426" s="566"/>
      <c r="N426" s="566"/>
      <c r="O426" s="566"/>
      <c r="P426" s="566"/>
      <c r="Q426" s="566"/>
      <c r="R426" s="566"/>
      <c r="S426" s="566"/>
      <c r="T426" s="566"/>
      <c r="U426" s="566"/>
      <c r="V426" s="566"/>
      <c r="W426" s="566"/>
      <c r="X426" s="566"/>
      <c r="Y426" s="566"/>
      <c r="Z426" s="566"/>
    </row>
    <row r="427" spans="1:26" x14ac:dyDescent="0.25">
      <c r="A427" s="566"/>
      <c r="B427" s="566"/>
      <c r="C427" s="566"/>
      <c r="D427" s="566"/>
      <c r="E427" s="566"/>
      <c r="F427" s="566"/>
      <c r="G427" s="566"/>
      <c r="H427" s="566"/>
      <c r="I427" s="566"/>
      <c r="J427" s="566"/>
      <c r="K427" s="566"/>
      <c r="L427" s="566"/>
      <c r="M427" s="566"/>
      <c r="N427" s="566"/>
      <c r="O427" s="566"/>
      <c r="P427" s="566"/>
      <c r="Q427" s="566"/>
      <c r="R427" s="566"/>
      <c r="S427" s="566"/>
      <c r="T427" s="566"/>
      <c r="U427" s="566"/>
      <c r="V427" s="566"/>
      <c r="W427" s="566"/>
      <c r="X427" s="566"/>
      <c r="Y427" s="566"/>
      <c r="Z427" s="566"/>
    </row>
    <row r="428" spans="1:26" x14ac:dyDescent="0.25">
      <c r="A428" s="566"/>
      <c r="B428" s="566"/>
      <c r="C428" s="566"/>
      <c r="D428" s="566"/>
      <c r="E428" s="566"/>
      <c r="F428" s="566"/>
      <c r="G428" s="566"/>
      <c r="H428" s="566"/>
      <c r="I428" s="566"/>
      <c r="J428" s="566"/>
      <c r="K428" s="566"/>
      <c r="L428" s="566"/>
      <c r="M428" s="566"/>
      <c r="N428" s="566"/>
      <c r="O428" s="566"/>
      <c r="P428" s="566"/>
      <c r="Q428" s="566"/>
      <c r="R428" s="566"/>
      <c r="S428" s="566"/>
      <c r="T428" s="566"/>
      <c r="U428" s="566"/>
      <c r="V428" s="566"/>
      <c r="W428" s="566"/>
      <c r="X428" s="566"/>
      <c r="Y428" s="566"/>
      <c r="Z428" s="566"/>
    </row>
    <row r="429" spans="1:26" x14ac:dyDescent="0.25">
      <c r="A429" s="566"/>
      <c r="B429" s="566"/>
      <c r="C429" s="566"/>
      <c r="D429" s="566"/>
      <c r="E429" s="566"/>
      <c r="F429" s="566"/>
      <c r="G429" s="566"/>
      <c r="H429" s="566"/>
      <c r="I429" s="566"/>
      <c r="J429" s="566"/>
      <c r="K429" s="566"/>
      <c r="L429" s="566"/>
      <c r="M429" s="566"/>
      <c r="N429" s="566"/>
      <c r="O429" s="566"/>
      <c r="P429" s="566"/>
      <c r="Q429" s="566"/>
      <c r="R429" s="566"/>
      <c r="S429" s="566"/>
      <c r="T429" s="566"/>
      <c r="U429" s="566"/>
      <c r="V429" s="566"/>
      <c r="W429" s="566"/>
      <c r="X429" s="566"/>
      <c r="Y429" s="566"/>
      <c r="Z429" s="566"/>
    </row>
    <row r="430" spans="1:26" x14ac:dyDescent="0.25">
      <c r="A430" s="566"/>
      <c r="B430" s="566"/>
      <c r="C430" s="566"/>
      <c r="D430" s="566"/>
      <c r="E430" s="566"/>
      <c r="F430" s="566"/>
      <c r="G430" s="566"/>
      <c r="H430" s="566"/>
      <c r="I430" s="566"/>
      <c r="J430" s="566"/>
      <c r="K430" s="566"/>
      <c r="L430" s="566"/>
      <c r="M430" s="566"/>
      <c r="N430" s="566"/>
      <c r="O430" s="566"/>
      <c r="P430" s="566"/>
      <c r="Q430" s="566"/>
      <c r="R430" s="566"/>
      <c r="S430" s="566"/>
      <c r="T430" s="566"/>
      <c r="U430" s="566"/>
      <c r="V430" s="566"/>
      <c r="W430" s="566"/>
      <c r="X430" s="566"/>
      <c r="Y430" s="566"/>
      <c r="Z430" s="566"/>
    </row>
    <row r="431" spans="1:26" x14ac:dyDescent="0.25">
      <c r="A431" s="566"/>
      <c r="B431" s="566"/>
      <c r="C431" s="566"/>
      <c r="D431" s="566"/>
      <c r="E431" s="566"/>
      <c r="F431" s="566"/>
      <c r="G431" s="566"/>
      <c r="H431" s="566"/>
      <c r="I431" s="566"/>
      <c r="J431" s="566"/>
      <c r="K431" s="566"/>
      <c r="L431" s="566"/>
      <c r="M431" s="566"/>
      <c r="N431" s="566"/>
      <c r="O431" s="566"/>
      <c r="P431" s="566"/>
      <c r="Q431" s="566"/>
      <c r="R431" s="566"/>
      <c r="S431" s="566"/>
      <c r="T431" s="566"/>
      <c r="U431" s="566"/>
      <c r="V431" s="566"/>
      <c r="W431" s="566"/>
      <c r="X431" s="566"/>
      <c r="Y431" s="566"/>
      <c r="Z431" s="566"/>
    </row>
    <row r="432" spans="1:26" x14ac:dyDescent="0.25">
      <c r="A432" s="566"/>
      <c r="B432" s="566"/>
      <c r="C432" s="566"/>
      <c r="D432" s="566"/>
      <c r="E432" s="566"/>
      <c r="F432" s="566"/>
      <c r="G432" s="566"/>
      <c r="H432" s="566"/>
      <c r="I432" s="566"/>
      <c r="J432" s="566"/>
      <c r="K432" s="566"/>
      <c r="L432" s="566"/>
      <c r="M432" s="566"/>
      <c r="N432" s="566"/>
      <c r="O432" s="566"/>
      <c r="P432" s="566"/>
      <c r="Q432" s="566"/>
      <c r="R432" s="566"/>
      <c r="S432" s="566"/>
      <c r="T432" s="566"/>
      <c r="U432" s="566"/>
      <c r="V432" s="566"/>
      <c r="W432" s="566"/>
      <c r="X432" s="566"/>
      <c r="Y432" s="566"/>
      <c r="Z432" s="566"/>
    </row>
    <row r="433" spans="1:26" x14ac:dyDescent="0.25">
      <c r="A433" s="566"/>
      <c r="B433" s="566"/>
      <c r="C433" s="566"/>
      <c r="D433" s="566"/>
      <c r="E433" s="566"/>
      <c r="F433" s="566"/>
      <c r="G433" s="566"/>
      <c r="H433" s="566"/>
      <c r="I433" s="566"/>
      <c r="J433" s="566"/>
      <c r="K433" s="566"/>
      <c r="L433" s="566"/>
      <c r="M433" s="566"/>
      <c r="N433" s="566"/>
      <c r="O433" s="566"/>
      <c r="P433" s="566"/>
      <c r="Q433" s="566"/>
      <c r="R433" s="566"/>
      <c r="S433" s="566"/>
      <c r="T433" s="566"/>
      <c r="U433" s="566"/>
      <c r="V433" s="566"/>
      <c r="W433" s="566"/>
      <c r="X433" s="566"/>
      <c r="Y433" s="566"/>
      <c r="Z433" s="566"/>
    </row>
    <row r="434" spans="1:26" x14ac:dyDescent="0.25">
      <c r="A434" s="566"/>
      <c r="B434" s="566"/>
      <c r="C434" s="566"/>
      <c r="D434" s="566"/>
      <c r="E434" s="566"/>
      <c r="F434" s="566"/>
      <c r="G434" s="566"/>
      <c r="H434" s="566"/>
      <c r="I434" s="566"/>
      <c r="J434" s="566"/>
      <c r="K434" s="566"/>
      <c r="L434" s="566"/>
      <c r="M434" s="566"/>
      <c r="N434" s="566"/>
      <c r="O434" s="566"/>
      <c r="P434" s="566"/>
      <c r="Q434" s="566"/>
      <c r="R434" s="566"/>
      <c r="S434" s="566"/>
      <c r="T434" s="566"/>
      <c r="U434" s="566"/>
      <c r="V434" s="566"/>
      <c r="W434" s="566"/>
      <c r="X434" s="566"/>
      <c r="Y434" s="566"/>
      <c r="Z434" s="566"/>
    </row>
    <row r="435" spans="1:26" x14ac:dyDescent="0.25">
      <c r="A435" s="566"/>
      <c r="B435" s="566"/>
      <c r="C435" s="566"/>
      <c r="D435" s="566"/>
      <c r="E435" s="566"/>
      <c r="F435" s="566"/>
      <c r="G435" s="566"/>
      <c r="H435" s="566"/>
      <c r="I435" s="566"/>
      <c r="J435" s="566"/>
      <c r="K435" s="566"/>
      <c r="L435" s="566"/>
      <c r="M435" s="566"/>
      <c r="N435" s="566"/>
      <c r="O435" s="566"/>
      <c r="P435" s="566"/>
      <c r="Q435" s="566"/>
      <c r="R435" s="566"/>
      <c r="S435" s="566"/>
      <c r="T435" s="566"/>
      <c r="U435" s="566"/>
      <c r="V435" s="566"/>
      <c r="W435" s="566"/>
      <c r="X435" s="566"/>
      <c r="Y435" s="566"/>
      <c r="Z435" s="566"/>
    </row>
    <row r="436" spans="1:26" x14ac:dyDescent="0.25">
      <c r="A436" s="566"/>
      <c r="B436" s="566"/>
      <c r="C436" s="566"/>
      <c r="D436" s="566"/>
      <c r="E436" s="566"/>
      <c r="F436" s="566"/>
      <c r="G436" s="566"/>
      <c r="H436" s="566"/>
      <c r="I436" s="566"/>
      <c r="J436" s="566"/>
      <c r="K436" s="566"/>
      <c r="L436" s="566"/>
      <c r="M436" s="566"/>
      <c r="N436" s="566"/>
      <c r="O436" s="566"/>
      <c r="P436" s="566"/>
      <c r="Q436" s="566"/>
      <c r="R436" s="566"/>
      <c r="S436" s="566"/>
      <c r="T436" s="566"/>
      <c r="U436" s="566"/>
      <c r="V436" s="566"/>
      <c r="W436" s="566"/>
      <c r="X436" s="566"/>
      <c r="Y436" s="566"/>
      <c r="Z436" s="566"/>
    </row>
    <row r="437" spans="1:26" x14ac:dyDescent="0.25">
      <c r="A437" s="566"/>
      <c r="B437" s="566"/>
      <c r="C437" s="566"/>
      <c r="D437" s="566"/>
      <c r="E437" s="566"/>
      <c r="F437" s="566"/>
      <c r="G437" s="566"/>
      <c r="H437" s="566"/>
      <c r="I437" s="566"/>
      <c r="J437" s="566"/>
      <c r="K437" s="566"/>
      <c r="L437" s="566"/>
      <c r="M437" s="566"/>
      <c r="N437" s="566"/>
      <c r="O437" s="566"/>
      <c r="P437" s="566"/>
      <c r="Q437" s="566"/>
      <c r="R437" s="566"/>
      <c r="S437" s="566"/>
      <c r="T437" s="566"/>
      <c r="U437" s="566"/>
      <c r="V437" s="566"/>
      <c r="W437" s="566"/>
      <c r="X437" s="566"/>
      <c r="Y437" s="566"/>
      <c r="Z437" s="566"/>
    </row>
    <row r="438" spans="1:26" x14ac:dyDescent="0.25">
      <c r="A438" s="566"/>
      <c r="B438" s="566"/>
      <c r="C438" s="566"/>
      <c r="D438" s="566"/>
      <c r="E438" s="566"/>
      <c r="F438" s="566"/>
      <c r="G438" s="566"/>
      <c r="H438" s="566"/>
      <c r="I438" s="566"/>
      <c r="J438" s="566"/>
      <c r="K438" s="566"/>
      <c r="L438" s="566"/>
      <c r="M438" s="566"/>
      <c r="N438" s="566"/>
      <c r="O438" s="566"/>
      <c r="P438" s="566"/>
      <c r="Q438" s="566"/>
      <c r="R438" s="566"/>
      <c r="S438" s="566"/>
      <c r="T438" s="566"/>
      <c r="U438" s="566"/>
      <c r="V438" s="566"/>
      <c r="W438" s="566"/>
      <c r="X438" s="566"/>
      <c r="Y438" s="566"/>
      <c r="Z438" s="566"/>
    </row>
    <row r="439" spans="1:26" x14ac:dyDescent="0.25">
      <c r="A439" s="566"/>
      <c r="B439" s="566"/>
      <c r="C439" s="566"/>
      <c r="D439" s="566"/>
      <c r="E439" s="566"/>
      <c r="F439" s="566"/>
      <c r="G439" s="566"/>
      <c r="H439" s="566"/>
      <c r="I439" s="566"/>
      <c r="J439" s="566"/>
      <c r="K439" s="566"/>
      <c r="L439" s="566"/>
      <c r="M439" s="566"/>
      <c r="N439" s="566"/>
      <c r="O439" s="566"/>
      <c r="P439" s="566"/>
      <c r="Q439" s="566"/>
      <c r="R439" s="566"/>
      <c r="S439" s="566"/>
      <c r="T439" s="566"/>
      <c r="U439" s="566"/>
      <c r="V439" s="566"/>
      <c r="W439" s="566"/>
      <c r="X439" s="566"/>
      <c r="Y439" s="566"/>
      <c r="Z439" s="566"/>
    </row>
    <row r="440" spans="1:26" x14ac:dyDescent="0.25">
      <c r="A440" s="566"/>
      <c r="B440" s="566"/>
      <c r="C440" s="566"/>
      <c r="D440" s="566"/>
      <c r="E440" s="566"/>
      <c r="F440" s="566"/>
      <c r="G440" s="566"/>
      <c r="H440" s="566"/>
      <c r="I440" s="566"/>
      <c r="J440" s="566"/>
      <c r="K440" s="566"/>
      <c r="L440" s="566"/>
      <c r="M440" s="566"/>
      <c r="N440" s="566"/>
      <c r="O440" s="566"/>
      <c r="P440" s="566"/>
      <c r="Q440" s="566"/>
      <c r="R440" s="566"/>
      <c r="S440" s="566"/>
      <c r="T440" s="566"/>
      <c r="U440" s="566"/>
      <c r="V440" s="566"/>
      <c r="W440" s="566"/>
      <c r="X440" s="566"/>
      <c r="Y440" s="566"/>
      <c r="Z440" s="566"/>
    </row>
    <row r="441" spans="1:26" x14ac:dyDescent="0.25">
      <c r="A441" s="566"/>
      <c r="B441" s="566"/>
      <c r="C441" s="566"/>
      <c r="D441" s="566"/>
      <c r="E441" s="566"/>
      <c r="F441" s="566"/>
      <c r="G441" s="566"/>
      <c r="H441" s="566"/>
      <c r="I441" s="566"/>
      <c r="J441" s="566"/>
      <c r="K441" s="566"/>
      <c r="L441" s="566"/>
      <c r="M441" s="566"/>
      <c r="N441" s="566"/>
      <c r="O441" s="566"/>
      <c r="P441" s="566"/>
      <c r="Q441" s="566"/>
      <c r="R441" s="566"/>
      <c r="S441" s="566"/>
      <c r="T441" s="566"/>
      <c r="U441" s="566"/>
      <c r="V441" s="566"/>
      <c r="W441" s="566"/>
      <c r="X441" s="566"/>
      <c r="Y441" s="566"/>
      <c r="Z441" s="566"/>
    </row>
    <row r="442" spans="1:26" x14ac:dyDescent="0.25">
      <c r="A442" s="566"/>
      <c r="B442" s="566"/>
      <c r="C442" s="566"/>
      <c r="D442" s="566"/>
      <c r="E442" s="566"/>
      <c r="F442" s="566"/>
      <c r="G442" s="566"/>
      <c r="H442" s="566"/>
      <c r="I442" s="566"/>
      <c r="J442" s="566"/>
      <c r="K442" s="566"/>
      <c r="L442" s="566"/>
      <c r="M442" s="566"/>
      <c r="N442" s="566"/>
      <c r="O442" s="566"/>
      <c r="P442" s="566"/>
      <c r="Q442" s="566"/>
      <c r="R442" s="566"/>
      <c r="S442" s="566"/>
      <c r="T442" s="566"/>
      <c r="U442" s="566"/>
      <c r="V442" s="566"/>
      <c r="W442" s="566"/>
      <c r="X442" s="566"/>
      <c r="Y442" s="566"/>
      <c r="Z442" s="566"/>
    </row>
    <row r="443" spans="1:26" x14ac:dyDescent="0.25">
      <c r="A443" s="566"/>
      <c r="B443" s="566"/>
      <c r="C443" s="566"/>
      <c r="D443" s="566"/>
      <c r="E443" s="566"/>
      <c r="F443" s="566"/>
      <c r="G443" s="566"/>
      <c r="H443" s="566"/>
      <c r="I443" s="566"/>
      <c r="J443" s="566"/>
      <c r="K443" s="566"/>
      <c r="L443" s="566"/>
      <c r="M443" s="566"/>
      <c r="N443" s="566"/>
      <c r="O443" s="566"/>
      <c r="P443" s="566"/>
      <c r="Q443" s="566"/>
      <c r="R443" s="566"/>
      <c r="S443" s="566"/>
      <c r="T443" s="566"/>
      <c r="U443" s="566"/>
      <c r="V443" s="566"/>
      <c r="W443" s="566"/>
      <c r="X443" s="566"/>
      <c r="Y443" s="566"/>
      <c r="Z443" s="566"/>
    </row>
    <row r="444" spans="1:26" x14ac:dyDescent="0.25">
      <c r="A444" s="566"/>
      <c r="B444" s="566"/>
      <c r="C444" s="566"/>
      <c r="D444" s="566"/>
      <c r="E444" s="566"/>
      <c r="F444" s="566"/>
      <c r="G444" s="566"/>
      <c r="H444" s="566"/>
      <c r="I444" s="566"/>
      <c r="J444" s="566"/>
      <c r="K444" s="566"/>
      <c r="L444" s="566"/>
      <c r="M444" s="566"/>
      <c r="N444" s="566"/>
      <c r="O444" s="566"/>
      <c r="P444" s="566"/>
      <c r="Q444" s="566"/>
      <c r="R444" s="566"/>
      <c r="S444" s="566"/>
      <c r="T444" s="566"/>
      <c r="U444" s="566"/>
      <c r="V444" s="566"/>
      <c r="W444" s="566"/>
      <c r="X444" s="566"/>
      <c r="Y444" s="566"/>
      <c r="Z444" s="566"/>
    </row>
    <row r="445" spans="1:26" x14ac:dyDescent="0.25">
      <c r="A445" s="566"/>
      <c r="B445" s="566"/>
      <c r="C445" s="566"/>
      <c r="D445" s="566"/>
      <c r="E445" s="566"/>
      <c r="F445" s="566"/>
      <c r="G445" s="566"/>
      <c r="H445" s="566"/>
      <c r="I445" s="566"/>
      <c r="J445" s="566"/>
      <c r="K445" s="566"/>
      <c r="L445" s="566"/>
      <c r="M445" s="566"/>
      <c r="N445" s="566"/>
      <c r="O445" s="566"/>
      <c r="P445" s="566"/>
      <c r="Q445" s="566"/>
      <c r="R445" s="566"/>
      <c r="S445" s="566"/>
      <c r="T445" s="566"/>
      <c r="U445" s="566"/>
      <c r="V445" s="566"/>
      <c r="W445" s="566"/>
      <c r="X445" s="566"/>
      <c r="Y445" s="566"/>
      <c r="Z445" s="566"/>
    </row>
    <row r="446" spans="1:26" x14ac:dyDescent="0.25">
      <c r="A446" s="566"/>
      <c r="B446" s="566"/>
      <c r="C446" s="566"/>
      <c r="D446" s="566"/>
      <c r="E446" s="566"/>
      <c r="F446" s="566"/>
      <c r="G446" s="566"/>
      <c r="H446" s="566"/>
      <c r="I446" s="566"/>
      <c r="J446" s="566"/>
      <c r="K446" s="566"/>
      <c r="L446" s="566"/>
      <c r="M446" s="566"/>
      <c r="N446" s="566"/>
      <c r="O446" s="566"/>
      <c r="P446" s="566"/>
      <c r="Q446" s="566"/>
      <c r="R446" s="566"/>
      <c r="S446" s="566"/>
      <c r="T446" s="566"/>
      <c r="U446" s="566"/>
      <c r="V446" s="566"/>
      <c r="W446" s="566"/>
      <c r="X446" s="566"/>
      <c r="Y446" s="566"/>
      <c r="Z446" s="566"/>
    </row>
    <row r="447" spans="1:26" x14ac:dyDescent="0.25">
      <c r="A447" s="566"/>
      <c r="B447" s="566"/>
      <c r="C447" s="566"/>
      <c r="D447" s="566"/>
      <c r="E447" s="566"/>
      <c r="F447" s="566"/>
      <c r="G447" s="566"/>
      <c r="H447" s="566"/>
      <c r="I447" s="566"/>
      <c r="J447" s="566"/>
      <c r="K447" s="566"/>
      <c r="L447" s="566"/>
      <c r="M447" s="566"/>
      <c r="N447" s="566"/>
      <c r="O447" s="566"/>
      <c r="P447" s="566"/>
      <c r="Q447" s="566"/>
      <c r="R447" s="566"/>
      <c r="S447" s="566"/>
      <c r="T447" s="566"/>
      <c r="U447" s="566"/>
      <c r="V447" s="566"/>
      <c r="W447" s="566"/>
      <c r="X447" s="566"/>
      <c r="Y447" s="566"/>
      <c r="Z447" s="566"/>
    </row>
    <row r="448" spans="1:26" x14ac:dyDescent="0.25">
      <c r="A448" s="566"/>
      <c r="B448" s="566"/>
      <c r="C448" s="566"/>
      <c r="D448" s="566"/>
      <c r="E448" s="566"/>
      <c r="F448" s="566"/>
      <c r="G448" s="566"/>
      <c r="H448" s="566"/>
      <c r="I448" s="566"/>
      <c r="J448" s="566"/>
      <c r="K448" s="566"/>
      <c r="L448" s="566"/>
      <c r="M448" s="566"/>
      <c r="N448" s="566"/>
      <c r="O448" s="566"/>
      <c r="P448" s="566"/>
      <c r="Q448" s="566"/>
      <c r="R448" s="566"/>
      <c r="S448" s="566"/>
      <c r="T448" s="566"/>
      <c r="U448" s="566"/>
      <c r="V448" s="566"/>
      <c r="W448" s="566"/>
      <c r="X448" s="566"/>
      <c r="Y448" s="566"/>
      <c r="Z448" s="566"/>
    </row>
    <row r="449" spans="1:26" x14ac:dyDescent="0.25">
      <c r="A449" s="566"/>
      <c r="B449" s="566"/>
      <c r="C449" s="566"/>
      <c r="D449" s="566"/>
      <c r="E449" s="566"/>
      <c r="F449" s="566"/>
      <c r="G449" s="566"/>
      <c r="H449" s="566"/>
      <c r="I449" s="566"/>
      <c r="J449" s="566"/>
      <c r="K449" s="566"/>
      <c r="L449" s="566"/>
      <c r="M449" s="566"/>
      <c r="N449" s="566"/>
      <c r="O449" s="566"/>
      <c r="P449" s="566"/>
      <c r="Q449" s="566"/>
      <c r="R449" s="566"/>
      <c r="S449" s="566"/>
      <c r="T449" s="566"/>
      <c r="U449" s="566"/>
      <c r="V449" s="566"/>
      <c r="W449" s="566"/>
      <c r="X449" s="566"/>
      <c r="Y449" s="566"/>
      <c r="Z449" s="566"/>
    </row>
    <row r="450" spans="1:26" x14ac:dyDescent="0.25">
      <c r="A450" s="566"/>
      <c r="B450" s="566"/>
      <c r="C450" s="566"/>
      <c r="D450" s="566"/>
      <c r="E450" s="566"/>
      <c r="F450" s="566"/>
      <c r="G450" s="566"/>
      <c r="H450" s="566"/>
      <c r="I450" s="566"/>
      <c r="J450" s="566"/>
      <c r="K450" s="566"/>
      <c r="L450" s="566"/>
      <c r="M450" s="566"/>
      <c r="N450" s="566"/>
      <c r="O450" s="566"/>
      <c r="P450" s="566"/>
      <c r="Q450" s="566"/>
      <c r="R450" s="566"/>
      <c r="S450" s="566"/>
      <c r="T450" s="566"/>
      <c r="U450" s="566"/>
      <c r="V450" s="566"/>
      <c r="W450" s="566"/>
      <c r="X450" s="566"/>
      <c r="Y450" s="566"/>
      <c r="Z450" s="566"/>
    </row>
    <row r="451" spans="1:26" x14ac:dyDescent="0.25">
      <c r="A451" s="566"/>
      <c r="B451" s="566"/>
      <c r="C451" s="566"/>
      <c r="D451" s="566"/>
      <c r="E451" s="566"/>
      <c r="F451" s="566"/>
      <c r="G451" s="566"/>
      <c r="H451" s="566"/>
      <c r="I451" s="566"/>
      <c r="J451" s="566"/>
      <c r="K451" s="566"/>
      <c r="L451" s="566"/>
      <c r="M451" s="566"/>
      <c r="N451" s="566"/>
      <c r="O451" s="566"/>
      <c r="P451" s="566"/>
      <c r="Q451" s="566"/>
      <c r="R451" s="566"/>
      <c r="S451" s="566"/>
      <c r="T451" s="566"/>
      <c r="U451" s="566"/>
      <c r="V451" s="566"/>
      <c r="W451" s="566"/>
      <c r="X451" s="566"/>
      <c r="Y451" s="566"/>
      <c r="Z451" s="566"/>
    </row>
    <row r="452" spans="1:26" x14ac:dyDescent="0.25">
      <c r="A452" s="566"/>
      <c r="B452" s="566"/>
      <c r="C452" s="566"/>
      <c r="D452" s="566"/>
      <c r="E452" s="566"/>
      <c r="F452" s="566"/>
      <c r="G452" s="566"/>
      <c r="H452" s="566"/>
      <c r="I452" s="566"/>
      <c r="J452" s="566"/>
      <c r="K452" s="566"/>
      <c r="L452" s="566"/>
      <c r="M452" s="566"/>
      <c r="N452" s="566"/>
      <c r="O452" s="566"/>
      <c r="P452" s="566"/>
      <c r="Q452" s="566"/>
      <c r="R452" s="566"/>
      <c r="S452" s="566"/>
      <c r="T452" s="566"/>
      <c r="U452" s="566"/>
      <c r="V452" s="566"/>
      <c r="W452" s="566"/>
      <c r="X452" s="566"/>
      <c r="Y452" s="566"/>
      <c r="Z452" s="566"/>
    </row>
    <row r="453" spans="1:26" x14ac:dyDescent="0.25">
      <c r="A453" s="566"/>
      <c r="B453" s="566"/>
      <c r="C453" s="566"/>
      <c r="D453" s="566"/>
      <c r="E453" s="566"/>
      <c r="F453" s="566"/>
      <c r="G453" s="566"/>
      <c r="H453" s="566"/>
      <c r="I453" s="566"/>
      <c r="J453" s="566"/>
      <c r="K453" s="566"/>
      <c r="L453" s="566"/>
      <c r="M453" s="566"/>
      <c r="N453" s="566"/>
      <c r="O453" s="566"/>
      <c r="P453" s="566"/>
      <c r="Q453" s="566"/>
      <c r="R453" s="566"/>
      <c r="S453" s="566"/>
      <c r="T453" s="566"/>
      <c r="U453" s="566"/>
      <c r="V453" s="566"/>
      <c r="W453" s="566"/>
      <c r="X453" s="566"/>
      <c r="Y453" s="566"/>
      <c r="Z453" s="566"/>
    </row>
    <row r="454" spans="1:26" x14ac:dyDescent="0.25">
      <c r="A454" s="566"/>
      <c r="B454" s="566"/>
      <c r="C454" s="566"/>
      <c r="D454" s="566"/>
      <c r="E454" s="566"/>
      <c r="F454" s="566"/>
      <c r="G454" s="566"/>
      <c r="H454" s="566"/>
      <c r="I454" s="566"/>
      <c r="J454" s="566"/>
      <c r="K454" s="566"/>
      <c r="L454" s="566"/>
      <c r="M454" s="566"/>
      <c r="N454" s="566"/>
      <c r="O454" s="566"/>
      <c r="P454" s="566"/>
      <c r="Q454" s="566"/>
      <c r="R454" s="566"/>
      <c r="S454" s="566"/>
      <c r="T454" s="566"/>
      <c r="U454" s="566"/>
      <c r="V454" s="566"/>
      <c r="W454" s="566"/>
      <c r="X454" s="566"/>
      <c r="Y454" s="566"/>
      <c r="Z454" s="566"/>
    </row>
    <row r="455" spans="1:26" x14ac:dyDescent="0.25">
      <c r="A455" s="566"/>
      <c r="B455" s="566"/>
      <c r="C455" s="566"/>
      <c r="D455" s="566"/>
      <c r="E455" s="566"/>
      <c r="F455" s="566"/>
      <c r="G455" s="566"/>
      <c r="H455" s="566"/>
      <c r="I455" s="566"/>
      <c r="J455" s="566"/>
      <c r="K455" s="566"/>
      <c r="L455" s="566"/>
      <c r="M455" s="566"/>
      <c r="N455" s="566"/>
      <c r="O455" s="566"/>
      <c r="P455" s="566"/>
      <c r="Q455" s="566"/>
      <c r="R455" s="566"/>
      <c r="S455" s="566"/>
      <c r="T455" s="566"/>
      <c r="U455" s="566"/>
      <c r="V455" s="566"/>
      <c r="W455" s="566"/>
      <c r="X455" s="566"/>
      <c r="Y455" s="566"/>
      <c r="Z455" s="566"/>
    </row>
    <row r="456" spans="1:26" x14ac:dyDescent="0.25">
      <c r="A456" s="566"/>
      <c r="B456" s="566"/>
      <c r="C456" s="566"/>
      <c r="D456" s="566"/>
      <c r="E456" s="566"/>
      <c r="F456" s="566"/>
      <c r="G456" s="566"/>
      <c r="H456" s="566"/>
      <c r="I456" s="566"/>
      <c r="J456" s="566"/>
      <c r="K456" s="566"/>
      <c r="L456" s="566"/>
      <c r="M456" s="566"/>
      <c r="N456" s="566"/>
      <c r="O456" s="566"/>
      <c r="P456" s="566"/>
      <c r="Q456" s="566"/>
      <c r="R456" s="566"/>
      <c r="S456" s="566"/>
      <c r="T456" s="566"/>
      <c r="U456" s="566"/>
      <c r="V456" s="566"/>
      <c r="W456" s="566"/>
      <c r="X456" s="566"/>
      <c r="Y456" s="566"/>
      <c r="Z456" s="566"/>
    </row>
    <row r="457" spans="1:26" x14ac:dyDescent="0.25">
      <c r="A457" s="566"/>
      <c r="B457" s="566"/>
      <c r="C457" s="566"/>
      <c r="D457" s="566"/>
      <c r="E457" s="566"/>
      <c r="F457" s="566"/>
      <c r="G457" s="566"/>
      <c r="H457" s="566"/>
      <c r="I457" s="566"/>
      <c r="J457" s="566"/>
      <c r="K457" s="566"/>
      <c r="L457" s="566"/>
      <c r="M457" s="566"/>
      <c r="N457" s="566"/>
      <c r="O457" s="566"/>
      <c r="P457" s="566"/>
      <c r="Q457" s="566"/>
      <c r="R457" s="566"/>
      <c r="S457" s="566"/>
      <c r="T457" s="566"/>
      <c r="U457" s="566"/>
      <c r="V457" s="566"/>
      <c r="W457" s="566"/>
      <c r="X457" s="566"/>
      <c r="Y457" s="566"/>
      <c r="Z457" s="566"/>
    </row>
    <row r="458" spans="1:26" x14ac:dyDescent="0.25">
      <c r="A458" s="566"/>
      <c r="B458" s="566"/>
      <c r="C458" s="566"/>
      <c r="D458" s="566"/>
      <c r="E458" s="566"/>
      <c r="F458" s="566"/>
      <c r="G458" s="566"/>
      <c r="H458" s="566"/>
      <c r="I458" s="566"/>
      <c r="J458" s="566"/>
      <c r="K458" s="566"/>
      <c r="L458" s="566"/>
      <c r="M458" s="566"/>
      <c r="N458" s="566"/>
      <c r="O458" s="566"/>
      <c r="P458" s="566"/>
      <c r="Q458" s="566"/>
      <c r="R458" s="566"/>
      <c r="S458" s="566"/>
      <c r="T458" s="566"/>
      <c r="U458" s="566"/>
      <c r="V458" s="566"/>
      <c r="W458" s="566"/>
      <c r="X458" s="566"/>
      <c r="Y458" s="566"/>
      <c r="Z458" s="566"/>
    </row>
    <row r="459" spans="1:26" x14ac:dyDescent="0.25">
      <c r="A459" s="566"/>
      <c r="B459" s="566"/>
      <c r="C459" s="566"/>
      <c r="D459" s="566"/>
      <c r="E459" s="566"/>
      <c r="F459" s="566"/>
      <c r="G459" s="566"/>
      <c r="H459" s="566"/>
      <c r="I459" s="566"/>
      <c r="J459" s="566"/>
      <c r="K459" s="566"/>
      <c r="L459" s="566"/>
      <c r="M459" s="566"/>
      <c r="N459" s="566"/>
      <c r="O459" s="566"/>
      <c r="P459" s="566"/>
      <c r="Q459" s="566"/>
      <c r="R459" s="566"/>
      <c r="S459" s="566"/>
      <c r="T459" s="566"/>
      <c r="U459" s="566"/>
      <c r="V459" s="566"/>
      <c r="W459" s="566"/>
      <c r="X459" s="566"/>
      <c r="Y459" s="566"/>
      <c r="Z459" s="566"/>
    </row>
    <row r="460" spans="1:26" x14ac:dyDescent="0.25">
      <c r="A460" s="566"/>
      <c r="B460" s="566"/>
      <c r="C460" s="566"/>
      <c r="D460" s="566"/>
      <c r="E460" s="566"/>
      <c r="F460" s="566"/>
      <c r="G460" s="566"/>
      <c r="H460" s="566"/>
      <c r="I460" s="566"/>
      <c r="J460" s="566"/>
      <c r="K460" s="566"/>
      <c r="L460" s="566"/>
      <c r="M460" s="566"/>
      <c r="N460" s="566"/>
      <c r="O460" s="566"/>
      <c r="P460" s="566"/>
      <c r="Q460" s="566"/>
      <c r="R460" s="566"/>
      <c r="S460" s="566"/>
      <c r="T460" s="566"/>
      <c r="U460" s="566"/>
      <c r="V460" s="566"/>
      <c r="W460" s="566"/>
      <c r="X460" s="566"/>
      <c r="Y460" s="566"/>
      <c r="Z460" s="566"/>
    </row>
    <row r="461" spans="1:26" x14ac:dyDescent="0.25">
      <c r="A461" s="566"/>
      <c r="B461" s="566"/>
      <c r="C461" s="566"/>
      <c r="D461" s="566"/>
      <c r="E461" s="566"/>
      <c r="F461" s="566"/>
      <c r="G461" s="566"/>
      <c r="H461" s="566"/>
      <c r="I461" s="566"/>
      <c r="J461" s="566"/>
      <c r="K461" s="566"/>
      <c r="L461" s="566"/>
      <c r="M461" s="566"/>
      <c r="N461" s="566"/>
      <c r="O461" s="566"/>
      <c r="P461" s="566"/>
      <c r="Q461" s="566"/>
      <c r="R461" s="566"/>
      <c r="S461" s="566"/>
      <c r="T461" s="566"/>
      <c r="U461" s="566"/>
      <c r="V461" s="566"/>
      <c r="W461" s="566"/>
      <c r="X461" s="566"/>
      <c r="Y461" s="566"/>
      <c r="Z461" s="566"/>
    </row>
    <row r="462" spans="1:26" x14ac:dyDescent="0.25">
      <c r="A462" s="566"/>
      <c r="B462" s="566"/>
      <c r="C462" s="566"/>
      <c r="D462" s="566"/>
      <c r="E462" s="566"/>
      <c r="F462" s="566"/>
      <c r="G462" s="566"/>
      <c r="H462" s="566"/>
      <c r="I462" s="566"/>
      <c r="J462" s="566"/>
      <c r="K462" s="566"/>
      <c r="L462" s="566"/>
      <c r="M462" s="566"/>
      <c r="N462" s="566"/>
      <c r="O462" s="566"/>
      <c r="P462" s="566"/>
      <c r="Q462" s="566"/>
      <c r="R462" s="566"/>
      <c r="S462" s="566"/>
      <c r="T462" s="566"/>
      <c r="U462" s="566"/>
      <c r="V462" s="566"/>
      <c r="W462" s="566"/>
      <c r="X462" s="566"/>
      <c r="Y462" s="566"/>
      <c r="Z462" s="566"/>
    </row>
    <row r="463" spans="1:26" x14ac:dyDescent="0.25">
      <c r="A463" s="566"/>
      <c r="B463" s="566"/>
      <c r="C463" s="566"/>
      <c r="D463" s="566"/>
      <c r="E463" s="566"/>
      <c r="F463" s="566"/>
      <c r="G463" s="566"/>
      <c r="H463" s="566"/>
      <c r="I463" s="566"/>
      <c r="J463" s="566"/>
      <c r="K463" s="566"/>
      <c r="L463" s="566"/>
      <c r="M463" s="566"/>
      <c r="N463" s="566"/>
      <c r="O463" s="566"/>
      <c r="P463" s="566"/>
      <c r="Q463" s="566"/>
      <c r="R463" s="566"/>
      <c r="S463" s="566"/>
      <c r="T463" s="566"/>
      <c r="U463" s="566"/>
      <c r="V463" s="566"/>
      <c r="W463" s="566"/>
      <c r="X463" s="566"/>
      <c r="Y463" s="566"/>
      <c r="Z463" s="566"/>
    </row>
    <row r="464" spans="1:26" x14ac:dyDescent="0.25">
      <c r="A464" s="566"/>
      <c r="B464" s="566"/>
      <c r="C464" s="566"/>
      <c r="D464" s="566"/>
      <c r="E464" s="566"/>
      <c r="F464" s="566"/>
      <c r="G464" s="566"/>
      <c r="H464" s="566"/>
      <c r="I464" s="566"/>
      <c r="J464" s="566"/>
      <c r="K464" s="566"/>
      <c r="L464" s="566"/>
      <c r="M464" s="566"/>
      <c r="N464" s="566"/>
      <c r="O464" s="566"/>
      <c r="P464" s="566"/>
      <c r="Q464" s="566"/>
      <c r="R464" s="566"/>
      <c r="S464" s="566"/>
      <c r="T464" s="566"/>
      <c r="U464" s="566"/>
      <c r="V464" s="566"/>
      <c r="W464" s="566"/>
      <c r="X464" s="566"/>
      <c r="Y464" s="566"/>
      <c r="Z464" s="566"/>
    </row>
    <row r="465" spans="1:26" x14ac:dyDescent="0.25">
      <c r="A465" s="566"/>
      <c r="B465" s="566"/>
      <c r="C465" s="566"/>
      <c r="D465" s="566"/>
      <c r="E465" s="566"/>
      <c r="F465" s="566"/>
      <c r="G465" s="566"/>
      <c r="H465" s="566"/>
      <c r="I465" s="566"/>
      <c r="J465" s="566"/>
      <c r="K465" s="566"/>
      <c r="L465" s="566"/>
      <c r="M465" s="566"/>
      <c r="N465" s="566"/>
      <c r="O465" s="566"/>
      <c r="P465" s="566"/>
      <c r="Q465" s="566"/>
      <c r="R465" s="566"/>
      <c r="S465" s="566"/>
      <c r="T465" s="566"/>
      <c r="U465" s="566"/>
      <c r="V465" s="566"/>
      <c r="W465" s="566"/>
      <c r="X465" s="566"/>
      <c r="Y465" s="566"/>
      <c r="Z465" s="566"/>
    </row>
    <row r="466" spans="1:26" x14ac:dyDescent="0.25">
      <c r="A466" s="566"/>
      <c r="B466" s="566"/>
      <c r="C466" s="566"/>
      <c r="D466" s="566"/>
      <c r="E466" s="566"/>
      <c r="F466" s="566"/>
      <c r="G466" s="566"/>
      <c r="H466" s="566"/>
      <c r="I466" s="566"/>
      <c r="J466" s="566"/>
      <c r="K466" s="566"/>
      <c r="L466" s="566"/>
      <c r="M466" s="566"/>
      <c r="N466" s="566"/>
      <c r="O466" s="566"/>
      <c r="P466" s="566"/>
      <c r="Q466" s="566"/>
      <c r="R466" s="566"/>
      <c r="S466" s="566"/>
      <c r="T466" s="566"/>
      <c r="U466" s="566"/>
      <c r="V466" s="566"/>
      <c r="W466" s="566"/>
      <c r="X466" s="566"/>
      <c r="Y466" s="566"/>
      <c r="Z466" s="566"/>
    </row>
    <row r="467" spans="1:26" x14ac:dyDescent="0.25">
      <c r="A467" s="566"/>
      <c r="B467" s="566"/>
      <c r="C467" s="566"/>
      <c r="D467" s="566"/>
      <c r="E467" s="566"/>
      <c r="F467" s="566"/>
      <c r="G467" s="566"/>
      <c r="H467" s="566"/>
      <c r="I467" s="566"/>
      <c r="J467" s="566"/>
      <c r="K467" s="566"/>
      <c r="L467" s="566"/>
      <c r="M467" s="566"/>
      <c r="N467" s="566"/>
      <c r="O467" s="566"/>
      <c r="P467" s="566"/>
      <c r="Q467" s="566"/>
      <c r="R467" s="566"/>
      <c r="S467" s="566"/>
      <c r="T467" s="566"/>
      <c r="U467" s="566"/>
      <c r="V467" s="566"/>
      <c r="W467" s="566"/>
      <c r="X467" s="566"/>
      <c r="Y467" s="566"/>
      <c r="Z467" s="566"/>
    </row>
    <row r="468" spans="1:26" x14ac:dyDescent="0.25">
      <c r="A468" s="566"/>
      <c r="B468" s="566"/>
      <c r="C468" s="566"/>
      <c r="D468" s="566"/>
      <c r="E468" s="566"/>
      <c r="F468" s="566"/>
      <c r="G468" s="566"/>
      <c r="H468" s="566"/>
      <c r="I468" s="566"/>
      <c r="J468" s="566"/>
      <c r="K468" s="566"/>
      <c r="L468" s="566"/>
      <c r="M468" s="566"/>
      <c r="N468" s="566"/>
      <c r="O468" s="566"/>
      <c r="P468" s="566"/>
      <c r="Q468" s="566"/>
      <c r="R468" s="566"/>
      <c r="S468" s="566"/>
      <c r="T468" s="566"/>
      <c r="U468" s="566"/>
      <c r="V468" s="566"/>
      <c r="W468" s="566"/>
      <c r="X468" s="566"/>
      <c r="Y468" s="566"/>
      <c r="Z468" s="566"/>
    </row>
    <row r="469" spans="1:26" x14ac:dyDescent="0.25">
      <c r="A469" s="566"/>
      <c r="B469" s="566"/>
      <c r="C469" s="566"/>
      <c r="D469" s="566"/>
      <c r="E469" s="566"/>
      <c r="F469" s="566"/>
      <c r="G469" s="566"/>
      <c r="H469" s="566"/>
      <c r="I469" s="566"/>
      <c r="J469" s="566"/>
      <c r="K469" s="566"/>
      <c r="L469" s="566"/>
      <c r="M469" s="566"/>
      <c r="N469" s="566"/>
      <c r="O469" s="566"/>
      <c r="P469" s="566"/>
      <c r="Q469" s="566"/>
      <c r="R469" s="566"/>
      <c r="S469" s="566"/>
      <c r="T469" s="566"/>
      <c r="U469" s="566"/>
      <c r="V469" s="566"/>
      <c r="W469" s="566"/>
      <c r="X469" s="566"/>
      <c r="Y469" s="566"/>
      <c r="Z469" s="566"/>
    </row>
    <row r="470" spans="1:26" x14ac:dyDescent="0.25">
      <c r="A470" s="566"/>
      <c r="B470" s="566"/>
      <c r="C470" s="566"/>
      <c r="D470" s="566"/>
      <c r="E470" s="566"/>
      <c r="F470" s="566"/>
      <c r="G470" s="566"/>
      <c r="H470" s="566"/>
      <c r="I470" s="566"/>
      <c r="J470" s="566"/>
      <c r="K470" s="566"/>
      <c r="L470" s="566"/>
      <c r="M470" s="566"/>
      <c r="N470" s="566"/>
      <c r="O470" s="566"/>
      <c r="P470" s="566"/>
      <c r="Q470" s="566"/>
      <c r="R470" s="566"/>
      <c r="S470" s="566"/>
      <c r="T470" s="566"/>
      <c r="U470" s="566"/>
      <c r="V470" s="566"/>
      <c r="W470" s="566"/>
      <c r="X470" s="566"/>
      <c r="Y470" s="566"/>
      <c r="Z470" s="566"/>
    </row>
    <row r="471" spans="1:26" x14ac:dyDescent="0.25">
      <c r="A471" s="566"/>
      <c r="B471" s="566"/>
      <c r="C471" s="566"/>
      <c r="D471" s="566"/>
      <c r="E471" s="566"/>
      <c r="F471" s="566"/>
      <c r="G471" s="566"/>
      <c r="H471" s="566"/>
      <c r="I471" s="566"/>
      <c r="J471" s="566"/>
      <c r="K471" s="566"/>
      <c r="L471" s="566"/>
      <c r="M471" s="566"/>
      <c r="N471" s="566"/>
      <c r="O471" s="566"/>
      <c r="P471" s="566"/>
      <c r="Q471" s="566"/>
      <c r="R471" s="566"/>
      <c r="S471" s="566"/>
      <c r="T471" s="566"/>
      <c r="U471" s="566"/>
      <c r="V471" s="566"/>
      <c r="W471" s="566"/>
      <c r="X471" s="566"/>
      <c r="Y471" s="566"/>
      <c r="Z471" s="566"/>
    </row>
    <row r="472" spans="1:26" x14ac:dyDescent="0.25">
      <c r="A472" s="566"/>
      <c r="B472" s="566"/>
      <c r="C472" s="566"/>
      <c r="D472" s="566"/>
      <c r="E472" s="566"/>
      <c r="F472" s="566"/>
      <c r="G472" s="566"/>
      <c r="H472" s="566"/>
      <c r="I472" s="566"/>
      <c r="J472" s="566"/>
      <c r="K472" s="566"/>
      <c r="L472" s="566"/>
      <c r="M472" s="566"/>
      <c r="N472" s="566"/>
      <c r="O472" s="566"/>
      <c r="P472" s="566"/>
      <c r="Q472" s="566"/>
      <c r="R472" s="566"/>
      <c r="S472" s="566"/>
      <c r="T472" s="566"/>
      <c r="U472" s="566"/>
      <c r="V472" s="566"/>
      <c r="W472" s="566"/>
      <c r="X472" s="566"/>
      <c r="Y472" s="566"/>
      <c r="Z472" s="566"/>
    </row>
    <row r="473" spans="1:26" x14ac:dyDescent="0.25">
      <c r="A473" s="566"/>
      <c r="B473" s="566"/>
      <c r="C473" s="566"/>
      <c r="D473" s="566"/>
      <c r="E473" s="566"/>
      <c r="F473" s="566"/>
      <c r="G473" s="566"/>
      <c r="H473" s="566"/>
      <c r="I473" s="566"/>
      <c r="J473" s="566"/>
      <c r="K473" s="566"/>
      <c r="L473" s="566"/>
      <c r="M473" s="566"/>
      <c r="N473" s="566"/>
      <c r="O473" s="566"/>
      <c r="P473" s="566"/>
      <c r="Q473" s="566"/>
      <c r="R473" s="566"/>
      <c r="S473" s="566"/>
      <c r="T473" s="566"/>
      <c r="U473" s="566"/>
      <c r="V473" s="566"/>
      <c r="W473" s="566"/>
      <c r="X473" s="566"/>
      <c r="Y473" s="566"/>
      <c r="Z473" s="566"/>
    </row>
    <row r="474" spans="1:26" x14ac:dyDescent="0.25">
      <c r="A474" s="566"/>
      <c r="B474" s="566"/>
      <c r="C474" s="566"/>
      <c r="D474" s="566"/>
      <c r="E474" s="566"/>
      <c r="F474" s="566"/>
      <c r="G474" s="566"/>
      <c r="H474" s="566"/>
      <c r="I474" s="566"/>
      <c r="J474" s="566"/>
      <c r="K474" s="566"/>
      <c r="L474" s="566"/>
      <c r="M474" s="566"/>
      <c r="N474" s="566"/>
      <c r="O474" s="566"/>
      <c r="P474" s="566"/>
      <c r="Q474" s="566"/>
      <c r="R474" s="566"/>
      <c r="S474" s="566"/>
      <c r="T474" s="566"/>
      <c r="U474" s="566"/>
      <c r="V474" s="566"/>
      <c r="W474" s="566"/>
      <c r="X474" s="566"/>
      <c r="Y474" s="566"/>
      <c r="Z474" s="566"/>
    </row>
    <row r="475" spans="1:26" x14ac:dyDescent="0.25">
      <c r="A475" s="566"/>
      <c r="B475" s="566"/>
      <c r="C475" s="566"/>
      <c r="D475" s="566"/>
      <c r="E475" s="566"/>
      <c r="F475" s="566"/>
      <c r="G475" s="566"/>
      <c r="H475" s="566"/>
      <c r="I475" s="566"/>
      <c r="J475" s="566"/>
      <c r="K475" s="566"/>
      <c r="L475" s="566"/>
      <c r="M475" s="566"/>
      <c r="N475" s="566"/>
      <c r="O475" s="566"/>
      <c r="P475" s="566"/>
      <c r="Q475" s="566"/>
      <c r="R475" s="566"/>
      <c r="S475" s="566"/>
      <c r="T475" s="566"/>
      <c r="U475" s="566"/>
      <c r="V475" s="566"/>
      <c r="W475" s="566"/>
      <c r="X475" s="566"/>
      <c r="Y475" s="566"/>
      <c r="Z475" s="566"/>
    </row>
    <row r="476" spans="1:26" x14ac:dyDescent="0.25">
      <c r="A476" s="566"/>
      <c r="B476" s="566"/>
      <c r="C476" s="566"/>
      <c r="D476" s="566"/>
      <c r="E476" s="566"/>
      <c r="F476" s="566"/>
      <c r="G476" s="566"/>
      <c r="H476" s="566"/>
      <c r="I476" s="566"/>
      <c r="J476" s="566"/>
      <c r="K476" s="566"/>
      <c r="L476" s="566"/>
      <c r="M476" s="566"/>
      <c r="N476" s="566"/>
      <c r="O476" s="566"/>
      <c r="P476" s="566"/>
      <c r="Q476" s="566"/>
      <c r="R476" s="566"/>
      <c r="S476" s="566"/>
      <c r="T476" s="566"/>
      <c r="U476" s="566"/>
      <c r="V476" s="566"/>
      <c r="W476" s="566"/>
      <c r="X476" s="566"/>
      <c r="Y476" s="566"/>
      <c r="Z476" s="566"/>
    </row>
    <row r="477" spans="1:26" x14ac:dyDescent="0.25">
      <c r="A477" s="566"/>
      <c r="B477" s="566"/>
      <c r="C477" s="566"/>
      <c r="D477" s="566"/>
      <c r="E477" s="566"/>
      <c r="F477" s="566"/>
      <c r="G477" s="566"/>
      <c r="H477" s="566"/>
      <c r="I477" s="566"/>
      <c r="J477" s="566"/>
      <c r="K477" s="566"/>
      <c r="L477" s="566"/>
      <c r="M477" s="566"/>
      <c r="N477" s="566"/>
      <c r="O477" s="566"/>
      <c r="P477" s="566"/>
      <c r="Q477" s="566"/>
      <c r="R477" s="566"/>
      <c r="S477" s="566"/>
      <c r="T477" s="566"/>
      <c r="U477" s="566"/>
      <c r="V477" s="566"/>
      <c r="W477" s="566"/>
      <c r="X477" s="566"/>
      <c r="Y477" s="566"/>
      <c r="Z477" s="566"/>
    </row>
    <row r="478" spans="1:26" x14ac:dyDescent="0.25">
      <c r="A478" s="566"/>
      <c r="B478" s="566"/>
      <c r="C478" s="566"/>
      <c r="D478" s="566"/>
      <c r="E478" s="566"/>
      <c r="F478" s="566"/>
      <c r="G478" s="566"/>
      <c r="H478" s="566"/>
      <c r="I478" s="566"/>
      <c r="J478" s="566"/>
      <c r="K478" s="566"/>
      <c r="L478" s="566"/>
      <c r="M478" s="566"/>
      <c r="N478" s="566"/>
      <c r="O478" s="566"/>
      <c r="P478" s="566"/>
      <c r="Q478" s="566"/>
      <c r="R478" s="566"/>
      <c r="S478" s="566"/>
      <c r="T478" s="566"/>
      <c r="U478" s="566"/>
      <c r="V478" s="566"/>
      <c r="W478" s="566"/>
      <c r="X478" s="566"/>
      <c r="Y478" s="566"/>
      <c r="Z478" s="566"/>
    </row>
    <row r="479" spans="1:26" x14ac:dyDescent="0.25">
      <c r="A479" s="566"/>
      <c r="B479" s="566"/>
      <c r="C479" s="566"/>
      <c r="D479" s="566"/>
      <c r="E479" s="566"/>
      <c r="F479" s="566"/>
      <c r="G479" s="566"/>
      <c r="H479" s="566"/>
      <c r="I479" s="566"/>
      <c r="J479" s="566"/>
      <c r="K479" s="566"/>
      <c r="L479" s="566"/>
      <c r="M479" s="566"/>
      <c r="N479" s="566"/>
      <c r="O479" s="566"/>
      <c r="P479" s="566"/>
      <c r="Q479" s="566"/>
      <c r="R479" s="566"/>
      <c r="S479" s="566"/>
      <c r="T479" s="566"/>
      <c r="U479" s="566"/>
      <c r="V479" s="566"/>
      <c r="W479" s="566"/>
      <c r="X479" s="566"/>
      <c r="Y479" s="566"/>
      <c r="Z479" s="566"/>
    </row>
    <row r="480" spans="1:26" x14ac:dyDescent="0.25">
      <c r="A480" s="566"/>
      <c r="B480" s="566"/>
      <c r="C480" s="566"/>
      <c r="D480" s="566"/>
      <c r="E480" s="566"/>
      <c r="F480" s="566"/>
      <c r="G480" s="566"/>
      <c r="H480" s="566"/>
      <c r="I480" s="566"/>
      <c r="J480" s="566"/>
      <c r="K480" s="566"/>
      <c r="L480" s="566"/>
      <c r="M480" s="566"/>
      <c r="N480" s="566"/>
      <c r="O480" s="566"/>
      <c r="P480" s="566"/>
      <c r="Q480" s="566"/>
      <c r="R480" s="566"/>
      <c r="S480" s="566"/>
      <c r="T480" s="566"/>
      <c r="U480" s="566"/>
      <c r="V480" s="566"/>
      <c r="W480" s="566"/>
      <c r="X480" s="566"/>
      <c r="Y480" s="566"/>
      <c r="Z480" s="566"/>
    </row>
    <row r="481" spans="1:26" x14ac:dyDescent="0.25">
      <c r="A481" s="566"/>
      <c r="B481" s="566"/>
      <c r="C481" s="566"/>
      <c r="D481" s="566"/>
      <c r="E481" s="566"/>
      <c r="F481" s="566"/>
      <c r="G481" s="566"/>
      <c r="H481" s="566"/>
      <c r="I481" s="566"/>
      <c r="J481" s="566"/>
      <c r="K481" s="566"/>
      <c r="L481" s="566"/>
      <c r="M481" s="566"/>
      <c r="N481" s="566"/>
      <c r="O481" s="566"/>
      <c r="P481" s="566"/>
      <c r="Q481" s="566"/>
      <c r="R481" s="566"/>
      <c r="S481" s="566"/>
      <c r="T481" s="566"/>
      <c r="U481" s="566"/>
      <c r="V481" s="566"/>
      <c r="W481" s="566"/>
      <c r="X481" s="566"/>
      <c r="Y481" s="566"/>
      <c r="Z481" s="566"/>
    </row>
    <row r="482" spans="1:26" x14ac:dyDescent="0.25">
      <c r="A482" s="566"/>
      <c r="B482" s="566"/>
      <c r="C482" s="566"/>
      <c r="D482" s="566"/>
      <c r="E482" s="566"/>
      <c r="F482" s="566"/>
      <c r="G482" s="566"/>
      <c r="H482" s="566"/>
      <c r="I482" s="566"/>
      <c r="J482" s="566"/>
      <c r="K482" s="566"/>
      <c r="L482" s="566"/>
      <c r="M482" s="566"/>
      <c r="N482" s="566"/>
      <c r="O482" s="566"/>
      <c r="P482" s="566"/>
      <c r="Q482" s="566"/>
      <c r="R482" s="566"/>
      <c r="S482" s="566"/>
      <c r="T482" s="566"/>
      <c r="U482" s="566"/>
      <c r="V482" s="566"/>
      <c r="W482" s="566"/>
      <c r="X482" s="566"/>
      <c r="Y482" s="566"/>
      <c r="Z482" s="566"/>
    </row>
    <row r="483" spans="1:26" x14ac:dyDescent="0.25">
      <c r="A483" s="566"/>
      <c r="B483" s="566"/>
      <c r="C483" s="566"/>
      <c r="D483" s="566"/>
      <c r="E483" s="566"/>
      <c r="F483" s="566"/>
      <c r="G483" s="566"/>
      <c r="H483" s="566"/>
      <c r="I483" s="566"/>
      <c r="J483" s="566"/>
      <c r="K483" s="566"/>
      <c r="L483" s="566"/>
      <c r="M483" s="566"/>
      <c r="N483" s="566"/>
      <c r="O483" s="566"/>
      <c r="P483" s="566"/>
      <c r="Q483" s="566"/>
      <c r="R483" s="566"/>
      <c r="S483" s="566"/>
      <c r="T483" s="566"/>
      <c r="U483" s="566"/>
      <c r="V483" s="566"/>
      <c r="W483" s="566"/>
      <c r="X483" s="566"/>
      <c r="Y483" s="566"/>
      <c r="Z483" s="566"/>
    </row>
    <row r="484" spans="1:26" x14ac:dyDescent="0.25">
      <c r="A484" s="566"/>
      <c r="B484" s="566"/>
      <c r="C484" s="566"/>
      <c r="D484" s="566"/>
      <c r="E484" s="566"/>
      <c r="F484" s="566"/>
      <c r="G484" s="566"/>
      <c r="H484" s="566"/>
      <c r="I484" s="566"/>
      <c r="J484" s="566"/>
      <c r="K484" s="566"/>
      <c r="L484" s="566"/>
      <c r="M484" s="566"/>
      <c r="N484" s="566"/>
      <c r="O484" s="566"/>
      <c r="P484" s="566"/>
      <c r="Q484" s="566"/>
      <c r="R484" s="566"/>
      <c r="S484" s="566"/>
      <c r="T484" s="566"/>
      <c r="U484" s="566"/>
      <c r="V484" s="566"/>
      <c r="W484" s="566"/>
      <c r="X484" s="566"/>
      <c r="Y484" s="566"/>
      <c r="Z484" s="566"/>
    </row>
    <row r="485" spans="1:26" x14ac:dyDescent="0.25">
      <c r="A485" s="566"/>
      <c r="B485" s="566"/>
      <c r="C485" s="566"/>
      <c r="D485" s="566"/>
      <c r="E485" s="566"/>
      <c r="F485" s="566"/>
      <c r="G485" s="566"/>
      <c r="H485" s="566"/>
      <c r="I485" s="566"/>
      <c r="J485" s="566"/>
      <c r="K485" s="566"/>
      <c r="L485" s="566"/>
      <c r="M485" s="566"/>
      <c r="N485" s="566"/>
      <c r="O485" s="566"/>
      <c r="P485" s="566"/>
      <c r="Q485" s="566"/>
      <c r="R485" s="566"/>
      <c r="S485" s="566"/>
      <c r="T485" s="566"/>
      <c r="U485" s="566"/>
      <c r="V485" s="566"/>
      <c r="W485" s="566"/>
      <c r="X485" s="566"/>
      <c r="Y485" s="566"/>
      <c r="Z485" s="566"/>
    </row>
    <row r="486" spans="1:26" x14ac:dyDescent="0.25">
      <c r="A486" s="566"/>
      <c r="B486" s="566"/>
      <c r="C486" s="566"/>
      <c r="D486" s="566"/>
      <c r="E486" s="566"/>
      <c r="F486" s="566"/>
      <c r="G486" s="566"/>
      <c r="H486" s="566"/>
      <c r="I486" s="566"/>
      <c r="J486" s="566"/>
      <c r="K486" s="566"/>
      <c r="L486" s="566"/>
      <c r="M486" s="566"/>
      <c r="N486" s="566"/>
      <c r="O486" s="566"/>
      <c r="P486" s="566"/>
      <c r="Q486" s="566"/>
      <c r="R486" s="566"/>
      <c r="S486" s="566"/>
      <c r="T486" s="566"/>
      <c r="U486" s="566"/>
      <c r="V486" s="566"/>
      <c r="W486" s="566"/>
      <c r="X486" s="566"/>
      <c r="Y486" s="566"/>
      <c r="Z486" s="566"/>
    </row>
    <row r="487" spans="1:26" x14ac:dyDescent="0.25">
      <c r="A487" s="566"/>
      <c r="B487" s="566"/>
      <c r="C487" s="566"/>
      <c r="D487" s="566"/>
      <c r="E487" s="566"/>
      <c r="F487" s="566"/>
      <c r="G487" s="566"/>
      <c r="H487" s="566"/>
      <c r="I487" s="566"/>
      <c r="J487" s="566"/>
      <c r="K487" s="566"/>
      <c r="L487" s="566"/>
      <c r="M487" s="566"/>
      <c r="N487" s="566"/>
      <c r="O487" s="566"/>
      <c r="P487" s="566"/>
      <c r="Q487" s="566"/>
      <c r="R487" s="566"/>
      <c r="S487" s="566"/>
      <c r="T487" s="566"/>
      <c r="U487" s="566"/>
      <c r="V487" s="566"/>
      <c r="W487" s="566"/>
      <c r="X487" s="566"/>
      <c r="Y487" s="566"/>
      <c r="Z487" s="566"/>
    </row>
    <row r="488" spans="1:26" x14ac:dyDescent="0.25">
      <c r="A488" s="566"/>
      <c r="B488" s="566"/>
      <c r="C488" s="566"/>
      <c r="D488" s="566"/>
      <c r="E488" s="566"/>
      <c r="F488" s="566"/>
      <c r="G488" s="566"/>
      <c r="H488" s="566"/>
      <c r="I488" s="566"/>
      <c r="J488" s="566"/>
      <c r="K488" s="566"/>
      <c r="L488" s="566"/>
      <c r="M488" s="566"/>
      <c r="N488" s="566"/>
      <c r="O488" s="566"/>
      <c r="P488" s="566"/>
      <c r="Q488" s="566"/>
      <c r="R488" s="566"/>
      <c r="S488" s="566"/>
      <c r="T488" s="566"/>
      <c r="U488" s="566"/>
      <c r="V488" s="566"/>
      <c r="W488" s="566"/>
      <c r="X488" s="566"/>
      <c r="Y488" s="566"/>
      <c r="Z488" s="566"/>
    </row>
    <row r="489" spans="1:26" x14ac:dyDescent="0.25">
      <c r="A489" s="566"/>
      <c r="B489" s="566"/>
      <c r="C489" s="566"/>
      <c r="D489" s="566"/>
      <c r="E489" s="566"/>
      <c r="F489" s="566"/>
      <c r="G489" s="566"/>
      <c r="H489" s="566"/>
      <c r="I489" s="566"/>
      <c r="J489" s="566"/>
      <c r="K489" s="566"/>
      <c r="L489" s="566"/>
      <c r="M489" s="566"/>
      <c r="N489" s="566"/>
      <c r="O489" s="566"/>
      <c r="P489" s="566"/>
      <c r="Q489" s="566"/>
      <c r="R489" s="566"/>
      <c r="S489" s="566"/>
      <c r="T489" s="566"/>
      <c r="U489" s="566"/>
      <c r="V489" s="566"/>
      <c r="W489" s="566"/>
      <c r="X489" s="566"/>
      <c r="Y489" s="566"/>
      <c r="Z489" s="566"/>
    </row>
    <row r="490" spans="1:26" x14ac:dyDescent="0.25">
      <c r="A490" s="566"/>
      <c r="B490" s="566"/>
      <c r="C490" s="566"/>
      <c r="D490" s="566"/>
      <c r="E490" s="566"/>
      <c r="F490" s="566"/>
      <c r="G490" s="566"/>
      <c r="H490" s="566"/>
      <c r="I490" s="566"/>
      <c r="J490" s="566"/>
      <c r="K490" s="566"/>
      <c r="L490" s="566"/>
      <c r="M490" s="566"/>
      <c r="N490" s="566"/>
      <c r="O490" s="566"/>
      <c r="P490" s="566"/>
      <c r="Q490" s="566"/>
      <c r="R490" s="566"/>
      <c r="S490" s="566"/>
      <c r="T490" s="566"/>
      <c r="U490" s="566"/>
      <c r="V490" s="566"/>
      <c r="W490" s="566"/>
      <c r="X490" s="566"/>
      <c r="Y490" s="566"/>
      <c r="Z490" s="566"/>
    </row>
    <row r="491" spans="1:26" x14ac:dyDescent="0.25">
      <c r="A491" s="566"/>
      <c r="B491" s="566"/>
      <c r="C491" s="566"/>
      <c r="D491" s="566"/>
      <c r="E491" s="566"/>
      <c r="F491" s="566"/>
      <c r="G491" s="566"/>
      <c r="H491" s="566"/>
      <c r="I491" s="566"/>
      <c r="J491" s="566"/>
      <c r="K491" s="566"/>
      <c r="L491" s="566"/>
      <c r="M491" s="566"/>
      <c r="N491" s="566"/>
      <c r="O491" s="566"/>
      <c r="P491" s="566"/>
      <c r="Q491" s="566"/>
      <c r="R491" s="566"/>
      <c r="S491" s="566"/>
      <c r="T491" s="566"/>
      <c r="U491" s="566"/>
      <c r="V491" s="566"/>
      <c r="W491" s="566"/>
      <c r="X491" s="566"/>
      <c r="Y491" s="566"/>
      <c r="Z491" s="566"/>
    </row>
    <row r="492" spans="1:26" x14ac:dyDescent="0.25">
      <c r="A492" s="566"/>
      <c r="B492" s="566"/>
      <c r="C492" s="566"/>
      <c r="D492" s="566"/>
      <c r="E492" s="566"/>
      <c r="F492" s="566"/>
      <c r="G492" s="566"/>
      <c r="H492" s="566"/>
      <c r="I492" s="566"/>
      <c r="J492" s="566"/>
      <c r="K492" s="566"/>
      <c r="L492" s="566"/>
      <c r="M492" s="566"/>
      <c r="N492" s="566"/>
      <c r="O492" s="566"/>
      <c r="P492" s="566"/>
      <c r="Q492" s="566"/>
      <c r="R492" s="566"/>
      <c r="S492" s="566"/>
      <c r="T492" s="566"/>
      <c r="U492" s="566"/>
      <c r="V492" s="566"/>
      <c r="W492" s="566"/>
      <c r="X492" s="566"/>
      <c r="Y492" s="566"/>
      <c r="Z492" s="566"/>
    </row>
    <row r="493" spans="1:26" x14ac:dyDescent="0.25">
      <c r="A493" s="566"/>
      <c r="B493" s="566"/>
      <c r="C493" s="566"/>
      <c r="D493" s="566"/>
      <c r="E493" s="566"/>
      <c r="F493" s="566"/>
      <c r="G493" s="566"/>
      <c r="H493" s="566"/>
      <c r="I493" s="566"/>
      <c r="J493" s="566"/>
      <c r="K493" s="566"/>
      <c r="L493" s="566"/>
      <c r="M493" s="566"/>
      <c r="N493" s="566"/>
      <c r="O493" s="566"/>
      <c r="P493" s="566"/>
      <c r="Q493" s="566"/>
      <c r="R493" s="566"/>
      <c r="S493" s="566"/>
      <c r="T493" s="566"/>
      <c r="U493" s="566"/>
      <c r="V493" s="566"/>
      <c r="W493" s="566"/>
      <c r="X493" s="566"/>
      <c r="Y493" s="566"/>
      <c r="Z493" s="566"/>
    </row>
    <row r="494" spans="1:26" x14ac:dyDescent="0.25">
      <c r="A494" s="566"/>
      <c r="B494" s="566"/>
      <c r="C494" s="566"/>
      <c r="D494" s="566"/>
      <c r="E494" s="566"/>
      <c r="F494" s="566"/>
      <c r="G494" s="566"/>
      <c r="H494" s="566"/>
      <c r="I494" s="566"/>
      <c r="J494" s="566"/>
      <c r="K494" s="566"/>
      <c r="L494" s="566"/>
      <c r="M494" s="566"/>
      <c r="N494" s="566"/>
      <c r="O494" s="566"/>
      <c r="P494" s="566"/>
      <c r="Q494" s="566"/>
      <c r="R494" s="566"/>
      <c r="S494" s="566"/>
      <c r="T494" s="566"/>
      <c r="U494" s="566"/>
      <c r="V494" s="566"/>
      <c r="W494" s="566"/>
      <c r="X494" s="566"/>
      <c r="Y494" s="566"/>
      <c r="Z494" s="566"/>
    </row>
    <row r="495" spans="1:26" x14ac:dyDescent="0.25">
      <c r="A495" s="566"/>
      <c r="B495" s="566"/>
      <c r="C495" s="566"/>
      <c r="D495" s="566"/>
      <c r="E495" s="566"/>
      <c r="F495" s="566"/>
      <c r="G495" s="566"/>
      <c r="H495" s="566"/>
      <c r="I495" s="566"/>
      <c r="J495" s="566"/>
      <c r="K495" s="566"/>
      <c r="L495" s="566"/>
      <c r="M495" s="566"/>
      <c r="N495" s="566"/>
      <c r="O495" s="566"/>
      <c r="P495" s="566"/>
      <c r="Q495" s="566"/>
      <c r="R495" s="566"/>
      <c r="S495" s="566"/>
      <c r="T495" s="566"/>
      <c r="U495" s="566"/>
      <c r="V495" s="566"/>
      <c r="W495" s="566"/>
      <c r="X495" s="566"/>
      <c r="Y495" s="566"/>
      <c r="Z495" s="566"/>
    </row>
    <row r="496" spans="1:26" x14ac:dyDescent="0.25">
      <c r="A496" s="566"/>
      <c r="B496" s="566"/>
      <c r="C496" s="566"/>
      <c r="D496" s="566"/>
      <c r="E496" s="566"/>
      <c r="F496" s="566"/>
      <c r="G496" s="566"/>
      <c r="H496" s="566"/>
      <c r="I496" s="566"/>
      <c r="J496" s="566"/>
      <c r="K496" s="566"/>
      <c r="L496" s="566"/>
      <c r="M496" s="566"/>
      <c r="N496" s="566"/>
      <c r="O496" s="566"/>
      <c r="P496" s="566"/>
      <c r="Q496" s="566"/>
      <c r="R496" s="566"/>
      <c r="S496" s="566"/>
      <c r="T496" s="566"/>
      <c r="U496" s="566"/>
      <c r="V496" s="566"/>
      <c r="W496" s="566"/>
      <c r="X496" s="566"/>
      <c r="Y496" s="566"/>
      <c r="Z496" s="566"/>
    </row>
    <row r="497" spans="1:26" x14ac:dyDescent="0.25">
      <c r="A497" s="566"/>
      <c r="B497" s="566"/>
      <c r="C497" s="566"/>
      <c r="D497" s="566"/>
      <c r="E497" s="566"/>
      <c r="F497" s="566"/>
      <c r="G497" s="566"/>
      <c r="H497" s="566"/>
      <c r="I497" s="566"/>
      <c r="J497" s="566"/>
      <c r="K497" s="566"/>
      <c r="L497" s="566"/>
      <c r="M497" s="566"/>
      <c r="N497" s="566"/>
      <c r="O497" s="566"/>
      <c r="P497" s="566"/>
      <c r="Q497" s="566"/>
      <c r="R497" s="566"/>
      <c r="S497" s="566"/>
      <c r="T497" s="566"/>
      <c r="U497" s="566"/>
      <c r="V497" s="566"/>
      <c r="W497" s="566"/>
      <c r="X497" s="566"/>
      <c r="Y497" s="566"/>
      <c r="Z497" s="566"/>
    </row>
    <row r="498" spans="1:26" x14ac:dyDescent="0.25">
      <c r="A498" s="566"/>
      <c r="B498" s="566"/>
      <c r="C498" s="566"/>
      <c r="D498" s="566"/>
      <c r="E498" s="566"/>
      <c r="F498" s="566"/>
      <c r="G498" s="566"/>
      <c r="H498" s="566"/>
      <c r="I498" s="566"/>
      <c r="J498" s="566"/>
      <c r="K498" s="566"/>
      <c r="L498" s="566"/>
      <c r="M498" s="566"/>
      <c r="N498" s="566"/>
      <c r="O498" s="566"/>
      <c r="P498" s="566"/>
      <c r="Q498" s="566"/>
      <c r="R498" s="566"/>
      <c r="S498" s="566"/>
      <c r="T498" s="566"/>
      <c r="U498" s="566"/>
      <c r="V498" s="566"/>
      <c r="W498" s="566"/>
      <c r="X498" s="566"/>
      <c r="Y498" s="566"/>
      <c r="Z498" s="566"/>
    </row>
    <row r="499" spans="1:26" x14ac:dyDescent="0.25">
      <c r="A499" s="566"/>
      <c r="B499" s="566"/>
      <c r="C499" s="566"/>
      <c r="D499" s="566"/>
      <c r="E499" s="566"/>
      <c r="F499" s="566"/>
      <c r="G499" s="566"/>
      <c r="H499" s="566"/>
      <c r="I499" s="566"/>
      <c r="J499" s="566"/>
      <c r="K499" s="566"/>
      <c r="L499" s="566"/>
      <c r="M499" s="566"/>
      <c r="N499" s="566"/>
      <c r="O499" s="566"/>
      <c r="P499" s="566"/>
      <c r="Q499" s="566"/>
      <c r="R499" s="566"/>
      <c r="S499" s="566"/>
      <c r="T499" s="566"/>
      <c r="U499" s="566"/>
      <c r="V499" s="566"/>
      <c r="W499" s="566"/>
      <c r="X499" s="566"/>
      <c r="Y499" s="566"/>
      <c r="Z499" s="566"/>
    </row>
    <row r="500" spans="1:26" x14ac:dyDescent="0.25">
      <c r="A500" s="566"/>
      <c r="B500" s="566"/>
      <c r="C500" s="566"/>
      <c r="D500" s="566"/>
      <c r="E500" s="566"/>
      <c r="F500" s="566"/>
      <c r="G500" s="566"/>
      <c r="H500" s="566"/>
      <c r="I500" s="566"/>
      <c r="J500" s="566"/>
      <c r="K500" s="566"/>
      <c r="L500" s="566"/>
      <c r="M500" s="566"/>
      <c r="N500" s="566"/>
      <c r="O500" s="566"/>
      <c r="P500" s="566"/>
      <c r="Q500" s="566"/>
      <c r="R500" s="566"/>
      <c r="S500" s="566"/>
      <c r="T500" s="566"/>
      <c r="U500" s="566"/>
      <c r="V500" s="566"/>
      <c r="W500" s="566"/>
      <c r="X500" s="566"/>
      <c r="Y500" s="566"/>
      <c r="Z500" s="566"/>
    </row>
    <row r="501" spans="1:26" x14ac:dyDescent="0.25">
      <c r="A501" s="566"/>
      <c r="B501" s="566"/>
      <c r="C501" s="566"/>
      <c r="D501" s="566"/>
      <c r="E501" s="566"/>
      <c r="F501" s="566"/>
      <c r="G501" s="566"/>
      <c r="H501" s="566"/>
      <c r="I501" s="566"/>
      <c r="J501" s="566"/>
      <c r="K501" s="566"/>
      <c r="L501" s="566"/>
      <c r="M501" s="566"/>
      <c r="N501" s="566"/>
      <c r="O501" s="566"/>
      <c r="P501" s="566"/>
      <c r="Q501" s="566"/>
      <c r="R501" s="566"/>
      <c r="S501" s="566"/>
      <c r="T501" s="566"/>
      <c r="U501" s="566"/>
      <c r="V501" s="566"/>
      <c r="W501" s="566"/>
      <c r="X501" s="566"/>
      <c r="Y501" s="566"/>
      <c r="Z501" s="566"/>
    </row>
    <row r="502" spans="1:26" x14ac:dyDescent="0.25">
      <c r="A502" s="566"/>
      <c r="B502" s="566"/>
      <c r="C502" s="566"/>
      <c r="D502" s="566"/>
      <c r="E502" s="566"/>
      <c r="F502" s="566"/>
      <c r="G502" s="566"/>
      <c r="H502" s="566"/>
      <c r="I502" s="566"/>
      <c r="J502" s="566"/>
      <c r="K502" s="566"/>
      <c r="L502" s="566"/>
      <c r="M502" s="566"/>
      <c r="N502" s="566"/>
      <c r="O502" s="566"/>
      <c r="P502" s="566"/>
      <c r="Q502" s="566"/>
      <c r="R502" s="566"/>
      <c r="S502" s="566"/>
      <c r="T502" s="566"/>
      <c r="U502" s="566"/>
      <c r="V502" s="566"/>
      <c r="W502" s="566"/>
      <c r="X502" s="566"/>
      <c r="Y502" s="566"/>
      <c r="Z502" s="566"/>
    </row>
    <row r="503" spans="1:26" x14ac:dyDescent="0.25">
      <c r="A503" s="566"/>
      <c r="B503" s="566"/>
      <c r="C503" s="566"/>
      <c r="D503" s="566"/>
      <c r="E503" s="566"/>
      <c r="F503" s="566"/>
      <c r="G503" s="566"/>
      <c r="H503" s="566"/>
      <c r="I503" s="566"/>
      <c r="J503" s="566"/>
      <c r="K503" s="566"/>
      <c r="L503" s="566"/>
      <c r="M503" s="566"/>
      <c r="N503" s="566"/>
      <c r="O503" s="566"/>
      <c r="P503" s="566"/>
      <c r="Q503" s="566"/>
      <c r="R503" s="566"/>
      <c r="S503" s="566"/>
      <c r="T503" s="566"/>
      <c r="U503" s="566"/>
      <c r="V503" s="566"/>
      <c r="W503" s="566"/>
      <c r="X503" s="566"/>
      <c r="Y503" s="566"/>
      <c r="Z503" s="566"/>
    </row>
    <row r="504" spans="1:26" x14ac:dyDescent="0.25">
      <c r="A504" s="566"/>
      <c r="B504" s="566"/>
      <c r="C504" s="566"/>
      <c r="D504" s="566"/>
      <c r="E504" s="566"/>
      <c r="F504" s="566"/>
      <c r="G504" s="566"/>
      <c r="H504" s="566"/>
      <c r="I504" s="566"/>
      <c r="J504" s="566"/>
      <c r="K504" s="566"/>
      <c r="L504" s="566"/>
      <c r="M504" s="566"/>
      <c r="N504" s="566"/>
      <c r="O504" s="566"/>
      <c r="P504" s="566"/>
      <c r="Q504" s="566"/>
      <c r="R504" s="566"/>
      <c r="S504" s="566"/>
      <c r="T504" s="566"/>
      <c r="U504" s="566"/>
      <c r="V504" s="566"/>
      <c r="W504" s="566"/>
      <c r="X504" s="566"/>
      <c r="Y504" s="566"/>
      <c r="Z504" s="566"/>
    </row>
    <row r="505" spans="1:26" x14ac:dyDescent="0.25">
      <c r="A505" s="566"/>
      <c r="B505" s="566"/>
      <c r="C505" s="566"/>
      <c r="D505" s="566"/>
      <c r="E505" s="566"/>
      <c r="F505" s="566"/>
      <c r="G505" s="566"/>
      <c r="H505" s="566"/>
      <c r="I505" s="566"/>
      <c r="J505" s="566"/>
      <c r="K505" s="566"/>
      <c r="L505" s="566"/>
      <c r="M505" s="566"/>
      <c r="N505" s="566"/>
      <c r="O505" s="566"/>
      <c r="P505" s="566"/>
      <c r="Q505" s="566"/>
      <c r="R505" s="566"/>
      <c r="S505" s="566"/>
      <c r="T505" s="566"/>
      <c r="U505" s="566"/>
      <c r="V505" s="566"/>
      <c r="W505" s="566"/>
      <c r="X505" s="566"/>
      <c r="Y505" s="566"/>
      <c r="Z505" s="566"/>
    </row>
    <row r="506" spans="1:26" x14ac:dyDescent="0.25">
      <c r="A506" s="566"/>
      <c r="B506" s="566"/>
      <c r="C506" s="566"/>
      <c r="D506" s="566"/>
      <c r="E506" s="566"/>
      <c r="F506" s="566"/>
      <c r="G506" s="566"/>
      <c r="H506" s="566"/>
      <c r="I506" s="566"/>
      <c r="J506" s="566"/>
      <c r="K506" s="566"/>
      <c r="L506" s="566"/>
      <c r="M506" s="566"/>
      <c r="N506" s="566"/>
      <c r="O506" s="566"/>
      <c r="P506" s="566"/>
      <c r="Q506" s="566"/>
      <c r="R506" s="566"/>
      <c r="S506" s="566"/>
      <c r="T506" s="566"/>
      <c r="U506" s="566"/>
      <c r="V506" s="566"/>
      <c r="W506" s="566"/>
      <c r="X506" s="566"/>
      <c r="Y506" s="566"/>
      <c r="Z506" s="566"/>
    </row>
    <row r="507" spans="1:26" x14ac:dyDescent="0.25">
      <c r="A507" s="566"/>
      <c r="B507" s="566"/>
      <c r="C507" s="566"/>
      <c r="D507" s="566"/>
      <c r="E507" s="566"/>
      <c r="F507" s="566"/>
      <c r="G507" s="566"/>
      <c r="H507" s="566"/>
      <c r="I507" s="566"/>
      <c r="J507" s="566"/>
      <c r="K507" s="566"/>
      <c r="L507" s="566"/>
      <c r="M507" s="566"/>
      <c r="N507" s="566"/>
      <c r="O507" s="566"/>
      <c r="P507" s="566"/>
      <c r="Q507" s="566"/>
      <c r="R507" s="566"/>
      <c r="S507" s="566"/>
      <c r="T507" s="566"/>
      <c r="U507" s="566"/>
      <c r="V507" s="566"/>
      <c r="W507" s="566"/>
      <c r="X507" s="566"/>
      <c r="Y507" s="566"/>
      <c r="Z507" s="566"/>
    </row>
    <row r="508" spans="1:26" x14ac:dyDescent="0.25">
      <c r="A508" s="566"/>
      <c r="B508" s="566"/>
      <c r="C508" s="566"/>
      <c r="D508" s="566"/>
      <c r="E508" s="566"/>
      <c r="F508" s="566"/>
      <c r="G508" s="566"/>
      <c r="H508" s="566"/>
      <c r="I508" s="566"/>
      <c r="J508" s="566"/>
      <c r="K508" s="566"/>
      <c r="L508" s="566"/>
      <c r="M508" s="566"/>
      <c r="N508" s="566"/>
      <c r="O508" s="566"/>
      <c r="P508" s="566"/>
      <c r="Q508" s="566"/>
      <c r="R508" s="566"/>
      <c r="S508" s="566"/>
      <c r="T508" s="566"/>
      <c r="U508" s="566"/>
      <c r="V508" s="566"/>
      <c r="W508" s="566"/>
      <c r="X508" s="566"/>
      <c r="Y508" s="566"/>
      <c r="Z508" s="566"/>
    </row>
    <row r="509" spans="1:26" x14ac:dyDescent="0.25">
      <c r="A509" s="566"/>
      <c r="B509" s="566"/>
      <c r="C509" s="566"/>
      <c r="D509" s="566"/>
      <c r="E509" s="566"/>
      <c r="F509" s="566"/>
      <c r="G509" s="566"/>
      <c r="H509" s="566"/>
      <c r="I509" s="566"/>
      <c r="J509" s="566"/>
      <c r="K509" s="566"/>
      <c r="L509" s="566"/>
      <c r="M509" s="566"/>
      <c r="N509" s="566"/>
      <c r="O509" s="566"/>
      <c r="P509" s="566"/>
      <c r="Q509" s="566"/>
      <c r="R509" s="566"/>
      <c r="S509" s="566"/>
      <c r="T509" s="566"/>
      <c r="U509" s="566"/>
      <c r="V509" s="566"/>
      <c r="W509" s="566"/>
      <c r="X509" s="566"/>
      <c r="Y509" s="566"/>
      <c r="Z509" s="566"/>
    </row>
    <row r="510" spans="1:26" x14ac:dyDescent="0.25">
      <c r="A510" s="566"/>
      <c r="B510" s="566"/>
      <c r="C510" s="566"/>
      <c r="D510" s="566"/>
      <c r="E510" s="566"/>
      <c r="F510" s="566"/>
      <c r="G510" s="566"/>
      <c r="H510" s="566"/>
      <c r="I510" s="566"/>
      <c r="J510" s="566"/>
      <c r="K510" s="566"/>
      <c r="L510" s="566"/>
      <c r="M510" s="566"/>
      <c r="N510" s="566"/>
      <c r="O510" s="566"/>
      <c r="P510" s="566"/>
      <c r="Q510" s="566"/>
      <c r="R510" s="566"/>
      <c r="S510" s="566"/>
      <c r="T510" s="566"/>
      <c r="U510" s="566"/>
      <c r="V510" s="566"/>
      <c r="W510" s="566"/>
      <c r="X510" s="566"/>
      <c r="Y510" s="566"/>
      <c r="Z510" s="566"/>
    </row>
    <row r="511" spans="1:26" x14ac:dyDescent="0.25">
      <c r="A511" s="566"/>
      <c r="B511" s="566"/>
      <c r="C511" s="566"/>
      <c r="D511" s="566"/>
      <c r="E511" s="566"/>
      <c r="F511" s="566"/>
      <c r="G511" s="566"/>
      <c r="H511" s="566"/>
      <c r="I511" s="566"/>
      <c r="J511" s="566"/>
      <c r="K511" s="566"/>
      <c r="L511" s="566"/>
      <c r="M511" s="566"/>
      <c r="N511" s="566"/>
      <c r="O511" s="566"/>
      <c r="P511" s="566"/>
      <c r="Q511" s="566"/>
      <c r="R511" s="566"/>
      <c r="S511" s="566"/>
      <c r="T511" s="566"/>
      <c r="U511" s="566"/>
      <c r="V511" s="566"/>
      <c r="W511" s="566"/>
      <c r="X511" s="566"/>
      <c r="Y511" s="566"/>
      <c r="Z511" s="566"/>
    </row>
    <row r="512" spans="1:26" x14ac:dyDescent="0.25">
      <c r="A512" s="566"/>
      <c r="B512" s="566"/>
      <c r="C512" s="566"/>
      <c r="D512" s="566"/>
      <c r="E512" s="566"/>
      <c r="F512" s="566"/>
      <c r="G512" s="566"/>
      <c r="H512" s="566"/>
      <c r="I512" s="566"/>
      <c r="J512" s="566"/>
      <c r="K512" s="566"/>
      <c r="L512" s="566"/>
      <c r="M512" s="566"/>
      <c r="N512" s="566"/>
      <c r="O512" s="566"/>
      <c r="P512" s="566"/>
      <c r="Q512" s="566"/>
      <c r="R512" s="566"/>
      <c r="S512" s="566"/>
      <c r="T512" s="566"/>
      <c r="U512" s="566"/>
      <c r="V512" s="566"/>
      <c r="W512" s="566"/>
      <c r="X512" s="566"/>
      <c r="Y512" s="566"/>
      <c r="Z512" s="566"/>
    </row>
    <row r="513" spans="1:26" x14ac:dyDescent="0.25">
      <c r="A513" s="566"/>
      <c r="B513" s="566"/>
      <c r="C513" s="566"/>
      <c r="D513" s="566"/>
      <c r="E513" s="566"/>
      <c r="F513" s="566"/>
      <c r="G513" s="566"/>
      <c r="H513" s="566"/>
      <c r="I513" s="566"/>
      <c r="J513" s="566"/>
      <c r="K513" s="566"/>
      <c r="L513" s="566"/>
      <c r="M513" s="566"/>
      <c r="N513" s="566"/>
      <c r="O513" s="566"/>
      <c r="P513" s="566"/>
      <c r="Q513" s="566"/>
      <c r="R513" s="566"/>
      <c r="S513" s="566"/>
      <c r="T513" s="566"/>
      <c r="U513" s="566"/>
      <c r="V513" s="566"/>
      <c r="W513" s="566"/>
      <c r="X513" s="566"/>
      <c r="Y513" s="566"/>
      <c r="Z513" s="566"/>
    </row>
    <row r="514" spans="1:26" x14ac:dyDescent="0.25">
      <c r="A514" s="566"/>
      <c r="B514" s="566"/>
      <c r="C514" s="566"/>
      <c r="D514" s="566"/>
      <c r="E514" s="566"/>
      <c r="F514" s="566"/>
      <c r="G514" s="566"/>
      <c r="H514" s="566"/>
      <c r="I514" s="566"/>
      <c r="J514" s="566"/>
      <c r="K514" s="566"/>
      <c r="L514" s="566"/>
      <c r="M514" s="566"/>
      <c r="N514" s="566"/>
      <c r="O514" s="566"/>
      <c r="P514" s="566"/>
      <c r="Q514" s="566"/>
      <c r="R514" s="566"/>
      <c r="S514" s="566"/>
      <c r="T514" s="566"/>
      <c r="U514" s="566"/>
      <c r="V514" s="566"/>
      <c r="W514" s="566"/>
      <c r="X514" s="566"/>
      <c r="Y514" s="566"/>
      <c r="Z514" s="566"/>
    </row>
    <row r="515" spans="1:26" x14ac:dyDescent="0.25">
      <c r="A515" s="566"/>
      <c r="B515" s="566"/>
      <c r="C515" s="566"/>
      <c r="D515" s="566"/>
      <c r="E515" s="566"/>
      <c r="F515" s="566"/>
      <c r="G515" s="566"/>
      <c r="H515" s="566"/>
      <c r="I515" s="566"/>
      <c r="J515" s="566"/>
      <c r="K515" s="566"/>
      <c r="L515" s="566"/>
      <c r="M515" s="566"/>
      <c r="N515" s="566"/>
      <c r="O515" s="566"/>
      <c r="P515" s="566"/>
      <c r="Q515" s="566"/>
      <c r="R515" s="566"/>
      <c r="S515" s="566"/>
      <c r="T515" s="566"/>
      <c r="U515" s="566"/>
      <c r="V515" s="566"/>
      <c r="W515" s="566"/>
      <c r="X515" s="566"/>
      <c r="Y515" s="566"/>
      <c r="Z515" s="566"/>
    </row>
    <row r="516" spans="1:26" x14ac:dyDescent="0.25">
      <c r="A516" s="566"/>
      <c r="B516" s="566"/>
      <c r="C516" s="566"/>
      <c r="D516" s="566"/>
      <c r="E516" s="566"/>
      <c r="F516" s="566"/>
      <c r="G516" s="566"/>
      <c r="H516" s="566"/>
      <c r="I516" s="566"/>
      <c r="J516" s="566"/>
      <c r="K516" s="566"/>
      <c r="L516" s="566"/>
      <c r="M516" s="566"/>
      <c r="N516" s="566"/>
      <c r="O516" s="566"/>
      <c r="P516" s="566"/>
      <c r="Q516" s="566"/>
      <c r="R516" s="566"/>
      <c r="S516" s="566"/>
      <c r="T516" s="566"/>
      <c r="U516" s="566"/>
      <c r="V516" s="566"/>
      <c r="W516" s="566"/>
      <c r="X516" s="566"/>
      <c r="Y516" s="566"/>
      <c r="Z516" s="566"/>
    </row>
    <row r="517" spans="1:26" x14ac:dyDescent="0.25">
      <c r="A517" s="566"/>
      <c r="B517" s="566"/>
      <c r="C517" s="566"/>
      <c r="D517" s="566"/>
      <c r="E517" s="566"/>
      <c r="F517" s="566"/>
      <c r="G517" s="566"/>
      <c r="H517" s="566"/>
      <c r="I517" s="566"/>
      <c r="J517" s="566"/>
      <c r="K517" s="566"/>
      <c r="L517" s="566"/>
      <c r="M517" s="566"/>
      <c r="N517" s="566"/>
      <c r="O517" s="566"/>
      <c r="P517" s="566"/>
      <c r="Q517" s="566"/>
      <c r="R517" s="566"/>
      <c r="S517" s="566"/>
      <c r="T517" s="566"/>
      <c r="U517" s="566"/>
      <c r="V517" s="566"/>
      <c r="W517" s="566"/>
      <c r="X517" s="566"/>
      <c r="Y517" s="566"/>
      <c r="Z517" s="566"/>
    </row>
    <row r="518" spans="1:26" x14ac:dyDescent="0.25">
      <c r="A518" s="566"/>
      <c r="B518" s="566"/>
      <c r="C518" s="566"/>
      <c r="D518" s="566"/>
      <c r="E518" s="566"/>
      <c r="F518" s="566"/>
      <c r="G518" s="566"/>
      <c r="H518" s="566"/>
      <c r="I518" s="566"/>
      <c r="J518" s="566"/>
      <c r="K518" s="566"/>
      <c r="L518" s="566"/>
      <c r="M518" s="566"/>
      <c r="N518" s="566"/>
      <c r="O518" s="566"/>
      <c r="P518" s="566"/>
      <c r="Q518" s="566"/>
      <c r="R518" s="566"/>
      <c r="S518" s="566"/>
      <c r="T518" s="566"/>
      <c r="U518" s="566"/>
      <c r="V518" s="566"/>
      <c r="W518" s="566"/>
      <c r="X518" s="566"/>
      <c r="Y518" s="566"/>
      <c r="Z518" s="566"/>
    </row>
    <row r="519" spans="1:26" x14ac:dyDescent="0.25">
      <c r="A519" s="566"/>
      <c r="B519" s="566"/>
      <c r="C519" s="566"/>
      <c r="D519" s="566"/>
      <c r="E519" s="566"/>
      <c r="F519" s="566"/>
      <c r="G519" s="566"/>
      <c r="H519" s="566"/>
      <c r="I519" s="566"/>
      <c r="J519" s="566"/>
      <c r="K519" s="566"/>
      <c r="L519" s="566"/>
      <c r="M519" s="566"/>
      <c r="N519" s="566"/>
      <c r="O519" s="566"/>
      <c r="P519" s="566"/>
      <c r="Q519" s="566"/>
      <c r="R519" s="566"/>
      <c r="S519" s="566"/>
      <c r="T519" s="566"/>
      <c r="U519" s="566"/>
      <c r="V519" s="566"/>
      <c r="W519" s="566"/>
      <c r="X519" s="566"/>
      <c r="Y519" s="566"/>
      <c r="Z519" s="566"/>
    </row>
    <row r="520" spans="1:26" x14ac:dyDescent="0.25">
      <c r="A520" s="566"/>
      <c r="B520" s="566"/>
      <c r="C520" s="566"/>
      <c r="D520" s="566"/>
      <c r="E520" s="566"/>
      <c r="F520" s="566"/>
      <c r="G520" s="566"/>
      <c r="H520" s="566"/>
      <c r="I520" s="566"/>
      <c r="J520" s="566"/>
      <c r="K520" s="566"/>
      <c r="L520" s="566"/>
      <c r="M520" s="566"/>
      <c r="N520" s="566"/>
      <c r="O520" s="566"/>
      <c r="P520" s="566"/>
      <c r="Q520" s="566"/>
      <c r="R520" s="566"/>
      <c r="S520" s="566"/>
      <c r="T520" s="566"/>
      <c r="U520" s="566"/>
      <c r="V520" s="566"/>
      <c r="W520" s="566"/>
      <c r="X520" s="566"/>
      <c r="Y520" s="566"/>
      <c r="Z520" s="566"/>
    </row>
    <row r="521" spans="1:26" x14ac:dyDescent="0.25">
      <c r="A521" s="566"/>
      <c r="B521" s="566"/>
      <c r="C521" s="566"/>
      <c r="D521" s="566"/>
      <c r="E521" s="566"/>
      <c r="F521" s="566"/>
      <c r="G521" s="566"/>
      <c r="H521" s="566"/>
      <c r="I521" s="566"/>
      <c r="J521" s="566"/>
      <c r="K521" s="566"/>
      <c r="L521" s="566"/>
      <c r="M521" s="566"/>
      <c r="N521" s="566"/>
      <c r="O521" s="566"/>
      <c r="P521" s="566"/>
      <c r="Q521" s="566"/>
      <c r="R521" s="566"/>
      <c r="S521" s="566"/>
      <c r="T521" s="566"/>
      <c r="U521" s="566"/>
      <c r="V521" s="566"/>
      <c r="W521" s="566"/>
      <c r="X521" s="566"/>
      <c r="Y521" s="566"/>
      <c r="Z521" s="566"/>
    </row>
    <row r="522" spans="1:26" x14ac:dyDescent="0.25">
      <c r="A522" s="566"/>
      <c r="B522" s="566"/>
      <c r="C522" s="566"/>
      <c r="D522" s="566"/>
      <c r="E522" s="566"/>
      <c r="F522" s="566"/>
      <c r="G522" s="566"/>
      <c r="H522" s="566"/>
      <c r="I522" s="566"/>
      <c r="J522" s="566"/>
      <c r="K522" s="566"/>
      <c r="L522" s="566"/>
      <c r="M522" s="566"/>
      <c r="N522" s="566"/>
      <c r="O522" s="566"/>
      <c r="P522" s="566"/>
      <c r="Q522" s="566"/>
      <c r="R522" s="566"/>
      <c r="S522" s="566"/>
      <c r="T522" s="566"/>
      <c r="U522" s="566"/>
      <c r="V522" s="566"/>
      <c r="W522" s="566"/>
      <c r="X522" s="566"/>
      <c r="Y522" s="566"/>
      <c r="Z522" s="566"/>
    </row>
    <row r="523" spans="1:26" x14ac:dyDescent="0.25">
      <c r="A523" s="566"/>
      <c r="B523" s="566"/>
      <c r="C523" s="566"/>
      <c r="D523" s="566"/>
      <c r="E523" s="566"/>
      <c r="F523" s="566"/>
      <c r="G523" s="566"/>
      <c r="H523" s="566"/>
      <c r="I523" s="566"/>
      <c r="J523" s="566"/>
      <c r="K523" s="566"/>
      <c r="L523" s="566"/>
      <c r="M523" s="566"/>
      <c r="N523" s="566"/>
      <c r="O523" s="566"/>
      <c r="P523" s="566"/>
      <c r="Q523" s="566"/>
      <c r="R523" s="566"/>
      <c r="S523" s="566"/>
      <c r="T523" s="566"/>
      <c r="U523" s="566"/>
      <c r="V523" s="566"/>
      <c r="W523" s="566"/>
      <c r="X523" s="566"/>
      <c r="Y523" s="566"/>
      <c r="Z523" s="566"/>
    </row>
    <row r="524" spans="1:26" x14ac:dyDescent="0.25">
      <c r="A524" s="566"/>
      <c r="B524" s="566"/>
      <c r="C524" s="566"/>
      <c r="D524" s="566"/>
      <c r="E524" s="566"/>
      <c r="F524" s="566"/>
      <c r="G524" s="566"/>
      <c r="H524" s="566"/>
      <c r="I524" s="566"/>
      <c r="J524" s="566"/>
      <c r="K524" s="566"/>
      <c r="L524" s="566"/>
      <c r="M524" s="566"/>
      <c r="N524" s="566"/>
      <c r="O524" s="566"/>
      <c r="P524" s="566"/>
      <c r="Q524" s="566"/>
      <c r="R524" s="566"/>
      <c r="S524" s="566"/>
      <c r="T524" s="566"/>
      <c r="U524" s="566"/>
      <c r="V524" s="566"/>
      <c r="W524" s="566"/>
      <c r="X524" s="566"/>
      <c r="Y524" s="566"/>
      <c r="Z524" s="566"/>
    </row>
    <row r="525" spans="1:26" x14ac:dyDescent="0.25">
      <c r="A525" s="566"/>
      <c r="B525" s="566"/>
      <c r="C525" s="566"/>
      <c r="D525" s="566"/>
      <c r="E525" s="566"/>
      <c r="F525" s="566"/>
      <c r="G525" s="566"/>
      <c r="H525" s="566"/>
      <c r="I525" s="566"/>
      <c r="J525" s="566"/>
      <c r="K525" s="566"/>
      <c r="L525" s="566"/>
      <c r="M525" s="566"/>
      <c r="N525" s="566"/>
      <c r="O525" s="566"/>
      <c r="P525" s="566"/>
      <c r="Q525" s="566"/>
      <c r="R525" s="566"/>
      <c r="S525" s="566"/>
      <c r="T525" s="566"/>
      <c r="U525" s="566"/>
      <c r="V525" s="566"/>
      <c r="W525" s="566"/>
      <c r="X525" s="566"/>
      <c r="Y525" s="566"/>
      <c r="Z525" s="566"/>
    </row>
    <row r="526" spans="1:26" x14ac:dyDescent="0.25">
      <c r="A526" s="566"/>
      <c r="B526" s="566"/>
      <c r="C526" s="566"/>
      <c r="D526" s="566"/>
      <c r="E526" s="566"/>
      <c r="F526" s="566"/>
      <c r="G526" s="566"/>
      <c r="H526" s="566"/>
      <c r="I526" s="566"/>
      <c r="J526" s="566"/>
      <c r="K526" s="566"/>
      <c r="L526" s="566"/>
      <c r="M526" s="566"/>
      <c r="N526" s="566"/>
      <c r="O526" s="566"/>
      <c r="P526" s="566"/>
      <c r="Q526" s="566"/>
      <c r="R526" s="566"/>
      <c r="S526" s="566"/>
      <c r="T526" s="566"/>
      <c r="U526" s="566"/>
      <c r="V526" s="566"/>
      <c r="W526" s="566"/>
      <c r="X526" s="566"/>
      <c r="Y526" s="566"/>
      <c r="Z526" s="566"/>
    </row>
    <row r="527" spans="1:26" x14ac:dyDescent="0.25">
      <c r="A527" s="566"/>
      <c r="B527" s="566"/>
      <c r="C527" s="566"/>
      <c r="D527" s="566"/>
      <c r="E527" s="566"/>
      <c r="F527" s="566"/>
      <c r="G527" s="566"/>
      <c r="H527" s="566"/>
      <c r="I527" s="566"/>
      <c r="J527" s="566"/>
      <c r="K527" s="566"/>
      <c r="L527" s="566"/>
      <c r="M527" s="566"/>
      <c r="N527" s="566"/>
      <c r="O527" s="566"/>
      <c r="P527" s="566"/>
      <c r="Q527" s="566"/>
      <c r="R527" s="566"/>
      <c r="S527" s="566"/>
      <c r="T527" s="566"/>
      <c r="U527" s="566"/>
      <c r="V527" s="566"/>
      <c r="W527" s="566"/>
      <c r="X527" s="566"/>
      <c r="Y527" s="566"/>
      <c r="Z527" s="566"/>
    </row>
    <row r="528" spans="1:26" x14ac:dyDescent="0.25">
      <c r="A528" s="566"/>
      <c r="B528" s="566"/>
      <c r="C528" s="566"/>
      <c r="D528" s="566"/>
      <c r="E528" s="566"/>
      <c r="F528" s="566"/>
      <c r="G528" s="566"/>
      <c r="H528" s="566"/>
      <c r="I528" s="566"/>
      <c r="J528" s="566"/>
      <c r="K528" s="566"/>
      <c r="L528" s="566"/>
      <c r="M528" s="566"/>
      <c r="N528" s="566"/>
      <c r="O528" s="566"/>
      <c r="P528" s="566"/>
      <c r="Q528" s="566"/>
      <c r="R528" s="566"/>
      <c r="S528" s="566"/>
      <c r="T528" s="566"/>
      <c r="U528" s="566"/>
      <c r="V528" s="566"/>
      <c r="W528" s="566"/>
      <c r="X528" s="566"/>
      <c r="Y528" s="566"/>
      <c r="Z528" s="566"/>
    </row>
    <row r="529" spans="1:26" x14ac:dyDescent="0.25">
      <c r="A529" s="566"/>
      <c r="B529" s="566"/>
      <c r="C529" s="566"/>
      <c r="D529" s="566"/>
      <c r="E529" s="566"/>
      <c r="F529" s="566"/>
      <c r="G529" s="566"/>
      <c r="H529" s="566"/>
      <c r="I529" s="566"/>
      <c r="J529" s="566"/>
      <c r="K529" s="566"/>
      <c r="L529" s="566"/>
      <c r="M529" s="566"/>
      <c r="N529" s="566"/>
      <c r="O529" s="566"/>
      <c r="P529" s="566"/>
      <c r="Q529" s="566"/>
      <c r="R529" s="566"/>
      <c r="S529" s="566"/>
      <c r="T529" s="566"/>
      <c r="U529" s="566"/>
      <c r="V529" s="566"/>
      <c r="W529" s="566"/>
      <c r="X529" s="566"/>
      <c r="Y529" s="566"/>
      <c r="Z529" s="566"/>
    </row>
    <row r="530" spans="1:26" x14ac:dyDescent="0.25">
      <c r="A530" s="566"/>
      <c r="B530" s="566"/>
      <c r="C530" s="566"/>
      <c r="D530" s="566"/>
      <c r="E530" s="566"/>
      <c r="F530" s="566"/>
      <c r="G530" s="566"/>
      <c r="H530" s="566"/>
      <c r="I530" s="566"/>
      <c r="J530" s="566"/>
      <c r="K530" s="566"/>
      <c r="L530" s="566"/>
      <c r="M530" s="566"/>
      <c r="N530" s="566"/>
      <c r="O530" s="566"/>
      <c r="P530" s="566"/>
      <c r="Q530" s="566"/>
      <c r="R530" s="566"/>
      <c r="S530" s="566"/>
      <c r="T530" s="566"/>
      <c r="U530" s="566"/>
      <c r="V530" s="566"/>
      <c r="W530" s="566"/>
      <c r="X530" s="566"/>
      <c r="Y530" s="566"/>
      <c r="Z530" s="566"/>
    </row>
    <row r="531" spans="1:26" x14ac:dyDescent="0.25">
      <c r="A531" s="566"/>
      <c r="B531" s="566"/>
      <c r="C531" s="566"/>
      <c r="D531" s="566"/>
      <c r="E531" s="566"/>
      <c r="F531" s="566"/>
      <c r="G531" s="566"/>
      <c r="H531" s="566"/>
      <c r="I531" s="566"/>
      <c r="J531" s="566"/>
      <c r="K531" s="566"/>
      <c r="L531" s="566"/>
      <c r="M531" s="566"/>
      <c r="N531" s="566"/>
      <c r="O531" s="566"/>
      <c r="P531" s="566"/>
      <c r="Q531" s="566"/>
      <c r="R531" s="566"/>
      <c r="S531" s="566"/>
      <c r="T531" s="566"/>
      <c r="U531" s="566"/>
      <c r="V531" s="566"/>
      <c r="W531" s="566"/>
      <c r="X531" s="566"/>
      <c r="Y531" s="566"/>
      <c r="Z531" s="566"/>
    </row>
    <row r="532" spans="1:26" x14ac:dyDescent="0.25">
      <c r="A532" s="566"/>
      <c r="B532" s="566"/>
      <c r="C532" s="566"/>
      <c r="D532" s="566"/>
      <c r="E532" s="566"/>
      <c r="F532" s="566"/>
      <c r="G532" s="566"/>
      <c r="H532" s="566"/>
      <c r="I532" s="566"/>
      <c r="J532" s="566"/>
      <c r="K532" s="566"/>
      <c r="L532" s="566"/>
      <c r="M532" s="566"/>
      <c r="N532" s="566"/>
      <c r="O532" s="566"/>
      <c r="P532" s="566"/>
      <c r="Q532" s="566"/>
      <c r="R532" s="566"/>
      <c r="S532" s="566"/>
      <c r="T532" s="566"/>
      <c r="U532" s="566"/>
      <c r="V532" s="566"/>
      <c r="W532" s="566"/>
      <c r="X532" s="566"/>
      <c r="Y532" s="566"/>
      <c r="Z532" s="566"/>
    </row>
    <row r="533" spans="1:26" x14ac:dyDescent="0.25">
      <c r="A533" s="566"/>
      <c r="B533" s="566"/>
      <c r="C533" s="566"/>
      <c r="D533" s="566"/>
      <c r="E533" s="566"/>
      <c r="F533" s="566"/>
      <c r="G533" s="566"/>
      <c r="H533" s="566"/>
      <c r="I533" s="566"/>
      <c r="J533" s="566"/>
      <c r="K533" s="566"/>
      <c r="L533" s="566"/>
      <c r="M533" s="566"/>
      <c r="N533" s="566"/>
      <c r="O533" s="566"/>
      <c r="P533" s="566"/>
      <c r="Q533" s="566"/>
      <c r="R533" s="566"/>
      <c r="S533" s="566"/>
      <c r="T533" s="566"/>
      <c r="U533" s="566"/>
      <c r="V533" s="566"/>
      <c r="W533" s="566"/>
      <c r="X533" s="566"/>
      <c r="Y533" s="566"/>
      <c r="Z533" s="566"/>
    </row>
    <row r="534" spans="1:26" x14ac:dyDescent="0.25">
      <c r="A534" s="566"/>
      <c r="B534" s="566"/>
      <c r="C534" s="566"/>
      <c r="D534" s="566"/>
      <c r="E534" s="566"/>
      <c r="F534" s="566"/>
      <c r="G534" s="566"/>
      <c r="H534" s="566"/>
      <c r="I534" s="566"/>
      <c r="J534" s="566"/>
      <c r="K534" s="566"/>
      <c r="L534" s="566"/>
      <c r="M534" s="566"/>
      <c r="N534" s="566"/>
      <c r="O534" s="566"/>
      <c r="P534" s="566"/>
      <c r="Q534" s="566"/>
      <c r="R534" s="566"/>
      <c r="S534" s="566"/>
      <c r="T534" s="566"/>
      <c r="U534" s="566"/>
      <c r="V534" s="566"/>
      <c r="W534" s="566"/>
      <c r="X534" s="566"/>
      <c r="Y534" s="566"/>
      <c r="Z534" s="566"/>
    </row>
    <row r="535" spans="1:26" x14ac:dyDescent="0.25">
      <c r="A535" s="566"/>
      <c r="B535" s="566"/>
      <c r="C535" s="566"/>
      <c r="D535" s="566"/>
      <c r="E535" s="566"/>
      <c r="F535" s="566"/>
      <c r="G535" s="566"/>
      <c r="H535" s="566"/>
      <c r="I535" s="566"/>
      <c r="J535" s="566"/>
      <c r="K535" s="566"/>
      <c r="L535" s="566"/>
      <c r="M535" s="566"/>
      <c r="N535" s="566"/>
      <c r="O535" s="566"/>
      <c r="P535" s="566"/>
      <c r="Q535" s="566"/>
      <c r="R535" s="566"/>
      <c r="S535" s="566"/>
      <c r="T535" s="566"/>
      <c r="U535" s="566"/>
      <c r="V535" s="566"/>
      <c r="W535" s="566"/>
      <c r="X535" s="566"/>
      <c r="Y535" s="566"/>
      <c r="Z535" s="566"/>
    </row>
    <row r="536" spans="1:26" x14ac:dyDescent="0.25">
      <c r="A536" s="566"/>
      <c r="B536" s="566"/>
      <c r="C536" s="566"/>
      <c r="D536" s="566"/>
      <c r="E536" s="566"/>
      <c r="F536" s="566"/>
      <c r="G536" s="566"/>
      <c r="H536" s="566"/>
      <c r="I536" s="566"/>
      <c r="J536" s="566"/>
      <c r="K536" s="566"/>
      <c r="L536" s="566"/>
      <c r="M536" s="566"/>
      <c r="N536" s="566"/>
      <c r="O536" s="566"/>
      <c r="P536" s="566"/>
      <c r="Q536" s="566"/>
      <c r="R536" s="566"/>
      <c r="S536" s="566"/>
      <c r="T536" s="566"/>
      <c r="U536" s="566"/>
      <c r="V536" s="566"/>
      <c r="W536" s="566"/>
      <c r="X536" s="566"/>
      <c r="Y536" s="566"/>
      <c r="Z536" s="566"/>
    </row>
    <row r="537" spans="1:26" x14ac:dyDescent="0.25">
      <c r="A537" s="566"/>
      <c r="B537" s="566"/>
      <c r="C537" s="566"/>
      <c r="D537" s="566"/>
      <c r="E537" s="566"/>
      <c r="F537" s="566"/>
      <c r="G537" s="566"/>
      <c r="H537" s="566"/>
      <c r="I537" s="566"/>
      <c r="J537" s="566"/>
      <c r="K537" s="566"/>
      <c r="L537" s="566"/>
      <c r="M537" s="566"/>
      <c r="N537" s="566"/>
      <c r="O537" s="566"/>
      <c r="P537" s="566"/>
      <c r="Q537" s="566"/>
      <c r="R537" s="566"/>
      <c r="S537" s="566"/>
      <c r="T537" s="566"/>
      <c r="U537" s="566"/>
      <c r="V537" s="566"/>
      <c r="W537" s="566"/>
      <c r="X537" s="566"/>
      <c r="Y537" s="566"/>
      <c r="Z537" s="566"/>
    </row>
    <row r="538" spans="1:26" x14ac:dyDescent="0.25">
      <c r="A538" s="566"/>
      <c r="B538" s="566"/>
      <c r="C538" s="566"/>
      <c r="D538" s="566"/>
      <c r="E538" s="566"/>
      <c r="F538" s="566"/>
      <c r="G538" s="566"/>
      <c r="H538" s="566"/>
      <c r="I538" s="566"/>
      <c r="J538" s="566"/>
      <c r="K538" s="566"/>
      <c r="L538" s="566"/>
      <c r="M538" s="566"/>
      <c r="N538" s="566"/>
      <c r="O538" s="566"/>
      <c r="P538" s="566"/>
      <c r="Q538" s="566"/>
      <c r="R538" s="566"/>
      <c r="S538" s="566"/>
      <c r="T538" s="566"/>
      <c r="U538" s="566"/>
      <c r="V538" s="566"/>
      <c r="W538" s="566"/>
      <c r="X538" s="566"/>
      <c r="Y538" s="566"/>
      <c r="Z538" s="566"/>
    </row>
    <row r="539" spans="1:26" x14ac:dyDescent="0.25">
      <c r="A539" s="566"/>
      <c r="B539" s="566"/>
      <c r="C539" s="566"/>
      <c r="D539" s="566"/>
      <c r="E539" s="566"/>
      <c r="F539" s="566"/>
      <c r="G539" s="566"/>
      <c r="H539" s="566"/>
      <c r="I539" s="566"/>
      <c r="J539" s="566"/>
      <c r="K539" s="566"/>
      <c r="L539" s="566"/>
      <c r="M539" s="566"/>
      <c r="N539" s="566"/>
      <c r="O539" s="566"/>
      <c r="P539" s="566"/>
      <c r="Q539" s="566"/>
      <c r="R539" s="566"/>
      <c r="S539" s="566"/>
      <c r="T539" s="566"/>
      <c r="U539" s="566"/>
      <c r="V539" s="566"/>
      <c r="W539" s="566"/>
      <c r="X539" s="566"/>
      <c r="Y539" s="566"/>
      <c r="Z539" s="566"/>
    </row>
    <row r="540" spans="1:26" x14ac:dyDescent="0.25">
      <c r="A540" s="566"/>
      <c r="B540" s="566"/>
      <c r="C540" s="566"/>
      <c r="D540" s="566"/>
      <c r="E540" s="566"/>
      <c r="F540" s="566"/>
      <c r="G540" s="566"/>
      <c r="H540" s="566"/>
      <c r="I540" s="566"/>
      <c r="J540" s="566"/>
      <c r="K540" s="566"/>
      <c r="L540" s="566"/>
      <c r="M540" s="566"/>
      <c r="N540" s="566"/>
      <c r="O540" s="566"/>
      <c r="P540" s="566"/>
      <c r="Q540" s="566"/>
      <c r="R540" s="566"/>
      <c r="S540" s="566"/>
      <c r="T540" s="566"/>
      <c r="U540" s="566"/>
      <c r="V540" s="566"/>
      <c r="W540" s="566"/>
      <c r="X540" s="566"/>
      <c r="Y540" s="566"/>
      <c r="Z540" s="566"/>
    </row>
    <row r="541" spans="1:26" x14ac:dyDescent="0.25">
      <c r="A541" s="566"/>
      <c r="B541" s="566"/>
      <c r="C541" s="566"/>
      <c r="D541" s="566"/>
      <c r="E541" s="566"/>
      <c r="F541" s="566"/>
      <c r="G541" s="566"/>
      <c r="H541" s="566"/>
      <c r="I541" s="566"/>
      <c r="J541" s="566"/>
      <c r="K541" s="566"/>
      <c r="L541" s="566"/>
      <c r="M541" s="566"/>
      <c r="N541" s="566"/>
      <c r="O541" s="566"/>
      <c r="P541" s="566"/>
      <c r="Q541" s="566"/>
      <c r="R541" s="566"/>
      <c r="S541" s="566"/>
      <c r="T541" s="566"/>
      <c r="U541" s="566"/>
      <c r="V541" s="566"/>
      <c r="W541" s="566"/>
      <c r="X541" s="566"/>
      <c r="Y541" s="566"/>
      <c r="Z541" s="566"/>
    </row>
    <row r="542" spans="1:26" x14ac:dyDescent="0.25">
      <c r="A542" s="566"/>
      <c r="B542" s="566"/>
      <c r="C542" s="566"/>
      <c r="D542" s="566"/>
      <c r="E542" s="566"/>
      <c r="F542" s="566"/>
      <c r="G542" s="566"/>
      <c r="H542" s="566"/>
      <c r="I542" s="566"/>
      <c r="J542" s="566"/>
      <c r="K542" s="566"/>
      <c r="L542" s="566"/>
      <c r="M542" s="566"/>
      <c r="N542" s="566"/>
      <c r="O542" s="566"/>
      <c r="P542" s="566"/>
      <c r="Q542" s="566"/>
      <c r="R542" s="566"/>
      <c r="S542" s="566"/>
      <c r="T542" s="566"/>
      <c r="U542" s="566"/>
      <c r="V542" s="566"/>
      <c r="W542" s="566"/>
      <c r="X542" s="566"/>
      <c r="Y542" s="566"/>
      <c r="Z542" s="566"/>
    </row>
    <row r="543" spans="1:26" x14ac:dyDescent="0.25">
      <c r="A543" s="566"/>
      <c r="B543" s="566"/>
      <c r="C543" s="566"/>
      <c r="D543" s="566"/>
      <c r="E543" s="566"/>
      <c r="F543" s="566"/>
      <c r="G543" s="566"/>
      <c r="H543" s="566"/>
      <c r="I543" s="566"/>
      <c r="J543" s="566"/>
      <c r="K543" s="566"/>
      <c r="L543" s="566"/>
      <c r="M543" s="566"/>
      <c r="N543" s="566"/>
      <c r="O543" s="566"/>
      <c r="P543" s="566"/>
      <c r="Q543" s="566"/>
      <c r="R543" s="566"/>
      <c r="S543" s="566"/>
      <c r="T543" s="566"/>
      <c r="U543" s="566"/>
      <c r="V543" s="566"/>
      <c r="W543" s="566"/>
      <c r="X543" s="566"/>
      <c r="Y543" s="566"/>
      <c r="Z543" s="566"/>
    </row>
    <row r="544" spans="1:26" x14ac:dyDescent="0.25">
      <c r="A544" s="566"/>
      <c r="B544" s="566"/>
      <c r="C544" s="566"/>
      <c r="D544" s="566"/>
      <c r="E544" s="566"/>
      <c r="F544" s="566"/>
      <c r="G544" s="566"/>
      <c r="H544" s="566"/>
      <c r="I544" s="566"/>
      <c r="J544" s="566"/>
      <c r="K544" s="566"/>
      <c r="L544" s="566"/>
      <c r="M544" s="566"/>
      <c r="N544" s="566"/>
      <c r="O544" s="566"/>
      <c r="P544" s="566"/>
      <c r="Q544" s="566"/>
      <c r="R544" s="566"/>
      <c r="S544" s="566"/>
      <c r="T544" s="566"/>
      <c r="U544" s="566"/>
      <c r="V544" s="566"/>
      <c r="W544" s="566"/>
      <c r="X544" s="566"/>
      <c r="Y544" s="566"/>
      <c r="Z544" s="566"/>
    </row>
    <row r="545" spans="1:26" x14ac:dyDescent="0.25">
      <c r="A545" s="566"/>
      <c r="B545" s="566"/>
      <c r="C545" s="566"/>
      <c r="D545" s="566"/>
      <c r="E545" s="566"/>
      <c r="F545" s="566"/>
      <c r="G545" s="566"/>
      <c r="H545" s="566"/>
      <c r="I545" s="566"/>
      <c r="J545" s="566"/>
      <c r="K545" s="566"/>
      <c r="L545" s="566"/>
      <c r="M545" s="566"/>
      <c r="N545" s="566"/>
      <c r="O545" s="566"/>
      <c r="P545" s="566"/>
      <c r="Q545" s="566"/>
      <c r="R545" s="566"/>
      <c r="S545" s="566"/>
      <c r="T545" s="566"/>
      <c r="U545" s="566"/>
      <c r="V545" s="566"/>
      <c r="W545" s="566"/>
      <c r="X545" s="566"/>
      <c r="Y545" s="566"/>
      <c r="Z545" s="566"/>
    </row>
    <row r="546" spans="1:26" x14ac:dyDescent="0.25">
      <c r="A546" s="566"/>
      <c r="B546" s="566"/>
      <c r="C546" s="566"/>
      <c r="D546" s="566"/>
      <c r="E546" s="566"/>
      <c r="F546" s="566"/>
      <c r="G546" s="566"/>
      <c r="H546" s="566"/>
      <c r="I546" s="566"/>
      <c r="J546" s="566"/>
      <c r="K546" s="566"/>
      <c r="L546" s="566"/>
      <c r="M546" s="566"/>
      <c r="N546" s="566"/>
      <c r="O546" s="566"/>
      <c r="P546" s="566"/>
      <c r="Q546" s="566"/>
      <c r="R546" s="566"/>
      <c r="S546" s="566"/>
      <c r="T546" s="566"/>
      <c r="U546" s="566"/>
      <c r="V546" s="566"/>
      <c r="W546" s="566"/>
      <c r="X546" s="566"/>
      <c r="Y546" s="566"/>
      <c r="Z546" s="566"/>
    </row>
    <row r="547" spans="1:26" x14ac:dyDescent="0.25">
      <c r="A547" s="566"/>
      <c r="B547" s="566"/>
      <c r="C547" s="566"/>
      <c r="D547" s="566"/>
      <c r="E547" s="566"/>
      <c r="F547" s="566"/>
      <c r="G547" s="566"/>
      <c r="H547" s="566"/>
      <c r="I547" s="566"/>
      <c r="J547" s="566"/>
      <c r="K547" s="566"/>
      <c r="L547" s="566"/>
      <c r="M547" s="566"/>
      <c r="N547" s="566"/>
      <c r="O547" s="566"/>
      <c r="P547" s="566"/>
      <c r="Q547" s="566"/>
      <c r="R547" s="566"/>
      <c r="S547" s="566"/>
      <c r="T547" s="566"/>
      <c r="U547" s="566"/>
      <c r="V547" s="566"/>
      <c r="W547" s="566"/>
      <c r="X547" s="566"/>
      <c r="Y547" s="566"/>
      <c r="Z547" s="566"/>
    </row>
    <row r="548" spans="1:26" x14ac:dyDescent="0.25">
      <c r="A548" s="566"/>
      <c r="B548" s="566"/>
      <c r="C548" s="566"/>
      <c r="D548" s="566"/>
      <c r="E548" s="566"/>
      <c r="F548" s="566"/>
      <c r="G548" s="566"/>
      <c r="H548" s="566"/>
      <c r="I548" s="566"/>
      <c r="J548" s="566"/>
      <c r="K548" s="566"/>
      <c r="L548" s="566"/>
      <c r="M548" s="566"/>
      <c r="N548" s="566"/>
      <c r="O548" s="566"/>
      <c r="P548" s="566"/>
      <c r="Q548" s="566"/>
      <c r="R548" s="566"/>
      <c r="S548" s="566"/>
      <c r="T548" s="566"/>
      <c r="U548" s="566"/>
      <c r="V548" s="566"/>
      <c r="W548" s="566"/>
      <c r="X548" s="566"/>
      <c r="Y548" s="566"/>
      <c r="Z548" s="566"/>
    </row>
    <row r="549" spans="1:26" x14ac:dyDescent="0.25">
      <c r="A549" s="566"/>
      <c r="B549" s="566"/>
      <c r="C549" s="566"/>
      <c r="D549" s="566"/>
      <c r="E549" s="566"/>
      <c r="F549" s="566"/>
      <c r="G549" s="566"/>
      <c r="H549" s="566"/>
      <c r="I549" s="566"/>
      <c r="J549" s="566"/>
      <c r="K549" s="566"/>
      <c r="L549" s="566"/>
      <c r="M549" s="566"/>
      <c r="N549" s="566"/>
      <c r="O549" s="566"/>
      <c r="P549" s="566"/>
      <c r="Q549" s="566"/>
      <c r="R549" s="566"/>
      <c r="S549" s="566"/>
      <c r="T549" s="566"/>
      <c r="U549" s="566"/>
      <c r="V549" s="566"/>
      <c r="W549" s="566"/>
      <c r="X549" s="566"/>
      <c r="Y549" s="566"/>
      <c r="Z549" s="566"/>
    </row>
    <row r="550" spans="1:26" x14ac:dyDescent="0.25">
      <c r="A550" s="566"/>
      <c r="B550" s="566"/>
      <c r="C550" s="566"/>
      <c r="D550" s="566"/>
      <c r="E550" s="566"/>
      <c r="F550" s="566"/>
      <c r="G550" s="566"/>
      <c r="H550" s="566"/>
      <c r="I550" s="566"/>
      <c r="J550" s="566"/>
      <c r="K550" s="566"/>
      <c r="L550" s="566"/>
      <c r="M550" s="566"/>
      <c r="N550" s="566"/>
      <c r="O550" s="566"/>
      <c r="P550" s="566"/>
      <c r="Q550" s="566"/>
      <c r="R550" s="566"/>
      <c r="S550" s="566"/>
      <c r="T550" s="566"/>
      <c r="U550" s="566"/>
      <c r="V550" s="566"/>
      <c r="W550" s="566"/>
      <c r="X550" s="566"/>
      <c r="Y550" s="566"/>
      <c r="Z550" s="566"/>
    </row>
    <row r="551" spans="1:26" x14ac:dyDescent="0.25">
      <c r="A551" s="566"/>
      <c r="B551" s="566"/>
      <c r="C551" s="566"/>
      <c r="D551" s="566"/>
      <c r="E551" s="566"/>
      <c r="F551" s="566"/>
      <c r="G551" s="566"/>
      <c r="H551" s="566"/>
      <c r="I551" s="566"/>
      <c r="J551" s="566"/>
      <c r="K551" s="566"/>
      <c r="L551" s="566"/>
      <c r="M551" s="566"/>
      <c r="N551" s="566"/>
      <c r="O551" s="566"/>
      <c r="P551" s="566"/>
      <c r="Q551" s="566"/>
      <c r="R551" s="566"/>
      <c r="S551" s="566"/>
      <c r="T551" s="566"/>
      <c r="U551" s="566"/>
      <c r="V551" s="566"/>
      <c r="W551" s="566"/>
      <c r="X551" s="566"/>
      <c r="Y551" s="566"/>
      <c r="Z551" s="566"/>
    </row>
    <row r="552" spans="1:26" x14ac:dyDescent="0.25">
      <c r="A552" s="566"/>
      <c r="B552" s="566"/>
      <c r="C552" s="566"/>
      <c r="D552" s="566"/>
      <c r="E552" s="566"/>
      <c r="F552" s="566"/>
      <c r="G552" s="566"/>
      <c r="H552" s="566"/>
      <c r="I552" s="566"/>
      <c r="J552" s="566"/>
      <c r="K552" s="566"/>
      <c r="L552" s="566"/>
      <c r="M552" s="566"/>
      <c r="N552" s="566"/>
      <c r="O552" s="566"/>
      <c r="P552" s="566"/>
      <c r="Q552" s="566"/>
      <c r="R552" s="566"/>
      <c r="S552" s="566"/>
      <c r="T552" s="566"/>
      <c r="U552" s="566"/>
      <c r="V552" s="566"/>
      <c r="W552" s="566"/>
      <c r="X552" s="566"/>
      <c r="Y552" s="566"/>
      <c r="Z552" s="566"/>
    </row>
    <row r="553" spans="1:26" x14ac:dyDescent="0.25">
      <c r="A553" s="566"/>
      <c r="B553" s="566"/>
      <c r="C553" s="566"/>
      <c r="D553" s="566"/>
      <c r="E553" s="566"/>
      <c r="F553" s="566"/>
      <c r="G553" s="566"/>
      <c r="H553" s="566"/>
      <c r="I553" s="566"/>
      <c r="J553" s="566"/>
      <c r="K553" s="566"/>
      <c r="L553" s="566"/>
      <c r="M553" s="566"/>
      <c r="N553" s="566"/>
      <c r="O553" s="566"/>
      <c r="P553" s="566"/>
      <c r="Q553" s="566"/>
      <c r="R553" s="566"/>
      <c r="S553" s="566"/>
      <c r="T553" s="566"/>
      <c r="U553" s="566"/>
      <c r="V553" s="566"/>
      <c r="W553" s="566"/>
      <c r="X553" s="566"/>
      <c r="Y553" s="566"/>
      <c r="Z553" s="566"/>
    </row>
    <row r="554" spans="1:26" x14ac:dyDescent="0.25">
      <c r="A554" s="566"/>
      <c r="B554" s="566"/>
      <c r="C554" s="566"/>
      <c r="D554" s="566"/>
      <c r="E554" s="566"/>
      <c r="F554" s="566"/>
      <c r="G554" s="566"/>
      <c r="H554" s="566"/>
      <c r="I554" s="566"/>
      <c r="J554" s="566"/>
      <c r="K554" s="566"/>
      <c r="L554" s="566"/>
      <c r="M554" s="566"/>
      <c r="N554" s="566"/>
      <c r="O554" s="566"/>
      <c r="P554" s="566"/>
      <c r="Q554" s="566"/>
      <c r="R554" s="566"/>
      <c r="S554" s="566"/>
      <c r="T554" s="566"/>
      <c r="U554" s="566"/>
      <c r="V554" s="566"/>
      <c r="W554" s="566"/>
      <c r="X554" s="566"/>
      <c r="Y554" s="566"/>
      <c r="Z554" s="566"/>
    </row>
    <row r="555" spans="1:26" x14ac:dyDescent="0.25">
      <c r="A555" s="566"/>
      <c r="B555" s="566"/>
      <c r="C555" s="566"/>
      <c r="D555" s="566"/>
      <c r="E555" s="566"/>
      <c r="F555" s="566"/>
      <c r="G555" s="566"/>
      <c r="H555" s="566"/>
      <c r="I555" s="566"/>
      <c r="J555" s="566"/>
      <c r="K555" s="566"/>
      <c r="L555" s="566"/>
      <c r="M555" s="566"/>
      <c r="N555" s="566"/>
      <c r="O555" s="566"/>
      <c r="P555" s="566"/>
      <c r="Q555" s="566"/>
      <c r="R555" s="566"/>
      <c r="S555" s="566"/>
      <c r="T555" s="566"/>
      <c r="U555" s="566"/>
      <c r="V555" s="566"/>
      <c r="W555" s="566"/>
      <c r="X555" s="566"/>
      <c r="Y555" s="566"/>
      <c r="Z555" s="566"/>
    </row>
    <row r="556" spans="1:26" x14ac:dyDescent="0.25">
      <c r="A556" s="566"/>
      <c r="B556" s="566"/>
      <c r="C556" s="566"/>
      <c r="D556" s="566"/>
      <c r="E556" s="566"/>
      <c r="F556" s="566"/>
      <c r="G556" s="566"/>
      <c r="H556" s="566"/>
      <c r="I556" s="566"/>
      <c r="J556" s="566"/>
      <c r="K556" s="566"/>
      <c r="L556" s="566"/>
      <c r="M556" s="566"/>
      <c r="N556" s="566"/>
      <c r="O556" s="566"/>
      <c r="P556" s="566"/>
      <c r="Q556" s="566"/>
      <c r="R556" s="566"/>
      <c r="S556" s="566"/>
      <c r="T556" s="566"/>
      <c r="U556" s="566"/>
      <c r="V556" s="566"/>
      <c r="W556" s="566"/>
      <c r="X556" s="566"/>
      <c r="Y556" s="566"/>
      <c r="Z556" s="566"/>
    </row>
    <row r="557" spans="1:26" x14ac:dyDescent="0.25">
      <c r="A557" s="566"/>
      <c r="B557" s="566"/>
      <c r="C557" s="566"/>
      <c r="D557" s="566"/>
      <c r="E557" s="566"/>
      <c r="F557" s="566"/>
      <c r="G557" s="566"/>
      <c r="H557" s="566"/>
      <c r="I557" s="566"/>
      <c r="J557" s="566"/>
      <c r="K557" s="566"/>
      <c r="L557" s="566"/>
      <c r="M557" s="566"/>
      <c r="N557" s="566"/>
      <c r="O557" s="566"/>
      <c r="P557" s="566"/>
      <c r="Q557" s="566"/>
      <c r="R557" s="566"/>
      <c r="S557" s="566"/>
      <c r="T557" s="566"/>
      <c r="U557" s="566"/>
      <c r="V557" s="566"/>
      <c r="W557" s="566"/>
      <c r="X557" s="566"/>
      <c r="Y557" s="566"/>
      <c r="Z557" s="566"/>
    </row>
    <row r="558" spans="1:26" x14ac:dyDescent="0.25">
      <c r="A558" s="566"/>
      <c r="B558" s="566"/>
      <c r="C558" s="566"/>
      <c r="D558" s="566"/>
      <c r="E558" s="566"/>
      <c r="F558" s="566"/>
      <c r="G558" s="566"/>
      <c r="H558" s="566"/>
      <c r="I558" s="566"/>
      <c r="J558" s="566"/>
      <c r="K558" s="566"/>
      <c r="L558" s="566"/>
      <c r="M558" s="566"/>
      <c r="N558" s="566"/>
      <c r="O558" s="566"/>
      <c r="P558" s="566"/>
      <c r="Q558" s="566"/>
      <c r="R558" s="566"/>
      <c r="S558" s="566"/>
      <c r="T558" s="566"/>
      <c r="U558" s="566"/>
      <c r="V558" s="566"/>
      <c r="W558" s="566"/>
      <c r="X558" s="566"/>
      <c r="Y558" s="566"/>
      <c r="Z558" s="566"/>
    </row>
    <row r="559" spans="1:26" x14ac:dyDescent="0.25">
      <c r="A559" s="566"/>
      <c r="B559" s="566"/>
      <c r="C559" s="566"/>
      <c r="D559" s="566"/>
      <c r="E559" s="566"/>
      <c r="F559" s="566"/>
      <c r="G559" s="566"/>
      <c r="H559" s="566"/>
      <c r="I559" s="566"/>
      <c r="J559" s="566"/>
      <c r="K559" s="566"/>
      <c r="L559" s="566"/>
      <c r="M559" s="566"/>
      <c r="N559" s="566"/>
      <c r="O559" s="566"/>
      <c r="P559" s="566"/>
      <c r="Q559" s="566"/>
      <c r="R559" s="566"/>
      <c r="S559" s="566"/>
      <c r="T559" s="566"/>
      <c r="U559" s="566"/>
      <c r="V559" s="566"/>
      <c r="W559" s="566"/>
      <c r="X559" s="566"/>
      <c r="Y559" s="566"/>
      <c r="Z559" s="566"/>
    </row>
    <row r="560" spans="1:26" x14ac:dyDescent="0.25">
      <c r="A560" s="566"/>
      <c r="B560" s="566"/>
      <c r="C560" s="566"/>
      <c r="D560" s="566"/>
      <c r="E560" s="566"/>
      <c r="F560" s="566"/>
      <c r="G560" s="566"/>
      <c r="H560" s="566"/>
      <c r="I560" s="566"/>
      <c r="J560" s="566"/>
      <c r="K560" s="566"/>
      <c r="L560" s="566"/>
      <c r="M560" s="566"/>
      <c r="N560" s="566"/>
      <c r="O560" s="566"/>
      <c r="P560" s="566"/>
      <c r="Q560" s="566"/>
      <c r="R560" s="566"/>
      <c r="S560" s="566"/>
      <c r="T560" s="566"/>
      <c r="U560" s="566"/>
      <c r="V560" s="566"/>
      <c r="W560" s="566"/>
      <c r="X560" s="566"/>
      <c r="Y560" s="566"/>
      <c r="Z560" s="566"/>
    </row>
    <row r="561" spans="1:26" x14ac:dyDescent="0.25">
      <c r="A561" s="566"/>
      <c r="B561" s="566"/>
      <c r="C561" s="566"/>
      <c r="D561" s="566"/>
      <c r="E561" s="566"/>
      <c r="F561" s="566"/>
      <c r="G561" s="566"/>
      <c r="H561" s="566"/>
      <c r="I561" s="566"/>
      <c r="J561" s="566"/>
      <c r="K561" s="566"/>
      <c r="L561" s="566"/>
      <c r="M561" s="566"/>
      <c r="N561" s="566"/>
      <c r="O561" s="566"/>
      <c r="P561" s="566"/>
      <c r="Q561" s="566"/>
      <c r="R561" s="566"/>
      <c r="S561" s="566"/>
      <c r="T561" s="566"/>
      <c r="U561" s="566"/>
      <c r="V561" s="566"/>
      <c r="W561" s="566"/>
      <c r="X561" s="566"/>
      <c r="Y561" s="566"/>
      <c r="Z561" s="566"/>
    </row>
    <row r="562" spans="1:26" x14ac:dyDescent="0.25">
      <c r="A562" s="566"/>
      <c r="B562" s="566"/>
      <c r="C562" s="566"/>
      <c r="D562" s="566"/>
      <c r="E562" s="566"/>
      <c r="F562" s="566"/>
      <c r="G562" s="566"/>
      <c r="H562" s="566"/>
      <c r="I562" s="566"/>
      <c r="J562" s="566"/>
      <c r="K562" s="566"/>
      <c r="L562" s="566"/>
      <c r="M562" s="566"/>
      <c r="N562" s="566"/>
      <c r="O562" s="566"/>
      <c r="P562" s="566"/>
      <c r="Q562" s="566"/>
      <c r="R562" s="566"/>
      <c r="S562" s="566"/>
      <c r="T562" s="566"/>
      <c r="U562" s="566"/>
      <c r="V562" s="566"/>
      <c r="W562" s="566"/>
      <c r="X562" s="566"/>
      <c r="Y562" s="566"/>
      <c r="Z562" s="566"/>
    </row>
    <row r="563" spans="1:26" x14ac:dyDescent="0.25">
      <c r="A563" s="566"/>
      <c r="B563" s="566"/>
      <c r="C563" s="566"/>
      <c r="D563" s="566"/>
      <c r="E563" s="566"/>
      <c r="F563" s="566"/>
      <c r="G563" s="566"/>
      <c r="H563" s="566"/>
      <c r="I563" s="566"/>
      <c r="J563" s="566"/>
      <c r="K563" s="566"/>
      <c r="L563" s="566"/>
      <c r="M563" s="566"/>
      <c r="N563" s="566"/>
      <c r="O563" s="566"/>
      <c r="P563" s="566"/>
      <c r="Q563" s="566"/>
      <c r="R563" s="566"/>
      <c r="S563" s="566"/>
      <c r="T563" s="566"/>
      <c r="U563" s="566"/>
      <c r="V563" s="566"/>
      <c r="W563" s="566"/>
      <c r="X563" s="566"/>
      <c r="Y563" s="566"/>
      <c r="Z563" s="566"/>
    </row>
    <row r="564" spans="1:26" x14ac:dyDescent="0.25">
      <c r="A564" s="566"/>
      <c r="B564" s="566"/>
      <c r="C564" s="566"/>
      <c r="D564" s="566"/>
      <c r="E564" s="566"/>
      <c r="F564" s="566"/>
      <c r="G564" s="566"/>
      <c r="H564" s="566"/>
      <c r="I564" s="566"/>
      <c r="J564" s="566"/>
      <c r="K564" s="566"/>
      <c r="L564" s="566"/>
      <c r="M564" s="566"/>
      <c r="N564" s="566"/>
      <c r="O564" s="566"/>
      <c r="P564" s="566"/>
      <c r="Q564" s="566"/>
      <c r="R564" s="566"/>
      <c r="S564" s="566"/>
      <c r="T564" s="566"/>
      <c r="U564" s="566"/>
      <c r="V564" s="566"/>
      <c r="W564" s="566"/>
      <c r="X564" s="566"/>
      <c r="Y564" s="566"/>
      <c r="Z564" s="566"/>
    </row>
    <row r="565" spans="1:26" x14ac:dyDescent="0.25">
      <c r="A565" s="566"/>
      <c r="B565" s="566"/>
      <c r="C565" s="566"/>
      <c r="D565" s="566"/>
      <c r="E565" s="566"/>
      <c r="F565" s="566"/>
      <c r="G565" s="566"/>
      <c r="H565" s="566"/>
      <c r="I565" s="566"/>
      <c r="J565" s="566"/>
      <c r="K565" s="566"/>
      <c r="L565" s="566"/>
      <c r="M565" s="566"/>
      <c r="N565" s="566"/>
      <c r="O565" s="566"/>
      <c r="P565" s="566"/>
      <c r="Q565" s="566"/>
      <c r="R565" s="566"/>
      <c r="S565" s="566"/>
      <c r="T565" s="566"/>
      <c r="U565" s="566"/>
      <c r="V565" s="566"/>
      <c r="W565" s="566"/>
      <c r="X565" s="566"/>
      <c r="Y565" s="566"/>
      <c r="Z565" s="566"/>
    </row>
    <row r="566" spans="1:26" x14ac:dyDescent="0.25">
      <c r="A566" s="566"/>
      <c r="B566" s="566"/>
      <c r="C566" s="566"/>
      <c r="D566" s="566"/>
      <c r="E566" s="566"/>
      <c r="F566" s="566"/>
      <c r="G566" s="566"/>
      <c r="H566" s="566"/>
      <c r="I566" s="566"/>
      <c r="J566" s="566"/>
      <c r="K566" s="566"/>
      <c r="L566" s="566"/>
      <c r="M566" s="566"/>
      <c r="N566" s="566"/>
      <c r="O566" s="566"/>
      <c r="P566" s="566"/>
      <c r="Q566" s="566"/>
      <c r="R566" s="566"/>
      <c r="S566" s="566"/>
      <c r="T566" s="566"/>
      <c r="U566" s="566"/>
      <c r="V566" s="566"/>
      <c r="W566" s="566"/>
      <c r="X566" s="566"/>
      <c r="Y566" s="566"/>
      <c r="Z566" s="566"/>
    </row>
    <row r="567" spans="1:26" x14ac:dyDescent="0.25">
      <c r="A567" s="566"/>
      <c r="B567" s="566"/>
      <c r="C567" s="566"/>
      <c r="D567" s="566"/>
      <c r="E567" s="566"/>
      <c r="F567" s="566"/>
      <c r="G567" s="566"/>
      <c r="H567" s="566"/>
      <c r="I567" s="566"/>
      <c r="J567" s="566"/>
      <c r="K567" s="566"/>
      <c r="L567" s="566"/>
      <c r="M567" s="566"/>
      <c r="N567" s="566"/>
      <c r="O567" s="566"/>
      <c r="P567" s="566"/>
      <c r="Q567" s="566"/>
      <c r="R567" s="566"/>
      <c r="S567" s="566"/>
      <c r="T567" s="566"/>
      <c r="U567" s="566"/>
      <c r="V567" s="566"/>
      <c r="W567" s="566"/>
      <c r="X567" s="566"/>
      <c r="Y567" s="566"/>
      <c r="Z567" s="566"/>
    </row>
    <row r="568" spans="1:26" x14ac:dyDescent="0.25">
      <c r="A568" s="566"/>
      <c r="B568" s="566"/>
      <c r="C568" s="566"/>
      <c r="D568" s="566"/>
      <c r="E568" s="566"/>
      <c r="F568" s="566"/>
      <c r="G568" s="566"/>
      <c r="H568" s="566"/>
      <c r="I568" s="566"/>
      <c r="J568" s="566"/>
      <c r="K568" s="566"/>
      <c r="L568" s="566"/>
      <c r="M568" s="566"/>
      <c r="N568" s="566"/>
      <c r="O568" s="566"/>
      <c r="P568" s="566"/>
      <c r="Q568" s="566"/>
      <c r="R568" s="566"/>
      <c r="S568" s="566"/>
      <c r="T568" s="566"/>
      <c r="U568" s="566"/>
      <c r="V568" s="566"/>
      <c r="W568" s="566"/>
      <c r="X568" s="566"/>
      <c r="Y568" s="566"/>
      <c r="Z568" s="566"/>
    </row>
    <row r="569" spans="1:26" x14ac:dyDescent="0.25">
      <c r="A569" s="566"/>
      <c r="B569" s="566"/>
      <c r="C569" s="566"/>
      <c r="D569" s="566"/>
      <c r="E569" s="566"/>
      <c r="F569" s="566"/>
      <c r="G569" s="566"/>
      <c r="H569" s="566"/>
      <c r="I569" s="566"/>
      <c r="J569" s="566"/>
      <c r="K569" s="566"/>
      <c r="L569" s="566"/>
      <c r="M569" s="566"/>
      <c r="N569" s="566"/>
      <c r="O569" s="566"/>
      <c r="P569" s="566"/>
      <c r="Q569" s="566"/>
      <c r="R569" s="566"/>
      <c r="S569" s="566"/>
      <c r="T569" s="566"/>
      <c r="U569" s="566"/>
      <c r="V569" s="566"/>
      <c r="W569" s="566"/>
      <c r="X569" s="566"/>
      <c r="Y569" s="566"/>
      <c r="Z569" s="566"/>
    </row>
    <row r="570" spans="1:26" x14ac:dyDescent="0.25">
      <c r="A570" s="566"/>
      <c r="B570" s="566"/>
      <c r="C570" s="566"/>
      <c r="D570" s="566"/>
      <c r="E570" s="566"/>
      <c r="F570" s="566"/>
      <c r="G570" s="566"/>
      <c r="H570" s="566"/>
      <c r="I570" s="566"/>
      <c r="J570" s="566"/>
      <c r="K570" s="566"/>
      <c r="L570" s="566"/>
      <c r="M570" s="566"/>
      <c r="N570" s="566"/>
      <c r="O570" s="566"/>
      <c r="P570" s="566"/>
      <c r="Q570" s="566"/>
      <c r="R570" s="566"/>
      <c r="S570" s="566"/>
      <c r="T570" s="566"/>
      <c r="U570" s="566"/>
      <c r="V570" s="566"/>
      <c r="W570" s="566"/>
      <c r="X570" s="566"/>
      <c r="Y570" s="566"/>
      <c r="Z570" s="566"/>
    </row>
    <row r="571" spans="1:26" x14ac:dyDescent="0.25">
      <c r="A571" s="566"/>
      <c r="B571" s="566"/>
      <c r="C571" s="566"/>
      <c r="D571" s="566"/>
      <c r="E571" s="566"/>
      <c r="F571" s="566"/>
      <c r="G571" s="566"/>
      <c r="H571" s="566"/>
      <c r="I571" s="566"/>
      <c r="J571" s="566"/>
      <c r="K571" s="566"/>
      <c r="L571" s="566"/>
      <c r="M571" s="566"/>
      <c r="N571" s="566"/>
      <c r="O571" s="566"/>
      <c r="P571" s="566"/>
      <c r="Q571" s="566"/>
      <c r="R571" s="566"/>
      <c r="S571" s="566"/>
      <c r="T571" s="566"/>
      <c r="U571" s="566"/>
      <c r="V571" s="566"/>
      <c r="W571" s="566"/>
      <c r="X571" s="566"/>
      <c r="Y571" s="566"/>
      <c r="Z571" s="566"/>
    </row>
    <row r="572" spans="1:26" x14ac:dyDescent="0.25">
      <c r="A572" s="566"/>
      <c r="B572" s="566"/>
      <c r="C572" s="566"/>
      <c r="D572" s="566"/>
      <c r="E572" s="566"/>
      <c r="F572" s="566"/>
      <c r="G572" s="566"/>
      <c r="H572" s="566"/>
      <c r="I572" s="566"/>
      <c r="J572" s="566"/>
      <c r="K572" s="566"/>
      <c r="L572" s="566"/>
      <c r="M572" s="566"/>
      <c r="N572" s="566"/>
      <c r="O572" s="566"/>
      <c r="P572" s="566"/>
      <c r="Q572" s="566"/>
      <c r="R572" s="566"/>
      <c r="S572" s="566"/>
      <c r="T572" s="566"/>
      <c r="U572" s="566"/>
      <c r="V572" s="566"/>
      <c r="W572" s="566"/>
      <c r="X572" s="566"/>
      <c r="Y572" s="566"/>
      <c r="Z572" s="566"/>
    </row>
    <row r="573" spans="1:26" x14ac:dyDescent="0.25">
      <c r="A573" s="566"/>
      <c r="B573" s="566"/>
      <c r="C573" s="566"/>
      <c r="D573" s="566"/>
      <c r="E573" s="566"/>
      <c r="F573" s="566"/>
      <c r="G573" s="566"/>
      <c r="H573" s="566"/>
      <c r="I573" s="566"/>
      <c r="J573" s="566"/>
      <c r="K573" s="566"/>
      <c r="L573" s="566"/>
      <c r="M573" s="566"/>
      <c r="N573" s="566"/>
      <c r="O573" s="566"/>
      <c r="P573" s="566"/>
      <c r="Q573" s="566"/>
      <c r="R573" s="566"/>
      <c r="S573" s="566"/>
      <c r="T573" s="566"/>
      <c r="U573" s="566"/>
      <c r="V573" s="566"/>
      <c r="W573" s="566"/>
      <c r="X573" s="566"/>
      <c r="Y573" s="566"/>
      <c r="Z573" s="566"/>
    </row>
    <row r="574" spans="1:26" x14ac:dyDescent="0.25">
      <c r="A574" s="566"/>
      <c r="B574" s="566"/>
      <c r="C574" s="566"/>
      <c r="D574" s="566"/>
      <c r="E574" s="566"/>
      <c r="F574" s="566"/>
      <c r="G574" s="566"/>
      <c r="H574" s="566"/>
      <c r="I574" s="566"/>
      <c r="J574" s="566"/>
      <c r="K574" s="566"/>
      <c r="L574" s="566"/>
      <c r="M574" s="566"/>
      <c r="N574" s="566"/>
      <c r="O574" s="566"/>
      <c r="P574" s="566"/>
      <c r="Q574" s="566"/>
      <c r="R574" s="566"/>
      <c r="S574" s="566"/>
      <c r="T574" s="566"/>
      <c r="U574" s="566"/>
      <c r="V574" s="566"/>
      <c r="W574" s="566"/>
      <c r="X574" s="566"/>
      <c r="Y574" s="566"/>
      <c r="Z574" s="566"/>
    </row>
    <row r="575" spans="1:26" x14ac:dyDescent="0.25">
      <c r="A575" s="566"/>
      <c r="B575" s="566"/>
      <c r="C575" s="566"/>
      <c r="D575" s="566"/>
      <c r="E575" s="566"/>
      <c r="F575" s="566"/>
      <c r="G575" s="566"/>
      <c r="H575" s="566"/>
      <c r="I575" s="566"/>
      <c r="J575" s="566"/>
      <c r="K575" s="566"/>
      <c r="L575" s="566"/>
      <c r="M575" s="566"/>
      <c r="N575" s="566"/>
      <c r="O575" s="566"/>
      <c r="P575" s="566"/>
      <c r="Q575" s="566"/>
      <c r="R575" s="566"/>
      <c r="S575" s="566"/>
      <c r="T575" s="566"/>
      <c r="U575" s="566"/>
      <c r="V575" s="566"/>
      <c r="W575" s="566"/>
      <c r="X575" s="566"/>
      <c r="Y575" s="566"/>
      <c r="Z575" s="566"/>
    </row>
    <row r="576" spans="1:26" x14ac:dyDescent="0.25">
      <c r="A576" s="566"/>
      <c r="B576" s="566"/>
      <c r="C576" s="566"/>
      <c r="D576" s="566"/>
      <c r="E576" s="566"/>
      <c r="F576" s="566"/>
      <c r="G576" s="566"/>
      <c r="H576" s="566"/>
      <c r="I576" s="566"/>
      <c r="J576" s="566"/>
      <c r="K576" s="566"/>
      <c r="L576" s="566"/>
      <c r="M576" s="566"/>
      <c r="N576" s="566"/>
      <c r="O576" s="566"/>
      <c r="P576" s="566"/>
      <c r="Q576" s="566"/>
      <c r="R576" s="566"/>
      <c r="S576" s="566"/>
      <c r="T576" s="566"/>
      <c r="U576" s="566"/>
      <c r="V576" s="566"/>
      <c r="W576" s="566"/>
      <c r="X576" s="566"/>
      <c r="Y576" s="566"/>
      <c r="Z576" s="566"/>
    </row>
    <row r="577" spans="1:26" x14ac:dyDescent="0.25">
      <c r="A577" s="566"/>
      <c r="B577" s="566"/>
      <c r="C577" s="566"/>
      <c r="D577" s="566"/>
      <c r="E577" s="566"/>
      <c r="F577" s="566"/>
      <c r="G577" s="566"/>
      <c r="H577" s="566"/>
      <c r="I577" s="566"/>
      <c r="J577" s="566"/>
      <c r="K577" s="566"/>
      <c r="L577" s="566"/>
      <c r="M577" s="566"/>
      <c r="N577" s="566"/>
      <c r="O577" s="566"/>
      <c r="P577" s="566"/>
      <c r="Q577" s="566"/>
      <c r="R577" s="566"/>
      <c r="S577" s="566"/>
      <c r="T577" s="566"/>
      <c r="U577" s="566"/>
      <c r="V577" s="566"/>
      <c r="W577" s="566"/>
      <c r="X577" s="566"/>
      <c r="Y577" s="566"/>
      <c r="Z577" s="566"/>
    </row>
    <row r="578" spans="1:26" x14ac:dyDescent="0.25">
      <c r="A578" s="566"/>
      <c r="B578" s="566"/>
      <c r="C578" s="566"/>
      <c r="D578" s="566"/>
      <c r="E578" s="566"/>
      <c r="F578" s="566"/>
      <c r="G578" s="566"/>
      <c r="H578" s="566"/>
      <c r="I578" s="566"/>
      <c r="J578" s="566"/>
      <c r="K578" s="566"/>
      <c r="L578" s="566"/>
      <c r="M578" s="566"/>
      <c r="N578" s="566"/>
      <c r="O578" s="566"/>
      <c r="P578" s="566"/>
      <c r="Q578" s="566"/>
      <c r="R578" s="566"/>
      <c r="S578" s="566"/>
      <c r="T578" s="566"/>
      <c r="U578" s="566"/>
      <c r="V578" s="566"/>
      <c r="W578" s="566"/>
      <c r="X578" s="566"/>
      <c r="Y578" s="566"/>
      <c r="Z578" s="566"/>
    </row>
    <row r="579" spans="1:26" x14ac:dyDescent="0.25">
      <c r="A579" s="566"/>
      <c r="B579" s="566"/>
      <c r="C579" s="566"/>
      <c r="D579" s="566"/>
      <c r="E579" s="566"/>
      <c r="F579" s="566"/>
      <c r="G579" s="566"/>
      <c r="H579" s="566"/>
      <c r="I579" s="566"/>
      <c r="J579" s="566"/>
      <c r="K579" s="566"/>
      <c r="L579" s="566"/>
      <c r="M579" s="566"/>
      <c r="N579" s="566"/>
      <c r="O579" s="566"/>
      <c r="P579" s="566"/>
      <c r="Q579" s="566"/>
      <c r="R579" s="566"/>
      <c r="S579" s="566"/>
      <c r="T579" s="566"/>
      <c r="U579" s="566"/>
      <c r="V579" s="566"/>
      <c r="W579" s="566"/>
      <c r="X579" s="566"/>
      <c r="Y579" s="566"/>
      <c r="Z579" s="566"/>
    </row>
    <row r="580" spans="1:26" x14ac:dyDescent="0.25">
      <c r="A580" s="566"/>
      <c r="B580" s="566"/>
      <c r="C580" s="566"/>
      <c r="D580" s="566"/>
      <c r="E580" s="566"/>
      <c r="F580" s="566"/>
      <c r="G580" s="566"/>
      <c r="H580" s="566"/>
      <c r="I580" s="566"/>
      <c r="J580" s="566"/>
      <c r="K580" s="566"/>
      <c r="L580" s="566"/>
      <c r="M580" s="566"/>
      <c r="N580" s="566"/>
      <c r="O580" s="566"/>
      <c r="P580" s="566"/>
      <c r="Q580" s="566"/>
      <c r="R580" s="566"/>
      <c r="S580" s="566"/>
      <c r="T580" s="566"/>
      <c r="U580" s="566"/>
      <c r="V580" s="566"/>
      <c r="W580" s="566"/>
      <c r="X580" s="566"/>
      <c r="Y580" s="566"/>
      <c r="Z580" s="566"/>
    </row>
    <row r="581" spans="1:26" x14ac:dyDescent="0.25">
      <c r="A581" s="566"/>
      <c r="B581" s="566"/>
      <c r="C581" s="566"/>
      <c r="D581" s="566"/>
      <c r="E581" s="566"/>
      <c r="F581" s="566"/>
      <c r="G581" s="566"/>
      <c r="H581" s="566"/>
      <c r="I581" s="566"/>
      <c r="J581" s="566"/>
      <c r="K581" s="566"/>
      <c r="L581" s="566"/>
      <c r="M581" s="566"/>
      <c r="N581" s="566"/>
      <c r="O581" s="566"/>
      <c r="P581" s="566"/>
      <c r="Q581" s="566"/>
      <c r="R581" s="566"/>
      <c r="S581" s="566"/>
      <c r="T581" s="566"/>
      <c r="U581" s="566"/>
      <c r="V581" s="566"/>
      <c r="W581" s="566"/>
      <c r="X581" s="566"/>
      <c r="Y581" s="566"/>
      <c r="Z581" s="566"/>
    </row>
    <row r="582" spans="1:26" x14ac:dyDescent="0.25">
      <c r="A582" s="566"/>
      <c r="B582" s="566"/>
      <c r="C582" s="566"/>
      <c r="D582" s="566"/>
      <c r="E582" s="566"/>
      <c r="F582" s="566"/>
      <c r="G582" s="566"/>
      <c r="H582" s="566"/>
      <c r="I582" s="566"/>
      <c r="J582" s="566"/>
      <c r="K582" s="566"/>
      <c r="L582" s="566"/>
      <c r="M582" s="566"/>
      <c r="N582" s="566"/>
      <c r="O582" s="566"/>
      <c r="P582" s="566"/>
      <c r="Q582" s="566"/>
      <c r="R582" s="566"/>
      <c r="S582" s="566"/>
      <c r="T582" s="566"/>
      <c r="U582" s="566"/>
      <c r="V582" s="566"/>
      <c r="W582" s="566"/>
      <c r="X582" s="566"/>
      <c r="Y582" s="566"/>
      <c r="Z582" s="566"/>
    </row>
    <row r="583" spans="1:26" x14ac:dyDescent="0.25">
      <c r="A583" s="566"/>
      <c r="B583" s="566"/>
      <c r="C583" s="566"/>
      <c r="D583" s="566"/>
      <c r="E583" s="566"/>
      <c r="F583" s="566"/>
      <c r="G583" s="566"/>
      <c r="H583" s="566"/>
      <c r="I583" s="566"/>
      <c r="J583" s="566"/>
      <c r="K583" s="566"/>
      <c r="L583" s="566"/>
      <c r="M583" s="566"/>
      <c r="N583" s="566"/>
      <c r="O583" s="566"/>
      <c r="P583" s="566"/>
      <c r="Q583" s="566"/>
      <c r="R583" s="566"/>
      <c r="S583" s="566"/>
      <c r="T583" s="566"/>
      <c r="U583" s="566"/>
      <c r="V583" s="566"/>
      <c r="W583" s="566"/>
      <c r="X583" s="566"/>
      <c r="Y583" s="566"/>
      <c r="Z583" s="566"/>
    </row>
    <row r="584" spans="1:26" x14ac:dyDescent="0.25">
      <c r="A584" s="566"/>
      <c r="B584" s="566"/>
      <c r="C584" s="566"/>
      <c r="D584" s="566"/>
      <c r="E584" s="566"/>
      <c r="F584" s="566"/>
      <c r="G584" s="566"/>
      <c r="H584" s="566"/>
      <c r="I584" s="566"/>
      <c r="J584" s="566"/>
      <c r="K584" s="566"/>
      <c r="L584" s="566"/>
      <c r="M584" s="566"/>
      <c r="N584" s="566"/>
      <c r="O584" s="566"/>
      <c r="P584" s="566"/>
      <c r="Q584" s="566"/>
      <c r="R584" s="566"/>
      <c r="S584" s="566"/>
      <c r="T584" s="566"/>
      <c r="U584" s="566"/>
      <c r="V584" s="566"/>
      <c r="W584" s="566"/>
      <c r="X584" s="566"/>
      <c r="Y584" s="566"/>
      <c r="Z584" s="566"/>
    </row>
    <row r="585" spans="1:26" x14ac:dyDescent="0.25">
      <c r="A585" s="566"/>
      <c r="B585" s="566"/>
      <c r="C585" s="566"/>
      <c r="D585" s="566"/>
      <c r="E585" s="566"/>
      <c r="F585" s="566"/>
      <c r="G585" s="566"/>
      <c r="H585" s="566"/>
      <c r="I585" s="566"/>
      <c r="J585" s="566"/>
      <c r="K585" s="566"/>
      <c r="L585" s="566"/>
      <c r="M585" s="566"/>
      <c r="N585" s="566"/>
      <c r="O585" s="566"/>
      <c r="P585" s="566"/>
      <c r="Q585" s="566"/>
      <c r="R585" s="566"/>
      <c r="S585" s="566"/>
      <c r="T585" s="566"/>
      <c r="U585" s="566"/>
      <c r="V585" s="566"/>
      <c r="W585" s="566"/>
      <c r="X585" s="566"/>
      <c r="Y585" s="566"/>
      <c r="Z585" s="566"/>
    </row>
    <row r="586" spans="1:26" x14ac:dyDescent="0.25">
      <c r="A586" s="566"/>
      <c r="B586" s="566"/>
      <c r="C586" s="566"/>
      <c r="D586" s="566"/>
      <c r="E586" s="566"/>
      <c r="F586" s="566"/>
      <c r="G586" s="566"/>
      <c r="H586" s="566"/>
      <c r="I586" s="566"/>
      <c r="J586" s="566"/>
      <c r="K586" s="566"/>
      <c r="L586" s="566"/>
      <c r="M586" s="566"/>
      <c r="N586" s="566"/>
      <c r="O586" s="566"/>
      <c r="P586" s="566"/>
      <c r="Q586" s="566"/>
      <c r="R586" s="566"/>
      <c r="S586" s="566"/>
      <c r="T586" s="566"/>
      <c r="U586" s="566"/>
      <c r="V586" s="566"/>
      <c r="W586" s="566"/>
      <c r="X586" s="566"/>
      <c r="Y586" s="566"/>
      <c r="Z586" s="566"/>
    </row>
    <row r="587" spans="1:26" x14ac:dyDescent="0.25">
      <c r="A587" s="566"/>
      <c r="B587" s="566"/>
      <c r="C587" s="566"/>
      <c r="D587" s="566"/>
      <c r="E587" s="566"/>
      <c r="F587" s="566"/>
      <c r="G587" s="566"/>
      <c r="H587" s="566"/>
      <c r="I587" s="566"/>
      <c r="J587" s="566"/>
      <c r="K587" s="566"/>
      <c r="L587" s="566"/>
      <c r="M587" s="566"/>
      <c r="N587" s="566"/>
      <c r="O587" s="566"/>
      <c r="P587" s="566"/>
      <c r="Q587" s="566"/>
      <c r="R587" s="566"/>
      <c r="S587" s="566"/>
      <c r="T587" s="566"/>
      <c r="U587" s="566"/>
      <c r="V587" s="566"/>
      <c r="W587" s="566"/>
      <c r="X587" s="566"/>
      <c r="Y587" s="566"/>
      <c r="Z587" s="566"/>
    </row>
    <row r="588" spans="1:26" x14ac:dyDescent="0.25">
      <c r="A588" s="566"/>
      <c r="B588" s="566"/>
      <c r="C588" s="566"/>
      <c r="D588" s="566"/>
      <c r="E588" s="566"/>
      <c r="F588" s="566"/>
      <c r="G588" s="566"/>
      <c r="H588" s="566"/>
      <c r="I588" s="566"/>
      <c r="J588" s="566"/>
      <c r="K588" s="566"/>
      <c r="L588" s="566"/>
      <c r="M588" s="566"/>
      <c r="N588" s="566"/>
      <c r="O588" s="566"/>
      <c r="P588" s="566"/>
      <c r="Q588" s="566"/>
      <c r="R588" s="566"/>
      <c r="S588" s="566"/>
      <c r="T588" s="566"/>
      <c r="U588" s="566"/>
      <c r="V588" s="566"/>
      <c r="W588" s="566"/>
      <c r="X588" s="566"/>
      <c r="Y588" s="566"/>
      <c r="Z588" s="566"/>
    </row>
    <row r="589" spans="1:26" x14ac:dyDescent="0.25">
      <c r="A589" s="566"/>
      <c r="B589" s="566"/>
      <c r="C589" s="566"/>
      <c r="D589" s="566"/>
      <c r="E589" s="566"/>
      <c r="F589" s="566"/>
      <c r="G589" s="566"/>
      <c r="H589" s="566"/>
      <c r="I589" s="566"/>
      <c r="J589" s="566"/>
      <c r="K589" s="566"/>
      <c r="L589" s="566"/>
      <c r="M589" s="566"/>
      <c r="N589" s="566"/>
      <c r="O589" s="566"/>
      <c r="P589" s="566"/>
      <c r="Q589" s="566"/>
      <c r="R589" s="566"/>
      <c r="S589" s="566"/>
      <c r="T589" s="566"/>
      <c r="U589" s="566"/>
      <c r="V589" s="566"/>
      <c r="W589" s="566"/>
      <c r="X589" s="566"/>
      <c r="Y589" s="566"/>
      <c r="Z589" s="566"/>
    </row>
    <row r="590" spans="1:26" x14ac:dyDescent="0.25">
      <c r="A590" s="566"/>
      <c r="B590" s="566"/>
      <c r="C590" s="566"/>
      <c r="D590" s="566"/>
      <c r="E590" s="566"/>
      <c r="F590" s="566"/>
      <c r="G590" s="566"/>
      <c r="H590" s="566"/>
      <c r="I590" s="566"/>
      <c r="J590" s="566"/>
      <c r="K590" s="566"/>
      <c r="L590" s="566"/>
      <c r="M590" s="566"/>
      <c r="N590" s="566"/>
      <c r="O590" s="566"/>
      <c r="P590" s="566"/>
      <c r="Q590" s="566"/>
      <c r="R590" s="566"/>
      <c r="S590" s="566"/>
      <c r="T590" s="566"/>
      <c r="U590" s="566"/>
      <c r="V590" s="566"/>
      <c r="W590" s="566"/>
      <c r="X590" s="566"/>
      <c r="Y590" s="566"/>
      <c r="Z590" s="566"/>
    </row>
    <row r="591" spans="1:26" x14ac:dyDescent="0.25">
      <c r="A591" s="566"/>
      <c r="B591" s="566"/>
      <c r="C591" s="566"/>
      <c r="D591" s="566"/>
      <c r="E591" s="566"/>
      <c r="F591" s="566"/>
      <c r="G591" s="566"/>
      <c r="H591" s="566"/>
      <c r="I591" s="566"/>
      <c r="J591" s="566"/>
      <c r="K591" s="566"/>
      <c r="L591" s="566"/>
      <c r="M591" s="566"/>
      <c r="N591" s="566"/>
      <c r="O591" s="566"/>
      <c r="P591" s="566"/>
      <c r="Q591" s="566"/>
      <c r="R591" s="566"/>
      <c r="S591" s="566"/>
      <c r="T591" s="566"/>
      <c r="U591" s="566"/>
      <c r="V591" s="566"/>
      <c r="W591" s="566"/>
      <c r="X591" s="566"/>
      <c r="Y591" s="566"/>
      <c r="Z591" s="566"/>
    </row>
    <row r="592" spans="1:26" x14ac:dyDescent="0.25">
      <c r="A592" s="566"/>
      <c r="B592" s="566"/>
      <c r="C592" s="566"/>
      <c r="D592" s="566"/>
      <c r="E592" s="566"/>
      <c r="F592" s="566"/>
      <c r="G592" s="566"/>
      <c r="H592" s="566"/>
      <c r="I592" s="566"/>
      <c r="J592" s="566"/>
      <c r="K592" s="566"/>
      <c r="L592" s="566"/>
      <c r="M592" s="566"/>
      <c r="N592" s="566"/>
      <c r="O592" s="566"/>
      <c r="P592" s="566"/>
      <c r="Q592" s="566"/>
      <c r="R592" s="566"/>
      <c r="S592" s="566"/>
      <c r="T592" s="566"/>
      <c r="U592" s="566"/>
      <c r="V592" s="566"/>
      <c r="W592" s="566"/>
      <c r="X592" s="566"/>
      <c r="Y592" s="566"/>
      <c r="Z592" s="566"/>
    </row>
    <row r="593" spans="1:26" x14ac:dyDescent="0.25">
      <c r="A593" s="566"/>
      <c r="B593" s="566"/>
      <c r="C593" s="566"/>
      <c r="D593" s="566"/>
      <c r="E593" s="566"/>
      <c r="F593" s="566"/>
      <c r="G593" s="566"/>
      <c r="H593" s="566"/>
      <c r="I593" s="566"/>
      <c r="J593" s="566"/>
      <c r="K593" s="566"/>
      <c r="L593" s="566"/>
      <c r="M593" s="566"/>
      <c r="N593" s="566"/>
      <c r="O593" s="566"/>
      <c r="P593" s="566"/>
      <c r="Q593" s="566"/>
      <c r="R593" s="566"/>
      <c r="S593" s="566"/>
      <c r="T593" s="566"/>
      <c r="U593" s="566"/>
      <c r="V593" s="566"/>
      <c r="W593" s="566"/>
      <c r="X593" s="566"/>
      <c r="Y593" s="566"/>
      <c r="Z593" s="566"/>
    </row>
    <row r="594" spans="1:26" x14ac:dyDescent="0.25">
      <c r="A594" s="566"/>
      <c r="B594" s="566"/>
      <c r="C594" s="566"/>
      <c r="D594" s="566"/>
      <c r="E594" s="566"/>
      <c r="F594" s="566"/>
      <c r="G594" s="566"/>
      <c r="H594" s="566"/>
      <c r="I594" s="566"/>
      <c r="J594" s="566"/>
      <c r="K594" s="566"/>
      <c r="L594" s="566"/>
      <c r="M594" s="566"/>
      <c r="N594" s="566"/>
      <c r="O594" s="566"/>
      <c r="P594" s="566"/>
      <c r="Q594" s="566"/>
      <c r="R594" s="566"/>
      <c r="S594" s="566"/>
      <c r="T594" s="566"/>
      <c r="U594" s="566"/>
      <c r="V594" s="566"/>
      <c r="W594" s="566"/>
      <c r="X594" s="566"/>
      <c r="Y594" s="566"/>
      <c r="Z594" s="566"/>
    </row>
    <row r="595" spans="1:26" x14ac:dyDescent="0.25">
      <c r="A595" s="566"/>
      <c r="B595" s="566"/>
      <c r="C595" s="566"/>
      <c r="D595" s="566"/>
      <c r="E595" s="566"/>
      <c r="F595" s="566"/>
      <c r="G595" s="566"/>
      <c r="H595" s="566"/>
      <c r="I595" s="566"/>
      <c r="J595" s="566"/>
      <c r="K595" s="566"/>
      <c r="L595" s="566"/>
      <c r="M595" s="566"/>
      <c r="N595" s="566"/>
      <c r="O595" s="566"/>
      <c r="P595" s="566"/>
      <c r="Q595" s="566"/>
      <c r="R595" s="566"/>
      <c r="S595" s="566"/>
      <c r="T595" s="566"/>
      <c r="U595" s="566"/>
      <c r="V595" s="566"/>
      <c r="W595" s="566"/>
      <c r="X595" s="566"/>
      <c r="Y595" s="566"/>
      <c r="Z595" s="566"/>
    </row>
    <row r="596" spans="1:26" x14ac:dyDescent="0.25">
      <c r="A596" s="566"/>
      <c r="B596" s="566"/>
      <c r="C596" s="566"/>
      <c r="D596" s="566"/>
      <c r="E596" s="566"/>
      <c r="F596" s="566"/>
      <c r="G596" s="566"/>
      <c r="H596" s="566"/>
      <c r="I596" s="566"/>
      <c r="J596" s="566"/>
      <c r="K596" s="566"/>
      <c r="L596" s="566"/>
      <c r="M596" s="566"/>
      <c r="N596" s="566"/>
      <c r="O596" s="566"/>
      <c r="P596" s="566"/>
      <c r="Q596" s="566"/>
      <c r="R596" s="566"/>
      <c r="S596" s="566"/>
      <c r="T596" s="566"/>
      <c r="U596" s="566"/>
      <c r="V596" s="566"/>
      <c r="W596" s="566"/>
      <c r="X596" s="566"/>
      <c r="Y596" s="566"/>
      <c r="Z596" s="566"/>
    </row>
    <row r="597" spans="1:26" x14ac:dyDescent="0.25">
      <c r="A597" s="566"/>
      <c r="B597" s="566"/>
      <c r="C597" s="566"/>
      <c r="D597" s="566"/>
      <c r="E597" s="566"/>
      <c r="F597" s="566"/>
      <c r="G597" s="566"/>
      <c r="H597" s="566"/>
      <c r="I597" s="566"/>
      <c r="J597" s="566"/>
      <c r="K597" s="566"/>
      <c r="L597" s="566"/>
      <c r="M597" s="566"/>
      <c r="N597" s="566"/>
      <c r="O597" s="566"/>
      <c r="P597" s="566"/>
      <c r="Q597" s="566"/>
      <c r="R597" s="566"/>
      <c r="S597" s="566"/>
      <c r="T597" s="566"/>
      <c r="U597" s="566"/>
      <c r="V597" s="566"/>
      <c r="W597" s="566"/>
      <c r="X597" s="566"/>
      <c r="Y597" s="566"/>
      <c r="Z597" s="566"/>
    </row>
    <row r="598" spans="1:26" x14ac:dyDescent="0.25">
      <c r="A598" s="566"/>
      <c r="B598" s="566"/>
      <c r="C598" s="566"/>
      <c r="D598" s="566"/>
      <c r="E598" s="566"/>
      <c r="F598" s="566"/>
      <c r="G598" s="566"/>
      <c r="H598" s="566"/>
      <c r="I598" s="566"/>
      <c r="J598" s="566"/>
      <c r="K598" s="566"/>
      <c r="L598" s="566"/>
      <c r="M598" s="566"/>
      <c r="N598" s="566"/>
      <c r="O598" s="566"/>
      <c r="P598" s="566"/>
      <c r="Q598" s="566"/>
      <c r="R598" s="566"/>
      <c r="S598" s="566"/>
      <c r="T598" s="566"/>
      <c r="U598" s="566"/>
      <c r="V598" s="566"/>
      <c r="W598" s="566"/>
      <c r="X598" s="566"/>
      <c r="Y598" s="566"/>
      <c r="Z598" s="566"/>
    </row>
    <row r="599" spans="1:26" x14ac:dyDescent="0.25">
      <c r="A599" s="566"/>
      <c r="B599" s="566"/>
      <c r="C599" s="566"/>
      <c r="D599" s="566"/>
      <c r="E599" s="566"/>
      <c r="F599" s="566"/>
      <c r="G599" s="566"/>
      <c r="H599" s="566"/>
      <c r="I599" s="566"/>
      <c r="J599" s="566"/>
      <c r="K599" s="566"/>
      <c r="L599" s="566"/>
      <c r="M599" s="566"/>
      <c r="N599" s="566"/>
      <c r="O599" s="566"/>
      <c r="P599" s="566"/>
      <c r="Q599" s="566"/>
      <c r="R599" s="566"/>
      <c r="S599" s="566"/>
      <c r="T599" s="566"/>
      <c r="U599" s="566"/>
      <c r="V599" s="566"/>
      <c r="W599" s="566"/>
      <c r="X599" s="566"/>
      <c r="Y599" s="566"/>
      <c r="Z599" s="566"/>
    </row>
    <row r="600" spans="1:26" x14ac:dyDescent="0.25">
      <c r="A600" s="566"/>
      <c r="B600" s="566"/>
      <c r="C600" s="566"/>
      <c r="D600" s="566"/>
      <c r="E600" s="566"/>
      <c r="F600" s="566"/>
      <c r="G600" s="566"/>
      <c r="H600" s="566"/>
      <c r="I600" s="566"/>
      <c r="J600" s="566"/>
      <c r="K600" s="566"/>
      <c r="L600" s="566"/>
      <c r="M600" s="566"/>
      <c r="N600" s="566"/>
      <c r="O600" s="566"/>
      <c r="P600" s="566"/>
      <c r="Q600" s="566"/>
      <c r="R600" s="566"/>
      <c r="S600" s="566"/>
      <c r="T600" s="566"/>
      <c r="U600" s="566"/>
      <c r="V600" s="566"/>
      <c r="W600" s="566"/>
      <c r="X600" s="566"/>
      <c r="Y600" s="566"/>
      <c r="Z600" s="566"/>
    </row>
    <row r="601" spans="1:26" x14ac:dyDescent="0.25">
      <c r="A601" s="566"/>
      <c r="B601" s="566"/>
      <c r="C601" s="566"/>
      <c r="D601" s="566"/>
      <c r="E601" s="566"/>
      <c r="F601" s="566"/>
      <c r="G601" s="566"/>
      <c r="H601" s="566"/>
      <c r="I601" s="566"/>
      <c r="J601" s="566"/>
      <c r="K601" s="566"/>
      <c r="L601" s="566"/>
      <c r="M601" s="566"/>
      <c r="N601" s="566"/>
      <c r="O601" s="566"/>
      <c r="P601" s="566"/>
      <c r="Q601" s="566"/>
      <c r="R601" s="566"/>
      <c r="S601" s="566"/>
      <c r="T601" s="566"/>
      <c r="U601" s="566"/>
      <c r="V601" s="566"/>
      <c r="W601" s="566"/>
      <c r="X601" s="566"/>
      <c r="Y601" s="566"/>
      <c r="Z601" s="566"/>
    </row>
    <row r="602" spans="1:26" x14ac:dyDescent="0.25">
      <c r="A602" s="566"/>
      <c r="B602" s="566"/>
      <c r="C602" s="566"/>
      <c r="D602" s="566"/>
      <c r="E602" s="566"/>
      <c r="F602" s="566"/>
      <c r="G602" s="566"/>
      <c r="H602" s="566"/>
      <c r="I602" s="566"/>
      <c r="J602" s="566"/>
      <c r="K602" s="566"/>
      <c r="L602" s="566"/>
      <c r="M602" s="566"/>
      <c r="N602" s="566"/>
      <c r="O602" s="566"/>
      <c r="P602" s="566"/>
      <c r="Q602" s="566"/>
      <c r="R602" s="566"/>
      <c r="S602" s="566"/>
      <c r="T602" s="566"/>
      <c r="U602" s="566"/>
      <c r="V602" s="566"/>
      <c r="W602" s="566"/>
      <c r="X602" s="566"/>
      <c r="Y602" s="566"/>
      <c r="Z602" s="566"/>
    </row>
    <row r="603" spans="1:26" x14ac:dyDescent="0.25">
      <c r="A603" s="566"/>
      <c r="B603" s="566"/>
      <c r="C603" s="566"/>
      <c r="D603" s="566"/>
      <c r="E603" s="566"/>
      <c r="F603" s="566"/>
      <c r="G603" s="566"/>
      <c r="H603" s="566"/>
      <c r="I603" s="566"/>
      <c r="J603" s="566"/>
      <c r="K603" s="566"/>
      <c r="L603" s="566"/>
      <c r="M603" s="566"/>
      <c r="N603" s="566"/>
      <c r="O603" s="566"/>
      <c r="P603" s="566"/>
      <c r="Q603" s="566"/>
      <c r="R603" s="566"/>
      <c r="S603" s="566"/>
      <c r="T603" s="566"/>
      <c r="U603" s="566"/>
      <c r="V603" s="566"/>
      <c r="W603" s="566"/>
      <c r="X603" s="566"/>
      <c r="Y603" s="566"/>
      <c r="Z603" s="566"/>
    </row>
    <row r="604" spans="1:26" x14ac:dyDescent="0.25">
      <c r="A604" s="566"/>
      <c r="B604" s="566"/>
      <c r="C604" s="566"/>
      <c r="D604" s="566"/>
      <c r="E604" s="566"/>
      <c r="F604" s="566"/>
      <c r="G604" s="566"/>
      <c r="H604" s="566"/>
      <c r="I604" s="566"/>
      <c r="J604" s="566"/>
      <c r="K604" s="566"/>
      <c r="L604" s="566"/>
      <c r="M604" s="566"/>
      <c r="N604" s="566"/>
      <c r="O604" s="566"/>
      <c r="P604" s="566"/>
      <c r="Q604" s="566"/>
      <c r="R604" s="566"/>
      <c r="S604" s="566"/>
      <c r="T604" s="566"/>
      <c r="U604" s="566"/>
      <c r="V604" s="566"/>
      <c r="W604" s="566"/>
      <c r="X604" s="566"/>
      <c r="Y604" s="566"/>
      <c r="Z604" s="566"/>
    </row>
    <row r="605" spans="1:26" x14ac:dyDescent="0.25">
      <c r="A605" s="566"/>
      <c r="B605" s="566"/>
      <c r="C605" s="566"/>
      <c r="D605" s="566"/>
      <c r="E605" s="566"/>
      <c r="F605" s="566"/>
      <c r="G605" s="566"/>
      <c r="H605" s="566"/>
      <c r="I605" s="566"/>
      <c r="J605" s="566"/>
      <c r="K605" s="566"/>
      <c r="L605" s="566"/>
      <c r="M605" s="566"/>
      <c r="N605" s="566"/>
      <c r="O605" s="566"/>
      <c r="P605" s="566"/>
      <c r="Q605" s="566"/>
      <c r="R605" s="566"/>
      <c r="S605" s="566"/>
      <c r="T605" s="566"/>
      <c r="U605" s="566"/>
      <c r="V605" s="566"/>
      <c r="W605" s="566"/>
      <c r="X605" s="566"/>
      <c r="Y605" s="566"/>
      <c r="Z605" s="566"/>
    </row>
    <row r="606" spans="1:26" x14ac:dyDescent="0.25">
      <c r="A606" s="566"/>
      <c r="B606" s="566"/>
      <c r="C606" s="566"/>
      <c r="D606" s="566"/>
      <c r="E606" s="566"/>
      <c r="F606" s="566"/>
      <c r="G606" s="566"/>
      <c r="H606" s="566"/>
      <c r="I606" s="566"/>
      <c r="J606" s="566"/>
      <c r="K606" s="566"/>
      <c r="L606" s="566"/>
      <c r="M606" s="566"/>
      <c r="N606" s="566"/>
      <c r="O606" s="566"/>
      <c r="P606" s="566"/>
      <c r="Q606" s="566"/>
      <c r="R606" s="566"/>
      <c r="S606" s="566"/>
      <c r="T606" s="566"/>
      <c r="U606" s="566"/>
      <c r="V606" s="566"/>
      <c r="W606" s="566"/>
      <c r="X606" s="566"/>
      <c r="Y606" s="566"/>
      <c r="Z606" s="566"/>
    </row>
    <row r="607" spans="1:26" x14ac:dyDescent="0.25">
      <c r="A607" s="566"/>
      <c r="B607" s="566"/>
      <c r="C607" s="566"/>
      <c r="D607" s="566"/>
      <c r="E607" s="566"/>
      <c r="F607" s="566"/>
      <c r="G607" s="566"/>
      <c r="H607" s="566"/>
      <c r="I607" s="566"/>
      <c r="J607" s="566"/>
      <c r="K607" s="566"/>
      <c r="L607" s="566"/>
      <c r="M607" s="566"/>
      <c r="N607" s="566"/>
      <c r="O607" s="566"/>
      <c r="P607" s="566"/>
      <c r="Q607" s="566"/>
      <c r="R607" s="566"/>
      <c r="S607" s="566"/>
      <c r="T607" s="566"/>
      <c r="U607" s="566"/>
      <c r="V607" s="566"/>
      <c r="W607" s="566"/>
      <c r="X607" s="566"/>
      <c r="Y607" s="566"/>
      <c r="Z607" s="566"/>
    </row>
    <row r="608" spans="1:26" x14ac:dyDescent="0.25">
      <c r="A608" s="566"/>
      <c r="B608" s="566"/>
      <c r="C608" s="566"/>
      <c r="D608" s="566"/>
      <c r="E608" s="566"/>
      <c r="F608" s="566"/>
      <c r="G608" s="566"/>
      <c r="H608" s="566"/>
      <c r="I608" s="566"/>
      <c r="J608" s="566"/>
      <c r="K608" s="566"/>
      <c r="L608" s="566"/>
      <c r="M608" s="566"/>
      <c r="N608" s="566"/>
      <c r="O608" s="566"/>
      <c r="P608" s="566"/>
      <c r="Q608" s="566"/>
      <c r="R608" s="566"/>
      <c r="S608" s="566"/>
      <c r="T608" s="566"/>
      <c r="U608" s="566"/>
      <c r="V608" s="566"/>
      <c r="W608" s="566"/>
      <c r="X608" s="566"/>
      <c r="Y608" s="566"/>
      <c r="Z608" s="566"/>
    </row>
    <row r="609" spans="1:26" x14ac:dyDescent="0.25">
      <c r="A609" s="566"/>
      <c r="B609" s="566"/>
      <c r="C609" s="566"/>
      <c r="D609" s="566"/>
      <c r="E609" s="566"/>
      <c r="F609" s="566"/>
      <c r="G609" s="566"/>
      <c r="H609" s="566"/>
      <c r="I609" s="566"/>
      <c r="J609" s="566"/>
      <c r="K609" s="566"/>
      <c r="L609" s="566"/>
      <c r="M609" s="566"/>
      <c r="N609" s="566"/>
      <c r="O609" s="566"/>
      <c r="P609" s="566"/>
      <c r="Q609" s="566"/>
      <c r="R609" s="566"/>
      <c r="S609" s="566"/>
      <c r="T609" s="566"/>
      <c r="U609" s="566"/>
      <c r="V609" s="566"/>
      <c r="W609" s="566"/>
      <c r="X609" s="566"/>
      <c r="Y609" s="566"/>
      <c r="Z609" s="566"/>
    </row>
    <row r="610" spans="1:26" x14ac:dyDescent="0.25">
      <c r="A610" s="566"/>
      <c r="B610" s="566"/>
      <c r="C610" s="566"/>
      <c r="D610" s="566"/>
      <c r="E610" s="566"/>
      <c r="F610" s="566"/>
      <c r="G610" s="566"/>
      <c r="H610" s="566"/>
      <c r="I610" s="566"/>
      <c r="J610" s="566"/>
      <c r="K610" s="566"/>
      <c r="L610" s="566"/>
      <c r="M610" s="566"/>
      <c r="N610" s="566"/>
      <c r="O610" s="566"/>
      <c r="P610" s="566"/>
      <c r="Q610" s="566"/>
      <c r="R610" s="566"/>
      <c r="S610" s="566"/>
      <c r="T610" s="566"/>
      <c r="U610" s="566"/>
      <c r="V610" s="566"/>
      <c r="W610" s="566"/>
      <c r="X610" s="566"/>
      <c r="Y610" s="566"/>
      <c r="Z610" s="566"/>
    </row>
    <row r="611" spans="1:26" x14ac:dyDescent="0.25">
      <c r="A611" s="566"/>
      <c r="B611" s="566"/>
      <c r="C611" s="566"/>
      <c r="D611" s="566"/>
      <c r="E611" s="566"/>
      <c r="F611" s="566"/>
      <c r="G611" s="566"/>
      <c r="H611" s="566"/>
      <c r="I611" s="566"/>
      <c r="J611" s="566"/>
      <c r="K611" s="566"/>
      <c r="L611" s="566"/>
      <c r="M611" s="566"/>
      <c r="N611" s="566"/>
      <c r="O611" s="566"/>
      <c r="P611" s="566"/>
      <c r="Q611" s="566"/>
      <c r="R611" s="566"/>
      <c r="S611" s="566"/>
      <c r="T611" s="566"/>
      <c r="U611" s="566"/>
      <c r="V611" s="566"/>
      <c r="W611" s="566"/>
      <c r="X611" s="566"/>
      <c r="Y611" s="566"/>
      <c r="Z611" s="566"/>
    </row>
    <row r="612" spans="1:26" x14ac:dyDescent="0.25">
      <c r="A612" s="566"/>
      <c r="B612" s="566"/>
      <c r="C612" s="566"/>
      <c r="D612" s="566"/>
      <c r="E612" s="566"/>
      <c r="F612" s="566"/>
      <c r="G612" s="566"/>
      <c r="H612" s="566"/>
      <c r="I612" s="566"/>
      <c r="J612" s="566"/>
      <c r="K612" s="566"/>
      <c r="L612" s="566"/>
      <c r="M612" s="566"/>
      <c r="N612" s="566"/>
      <c r="O612" s="566"/>
      <c r="P612" s="566"/>
      <c r="Q612" s="566"/>
      <c r="R612" s="566"/>
      <c r="S612" s="566"/>
      <c r="T612" s="566"/>
      <c r="U612" s="566"/>
      <c r="V612" s="566"/>
      <c r="W612" s="566"/>
      <c r="X612" s="566"/>
      <c r="Y612" s="566"/>
      <c r="Z612" s="566"/>
    </row>
    <row r="613" spans="1:26" x14ac:dyDescent="0.25">
      <c r="A613" s="566"/>
      <c r="B613" s="566"/>
      <c r="C613" s="566"/>
      <c r="D613" s="566"/>
      <c r="E613" s="566"/>
      <c r="F613" s="566"/>
      <c r="G613" s="566"/>
      <c r="H613" s="566"/>
      <c r="I613" s="566"/>
      <c r="J613" s="566"/>
      <c r="K613" s="566"/>
      <c r="L613" s="566"/>
      <c r="M613" s="566"/>
      <c r="N613" s="566"/>
      <c r="O613" s="566"/>
      <c r="P613" s="566"/>
      <c r="Q613" s="566"/>
      <c r="R613" s="566"/>
      <c r="S613" s="566"/>
      <c r="T613" s="566"/>
      <c r="U613" s="566"/>
      <c r="V613" s="566"/>
      <c r="W613" s="566"/>
      <c r="X613" s="566"/>
      <c r="Y613" s="566"/>
      <c r="Z613" s="566"/>
    </row>
    <row r="614" spans="1:26" x14ac:dyDescent="0.25">
      <c r="A614" s="566"/>
      <c r="B614" s="566"/>
      <c r="C614" s="566"/>
      <c r="D614" s="566"/>
      <c r="E614" s="566"/>
      <c r="F614" s="566"/>
      <c r="G614" s="566"/>
      <c r="H614" s="566"/>
      <c r="I614" s="566"/>
      <c r="J614" s="566"/>
      <c r="K614" s="566"/>
      <c r="L614" s="566"/>
      <c r="M614" s="566"/>
      <c r="N614" s="566"/>
      <c r="O614" s="566"/>
      <c r="P614" s="566"/>
      <c r="Q614" s="566"/>
      <c r="R614" s="566"/>
      <c r="S614" s="566"/>
      <c r="T614" s="566"/>
      <c r="U614" s="566"/>
      <c r="V614" s="566"/>
      <c r="W614" s="566"/>
      <c r="X614" s="566"/>
      <c r="Y614" s="566"/>
      <c r="Z614" s="566"/>
    </row>
    <row r="615" spans="1:26" x14ac:dyDescent="0.25">
      <c r="A615" s="566"/>
      <c r="B615" s="566"/>
      <c r="C615" s="566"/>
      <c r="D615" s="566"/>
      <c r="E615" s="566"/>
      <c r="F615" s="566"/>
      <c r="G615" s="566"/>
      <c r="H615" s="566"/>
      <c r="I615" s="566"/>
      <c r="J615" s="566"/>
      <c r="K615" s="566"/>
      <c r="L615" s="566"/>
      <c r="M615" s="566"/>
      <c r="N615" s="566"/>
      <c r="O615" s="566"/>
      <c r="P615" s="566"/>
      <c r="Q615" s="566"/>
      <c r="R615" s="566"/>
      <c r="S615" s="566"/>
      <c r="T615" s="566"/>
      <c r="U615" s="566"/>
      <c r="V615" s="566"/>
      <c r="W615" s="566"/>
      <c r="X615" s="566"/>
      <c r="Y615" s="566"/>
      <c r="Z615" s="566"/>
    </row>
    <row r="616" spans="1:26" x14ac:dyDescent="0.25">
      <c r="A616" s="566"/>
      <c r="B616" s="566"/>
      <c r="C616" s="566"/>
      <c r="D616" s="566"/>
      <c r="E616" s="566"/>
      <c r="F616" s="566"/>
      <c r="G616" s="566"/>
      <c r="H616" s="566"/>
      <c r="I616" s="566"/>
      <c r="J616" s="566"/>
      <c r="K616" s="566"/>
      <c r="L616" s="566"/>
      <c r="M616" s="566"/>
      <c r="N616" s="566"/>
      <c r="O616" s="566"/>
      <c r="P616" s="566"/>
      <c r="Q616" s="566"/>
      <c r="R616" s="566"/>
      <c r="S616" s="566"/>
      <c r="T616" s="566"/>
      <c r="U616" s="566"/>
      <c r="V616" s="566"/>
      <c r="W616" s="566"/>
      <c r="X616" s="566"/>
      <c r="Y616" s="566"/>
      <c r="Z616" s="566"/>
    </row>
    <row r="617" spans="1:26" x14ac:dyDescent="0.25">
      <c r="A617" s="566"/>
      <c r="B617" s="566"/>
      <c r="C617" s="566"/>
      <c r="D617" s="566"/>
      <c r="E617" s="566"/>
      <c r="F617" s="566"/>
      <c r="G617" s="566"/>
      <c r="H617" s="566"/>
      <c r="I617" s="566"/>
      <c r="J617" s="566"/>
      <c r="K617" s="566"/>
      <c r="L617" s="566"/>
      <c r="M617" s="566"/>
      <c r="N617" s="566"/>
      <c r="O617" s="566"/>
      <c r="P617" s="566"/>
      <c r="Q617" s="566"/>
      <c r="R617" s="566"/>
      <c r="S617" s="566"/>
      <c r="T617" s="566"/>
      <c r="U617" s="566"/>
      <c r="V617" s="566"/>
      <c r="W617" s="566"/>
      <c r="X617" s="566"/>
      <c r="Y617" s="566"/>
      <c r="Z617" s="566"/>
    </row>
    <row r="618" spans="1:26" x14ac:dyDescent="0.25">
      <c r="A618" s="566"/>
      <c r="B618" s="566"/>
      <c r="C618" s="566"/>
      <c r="D618" s="566"/>
      <c r="E618" s="566"/>
      <c r="F618" s="566"/>
      <c r="G618" s="566"/>
      <c r="H618" s="566"/>
      <c r="I618" s="566"/>
      <c r="J618" s="566"/>
      <c r="K618" s="566"/>
      <c r="L618" s="566"/>
      <c r="M618" s="566"/>
      <c r="N618" s="566"/>
      <c r="O618" s="566"/>
      <c r="P618" s="566"/>
      <c r="Q618" s="566"/>
      <c r="R618" s="566"/>
      <c r="S618" s="566"/>
      <c r="T618" s="566"/>
      <c r="U618" s="566"/>
      <c r="V618" s="566"/>
      <c r="W618" s="566"/>
      <c r="X618" s="566"/>
      <c r="Y618" s="566"/>
      <c r="Z618" s="566"/>
    </row>
    <row r="619" spans="1:26" x14ac:dyDescent="0.25">
      <c r="A619" s="566"/>
      <c r="B619" s="566"/>
      <c r="C619" s="566"/>
      <c r="D619" s="566"/>
      <c r="E619" s="566"/>
      <c r="F619" s="566"/>
      <c r="G619" s="566"/>
      <c r="H619" s="566"/>
      <c r="I619" s="566"/>
      <c r="J619" s="566"/>
      <c r="K619" s="566"/>
      <c r="L619" s="566"/>
      <c r="M619" s="566"/>
      <c r="N619" s="566"/>
      <c r="O619" s="566"/>
      <c r="P619" s="566"/>
      <c r="Q619" s="566"/>
      <c r="R619" s="566"/>
      <c r="S619" s="566"/>
      <c r="T619" s="566"/>
      <c r="U619" s="566"/>
      <c r="V619" s="566"/>
      <c r="W619" s="566"/>
      <c r="X619" s="566"/>
      <c r="Y619" s="566"/>
      <c r="Z619" s="566"/>
    </row>
    <row r="620" spans="1:26" x14ac:dyDescent="0.25">
      <c r="A620" s="566"/>
      <c r="B620" s="566"/>
      <c r="C620" s="566"/>
      <c r="D620" s="566"/>
      <c r="E620" s="566"/>
      <c r="F620" s="566"/>
      <c r="G620" s="566"/>
      <c r="H620" s="566"/>
      <c r="I620" s="566"/>
      <c r="J620" s="566"/>
      <c r="K620" s="566"/>
      <c r="L620" s="566"/>
      <c r="M620" s="566"/>
      <c r="N620" s="566"/>
      <c r="O620" s="566"/>
      <c r="P620" s="566"/>
      <c r="Q620" s="566"/>
      <c r="R620" s="566"/>
      <c r="S620" s="566"/>
      <c r="T620" s="566"/>
      <c r="U620" s="566"/>
      <c r="V620" s="566"/>
      <c r="W620" s="566"/>
      <c r="X620" s="566"/>
      <c r="Y620" s="566"/>
      <c r="Z620" s="566"/>
    </row>
    <row r="621" spans="1:26" x14ac:dyDescent="0.25">
      <c r="A621" s="566"/>
      <c r="B621" s="566"/>
      <c r="C621" s="566"/>
      <c r="D621" s="566"/>
      <c r="E621" s="566"/>
      <c r="F621" s="566"/>
      <c r="G621" s="566"/>
      <c r="H621" s="566"/>
      <c r="I621" s="566"/>
      <c r="J621" s="566"/>
      <c r="K621" s="566"/>
      <c r="L621" s="566"/>
      <c r="M621" s="566"/>
      <c r="N621" s="566"/>
      <c r="O621" s="566"/>
      <c r="P621" s="566"/>
      <c r="Q621" s="566"/>
      <c r="R621" s="566"/>
      <c r="S621" s="566"/>
      <c r="T621" s="566"/>
      <c r="U621" s="566"/>
      <c r="V621" s="566"/>
      <c r="W621" s="566"/>
      <c r="X621" s="566"/>
      <c r="Y621" s="566"/>
      <c r="Z621" s="566"/>
    </row>
    <row r="622" spans="1:26" x14ac:dyDescent="0.25">
      <c r="A622" s="566"/>
      <c r="B622" s="566"/>
      <c r="C622" s="566"/>
      <c r="D622" s="566"/>
      <c r="E622" s="566"/>
      <c r="F622" s="566"/>
      <c r="G622" s="566"/>
      <c r="H622" s="566"/>
      <c r="I622" s="566"/>
      <c r="J622" s="566"/>
      <c r="K622" s="566"/>
      <c r="L622" s="566"/>
      <c r="M622" s="566"/>
      <c r="N622" s="566"/>
      <c r="O622" s="566"/>
      <c r="P622" s="566"/>
      <c r="Q622" s="566"/>
      <c r="R622" s="566"/>
      <c r="S622" s="566"/>
      <c r="T622" s="566"/>
      <c r="U622" s="566"/>
      <c r="V622" s="566"/>
      <c r="W622" s="566"/>
      <c r="X622" s="566"/>
      <c r="Y622" s="566"/>
      <c r="Z622" s="566"/>
    </row>
    <row r="623" spans="1:26" x14ac:dyDescent="0.25">
      <c r="A623" s="566"/>
      <c r="B623" s="566"/>
      <c r="C623" s="566"/>
      <c r="D623" s="566"/>
      <c r="E623" s="566"/>
      <c r="F623" s="566"/>
      <c r="G623" s="566"/>
      <c r="H623" s="566"/>
      <c r="I623" s="566"/>
      <c r="J623" s="566"/>
      <c r="K623" s="566"/>
      <c r="L623" s="566"/>
      <c r="M623" s="566"/>
      <c r="N623" s="566"/>
      <c r="O623" s="566"/>
      <c r="P623" s="566"/>
      <c r="Q623" s="566"/>
      <c r="R623" s="566"/>
      <c r="S623" s="566"/>
      <c r="T623" s="566"/>
      <c r="U623" s="566"/>
      <c r="V623" s="566"/>
      <c r="W623" s="566"/>
      <c r="X623" s="566"/>
      <c r="Y623" s="566"/>
      <c r="Z623" s="566"/>
    </row>
    <row r="624" spans="1:26" x14ac:dyDescent="0.25">
      <c r="A624" s="566"/>
      <c r="B624" s="566"/>
      <c r="C624" s="566"/>
      <c r="D624" s="566"/>
      <c r="E624" s="566"/>
      <c r="F624" s="566"/>
      <c r="G624" s="566"/>
      <c r="H624" s="566"/>
      <c r="I624" s="566"/>
      <c r="J624" s="566"/>
      <c r="K624" s="566"/>
      <c r="L624" s="566"/>
      <c r="M624" s="566"/>
      <c r="N624" s="566"/>
      <c r="O624" s="566"/>
      <c r="P624" s="566"/>
      <c r="Q624" s="566"/>
      <c r="R624" s="566"/>
      <c r="S624" s="566"/>
      <c r="T624" s="566"/>
      <c r="U624" s="566"/>
      <c r="V624" s="566"/>
      <c r="W624" s="566"/>
      <c r="X624" s="566"/>
      <c r="Y624" s="566"/>
      <c r="Z624" s="566"/>
    </row>
    <row r="625" spans="1:26" x14ac:dyDescent="0.25">
      <c r="A625" s="566"/>
      <c r="B625" s="566"/>
      <c r="C625" s="566"/>
      <c r="D625" s="566"/>
      <c r="E625" s="566"/>
      <c r="F625" s="566"/>
      <c r="G625" s="566"/>
      <c r="H625" s="566"/>
      <c r="I625" s="566"/>
      <c r="J625" s="566"/>
      <c r="K625" s="566"/>
      <c r="L625" s="566"/>
      <c r="M625" s="566"/>
      <c r="N625" s="566"/>
      <c r="O625" s="566"/>
      <c r="P625" s="566"/>
      <c r="Q625" s="566"/>
      <c r="R625" s="566"/>
      <c r="S625" s="566"/>
      <c r="T625" s="566"/>
      <c r="U625" s="566"/>
      <c r="V625" s="566"/>
      <c r="W625" s="566"/>
      <c r="X625" s="566"/>
      <c r="Y625" s="566"/>
      <c r="Z625" s="566"/>
    </row>
    <row r="626" spans="1:26" x14ac:dyDescent="0.25">
      <c r="A626" s="566"/>
      <c r="B626" s="566"/>
      <c r="C626" s="566"/>
      <c r="D626" s="566"/>
      <c r="E626" s="566"/>
      <c r="F626" s="566"/>
      <c r="G626" s="566"/>
      <c r="H626" s="566"/>
      <c r="I626" s="566"/>
      <c r="J626" s="566"/>
      <c r="K626" s="566"/>
      <c r="L626" s="566"/>
      <c r="M626" s="566"/>
      <c r="N626" s="566"/>
      <c r="O626" s="566"/>
      <c r="P626" s="566"/>
      <c r="Q626" s="566"/>
      <c r="R626" s="566"/>
      <c r="S626" s="566"/>
      <c r="T626" s="566"/>
      <c r="U626" s="566"/>
      <c r="V626" s="566"/>
      <c r="W626" s="566"/>
      <c r="X626" s="566"/>
      <c r="Y626" s="566"/>
      <c r="Z626" s="566"/>
    </row>
    <row r="627" spans="1:26" x14ac:dyDescent="0.25">
      <c r="A627" s="566"/>
      <c r="B627" s="566"/>
      <c r="C627" s="566"/>
      <c r="D627" s="566"/>
      <c r="E627" s="566"/>
      <c r="F627" s="566"/>
      <c r="G627" s="566"/>
      <c r="H627" s="566"/>
      <c r="I627" s="566"/>
      <c r="J627" s="566"/>
      <c r="K627" s="566"/>
      <c r="L627" s="566"/>
      <c r="M627" s="566"/>
      <c r="N627" s="566"/>
      <c r="O627" s="566"/>
      <c r="P627" s="566"/>
      <c r="Q627" s="566"/>
      <c r="R627" s="566"/>
      <c r="S627" s="566"/>
      <c r="T627" s="566"/>
      <c r="U627" s="566"/>
      <c r="V627" s="566"/>
      <c r="W627" s="566"/>
      <c r="X627" s="566"/>
      <c r="Y627" s="566"/>
      <c r="Z627" s="566"/>
    </row>
    <row r="628" spans="1:26" x14ac:dyDescent="0.25">
      <c r="A628" s="566"/>
      <c r="B628" s="566"/>
      <c r="C628" s="566"/>
      <c r="D628" s="566"/>
      <c r="E628" s="566"/>
      <c r="F628" s="566"/>
      <c r="G628" s="566"/>
      <c r="H628" s="566"/>
      <c r="I628" s="566"/>
      <c r="J628" s="566"/>
      <c r="K628" s="566"/>
      <c r="L628" s="566"/>
      <c r="M628" s="566"/>
      <c r="N628" s="566"/>
      <c r="O628" s="566"/>
      <c r="P628" s="566"/>
      <c r="Q628" s="566"/>
      <c r="R628" s="566"/>
      <c r="S628" s="566"/>
      <c r="T628" s="566"/>
      <c r="U628" s="566"/>
      <c r="V628" s="566"/>
      <c r="W628" s="566"/>
      <c r="X628" s="566"/>
      <c r="Y628" s="566"/>
      <c r="Z628" s="566"/>
    </row>
    <row r="629" spans="1:26" x14ac:dyDescent="0.25">
      <c r="A629" s="566"/>
      <c r="B629" s="566"/>
      <c r="C629" s="566"/>
      <c r="D629" s="566"/>
      <c r="E629" s="566"/>
      <c r="F629" s="566"/>
      <c r="G629" s="566"/>
      <c r="H629" s="566"/>
      <c r="I629" s="566"/>
      <c r="J629" s="566"/>
      <c r="K629" s="566"/>
      <c r="L629" s="566"/>
      <c r="M629" s="566"/>
      <c r="N629" s="566"/>
      <c r="O629" s="566"/>
      <c r="P629" s="566"/>
      <c r="Q629" s="566"/>
      <c r="R629" s="566"/>
      <c r="S629" s="566"/>
      <c r="T629" s="566"/>
      <c r="U629" s="566"/>
      <c r="V629" s="566"/>
      <c r="W629" s="566"/>
      <c r="X629" s="566"/>
      <c r="Y629" s="566"/>
      <c r="Z629" s="566"/>
    </row>
    <row r="630" spans="1:26" x14ac:dyDescent="0.25">
      <c r="A630" s="566"/>
      <c r="B630" s="566"/>
      <c r="C630" s="566"/>
      <c r="D630" s="566"/>
      <c r="E630" s="566"/>
      <c r="F630" s="566"/>
      <c r="G630" s="566"/>
      <c r="H630" s="566"/>
      <c r="I630" s="566"/>
      <c r="J630" s="566"/>
      <c r="K630" s="566"/>
      <c r="L630" s="566"/>
      <c r="M630" s="566"/>
      <c r="N630" s="566"/>
      <c r="O630" s="566"/>
      <c r="P630" s="566"/>
      <c r="Q630" s="566"/>
      <c r="R630" s="566"/>
      <c r="S630" s="566"/>
      <c r="T630" s="566"/>
      <c r="U630" s="566"/>
      <c r="V630" s="566"/>
      <c r="W630" s="566"/>
      <c r="X630" s="566"/>
      <c r="Y630" s="566"/>
      <c r="Z630" s="566"/>
    </row>
    <row r="631" spans="1:26" x14ac:dyDescent="0.25">
      <c r="A631" s="566"/>
      <c r="B631" s="566"/>
      <c r="C631" s="566"/>
      <c r="D631" s="566"/>
      <c r="E631" s="566"/>
      <c r="F631" s="566"/>
      <c r="G631" s="566"/>
      <c r="H631" s="566"/>
      <c r="I631" s="566"/>
      <c r="J631" s="566"/>
      <c r="K631" s="566"/>
      <c r="L631" s="566"/>
      <c r="M631" s="566"/>
      <c r="N631" s="566"/>
      <c r="O631" s="566"/>
      <c r="P631" s="566"/>
      <c r="Q631" s="566"/>
      <c r="R631" s="566"/>
      <c r="S631" s="566"/>
      <c r="T631" s="566"/>
      <c r="U631" s="566"/>
      <c r="V631" s="566"/>
      <c r="W631" s="566"/>
      <c r="X631" s="566"/>
      <c r="Y631" s="566"/>
      <c r="Z631" s="566"/>
    </row>
    <row r="632" spans="1:26" x14ac:dyDescent="0.25">
      <c r="A632" s="566"/>
      <c r="B632" s="566"/>
      <c r="C632" s="566"/>
      <c r="D632" s="566"/>
      <c r="E632" s="566"/>
      <c r="F632" s="566"/>
      <c r="G632" s="566"/>
      <c r="H632" s="566"/>
      <c r="I632" s="566"/>
      <c r="J632" s="566"/>
      <c r="K632" s="566"/>
      <c r="L632" s="566"/>
      <c r="M632" s="566"/>
      <c r="N632" s="566"/>
      <c r="O632" s="566"/>
      <c r="P632" s="566"/>
      <c r="Q632" s="566"/>
      <c r="R632" s="566"/>
      <c r="S632" s="566"/>
      <c r="T632" s="566"/>
      <c r="U632" s="566"/>
      <c r="V632" s="566"/>
      <c r="W632" s="566"/>
      <c r="X632" s="566"/>
      <c r="Y632" s="566"/>
      <c r="Z632" s="566"/>
    </row>
    <row r="633" spans="1:26" x14ac:dyDescent="0.25">
      <c r="A633" s="566"/>
      <c r="B633" s="566"/>
      <c r="C633" s="566"/>
      <c r="D633" s="566"/>
      <c r="E633" s="566"/>
      <c r="F633" s="566"/>
      <c r="G633" s="566"/>
      <c r="H633" s="566"/>
      <c r="I633" s="566"/>
      <c r="J633" s="566"/>
      <c r="K633" s="566"/>
      <c r="L633" s="566"/>
      <c r="M633" s="566"/>
      <c r="N633" s="566"/>
      <c r="O633" s="566"/>
      <c r="P633" s="566"/>
      <c r="Q633" s="566"/>
      <c r="R633" s="566"/>
      <c r="S633" s="566"/>
      <c r="T633" s="566"/>
      <c r="U633" s="566"/>
      <c r="V633" s="566"/>
      <c r="W633" s="566"/>
      <c r="X633" s="566"/>
      <c r="Y633" s="566"/>
      <c r="Z633" s="566"/>
    </row>
    <row r="634" spans="1:26" x14ac:dyDescent="0.25">
      <c r="A634" s="566"/>
      <c r="B634" s="566"/>
      <c r="C634" s="566"/>
      <c r="D634" s="566"/>
      <c r="E634" s="566"/>
      <c r="F634" s="566"/>
      <c r="G634" s="566"/>
      <c r="H634" s="566"/>
      <c r="I634" s="566"/>
      <c r="J634" s="566"/>
      <c r="K634" s="566"/>
      <c r="L634" s="566"/>
      <c r="M634" s="566"/>
      <c r="N634" s="566"/>
      <c r="O634" s="566"/>
      <c r="P634" s="566"/>
      <c r="Q634" s="566"/>
      <c r="R634" s="566"/>
      <c r="S634" s="566"/>
      <c r="T634" s="566"/>
      <c r="U634" s="566"/>
      <c r="V634" s="566"/>
      <c r="W634" s="566"/>
      <c r="X634" s="566"/>
      <c r="Y634" s="566"/>
      <c r="Z634" s="566"/>
    </row>
    <row r="635" spans="1:26" x14ac:dyDescent="0.25">
      <c r="A635" s="566"/>
      <c r="B635" s="566"/>
      <c r="C635" s="566"/>
      <c r="D635" s="566"/>
      <c r="E635" s="566"/>
      <c r="F635" s="566"/>
      <c r="G635" s="566"/>
      <c r="H635" s="566"/>
      <c r="I635" s="566"/>
      <c r="J635" s="566"/>
      <c r="K635" s="566"/>
      <c r="L635" s="566"/>
      <c r="M635" s="566"/>
      <c r="N635" s="566"/>
      <c r="O635" s="566"/>
      <c r="P635" s="566"/>
      <c r="Q635" s="566"/>
      <c r="R635" s="566"/>
      <c r="S635" s="566"/>
      <c r="T635" s="566"/>
      <c r="U635" s="566"/>
      <c r="V635" s="566"/>
      <c r="W635" s="566"/>
      <c r="X635" s="566"/>
      <c r="Y635" s="566"/>
      <c r="Z635" s="566"/>
    </row>
    <row r="636" spans="1:26" x14ac:dyDescent="0.25">
      <c r="A636" s="566"/>
      <c r="B636" s="566"/>
      <c r="C636" s="566"/>
      <c r="D636" s="566"/>
      <c r="E636" s="566"/>
      <c r="F636" s="566"/>
      <c r="G636" s="566"/>
      <c r="H636" s="566"/>
      <c r="I636" s="566"/>
      <c r="J636" s="566"/>
      <c r="K636" s="566"/>
      <c r="L636" s="566"/>
      <c r="M636" s="566"/>
      <c r="N636" s="566"/>
      <c r="O636" s="566"/>
      <c r="P636" s="566"/>
      <c r="Q636" s="566"/>
      <c r="R636" s="566"/>
      <c r="S636" s="566"/>
      <c r="T636" s="566"/>
      <c r="U636" s="566"/>
      <c r="V636" s="566"/>
      <c r="W636" s="566"/>
      <c r="X636" s="566"/>
      <c r="Y636" s="566"/>
      <c r="Z636" s="566"/>
    </row>
    <row r="637" spans="1:26" x14ac:dyDescent="0.25">
      <c r="A637" s="566"/>
      <c r="B637" s="566"/>
      <c r="C637" s="566"/>
      <c r="D637" s="566"/>
      <c r="E637" s="566"/>
      <c r="F637" s="566"/>
      <c r="G637" s="566"/>
      <c r="H637" s="566"/>
      <c r="I637" s="566"/>
      <c r="J637" s="566"/>
      <c r="K637" s="566"/>
      <c r="L637" s="566"/>
      <c r="M637" s="566"/>
      <c r="N637" s="566"/>
      <c r="O637" s="566"/>
      <c r="P637" s="566"/>
      <c r="Q637" s="566"/>
      <c r="R637" s="566"/>
      <c r="S637" s="566"/>
      <c r="T637" s="566"/>
      <c r="U637" s="566"/>
      <c r="V637" s="566"/>
      <c r="W637" s="566"/>
      <c r="X637" s="566"/>
      <c r="Y637" s="566"/>
      <c r="Z637" s="566"/>
    </row>
    <row r="638" spans="1:26" x14ac:dyDescent="0.25">
      <c r="A638" s="566"/>
      <c r="B638" s="566"/>
      <c r="C638" s="566"/>
      <c r="D638" s="566"/>
      <c r="E638" s="566"/>
      <c r="F638" s="566"/>
      <c r="G638" s="566"/>
      <c r="H638" s="566"/>
      <c r="I638" s="566"/>
      <c r="J638" s="566"/>
      <c r="K638" s="566"/>
      <c r="L638" s="566"/>
      <c r="M638" s="566"/>
      <c r="N638" s="566"/>
      <c r="O638" s="566"/>
      <c r="P638" s="566"/>
      <c r="Q638" s="566"/>
      <c r="R638" s="566"/>
      <c r="S638" s="566"/>
      <c r="T638" s="566"/>
      <c r="U638" s="566"/>
      <c r="V638" s="566"/>
      <c r="W638" s="566"/>
      <c r="X638" s="566"/>
      <c r="Y638" s="566"/>
      <c r="Z638" s="566"/>
    </row>
    <row r="639" spans="1:26" x14ac:dyDescent="0.25">
      <c r="A639" s="566"/>
      <c r="B639" s="566"/>
      <c r="C639" s="566"/>
      <c r="D639" s="566"/>
      <c r="E639" s="566"/>
      <c r="F639" s="566"/>
      <c r="G639" s="566"/>
      <c r="H639" s="566"/>
      <c r="I639" s="566"/>
      <c r="J639" s="566"/>
      <c r="K639" s="566"/>
      <c r="L639" s="566"/>
      <c r="M639" s="566"/>
      <c r="N639" s="566"/>
      <c r="O639" s="566"/>
      <c r="P639" s="566"/>
      <c r="Q639" s="566"/>
      <c r="R639" s="566"/>
      <c r="S639" s="566"/>
      <c r="T639" s="566"/>
      <c r="U639" s="566"/>
      <c r="V639" s="566"/>
      <c r="W639" s="566"/>
      <c r="X639" s="566"/>
      <c r="Y639" s="566"/>
      <c r="Z639" s="566"/>
    </row>
    <row r="640" spans="1:26" x14ac:dyDescent="0.25">
      <c r="A640" s="566"/>
      <c r="B640" s="566"/>
      <c r="C640" s="566"/>
      <c r="D640" s="566"/>
      <c r="E640" s="566"/>
      <c r="F640" s="566"/>
      <c r="G640" s="566"/>
      <c r="H640" s="566"/>
      <c r="I640" s="566"/>
      <c r="J640" s="566"/>
      <c r="K640" s="566"/>
      <c r="L640" s="566"/>
      <c r="M640" s="566"/>
      <c r="N640" s="566"/>
      <c r="O640" s="566"/>
      <c r="P640" s="566"/>
      <c r="Q640" s="566"/>
      <c r="R640" s="566"/>
      <c r="S640" s="566"/>
      <c r="T640" s="566"/>
      <c r="U640" s="566"/>
      <c r="V640" s="566"/>
      <c r="W640" s="566"/>
      <c r="X640" s="566"/>
      <c r="Y640" s="566"/>
      <c r="Z640" s="566"/>
    </row>
    <row r="641" spans="1:26" x14ac:dyDescent="0.25">
      <c r="A641" s="566"/>
      <c r="B641" s="566"/>
      <c r="C641" s="566"/>
      <c r="D641" s="566"/>
      <c r="E641" s="566"/>
      <c r="F641" s="566"/>
      <c r="G641" s="566"/>
      <c r="H641" s="566"/>
      <c r="I641" s="566"/>
      <c r="J641" s="566"/>
      <c r="K641" s="566"/>
      <c r="L641" s="566"/>
      <c r="M641" s="566"/>
      <c r="N641" s="566"/>
      <c r="O641" s="566"/>
      <c r="P641" s="566"/>
      <c r="Q641" s="566"/>
      <c r="R641" s="566"/>
      <c r="S641" s="566"/>
      <c r="T641" s="566"/>
      <c r="U641" s="566"/>
      <c r="V641" s="566"/>
      <c r="W641" s="566"/>
      <c r="X641" s="566"/>
      <c r="Y641" s="566"/>
      <c r="Z641" s="566"/>
    </row>
    <row r="642" spans="1:26" x14ac:dyDescent="0.25">
      <c r="A642" s="566"/>
      <c r="B642" s="566"/>
      <c r="C642" s="566"/>
      <c r="D642" s="566"/>
      <c r="E642" s="566"/>
      <c r="F642" s="566"/>
      <c r="G642" s="566"/>
      <c r="H642" s="566"/>
      <c r="I642" s="566"/>
      <c r="J642" s="566"/>
      <c r="K642" s="566"/>
      <c r="L642" s="566"/>
      <c r="M642" s="566"/>
      <c r="N642" s="566"/>
      <c r="O642" s="566"/>
      <c r="P642" s="566"/>
      <c r="Q642" s="566"/>
      <c r="R642" s="566"/>
      <c r="S642" s="566"/>
      <c r="T642" s="566"/>
      <c r="U642" s="566"/>
      <c r="V642" s="566"/>
      <c r="W642" s="566"/>
      <c r="X642" s="566"/>
      <c r="Y642" s="566"/>
      <c r="Z642" s="566"/>
    </row>
    <row r="643" spans="1:26" x14ac:dyDescent="0.25">
      <c r="A643" s="566"/>
      <c r="B643" s="566"/>
      <c r="C643" s="566"/>
      <c r="D643" s="566"/>
      <c r="E643" s="566"/>
      <c r="F643" s="566"/>
      <c r="G643" s="566"/>
      <c r="H643" s="566"/>
      <c r="I643" s="566"/>
      <c r="J643" s="566"/>
      <c r="K643" s="566"/>
      <c r="L643" s="566"/>
      <c r="M643" s="566"/>
      <c r="N643" s="566"/>
      <c r="O643" s="566"/>
      <c r="P643" s="566"/>
      <c r="Q643" s="566"/>
      <c r="R643" s="566"/>
      <c r="S643" s="566"/>
      <c r="T643" s="566"/>
      <c r="U643" s="566"/>
      <c r="V643" s="566"/>
      <c r="W643" s="566"/>
      <c r="X643" s="566"/>
      <c r="Y643" s="566"/>
      <c r="Z643" s="566"/>
    </row>
    <row r="644" spans="1:26" x14ac:dyDescent="0.25">
      <c r="A644" s="566"/>
      <c r="B644" s="566"/>
      <c r="C644" s="566"/>
      <c r="D644" s="566"/>
      <c r="E644" s="566"/>
      <c r="F644" s="566"/>
      <c r="G644" s="566"/>
      <c r="H644" s="566"/>
      <c r="I644" s="566"/>
      <c r="J644" s="566"/>
      <c r="K644" s="566"/>
      <c r="L644" s="566"/>
      <c r="M644" s="566"/>
      <c r="N644" s="566"/>
      <c r="O644" s="566"/>
      <c r="P644" s="566"/>
      <c r="Q644" s="566"/>
      <c r="R644" s="566"/>
      <c r="S644" s="566"/>
      <c r="T644" s="566"/>
      <c r="U644" s="566"/>
      <c r="V644" s="566"/>
      <c r="W644" s="566"/>
      <c r="X644" s="566"/>
      <c r="Y644" s="566"/>
      <c r="Z644" s="566"/>
    </row>
    <row r="645" spans="1:26" x14ac:dyDescent="0.25">
      <c r="A645" s="566"/>
      <c r="B645" s="566"/>
      <c r="C645" s="566"/>
      <c r="D645" s="566"/>
      <c r="E645" s="566"/>
      <c r="F645" s="566"/>
      <c r="G645" s="566"/>
      <c r="H645" s="566"/>
      <c r="I645" s="566"/>
      <c r="J645" s="566"/>
      <c r="K645" s="566"/>
      <c r="L645" s="566"/>
      <c r="M645" s="566"/>
      <c r="N645" s="566"/>
      <c r="O645" s="566"/>
      <c r="P645" s="566"/>
      <c r="Q645" s="566"/>
      <c r="R645" s="566"/>
      <c r="S645" s="566"/>
      <c r="T645" s="566"/>
      <c r="U645" s="566"/>
      <c r="V645" s="566"/>
      <c r="W645" s="566"/>
      <c r="X645" s="566"/>
      <c r="Y645" s="566"/>
      <c r="Z645" s="566"/>
    </row>
    <row r="646" spans="1:26" x14ac:dyDescent="0.25">
      <c r="A646" s="566"/>
      <c r="B646" s="566"/>
      <c r="C646" s="566"/>
      <c r="D646" s="566"/>
      <c r="E646" s="566"/>
      <c r="F646" s="566"/>
      <c r="G646" s="566"/>
      <c r="H646" s="566"/>
      <c r="I646" s="566"/>
      <c r="J646" s="566"/>
      <c r="K646" s="566"/>
      <c r="L646" s="566"/>
      <c r="M646" s="566"/>
      <c r="N646" s="566"/>
      <c r="O646" s="566"/>
      <c r="P646" s="566"/>
      <c r="Q646" s="566"/>
      <c r="R646" s="566"/>
      <c r="S646" s="566"/>
      <c r="T646" s="566"/>
      <c r="U646" s="566"/>
      <c r="V646" s="566"/>
      <c r="W646" s="566"/>
      <c r="X646" s="566"/>
      <c r="Y646" s="566"/>
      <c r="Z646" s="566"/>
    </row>
    <row r="647" spans="1:26" x14ac:dyDescent="0.25">
      <c r="A647" s="566"/>
      <c r="B647" s="566"/>
      <c r="C647" s="566"/>
      <c r="D647" s="566"/>
      <c r="E647" s="566"/>
      <c r="F647" s="566"/>
      <c r="G647" s="566"/>
      <c r="H647" s="566"/>
      <c r="I647" s="566"/>
      <c r="J647" s="566"/>
      <c r="K647" s="566"/>
      <c r="L647" s="566"/>
      <c r="M647" s="566"/>
      <c r="N647" s="566"/>
      <c r="O647" s="566"/>
      <c r="P647" s="566"/>
      <c r="Q647" s="566"/>
      <c r="R647" s="566"/>
      <c r="S647" s="566"/>
      <c r="T647" s="566"/>
      <c r="U647" s="566"/>
      <c r="V647" s="566"/>
      <c r="W647" s="566"/>
      <c r="X647" s="566"/>
      <c r="Y647" s="566"/>
      <c r="Z647" s="566"/>
    </row>
    <row r="648" spans="1:26" x14ac:dyDescent="0.25">
      <c r="A648" s="566"/>
      <c r="B648" s="566"/>
      <c r="C648" s="566"/>
      <c r="D648" s="566"/>
      <c r="E648" s="566"/>
      <c r="F648" s="566"/>
      <c r="G648" s="566"/>
      <c r="H648" s="566"/>
      <c r="I648" s="566"/>
      <c r="J648" s="566"/>
      <c r="K648" s="566"/>
      <c r="L648" s="566"/>
      <c r="M648" s="566"/>
      <c r="N648" s="566"/>
      <c r="O648" s="566"/>
      <c r="P648" s="566"/>
      <c r="Q648" s="566"/>
      <c r="R648" s="566"/>
      <c r="S648" s="566"/>
      <c r="T648" s="566"/>
      <c r="U648" s="566"/>
      <c r="V648" s="566"/>
      <c r="W648" s="566"/>
      <c r="X648" s="566"/>
      <c r="Y648" s="566"/>
      <c r="Z648" s="566"/>
    </row>
    <row r="649" spans="1:26" x14ac:dyDescent="0.25">
      <c r="A649" s="566"/>
      <c r="B649" s="566"/>
      <c r="C649" s="566"/>
      <c r="D649" s="566"/>
      <c r="E649" s="566"/>
      <c r="F649" s="566"/>
      <c r="G649" s="566"/>
      <c r="H649" s="566"/>
      <c r="I649" s="566"/>
      <c r="J649" s="566"/>
      <c r="K649" s="566"/>
      <c r="L649" s="566"/>
      <c r="M649" s="566"/>
      <c r="N649" s="566"/>
      <c r="O649" s="566"/>
      <c r="P649" s="566"/>
      <c r="Q649" s="566"/>
      <c r="R649" s="566"/>
      <c r="S649" s="566"/>
      <c r="T649" s="566"/>
      <c r="U649" s="566"/>
      <c r="V649" s="566"/>
      <c r="W649" s="566"/>
      <c r="X649" s="566"/>
      <c r="Y649" s="566"/>
      <c r="Z649" s="566"/>
    </row>
    <row r="650" spans="1:26" x14ac:dyDescent="0.25">
      <c r="A650" s="566"/>
      <c r="B650" s="566"/>
      <c r="C650" s="566"/>
      <c r="D650" s="566"/>
      <c r="E650" s="566"/>
      <c r="F650" s="566"/>
      <c r="G650" s="566"/>
      <c r="H650" s="566"/>
      <c r="I650" s="566"/>
      <c r="J650" s="566"/>
      <c r="K650" s="566"/>
      <c r="L650" s="566"/>
      <c r="M650" s="566"/>
      <c r="N650" s="566"/>
      <c r="O650" s="566"/>
      <c r="P650" s="566"/>
      <c r="Q650" s="566"/>
      <c r="R650" s="566"/>
      <c r="S650" s="566"/>
      <c r="T650" s="566"/>
      <c r="U650" s="566"/>
      <c r="V650" s="566"/>
      <c r="W650" s="566"/>
      <c r="X650" s="566"/>
      <c r="Y650" s="566"/>
      <c r="Z650" s="566"/>
    </row>
    <row r="651" spans="1:26" x14ac:dyDescent="0.25">
      <c r="A651" s="566"/>
      <c r="B651" s="566"/>
      <c r="C651" s="566"/>
      <c r="D651" s="566"/>
      <c r="E651" s="566"/>
      <c r="F651" s="566"/>
      <c r="G651" s="566"/>
      <c r="H651" s="566"/>
      <c r="I651" s="566"/>
      <c r="J651" s="566"/>
      <c r="K651" s="566"/>
      <c r="L651" s="566"/>
      <c r="M651" s="566"/>
      <c r="N651" s="566"/>
      <c r="O651" s="566"/>
      <c r="P651" s="566"/>
      <c r="Q651" s="566"/>
      <c r="R651" s="566"/>
      <c r="S651" s="566"/>
      <c r="T651" s="566"/>
      <c r="U651" s="566"/>
      <c r="V651" s="566"/>
      <c r="W651" s="566"/>
      <c r="X651" s="566"/>
      <c r="Y651" s="566"/>
      <c r="Z651" s="566"/>
    </row>
    <row r="652" spans="1:26" x14ac:dyDescent="0.25">
      <c r="A652" s="566"/>
      <c r="B652" s="566"/>
      <c r="C652" s="566"/>
      <c r="D652" s="566"/>
      <c r="E652" s="566"/>
      <c r="F652" s="566"/>
      <c r="G652" s="566"/>
      <c r="H652" s="566"/>
      <c r="I652" s="566"/>
      <c r="J652" s="566"/>
      <c r="K652" s="566"/>
      <c r="L652" s="566"/>
      <c r="M652" s="566"/>
      <c r="N652" s="566"/>
      <c r="O652" s="566"/>
      <c r="P652" s="566"/>
      <c r="Q652" s="566"/>
      <c r="R652" s="566"/>
      <c r="S652" s="566"/>
      <c r="T652" s="566"/>
      <c r="U652" s="566"/>
      <c r="V652" s="566"/>
      <c r="W652" s="566"/>
      <c r="X652" s="566"/>
      <c r="Y652" s="566"/>
      <c r="Z652" s="566"/>
    </row>
    <row r="653" spans="1:26" x14ac:dyDescent="0.25">
      <c r="A653" s="566"/>
      <c r="B653" s="566"/>
      <c r="C653" s="566"/>
      <c r="D653" s="566"/>
      <c r="E653" s="566"/>
      <c r="F653" s="566"/>
      <c r="G653" s="566"/>
      <c r="H653" s="566"/>
      <c r="I653" s="566"/>
      <c r="J653" s="566"/>
      <c r="K653" s="566"/>
      <c r="L653" s="566"/>
      <c r="M653" s="566"/>
      <c r="N653" s="566"/>
      <c r="O653" s="566"/>
      <c r="P653" s="566"/>
      <c r="Q653" s="566"/>
      <c r="R653" s="566"/>
      <c r="S653" s="566"/>
      <c r="T653" s="566"/>
      <c r="U653" s="566"/>
      <c r="V653" s="566"/>
      <c r="W653" s="566"/>
      <c r="X653" s="566"/>
      <c r="Y653" s="566"/>
      <c r="Z653" s="566"/>
    </row>
    <row r="654" spans="1:26" x14ac:dyDescent="0.25">
      <c r="A654" s="566"/>
      <c r="B654" s="566"/>
      <c r="C654" s="566"/>
      <c r="D654" s="566"/>
      <c r="E654" s="566"/>
      <c r="F654" s="566"/>
      <c r="G654" s="566"/>
      <c r="H654" s="566"/>
      <c r="I654" s="566"/>
      <c r="J654" s="566"/>
      <c r="K654" s="566"/>
      <c r="L654" s="566"/>
      <c r="M654" s="566"/>
      <c r="N654" s="566"/>
      <c r="O654" s="566"/>
      <c r="P654" s="566"/>
      <c r="Q654" s="566"/>
      <c r="R654" s="566"/>
      <c r="S654" s="566"/>
      <c r="T654" s="566"/>
      <c r="U654" s="566"/>
      <c r="V654" s="566"/>
      <c r="W654" s="566"/>
      <c r="X654" s="566"/>
      <c r="Y654" s="566"/>
      <c r="Z654" s="566"/>
    </row>
    <row r="655" spans="1:26" x14ac:dyDescent="0.25">
      <c r="A655" s="566"/>
      <c r="B655" s="566"/>
      <c r="C655" s="566"/>
      <c r="D655" s="566"/>
      <c r="E655" s="566"/>
      <c r="F655" s="566"/>
      <c r="G655" s="566"/>
      <c r="H655" s="566"/>
      <c r="I655" s="566"/>
      <c r="J655" s="566"/>
      <c r="K655" s="566"/>
      <c r="L655" s="566"/>
      <c r="M655" s="566"/>
      <c r="N655" s="566"/>
      <c r="O655" s="566"/>
      <c r="P655" s="566"/>
      <c r="Q655" s="566"/>
      <c r="R655" s="566"/>
      <c r="S655" s="566"/>
      <c r="T655" s="566"/>
      <c r="U655" s="566"/>
      <c r="V655" s="566"/>
      <c r="W655" s="566"/>
      <c r="X655" s="566"/>
      <c r="Y655" s="566"/>
      <c r="Z655" s="566"/>
    </row>
    <row r="656" spans="1:26" x14ac:dyDescent="0.25">
      <c r="A656" s="566"/>
      <c r="B656" s="566"/>
      <c r="C656" s="566"/>
      <c r="D656" s="566"/>
      <c r="E656" s="566"/>
      <c r="F656" s="566"/>
      <c r="G656" s="566"/>
      <c r="H656" s="566"/>
      <c r="I656" s="566"/>
      <c r="J656" s="566"/>
      <c r="K656" s="566"/>
      <c r="L656" s="566"/>
      <c r="M656" s="566"/>
      <c r="N656" s="566"/>
      <c r="O656" s="566"/>
      <c r="P656" s="566"/>
      <c r="Q656" s="566"/>
      <c r="R656" s="566"/>
      <c r="S656" s="566"/>
      <c r="T656" s="566"/>
      <c r="U656" s="566"/>
      <c r="V656" s="566"/>
      <c r="W656" s="566"/>
      <c r="X656" s="566"/>
      <c r="Y656" s="566"/>
      <c r="Z656" s="566"/>
    </row>
    <row r="657" spans="1:26" x14ac:dyDescent="0.25">
      <c r="A657" s="566"/>
      <c r="B657" s="566"/>
      <c r="C657" s="566"/>
      <c r="D657" s="566"/>
      <c r="E657" s="566"/>
      <c r="F657" s="566"/>
      <c r="G657" s="566"/>
      <c r="H657" s="566"/>
      <c r="I657" s="566"/>
      <c r="J657" s="566"/>
      <c r="K657" s="566"/>
      <c r="L657" s="566"/>
      <c r="M657" s="566"/>
      <c r="N657" s="566"/>
      <c r="O657" s="566"/>
      <c r="P657" s="566"/>
      <c r="Q657" s="566"/>
      <c r="R657" s="566"/>
      <c r="S657" s="566"/>
      <c r="T657" s="566"/>
      <c r="U657" s="566"/>
      <c r="V657" s="566"/>
      <c r="W657" s="566"/>
      <c r="X657" s="566"/>
      <c r="Y657" s="566"/>
      <c r="Z657" s="566"/>
    </row>
    <row r="658" spans="1:26" x14ac:dyDescent="0.25">
      <c r="A658" s="566"/>
      <c r="B658" s="566"/>
      <c r="C658" s="566"/>
      <c r="D658" s="566"/>
      <c r="E658" s="566"/>
      <c r="F658" s="566"/>
      <c r="G658" s="566"/>
      <c r="H658" s="566"/>
      <c r="I658" s="566"/>
      <c r="J658" s="566"/>
      <c r="K658" s="566"/>
      <c r="L658" s="566"/>
      <c r="M658" s="566"/>
      <c r="N658" s="566"/>
      <c r="O658" s="566"/>
      <c r="P658" s="566"/>
      <c r="Q658" s="566"/>
      <c r="R658" s="566"/>
      <c r="S658" s="566"/>
      <c r="T658" s="566"/>
      <c r="U658" s="566"/>
      <c r="V658" s="566"/>
      <c r="W658" s="566"/>
      <c r="X658" s="566"/>
      <c r="Y658" s="566"/>
      <c r="Z658" s="566"/>
    </row>
    <row r="659" spans="1:26" x14ac:dyDescent="0.25">
      <c r="A659" s="566"/>
      <c r="B659" s="566"/>
      <c r="C659" s="566"/>
      <c r="D659" s="566"/>
      <c r="E659" s="566"/>
      <c r="F659" s="566"/>
      <c r="G659" s="566"/>
      <c r="H659" s="566"/>
      <c r="I659" s="566"/>
      <c r="J659" s="566"/>
      <c r="K659" s="566"/>
      <c r="L659" s="566"/>
      <c r="M659" s="566"/>
      <c r="N659" s="566"/>
      <c r="O659" s="566"/>
      <c r="P659" s="566"/>
      <c r="Q659" s="566"/>
      <c r="R659" s="566"/>
      <c r="S659" s="566"/>
      <c r="T659" s="566"/>
      <c r="U659" s="566"/>
      <c r="V659" s="566"/>
      <c r="W659" s="566"/>
      <c r="X659" s="566"/>
      <c r="Y659" s="566"/>
      <c r="Z659" s="566"/>
    </row>
    <row r="660" spans="1:26" x14ac:dyDescent="0.25">
      <c r="A660" s="566"/>
      <c r="B660" s="566"/>
      <c r="C660" s="566"/>
      <c r="D660" s="566"/>
      <c r="E660" s="566"/>
      <c r="F660" s="566"/>
      <c r="G660" s="566"/>
      <c r="H660" s="566"/>
      <c r="I660" s="566"/>
      <c r="J660" s="566"/>
      <c r="K660" s="566"/>
      <c r="L660" s="566"/>
      <c r="M660" s="566"/>
      <c r="N660" s="566"/>
      <c r="O660" s="566"/>
      <c r="P660" s="566"/>
      <c r="Q660" s="566"/>
      <c r="R660" s="566"/>
      <c r="S660" s="566"/>
      <c r="T660" s="566"/>
      <c r="U660" s="566"/>
      <c r="V660" s="566"/>
      <c r="W660" s="566"/>
      <c r="X660" s="566"/>
      <c r="Y660" s="566"/>
      <c r="Z660" s="566"/>
    </row>
    <row r="661" spans="1:26" x14ac:dyDescent="0.25">
      <c r="A661" s="566"/>
      <c r="B661" s="566"/>
      <c r="C661" s="566"/>
      <c r="D661" s="566"/>
      <c r="E661" s="566"/>
      <c r="F661" s="566"/>
      <c r="G661" s="566"/>
      <c r="H661" s="566"/>
      <c r="I661" s="566"/>
      <c r="J661" s="566"/>
      <c r="K661" s="566"/>
      <c r="L661" s="566"/>
      <c r="M661" s="566"/>
      <c r="N661" s="566"/>
      <c r="O661" s="566"/>
      <c r="P661" s="566"/>
      <c r="Q661" s="566"/>
      <c r="R661" s="566"/>
      <c r="S661" s="566"/>
      <c r="T661" s="566"/>
      <c r="U661" s="566"/>
      <c r="V661" s="566"/>
      <c r="W661" s="566"/>
      <c r="X661" s="566"/>
      <c r="Y661" s="566"/>
      <c r="Z661" s="566"/>
    </row>
    <row r="662" spans="1:26" x14ac:dyDescent="0.25">
      <c r="A662" s="566"/>
      <c r="B662" s="566"/>
      <c r="C662" s="566"/>
      <c r="D662" s="566"/>
      <c r="E662" s="566"/>
      <c r="F662" s="566"/>
      <c r="G662" s="566"/>
      <c r="H662" s="566"/>
      <c r="I662" s="566"/>
      <c r="J662" s="566"/>
      <c r="K662" s="566"/>
      <c r="L662" s="566"/>
      <c r="M662" s="566"/>
      <c r="N662" s="566"/>
      <c r="O662" s="566"/>
      <c r="P662" s="566"/>
      <c r="Q662" s="566"/>
      <c r="R662" s="566"/>
      <c r="S662" s="566"/>
      <c r="T662" s="566"/>
      <c r="U662" s="566"/>
      <c r="V662" s="566"/>
      <c r="W662" s="566"/>
      <c r="X662" s="566"/>
      <c r="Y662" s="566"/>
      <c r="Z662" s="566"/>
    </row>
    <row r="663" spans="1:26" x14ac:dyDescent="0.25">
      <c r="A663" s="566"/>
      <c r="B663" s="566"/>
      <c r="C663" s="566"/>
      <c r="D663" s="566"/>
      <c r="E663" s="566"/>
      <c r="F663" s="566"/>
      <c r="G663" s="566"/>
      <c r="H663" s="566"/>
      <c r="I663" s="566"/>
      <c r="J663" s="566"/>
      <c r="K663" s="566"/>
      <c r="L663" s="566"/>
      <c r="M663" s="566"/>
      <c r="N663" s="566"/>
      <c r="O663" s="566"/>
      <c r="P663" s="566"/>
      <c r="Q663" s="566"/>
      <c r="R663" s="566"/>
      <c r="S663" s="566"/>
      <c r="T663" s="566"/>
      <c r="U663" s="566"/>
      <c r="V663" s="566"/>
      <c r="W663" s="566"/>
      <c r="X663" s="566"/>
      <c r="Y663" s="566"/>
      <c r="Z663" s="566"/>
    </row>
    <row r="664" spans="1:26" x14ac:dyDescent="0.25">
      <c r="A664" s="566"/>
      <c r="B664" s="566"/>
      <c r="C664" s="566"/>
      <c r="D664" s="566"/>
      <c r="E664" s="566"/>
      <c r="F664" s="566"/>
      <c r="G664" s="566"/>
      <c r="H664" s="566"/>
      <c r="I664" s="566"/>
      <c r="J664" s="566"/>
      <c r="K664" s="566"/>
      <c r="L664" s="566"/>
      <c r="M664" s="566"/>
      <c r="N664" s="566"/>
      <c r="O664" s="566"/>
      <c r="P664" s="566"/>
      <c r="Q664" s="566"/>
      <c r="R664" s="566"/>
      <c r="S664" s="566"/>
      <c r="T664" s="566"/>
      <c r="U664" s="566"/>
      <c r="V664" s="566"/>
      <c r="W664" s="566"/>
      <c r="X664" s="566"/>
      <c r="Y664" s="566"/>
      <c r="Z664" s="566"/>
    </row>
    <row r="665" spans="1:26" x14ac:dyDescent="0.25">
      <c r="A665" s="566"/>
      <c r="B665" s="566"/>
      <c r="C665" s="566"/>
      <c r="D665" s="566"/>
      <c r="E665" s="566"/>
      <c r="F665" s="566"/>
      <c r="G665" s="566"/>
      <c r="H665" s="566"/>
      <c r="I665" s="566"/>
      <c r="J665" s="566"/>
      <c r="K665" s="566"/>
      <c r="L665" s="566"/>
      <c r="M665" s="566"/>
      <c r="N665" s="566"/>
      <c r="O665" s="566"/>
      <c r="P665" s="566"/>
      <c r="Q665" s="566"/>
      <c r="R665" s="566"/>
      <c r="S665" s="566"/>
      <c r="T665" s="566"/>
      <c r="U665" s="566"/>
      <c r="V665" s="566"/>
      <c r="W665" s="566"/>
      <c r="X665" s="566"/>
      <c r="Y665" s="566"/>
      <c r="Z665" s="566"/>
    </row>
    <row r="666" spans="1:26" x14ac:dyDescent="0.25">
      <c r="A666" s="566"/>
      <c r="B666" s="566"/>
      <c r="C666" s="566"/>
      <c r="D666" s="566"/>
      <c r="E666" s="566"/>
      <c r="F666" s="566"/>
      <c r="G666" s="566"/>
      <c r="H666" s="566"/>
      <c r="I666" s="566"/>
      <c r="J666" s="566"/>
      <c r="K666" s="566"/>
      <c r="L666" s="566"/>
      <c r="M666" s="566"/>
      <c r="N666" s="566"/>
      <c r="O666" s="566"/>
      <c r="P666" s="566"/>
      <c r="Q666" s="566"/>
      <c r="R666" s="566"/>
      <c r="S666" s="566"/>
      <c r="T666" s="566"/>
      <c r="U666" s="566"/>
      <c r="V666" s="566"/>
      <c r="W666" s="566"/>
      <c r="X666" s="566"/>
      <c r="Y666" s="566"/>
      <c r="Z666" s="566"/>
    </row>
    <row r="667" spans="1:26" x14ac:dyDescent="0.25">
      <c r="A667" s="566"/>
      <c r="B667" s="566"/>
      <c r="C667" s="566"/>
      <c r="D667" s="566"/>
      <c r="E667" s="566"/>
      <c r="F667" s="566"/>
      <c r="G667" s="566"/>
      <c r="H667" s="566"/>
      <c r="I667" s="566"/>
      <c r="J667" s="566"/>
      <c r="K667" s="566"/>
      <c r="L667" s="566"/>
      <c r="M667" s="566"/>
      <c r="N667" s="566"/>
      <c r="O667" s="566"/>
      <c r="P667" s="566"/>
      <c r="Q667" s="566"/>
      <c r="R667" s="566"/>
      <c r="S667" s="566"/>
      <c r="T667" s="566"/>
      <c r="U667" s="566"/>
      <c r="V667" s="566"/>
      <c r="W667" s="566"/>
      <c r="X667" s="566"/>
      <c r="Y667" s="566"/>
      <c r="Z667" s="566"/>
    </row>
    <row r="668" spans="1:26" x14ac:dyDescent="0.25">
      <c r="A668" s="566"/>
      <c r="B668" s="566"/>
      <c r="C668" s="566"/>
      <c r="D668" s="566"/>
      <c r="E668" s="566"/>
      <c r="F668" s="566"/>
      <c r="G668" s="566"/>
      <c r="H668" s="566"/>
      <c r="I668" s="566"/>
      <c r="J668" s="566"/>
      <c r="K668" s="566"/>
      <c r="L668" s="566"/>
      <c r="M668" s="566"/>
      <c r="N668" s="566"/>
      <c r="O668" s="566"/>
      <c r="P668" s="566"/>
      <c r="Q668" s="566"/>
      <c r="R668" s="566"/>
      <c r="S668" s="566"/>
      <c r="T668" s="566"/>
      <c r="U668" s="566"/>
      <c r="V668" s="566"/>
      <c r="W668" s="566"/>
      <c r="X668" s="566"/>
      <c r="Y668" s="566"/>
      <c r="Z668" s="566"/>
    </row>
    <row r="669" spans="1:26" x14ac:dyDescent="0.25">
      <c r="A669" s="566"/>
      <c r="B669" s="566"/>
      <c r="C669" s="566"/>
      <c r="D669" s="566"/>
      <c r="E669" s="566"/>
      <c r="F669" s="566"/>
      <c r="G669" s="566"/>
      <c r="H669" s="566"/>
      <c r="I669" s="566"/>
      <c r="J669" s="566"/>
      <c r="K669" s="566"/>
      <c r="L669" s="566"/>
      <c r="M669" s="566"/>
      <c r="N669" s="566"/>
      <c r="O669" s="566"/>
      <c r="P669" s="566"/>
      <c r="Q669" s="566"/>
      <c r="R669" s="566"/>
      <c r="S669" s="566"/>
      <c r="T669" s="566"/>
      <c r="U669" s="566"/>
      <c r="V669" s="566"/>
      <c r="W669" s="566"/>
      <c r="X669" s="566"/>
      <c r="Y669" s="566"/>
      <c r="Z669" s="566"/>
    </row>
    <row r="670" spans="1:26" x14ac:dyDescent="0.25">
      <c r="A670" s="566"/>
      <c r="B670" s="566"/>
      <c r="C670" s="566"/>
      <c r="D670" s="566"/>
      <c r="E670" s="566"/>
      <c r="F670" s="566"/>
      <c r="G670" s="566"/>
      <c r="H670" s="566"/>
      <c r="I670" s="566"/>
      <c r="J670" s="566"/>
      <c r="K670" s="566"/>
      <c r="L670" s="566"/>
      <c r="M670" s="566"/>
      <c r="N670" s="566"/>
      <c r="O670" s="566"/>
      <c r="P670" s="566"/>
      <c r="Q670" s="566"/>
      <c r="R670" s="566"/>
      <c r="S670" s="566"/>
      <c r="T670" s="566"/>
      <c r="U670" s="566"/>
      <c r="V670" s="566"/>
      <c r="W670" s="566"/>
      <c r="X670" s="566"/>
      <c r="Y670" s="566"/>
      <c r="Z670" s="566"/>
    </row>
    <row r="671" spans="1:26" x14ac:dyDescent="0.25">
      <c r="A671" s="566"/>
      <c r="B671" s="566"/>
      <c r="C671" s="566"/>
      <c r="D671" s="566"/>
      <c r="E671" s="566"/>
      <c r="F671" s="566"/>
      <c r="G671" s="566"/>
      <c r="H671" s="566"/>
      <c r="I671" s="566"/>
      <c r="J671" s="566"/>
      <c r="K671" s="566"/>
      <c r="L671" s="566"/>
      <c r="M671" s="566"/>
      <c r="N671" s="566"/>
      <c r="O671" s="566"/>
      <c r="P671" s="566"/>
      <c r="Q671" s="566"/>
      <c r="R671" s="566"/>
      <c r="S671" s="566"/>
      <c r="T671" s="566"/>
      <c r="U671" s="566"/>
      <c r="V671" s="566"/>
      <c r="W671" s="566"/>
      <c r="X671" s="566"/>
      <c r="Y671" s="566"/>
      <c r="Z671" s="566"/>
    </row>
    <row r="672" spans="1:26" x14ac:dyDescent="0.25">
      <c r="A672" s="566"/>
      <c r="B672" s="566"/>
      <c r="C672" s="566"/>
      <c r="D672" s="566"/>
      <c r="E672" s="566"/>
      <c r="F672" s="566"/>
      <c r="G672" s="566"/>
      <c r="H672" s="566"/>
      <c r="I672" s="566"/>
      <c r="J672" s="566"/>
      <c r="K672" s="566"/>
      <c r="L672" s="566"/>
      <c r="M672" s="566"/>
      <c r="N672" s="566"/>
      <c r="O672" s="566"/>
      <c r="P672" s="566"/>
      <c r="Q672" s="566"/>
      <c r="R672" s="566"/>
      <c r="S672" s="566"/>
      <c r="T672" s="566"/>
      <c r="U672" s="566"/>
      <c r="V672" s="566"/>
      <c r="W672" s="566"/>
      <c r="X672" s="566"/>
      <c r="Y672" s="566"/>
      <c r="Z672" s="566"/>
    </row>
    <row r="673" spans="1:26" x14ac:dyDescent="0.25">
      <c r="A673" s="566"/>
      <c r="B673" s="566"/>
      <c r="C673" s="566"/>
      <c r="D673" s="566"/>
      <c r="E673" s="566"/>
      <c r="F673" s="566"/>
      <c r="G673" s="566"/>
      <c r="H673" s="566"/>
      <c r="I673" s="566"/>
      <c r="J673" s="566"/>
      <c r="K673" s="566"/>
      <c r="L673" s="566"/>
      <c r="M673" s="566"/>
      <c r="N673" s="566"/>
      <c r="O673" s="566"/>
      <c r="P673" s="566"/>
      <c r="Q673" s="566"/>
      <c r="R673" s="566"/>
      <c r="S673" s="566"/>
      <c r="T673" s="566"/>
      <c r="U673" s="566"/>
      <c r="V673" s="566"/>
      <c r="W673" s="566"/>
      <c r="X673" s="566"/>
      <c r="Y673" s="566"/>
      <c r="Z673" s="566"/>
    </row>
    <row r="674" spans="1:26" x14ac:dyDescent="0.25">
      <c r="A674" s="566"/>
      <c r="B674" s="566"/>
      <c r="C674" s="566"/>
      <c r="D674" s="566"/>
      <c r="E674" s="566"/>
      <c r="F674" s="566"/>
      <c r="G674" s="566"/>
      <c r="H674" s="566"/>
      <c r="I674" s="566"/>
      <c r="J674" s="566"/>
      <c r="K674" s="566"/>
      <c r="L674" s="566"/>
      <c r="M674" s="566"/>
      <c r="N674" s="566"/>
      <c r="O674" s="566"/>
      <c r="P674" s="566"/>
      <c r="Q674" s="566"/>
      <c r="R674" s="566"/>
      <c r="S674" s="566"/>
      <c r="T674" s="566"/>
      <c r="U674" s="566"/>
      <c r="V674" s="566"/>
      <c r="W674" s="566"/>
      <c r="X674" s="566"/>
      <c r="Y674" s="566"/>
      <c r="Z674" s="566"/>
    </row>
    <row r="675" spans="1:26" x14ac:dyDescent="0.25">
      <c r="A675" s="566"/>
      <c r="B675" s="566"/>
      <c r="C675" s="566"/>
      <c r="D675" s="566"/>
      <c r="E675" s="566"/>
      <c r="F675" s="566"/>
      <c r="G675" s="566"/>
      <c r="H675" s="566"/>
      <c r="I675" s="566"/>
      <c r="J675" s="566"/>
      <c r="K675" s="566"/>
      <c r="L675" s="566"/>
      <c r="M675" s="566"/>
      <c r="N675" s="566"/>
      <c r="O675" s="566"/>
      <c r="P675" s="566"/>
      <c r="Q675" s="566"/>
      <c r="R675" s="566"/>
      <c r="S675" s="566"/>
      <c r="T675" s="566"/>
      <c r="U675" s="566"/>
      <c r="V675" s="566"/>
      <c r="W675" s="566"/>
      <c r="X675" s="566"/>
      <c r="Y675" s="566"/>
      <c r="Z675" s="566"/>
    </row>
    <row r="676" spans="1:26" x14ac:dyDescent="0.25">
      <c r="A676" s="566"/>
      <c r="B676" s="566"/>
      <c r="C676" s="566"/>
      <c r="D676" s="566"/>
      <c r="E676" s="566"/>
      <c r="F676" s="566"/>
      <c r="G676" s="566"/>
      <c r="H676" s="566"/>
      <c r="I676" s="566"/>
      <c r="J676" s="566"/>
      <c r="K676" s="566"/>
      <c r="L676" s="566"/>
      <c r="M676" s="566"/>
      <c r="N676" s="566"/>
      <c r="O676" s="566"/>
      <c r="P676" s="566"/>
      <c r="Q676" s="566"/>
      <c r="R676" s="566"/>
      <c r="S676" s="566"/>
      <c r="T676" s="566"/>
      <c r="U676" s="566"/>
      <c r="V676" s="566"/>
      <c r="W676" s="566"/>
      <c r="X676" s="566"/>
      <c r="Y676" s="566"/>
      <c r="Z676" s="566"/>
    </row>
    <row r="677" spans="1:26" x14ac:dyDescent="0.25">
      <c r="A677" s="566"/>
      <c r="B677" s="566"/>
      <c r="C677" s="566"/>
      <c r="D677" s="566"/>
      <c r="E677" s="566"/>
      <c r="F677" s="566"/>
      <c r="G677" s="566"/>
      <c r="H677" s="566"/>
      <c r="I677" s="566"/>
      <c r="J677" s="566"/>
      <c r="K677" s="566"/>
      <c r="L677" s="566"/>
      <c r="M677" s="566"/>
      <c r="N677" s="566"/>
      <c r="O677" s="566"/>
      <c r="P677" s="566"/>
      <c r="Q677" s="566"/>
      <c r="R677" s="566"/>
      <c r="S677" s="566"/>
      <c r="T677" s="566"/>
      <c r="U677" s="566"/>
      <c r="V677" s="566"/>
      <c r="W677" s="566"/>
      <c r="X677" s="566"/>
      <c r="Y677" s="566"/>
      <c r="Z677" s="566"/>
    </row>
    <row r="678" spans="1:26" x14ac:dyDescent="0.25">
      <c r="A678" s="566"/>
      <c r="B678" s="566"/>
      <c r="C678" s="566"/>
      <c r="D678" s="566"/>
      <c r="E678" s="566"/>
      <c r="F678" s="566"/>
      <c r="G678" s="566"/>
      <c r="H678" s="566"/>
      <c r="I678" s="566"/>
      <c r="J678" s="566"/>
      <c r="K678" s="566"/>
      <c r="L678" s="566"/>
      <c r="M678" s="566"/>
      <c r="N678" s="566"/>
      <c r="O678" s="566"/>
      <c r="P678" s="566"/>
      <c r="Q678" s="566"/>
      <c r="R678" s="566"/>
      <c r="S678" s="566"/>
      <c r="T678" s="566"/>
      <c r="U678" s="566"/>
      <c r="V678" s="566"/>
      <c r="W678" s="566"/>
      <c r="X678" s="566"/>
      <c r="Y678" s="566"/>
      <c r="Z678" s="566"/>
    </row>
    <row r="679" spans="1:26" x14ac:dyDescent="0.25">
      <c r="A679" s="566"/>
      <c r="B679" s="566"/>
      <c r="C679" s="566"/>
      <c r="D679" s="566"/>
      <c r="E679" s="566"/>
      <c r="F679" s="566"/>
      <c r="G679" s="566"/>
      <c r="H679" s="566"/>
      <c r="I679" s="566"/>
      <c r="J679" s="566"/>
      <c r="K679" s="566"/>
      <c r="L679" s="566"/>
      <c r="M679" s="566"/>
      <c r="N679" s="566"/>
      <c r="O679" s="566"/>
      <c r="P679" s="566"/>
      <c r="Q679" s="566"/>
      <c r="R679" s="566"/>
      <c r="S679" s="566"/>
      <c r="T679" s="566"/>
      <c r="U679" s="566"/>
      <c r="V679" s="566"/>
      <c r="W679" s="566"/>
      <c r="X679" s="566"/>
      <c r="Y679" s="566"/>
      <c r="Z679" s="566"/>
    </row>
    <row r="680" spans="1:26" x14ac:dyDescent="0.25">
      <c r="A680" s="566"/>
      <c r="B680" s="566"/>
      <c r="C680" s="566"/>
      <c r="D680" s="566"/>
      <c r="E680" s="566"/>
      <c r="F680" s="566"/>
      <c r="G680" s="566"/>
      <c r="H680" s="566"/>
      <c r="I680" s="566"/>
      <c r="J680" s="566"/>
      <c r="K680" s="566"/>
      <c r="L680" s="566"/>
      <c r="M680" s="566"/>
      <c r="N680" s="566"/>
      <c r="O680" s="566"/>
      <c r="P680" s="566"/>
      <c r="Q680" s="566"/>
      <c r="R680" s="566"/>
      <c r="S680" s="566"/>
      <c r="T680" s="566"/>
      <c r="U680" s="566"/>
      <c r="V680" s="566"/>
      <c r="W680" s="566"/>
      <c r="X680" s="566"/>
      <c r="Y680" s="566"/>
      <c r="Z680" s="566"/>
    </row>
    <row r="681" spans="1:26" x14ac:dyDescent="0.25">
      <c r="A681" s="566"/>
      <c r="B681" s="566"/>
      <c r="C681" s="566"/>
      <c r="D681" s="566"/>
      <c r="E681" s="566"/>
      <c r="F681" s="566"/>
      <c r="G681" s="566"/>
      <c r="H681" s="566"/>
      <c r="I681" s="566"/>
      <c r="J681" s="566"/>
      <c r="K681" s="566"/>
      <c r="L681" s="566"/>
      <c r="M681" s="566"/>
      <c r="N681" s="566"/>
      <c r="O681" s="566"/>
      <c r="P681" s="566"/>
      <c r="Q681" s="566"/>
      <c r="R681" s="566"/>
      <c r="S681" s="566"/>
      <c r="T681" s="566"/>
      <c r="U681" s="566"/>
      <c r="V681" s="566"/>
      <c r="W681" s="566"/>
      <c r="X681" s="566"/>
      <c r="Y681" s="566"/>
      <c r="Z681" s="566"/>
    </row>
    <row r="682" spans="1:26" x14ac:dyDescent="0.25">
      <c r="A682" s="566"/>
      <c r="B682" s="566"/>
      <c r="C682" s="566"/>
      <c r="D682" s="566"/>
      <c r="E682" s="566"/>
      <c r="F682" s="566"/>
      <c r="G682" s="566"/>
      <c r="H682" s="566"/>
      <c r="I682" s="566"/>
      <c r="J682" s="566"/>
      <c r="K682" s="566"/>
      <c r="L682" s="566"/>
      <c r="M682" s="566"/>
      <c r="N682" s="566"/>
      <c r="O682" s="566"/>
      <c r="P682" s="566"/>
      <c r="Q682" s="566"/>
      <c r="R682" s="566"/>
      <c r="S682" s="566"/>
      <c r="T682" s="566"/>
      <c r="U682" s="566"/>
      <c r="V682" s="566"/>
      <c r="W682" s="566"/>
      <c r="X682" s="566"/>
      <c r="Y682" s="566"/>
      <c r="Z682" s="566"/>
    </row>
    <row r="683" spans="1:26" x14ac:dyDescent="0.25">
      <c r="A683" s="566"/>
      <c r="B683" s="566"/>
      <c r="C683" s="566"/>
      <c r="D683" s="566"/>
      <c r="E683" s="566"/>
      <c r="F683" s="566"/>
      <c r="G683" s="566"/>
      <c r="H683" s="566"/>
      <c r="I683" s="566"/>
      <c r="J683" s="566"/>
      <c r="K683" s="566"/>
      <c r="L683" s="566"/>
      <c r="M683" s="566"/>
      <c r="N683" s="566"/>
      <c r="O683" s="566"/>
      <c r="P683" s="566"/>
      <c r="Q683" s="566"/>
      <c r="R683" s="566"/>
      <c r="S683" s="566"/>
      <c r="T683" s="566"/>
      <c r="U683" s="566"/>
      <c r="V683" s="566"/>
      <c r="W683" s="566"/>
      <c r="X683" s="566"/>
      <c r="Y683" s="566"/>
      <c r="Z683" s="566"/>
    </row>
    <row r="684" spans="1:26" x14ac:dyDescent="0.25">
      <c r="A684" s="566"/>
      <c r="B684" s="566"/>
      <c r="C684" s="566"/>
      <c r="D684" s="566"/>
      <c r="E684" s="566"/>
      <c r="F684" s="566"/>
      <c r="G684" s="566"/>
      <c r="H684" s="566"/>
      <c r="I684" s="566"/>
      <c r="J684" s="566"/>
      <c r="K684" s="566"/>
      <c r="L684" s="566"/>
      <c r="M684" s="566"/>
      <c r="N684" s="566"/>
      <c r="O684" s="566"/>
      <c r="P684" s="566"/>
      <c r="Q684" s="566"/>
      <c r="R684" s="566"/>
      <c r="S684" s="566"/>
      <c r="T684" s="566"/>
      <c r="U684" s="566"/>
      <c r="V684" s="566"/>
      <c r="W684" s="566"/>
      <c r="X684" s="566"/>
      <c r="Y684" s="566"/>
      <c r="Z684" s="566"/>
    </row>
    <row r="685" spans="1:26" x14ac:dyDescent="0.25">
      <c r="A685" s="566"/>
      <c r="B685" s="566"/>
      <c r="C685" s="566"/>
      <c r="D685" s="566"/>
      <c r="E685" s="566"/>
      <c r="F685" s="566"/>
      <c r="G685" s="566"/>
      <c r="H685" s="566"/>
      <c r="I685" s="566"/>
      <c r="J685" s="566"/>
      <c r="K685" s="566"/>
      <c r="L685" s="566"/>
      <c r="M685" s="566"/>
      <c r="N685" s="566"/>
      <c r="O685" s="566"/>
      <c r="P685" s="566"/>
      <c r="Q685" s="566"/>
      <c r="R685" s="566"/>
      <c r="S685" s="566"/>
      <c r="T685" s="566"/>
      <c r="U685" s="566"/>
      <c r="V685" s="566"/>
      <c r="W685" s="566"/>
      <c r="X685" s="566"/>
      <c r="Y685" s="566"/>
      <c r="Z685" s="566"/>
    </row>
    <row r="686" spans="1:26" x14ac:dyDescent="0.25">
      <c r="A686" s="566"/>
      <c r="B686" s="566"/>
      <c r="C686" s="566"/>
      <c r="D686" s="566"/>
      <c r="E686" s="566"/>
      <c r="F686" s="566"/>
      <c r="G686" s="566"/>
      <c r="H686" s="566"/>
      <c r="I686" s="566"/>
      <c r="J686" s="566"/>
      <c r="K686" s="566"/>
      <c r="L686" s="566"/>
      <c r="M686" s="566"/>
      <c r="N686" s="566"/>
      <c r="O686" s="566"/>
      <c r="P686" s="566"/>
      <c r="Q686" s="566"/>
      <c r="R686" s="566"/>
      <c r="S686" s="566"/>
      <c r="T686" s="566"/>
      <c r="U686" s="566"/>
      <c r="V686" s="566"/>
      <c r="W686" s="566"/>
      <c r="X686" s="566"/>
      <c r="Y686" s="566"/>
      <c r="Z686" s="566"/>
    </row>
    <row r="687" spans="1:26" x14ac:dyDescent="0.25">
      <c r="A687" s="566"/>
      <c r="B687" s="566"/>
      <c r="C687" s="566"/>
      <c r="D687" s="566"/>
      <c r="E687" s="566"/>
      <c r="F687" s="566"/>
      <c r="G687" s="566"/>
      <c r="H687" s="566"/>
      <c r="I687" s="566"/>
      <c r="J687" s="566"/>
      <c r="K687" s="566"/>
      <c r="L687" s="566"/>
      <c r="M687" s="566"/>
      <c r="N687" s="566"/>
      <c r="O687" s="566"/>
      <c r="P687" s="566"/>
      <c r="Q687" s="566"/>
      <c r="R687" s="566"/>
      <c r="S687" s="566"/>
      <c r="T687" s="566"/>
      <c r="U687" s="566"/>
      <c r="V687" s="566"/>
      <c r="W687" s="566"/>
      <c r="X687" s="566"/>
      <c r="Y687" s="566"/>
      <c r="Z687" s="566"/>
    </row>
    <row r="688" spans="1:26" x14ac:dyDescent="0.25">
      <c r="A688" s="566"/>
      <c r="B688" s="566"/>
      <c r="C688" s="566"/>
      <c r="D688" s="566"/>
      <c r="E688" s="566"/>
      <c r="F688" s="566"/>
      <c r="G688" s="566"/>
      <c r="H688" s="566"/>
      <c r="I688" s="566"/>
      <c r="J688" s="566"/>
      <c r="K688" s="566"/>
      <c r="L688" s="566"/>
      <c r="M688" s="566"/>
      <c r="N688" s="566"/>
      <c r="O688" s="566"/>
      <c r="P688" s="566"/>
      <c r="Q688" s="566"/>
      <c r="R688" s="566"/>
      <c r="S688" s="566"/>
      <c r="T688" s="566"/>
      <c r="U688" s="566"/>
      <c r="V688" s="566"/>
      <c r="W688" s="566"/>
      <c r="X688" s="566"/>
      <c r="Y688" s="566"/>
      <c r="Z688" s="566"/>
    </row>
    <row r="689" spans="1:26" x14ac:dyDescent="0.25">
      <c r="A689" s="566"/>
      <c r="B689" s="566"/>
      <c r="C689" s="566"/>
      <c r="D689" s="566"/>
      <c r="E689" s="566"/>
      <c r="F689" s="566"/>
      <c r="G689" s="566"/>
      <c r="H689" s="566"/>
      <c r="I689" s="566"/>
      <c r="J689" s="566"/>
      <c r="K689" s="566"/>
      <c r="L689" s="566"/>
      <c r="M689" s="566"/>
      <c r="N689" s="566"/>
      <c r="O689" s="566"/>
      <c r="P689" s="566"/>
      <c r="Q689" s="566"/>
      <c r="R689" s="566"/>
      <c r="S689" s="566"/>
      <c r="T689" s="566"/>
      <c r="U689" s="566"/>
      <c r="V689" s="566"/>
      <c r="W689" s="566"/>
      <c r="X689" s="566"/>
      <c r="Y689" s="566"/>
      <c r="Z689" s="566"/>
    </row>
    <row r="690" spans="1:26" x14ac:dyDescent="0.25">
      <c r="A690" s="566"/>
      <c r="B690" s="566"/>
      <c r="C690" s="566"/>
      <c r="D690" s="566"/>
      <c r="E690" s="566"/>
      <c r="F690" s="566"/>
      <c r="G690" s="566"/>
      <c r="H690" s="566"/>
      <c r="I690" s="566"/>
      <c r="J690" s="566"/>
      <c r="K690" s="566"/>
      <c r="L690" s="566"/>
      <c r="M690" s="566"/>
      <c r="N690" s="566"/>
      <c r="O690" s="566"/>
      <c r="P690" s="566"/>
      <c r="Q690" s="566"/>
      <c r="R690" s="566"/>
      <c r="S690" s="566"/>
      <c r="T690" s="566"/>
      <c r="U690" s="566"/>
      <c r="V690" s="566"/>
      <c r="W690" s="566"/>
      <c r="X690" s="566"/>
      <c r="Y690" s="566"/>
      <c r="Z690" s="566"/>
    </row>
    <row r="691" spans="1:26" x14ac:dyDescent="0.25">
      <c r="A691" s="566"/>
      <c r="B691" s="566"/>
      <c r="C691" s="566"/>
      <c r="D691" s="566"/>
      <c r="E691" s="566"/>
      <c r="F691" s="566"/>
      <c r="G691" s="566"/>
      <c r="H691" s="566"/>
      <c r="I691" s="566"/>
      <c r="J691" s="566"/>
      <c r="K691" s="566"/>
      <c r="L691" s="566"/>
      <c r="M691" s="566"/>
      <c r="N691" s="566"/>
      <c r="O691" s="566"/>
      <c r="P691" s="566"/>
      <c r="Q691" s="566"/>
      <c r="R691" s="566"/>
      <c r="S691" s="566"/>
      <c r="T691" s="566"/>
      <c r="U691" s="566"/>
      <c r="V691" s="566"/>
      <c r="W691" s="566"/>
      <c r="X691" s="566"/>
      <c r="Y691" s="566"/>
      <c r="Z691" s="566"/>
    </row>
    <row r="692" spans="1:26" x14ac:dyDescent="0.25">
      <c r="A692" s="566"/>
      <c r="B692" s="566"/>
      <c r="C692" s="566"/>
      <c r="D692" s="566"/>
      <c r="E692" s="566"/>
      <c r="F692" s="566"/>
      <c r="G692" s="566"/>
      <c r="H692" s="566"/>
      <c r="I692" s="566"/>
      <c r="J692" s="566"/>
      <c r="K692" s="566"/>
      <c r="L692" s="566"/>
      <c r="M692" s="566"/>
      <c r="N692" s="566"/>
      <c r="O692" s="566"/>
      <c r="P692" s="566"/>
      <c r="Q692" s="566"/>
      <c r="R692" s="566"/>
      <c r="S692" s="566"/>
      <c r="T692" s="566"/>
      <c r="U692" s="566"/>
      <c r="V692" s="566"/>
      <c r="W692" s="566"/>
      <c r="X692" s="566"/>
      <c r="Y692" s="566"/>
      <c r="Z692" s="566"/>
    </row>
    <row r="693" spans="1:26" x14ac:dyDescent="0.25">
      <c r="A693" s="566"/>
      <c r="B693" s="566"/>
      <c r="C693" s="566"/>
      <c r="D693" s="566"/>
      <c r="E693" s="566"/>
      <c r="F693" s="566"/>
      <c r="G693" s="566"/>
      <c r="H693" s="566"/>
      <c r="I693" s="566"/>
      <c r="J693" s="566"/>
      <c r="K693" s="566"/>
      <c r="L693" s="566"/>
      <c r="M693" s="566"/>
      <c r="N693" s="566"/>
      <c r="O693" s="566"/>
      <c r="P693" s="566"/>
      <c r="Q693" s="566"/>
      <c r="R693" s="566"/>
      <c r="S693" s="566"/>
      <c r="T693" s="566"/>
      <c r="U693" s="566"/>
      <c r="V693" s="566"/>
      <c r="W693" s="566"/>
      <c r="X693" s="566"/>
      <c r="Y693" s="566"/>
      <c r="Z693" s="566"/>
    </row>
    <row r="694" spans="1:26" x14ac:dyDescent="0.25">
      <c r="A694" s="566"/>
      <c r="B694" s="566"/>
      <c r="C694" s="566"/>
      <c r="D694" s="566"/>
      <c r="E694" s="566"/>
      <c r="F694" s="566"/>
      <c r="G694" s="566"/>
      <c r="H694" s="566"/>
      <c r="I694" s="566"/>
      <c r="J694" s="566"/>
      <c r="K694" s="566"/>
      <c r="L694" s="566"/>
      <c r="M694" s="566"/>
      <c r="N694" s="566"/>
      <c r="O694" s="566"/>
      <c r="P694" s="566"/>
      <c r="Q694" s="566"/>
      <c r="R694" s="566"/>
      <c r="S694" s="566"/>
      <c r="T694" s="566"/>
      <c r="U694" s="566"/>
      <c r="V694" s="566"/>
      <c r="W694" s="566"/>
      <c r="X694" s="566"/>
      <c r="Y694" s="566"/>
      <c r="Z694" s="566"/>
    </row>
    <row r="695" spans="1:26" x14ac:dyDescent="0.25">
      <c r="A695" s="566"/>
      <c r="B695" s="566"/>
      <c r="C695" s="566"/>
      <c r="D695" s="566"/>
      <c r="E695" s="566"/>
      <c r="F695" s="566"/>
      <c r="G695" s="566"/>
      <c r="H695" s="566"/>
      <c r="I695" s="566"/>
      <c r="J695" s="566"/>
      <c r="K695" s="566"/>
      <c r="L695" s="566"/>
      <c r="M695" s="566"/>
      <c r="N695" s="566"/>
      <c r="O695" s="566"/>
      <c r="P695" s="566"/>
      <c r="Q695" s="566"/>
      <c r="R695" s="566"/>
      <c r="S695" s="566"/>
      <c r="T695" s="566"/>
      <c r="U695" s="566"/>
      <c r="V695" s="566"/>
      <c r="W695" s="566"/>
      <c r="X695" s="566"/>
      <c r="Y695" s="566"/>
      <c r="Z695" s="566"/>
    </row>
    <row r="696" spans="1:26" x14ac:dyDescent="0.25">
      <c r="A696" s="566"/>
      <c r="B696" s="566"/>
      <c r="C696" s="566"/>
      <c r="D696" s="566"/>
      <c r="E696" s="566"/>
      <c r="F696" s="566"/>
      <c r="G696" s="566"/>
      <c r="H696" s="566"/>
      <c r="I696" s="566"/>
      <c r="J696" s="566"/>
      <c r="K696" s="566"/>
      <c r="L696" s="566"/>
      <c r="M696" s="566"/>
      <c r="N696" s="566"/>
      <c r="O696" s="566"/>
      <c r="P696" s="566"/>
      <c r="Q696" s="566"/>
      <c r="R696" s="566"/>
      <c r="S696" s="566"/>
      <c r="T696" s="566"/>
      <c r="U696" s="566"/>
      <c r="V696" s="566"/>
      <c r="W696" s="566"/>
      <c r="X696" s="566"/>
      <c r="Y696" s="566"/>
      <c r="Z696" s="566"/>
    </row>
    <row r="697" spans="1:26" x14ac:dyDescent="0.25">
      <c r="A697" s="566"/>
      <c r="B697" s="566"/>
      <c r="C697" s="566"/>
      <c r="D697" s="566"/>
      <c r="E697" s="566"/>
      <c r="F697" s="566"/>
      <c r="G697" s="566"/>
      <c r="H697" s="566"/>
      <c r="I697" s="566"/>
      <c r="J697" s="566"/>
      <c r="K697" s="566"/>
      <c r="L697" s="566"/>
      <c r="M697" s="566"/>
      <c r="N697" s="566"/>
      <c r="O697" s="566"/>
      <c r="P697" s="566"/>
      <c r="Q697" s="566"/>
      <c r="R697" s="566"/>
      <c r="S697" s="566"/>
      <c r="T697" s="566"/>
      <c r="U697" s="566"/>
      <c r="V697" s="566"/>
      <c r="W697" s="566"/>
      <c r="X697" s="566"/>
      <c r="Y697" s="566"/>
      <c r="Z697" s="566"/>
    </row>
    <row r="698" spans="1:26" x14ac:dyDescent="0.25">
      <c r="A698" s="566"/>
      <c r="B698" s="566"/>
      <c r="C698" s="566"/>
      <c r="D698" s="566"/>
      <c r="E698" s="566"/>
      <c r="F698" s="566"/>
      <c r="G698" s="566"/>
      <c r="H698" s="566"/>
      <c r="I698" s="566"/>
      <c r="J698" s="566"/>
      <c r="K698" s="566"/>
      <c r="L698" s="566"/>
      <c r="M698" s="566"/>
      <c r="N698" s="566"/>
      <c r="O698" s="566"/>
      <c r="P698" s="566"/>
      <c r="Q698" s="566"/>
      <c r="R698" s="566"/>
      <c r="S698" s="566"/>
      <c r="T698" s="566"/>
      <c r="U698" s="566"/>
      <c r="V698" s="566"/>
      <c r="W698" s="566"/>
      <c r="X698" s="566"/>
      <c r="Y698" s="566"/>
      <c r="Z698" s="566"/>
    </row>
    <row r="699" spans="1:26" x14ac:dyDescent="0.25">
      <c r="A699" s="566"/>
      <c r="B699" s="566"/>
      <c r="C699" s="566"/>
      <c r="D699" s="566"/>
      <c r="E699" s="566"/>
      <c r="F699" s="566"/>
      <c r="G699" s="566"/>
      <c r="H699" s="566"/>
      <c r="I699" s="566"/>
      <c r="J699" s="566"/>
      <c r="K699" s="566"/>
      <c r="L699" s="566"/>
      <c r="M699" s="566"/>
      <c r="N699" s="566"/>
      <c r="O699" s="566"/>
      <c r="P699" s="566"/>
      <c r="Q699" s="566"/>
      <c r="R699" s="566"/>
      <c r="S699" s="566"/>
      <c r="T699" s="566"/>
      <c r="U699" s="566"/>
      <c r="V699" s="566"/>
      <c r="W699" s="566"/>
      <c r="X699" s="566"/>
      <c r="Y699" s="566"/>
      <c r="Z699" s="566"/>
    </row>
    <row r="700" spans="1:26" x14ac:dyDescent="0.25">
      <c r="A700" s="566"/>
      <c r="B700" s="566"/>
      <c r="C700" s="566"/>
      <c r="D700" s="566"/>
      <c r="E700" s="566"/>
      <c r="F700" s="566"/>
      <c r="G700" s="566"/>
      <c r="H700" s="566"/>
      <c r="I700" s="566"/>
      <c r="J700" s="566"/>
      <c r="K700" s="566"/>
      <c r="L700" s="566"/>
      <c r="M700" s="566"/>
      <c r="N700" s="566"/>
      <c r="O700" s="566"/>
      <c r="P700" s="566"/>
      <c r="Q700" s="566"/>
      <c r="R700" s="566"/>
      <c r="S700" s="566"/>
      <c r="T700" s="566"/>
      <c r="U700" s="566"/>
      <c r="V700" s="566"/>
      <c r="W700" s="566"/>
      <c r="X700" s="566"/>
      <c r="Y700" s="566"/>
      <c r="Z700" s="566"/>
    </row>
    <row r="701" spans="1:26" x14ac:dyDescent="0.25">
      <c r="A701" s="566"/>
      <c r="B701" s="566"/>
      <c r="C701" s="566"/>
      <c r="D701" s="566"/>
      <c r="E701" s="566"/>
      <c r="F701" s="566"/>
      <c r="G701" s="566"/>
      <c r="H701" s="566"/>
      <c r="I701" s="566"/>
      <c r="J701" s="566"/>
      <c r="K701" s="566"/>
      <c r="L701" s="566"/>
      <c r="M701" s="566"/>
      <c r="N701" s="566"/>
      <c r="O701" s="566"/>
      <c r="P701" s="566"/>
      <c r="Q701" s="566"/>
      <c r="R701" s="566"/>
      <c r="S701" s="566"/>
      <c r="T701" s="566"/>
      <c r="U701" s="566"/>
      <c r="V701" s="566"/>
      <c r="W701" s="566"/>
      <c r="X701" s="566"/>
      <c r="Y701" s="566"/>
      <c r="Z701" s="566"/>
    </row>
    <row r="702" spans="1:26" x14ac:dyDescent="0.25">
      <c r="A702" s="566"/>
      <c r="B702" s="566"/>
      <c r="C702" s="566"/>
      <c r="D702" s="566"/>
      <c r="E702" s="566"/>
      <c r="F702" s="566"/>
      <c r="G702" s="566"/>
      <c r="H702" s="566"/>
      <c r="I702" s="566"/>
      <c r="J702" s="566"/>
      <c r="K702" s="566"/>
      <c r="L702" s="566"/>
      <c r="M702" s="566"/>
      <c r="N702" s="566"/>
      <c r="O702" s="566"/>
      <c r="P702" s="566"/>
      <c r="Q702" s="566"/>
      <c r="R702" s="566"/>
      <c r="S702" s="566"/>
      <c r="T702" s="566"/>
      <c r="U702" s="566"/>
      <c r="V702" s="566"/>
      <c r="W702" s="566"/>
      <c r="X702" s="566"/>
      <c r="Y702" s="566"/>
      <c r="Z702" s="566"/>
    </row>
    <row r="703" spans="1:26" x14ac:dyDescent="0.25">
      <c r="A703" s="566"/>
      <c r="B703" s="566"/>
      <c r="C703" s="566"/>
      <c r="D703" s="566"/>
      <c r="E703" s="566"/>
      <c r="F703" s="566"/>
      <c r="G703" s="566"/>
      <c r="H703" s="566"/>
      <c r="I703" s="566"/>
      <c r="J703" s="566"/>
      <c r="K703" s="566"/>
      <c r="L703" s="566"/>
      <c r="M703" s="566"/>
      <c r="N703" s="566"/>
      <c r="O703" s="566"/>
      <c r="P703" s="566"/>
      <c r="Q703" s="566"/>
      <c r="R703" s="566"/>
      <c r="S703" s="566"/>
      <c r="T703" s="566"/>
      <c r="U703" s="566"/>
      <c r="V703" s="566"/>
      <c r="W703" s="566"/>
      <c r="X703" s="566"/>
      <c r="Y703" s="566"/>
      <c r="Z703" s="566"/>
    </row>
    <row r="704" spans="1:26" x14ac:dyDescent="0.25">
      <c r="A704" s="566"/>
      <c r="B704" s="566"/>
      <c r="C704" s="566"/>
      <c r="D704" s="566"/>
      <c r="E704" s="566"/>
      <c r="F704" s="566"/>
      <c r="G704" s="566"/>
      <c r="H704" s="566"/>
      <c r="I704" s="566"/>
      <c r="J704" s="566"/>
      <c r="K704" s="566"/>
      <c r="L704" s="566"/>
      <c r="M704" s="566"/>
      <c r="N704" s="566"/>
      <c r="O704" s="566"/>
      <c r="P704" s="566"/>
      <c r="Q704" s="566"/>
      <c r="R704" s="566"/>
      <c r="S704" s="566"/>
      <c r="T704" s="566"/>
      <c r="U704" s="566"/>
      <c r="V704" s="566"/>
      <c r="W704" s="566"/>
      <c r="X704" s="566"/>
      <c r="Y704" s="566"/>
      <c r="Z704" s="566"/>
    </row>
    <row r="705" spans="1:26" x14ac:dyDescent="0.25">
      <c r="A705" s="566"/>
      <c r="B705" s="566"/>
      <c r="C705" s="566"/>
      <c r="D705" s="566"/>
      <c r="E705" s="566"/>
      <c r="F705" s="566"/>
      <c r="G705" s="566"/>
      <c r="H705" s="566"/>
      <c r="I705" s="566"/>
      <c r="J705" s="566"/>
      <c r="K705" s="566"/>
      <c r="L705" s="566"/>
      <c r="M705" s="566"/>
      <c r="N705" s="566"/>
      <c r="O705" s="566"/>
      <c r="P705" s="566"/>
      <c r="Q705" s="566"/>
      <c r="R705" s="566"/>
      <c r="S705" s="566"/>
      <c r="T705" s="566"/>
      <c r="U705" s="566"/>
      <c r="V705" s="566"/>
      <c r="W705" s="566"/>
      <c r="X705" s="566"/>
      <c r="Y705" s="566"/>
      <c r="Z705" s="566"/>
    </row>
    <row r="706" spans="1:26" x14ac:dyDescent="0.25">
      <c r="A706" s="566"/>
      <c r="B706" s="566"/>
      <c r="C706" s="566"/>
      <c r="D706" s="566"/>
      <c r="E706" s="566"/>
      <c r="F706" s="566"/>
      <c r="G706" s="566"/>
      <c r="H706" s="566"/>
      <c r="I706" s="566"/>
      <c r="J706" s="566"/>
      <c r="K706" s="566"/>
      <c r="L706" s="566"/>
      <c r="M706" s="566"/>
      <c r="N706" s="566"/>
      <c r="O706" s="566"/>
      <c r="P706" s="566"/>
      <c r="Q706" s="566"/>
      <c r="R706" s="566"/>
      <c r="S706" s="566"/>
      <c r="T706" s="566"/>
      <c r="U706" s="566"/>
      <c r="V706" s="566"/>
      <c r="W706" s="566"/>
      <c r="X706" s="566"/>
      <c r="Y706" s="566"/>
      <c r="Z706" s="566"/>
    </row>
    <row r="707" spans="1:26" x14ac:dyDescent="0.25">
      <c r="A707" s="566"/>
      <c r="B707" s="566"/>
      <c r="C707" s="566"/>
      <c r="D707" s="566"/>
      <c r="E707" s="566"/>
      <c r="F707" s="566"/>
      <c r="G707" s="566"/>
      <c r="H707" s="566"/>
      <c r="I707" s="566"/>
      <c r="J707" s="566"/>
      <c r="K707" s="566"/>
      <c r="L707" s="566"/>
      <c r="M707" s="566"/>
      <c r="N707" s="566"/>
      <c r="O707" s="566"/>
      <c r="P707" s="566"/>
      <c r="Q707" s="566"/>
      <c r="R707" s="566"/>
      <c r="S707" s="566"/>
      <c r="T707" s="566"/>
      <c r="U707" s="566"/>
      <c r="V707" s="566"/>
      <c r="W707" s="566"/>
      <c r="X707" s="566"/>
      <c r="Y707" s="566"/>
      <c r="Z707" s="566"/>
    </row>
    <row r="708" spans="1:26" x14ac:dyDescent="0.25">
      <c r="A708" s="566"/>
      <c r="B708" s="566"/>
      <c r="C708" s="566"/>
      <c r="D708" s="566"/>
      <c r="E708" s="566"/>
      <c r="F708" s="566"/>
      <c r="G708" s="566"/>
      <c r="H708" s="566"/>
      <c r="I708" s="566"/>
      <c r="J708" s="566"/>
      <c r="K708" s="566"/>
      <c r="L708" s="566"/>
      <c r="M708" s="566"/>
      <c r="N708" s="566"/>
      <c r="O708" s="566"/>
      <c r="P708" s="566"/>
      <c r="Q708" s="566"/>
      <c r="R708" s="566"/>
      <c r="S708" s="566"/>
      <c r="T708" s="566"/>
      <c r="U708" s="566"/>
      <c r="V708" s="566"/>
      <c r="W708" s="566"/>
      <c r="X708" s="566"/>
      <c r="Y708" s="566"/>
      <c r="Z708" s="566"/>
    </row>
    <row r="709" spans="1:26" x14ac:dyDescent="0.25">
      <c r="A709" s="566"/>
      <c r="B709" s="566"/>
      <c r="C709" s="566"/>
      <c r="D709" s="566"/>
      <c r="E709" s="566"/>
      <c r="F709" s="566"/>
      <c r="G709" s="566"/>
      <c r="H709" s="566"/>
      <c r="I709" s="566"/>
      <c r="J709" s="566"/>
      <c r="K709" s="566"/>
      <c r="L709" s="566"/>
      <c r="M709" s="566"/>
      <c r="N709" s="566"/>
      <c r="O709" s="566"/>
      <c r="P709" s="566"/>
      <c r="Q709" s="566"/>
      <c r="R709" s="566"/>
      <c r="S709" s="566"/>
      <c r="T709" s="566"/>
      <c r="U709" s="566"/>
      <c r="V709" s="566"/>
      <c r="W709" s="566"/>
      <c r="X709" s="566"/>
      <c r="Y709" s="566"/>
      <c r="Z709" s="566"/>
    </row>
    <row r="710" spans="1:26" x14ac:dyDescent="0.25">
      <c r="A710" s="566"/>
      <c r="B710" s="566"/>
      <c r="C710" s="566"/>
      <c r="D710" s="566"/>
      <c r="E710" s="566"/>
      <c r="F710" s="566"/>
      <c r="G710" s="566"/>
      <c r="H710" s="566"/>
      <c r="I710" s="566"/>
      <c r="J710" s="566"/>
      <c r="K710" s="566"/>
      <c r="L710" s="566"/>
      <c r="M710" s="566"/>
      <c r="N710" s="566"/>
      <c r="O710" s="566"/>
      <c r="P710" s="566"/>
      <c r="Q710" s="566"/>
      <c r="R710" s="566"/>
      <c r="S710" s="566"/>
      <c r="T710" s="566"/>
      <c r="U710" s="566"/>
      <c r="V710" s="566"/>
      <c r="W710" s="566"/>
      <c r="X710" s="566"/>
      <c r="Y710" s="566"/>
      <c r="Z710" s="566"/>
    </row>
    <row r="711" spans="1:26" x14ac:dyDescent="0.25">
      <c r="A711" s="566"/>
      <c r="B711" s="566"/>
      <c r="C711" s="566"/>
      <c r="D711" s="566"/>
      <c r="E711" s="566"/>
      <c r="F711" s="566"/>
      <c r="G711" s="566"/>
      <c r="H711" s="566"/>
      <c r="I711" s="566"/>
      <c r="J711" s="566"/>
      <c r="K711" s="566"/>
      <c r="L711" s="566"/>
      <c r="M711" s="566"/>
      <c r="N711" s="566"/>
      <c r="O711" s="566"/>
      <c r="P711" s="566"/>
      <c r="Q711" s="566"/>
      <c r="R711" s="566"/>
      <c r="S711" s="566"/>
      <c r="T711" s="566"/>
      <c r="U711" s="566"/>
      <c r="V711" s="566"/>
      <c r="W711" s="566"/>
      <c r="X711" s="566"/>
      <c r="Y711" s="566"/>
      <c r="Z711" s="566"/>
    </row>
    <row r="712" spans="1:26" x14ac:dyDescent="0.25">
      <c r="A712" s="566"/>
      <c r="B712" s="566"/>
      <c r="C712" s="566"/>
      <c r="D712" s="566"/>
      <c r="E712" s="566"/>
      <c r="F712" s="566"/>
      <c r="G712" s="566"/>
      <c r="H712" s="566"/>
      <c r="I712" s="566"/>
      <c r="J712" s="566"/>
      <c r="K712" s="566"/>
      <c r="L712" s="566"/>
      <c r="M712" s="566"/>
      <c r="N712" s="566"/>
      <c r="O712" s="566"/>
      <c r="P712" s="566"/>
      <c r="Q712" s="566"/>
      <c r="R712" s="566"/>
      <c r="S712" s="566"/>
      <c r="T712" s="566"/>
      <c r="U712" s="566"/>
      <c r="V712" s="566"/>
      <c r="W712" s="566"/>
      <c r="X712" s="566"/>
      <c r="Y712" s="566"/>
      <c r="Z712" s="566"/>
    </row>
    <row r="713" spans="1:26" x14ac:dyDescent="0.25">
      <c r="A713" s="566"/>
      <c r="B713" s="566"/>
      <c r="C713" s="566"/>
      <c r="D713" s="566"/>
      <c r="E713" s="566"/>
      <c r="F713" s="566"/>
      <c r="G713" s="566"/>
      <c r="H713" s="566"/>
      <c r="I713" s="566"/>
      <c r="J713" s="566"/>
      <c r="K713" s="566"/>
      <c r="L713" s="566"/>
      <c r="M713" s="566"/>
      <c r="N713" s="566"/>
      <c r="O713" s="566"/>
      <c r="P713" s="566"/>
      <c r="Q713" s="566"/>
      <c r="R713" s="566"/>
      <c r="S713" s="566"/>
      <c r="T713" s="566"/>
      <c r="U713" s="566"/>
      <c r="V713" s="566"/>
      <c r="W713" s="566"/>
      <c r="X713" s="566"/>
      <c r="Y713" s="566"/>
      <c r="Z713" s="566"/>
    </row>
    <row r="714" spans="1:26" x14ac:dyDescent="0.25">
      <c r="A714" s="566"/>
      <c r="B714" s="566"/>
      <c r="C714" s="566"/>
      <c r="D714" s="566"/>
      <c r="E714" s="566"/>
      <c r="F714" s="566"/>
      <c r="G714" s="566"/>
      <c r="H714" s="566"/>
      <c r="I714" s="566"/>
      <c r="J714" s="566"/>
      <c r="K714" s="566"/>
      <c r="L714" s="566"/>
      <c r="M714" s="566"/>
      <c r="N714" s="566"/>
      <c r="O714" s="566"/>
      <c r="P714" s="566"/>
      <c r="Q714" s="566"/>
      <c r="R714" s="566"/>
      <c r="S714" s="566"/>
      <c r="T714" s="566"/>
      <c r="U714" s="566"/>
      <c r="V714" s="566"/>
      <c r="W714" s="566"/>
      <c r="X714" s="566"/>
      <c r="Y714" s="566"/>
      <c r="Z714" s="566"/>
    </row>
    <row r="715" spans="1:26" x14ac:dyDescent="0.25">
      <c r="A715" s="566"/>
      <c r="B715" s="566"/>
      <c r="C715" s="566"/>
      <c r="D715" s="566"/>
      <c r="E715" s="566"/>
      <c r="F715" s="566"/>
      <c r="G715" s="566"/>
      <c r="H715" s="566"/>
      <c r="I715" s="566"/>
      <c r="J715" s="566"/>
      <c r="K715" s="566"/>
      <c r="L715" s="566"/>
      <c r="M715" s="566"/>
      <c r="N715" s="566"/>
      <c r="O715" s="566"/>
      <c r="P715" s="566"/>
      <c r="Q715" s="566"/>
      <c r="R715" s="566"/>
      <c r="S715" s="566"/>
      <c r="T715" s="566"/>
      <c r="U715" s="566"/>
      <c r="V715" s="566"/>
      <c r="W715" s="566"/>
      <c r="X715" s="566"/>
      <c r="Y715" s="566"/>
      <c r="Z715" s="566"/>
    </row>
    <row r="716" spans="1:26" x14ac:dyDescent="0.25">
      <c r="A716" s="566"/>
      <c r="B716" s="566"/>
      <c r="C716" s="566"/>
      <c r="D716" s="566"/>
      <c r="E716" s="566"/>
      <c r="F716" s="566"/>
      <c r="G716" s="566"/>
      <c r="H716" s="566"/>
      <c r="I716" s="566"/>
      <c r="J716" s="566"/>
      <c r="K716" s="566"/>
      <c r="L716" s="566"/>
      <c r="M716" s="566"/>
      <c r="N716" s="566"/>
      <c r="O716" s="566"/>
      <c r="P716" s="566"/>
      <c r="Q716" s="566"/>
      <c r="R716" s="566"/>
      <c r="S716" s="566"/>
      <c r="T716" s="566"/>
      <c r="U716" s="566"/>
      <c r="V716" s="566"/>
      <c r="W716" s="566"/>
      <c r="X716" s="566"/>
      <c r="Y716" s="566"/>
      <c r="Z716" s="566"/>
    </row>
    <row r="717" spans="1:26" x14ac:dyDescent="0.25">
      <c r="A717" s="566"/>
      <c r="B717" s="566"/>
      <c r="C717" s="566"/>
      <c r="D717" s="566"/>
      <c r="E717" s="566"/>
      <c r="F717" s="566"/>
      <c r="G717" s="566"/>
      <c r="H717" s="566"/>
      <c r="I717" s="566"/>
      <c r="J717" s="566"/>
      <c r="K717" s="566"/>
      <c r="L717" s="566"/>
      <c r="M717" s="566"/>
      <c r="N717" s="566"/>
      <c r="O717" s="566"/>
      <c r="P717" s="566"/>
      <c r="Q717" s="566"/>
      <c r="R717" s="566"/>
      <c r="S717" s="566"/>
      <c r="T717" s="566"/>
      <c r="U717" s="566"/>
      <c r="V717" s="566"/>
      <c r="W717" s="566"/>
      <c r="X717" s="566"/>
      <c r="Y717" s="566"/>
      <c r="Z717" s="566"/>
    </row>
    <row r="718" spans="1:26" x14ac:dyDescent="0.25">
      <c r="A718" s="566"/>
      <c r="B718" s="566"/>
      <c r="C718" s="566"/>
      <c r="D718" s="566"/>
      <c r="E718" s="566"/>
      <c r="F718" s="566"/>
      <c r="G718" s="566"/>
      <c r="H718" s="566"/>
      <c r="I718" s="566"/>
      <c r="J718" s="566"/>
      <c r="K718" s="566"/>
      <c r="L718" s="566"/>
      <c r="M718" s="566"/>
      <c r="N718" s="566"/>
      <c r="O718" s="566"/>
      <c r="P718" s="566"/>
      <c r="Q718" s="566"/>
      <c r="R718" s="566"/>
      <c r="S718" s="566"/>
      <c r="T718" s="566"/>
      <c r="U718" s="566"/>
      <c r="V718" s="566"/>
      <c r="W718" s="566"/>
      <c r="X718" s="566"/>
      <c r="Y718" s="566"/>
      <c r="Z718" s="566"/>
    </row>
    <row r="719" spans="1:26" x14ac:dyDescent="0.25">
      <c r="A719" s="566"/>
      <c r="B719" s="566"/>
      <c r="C719" s="566"/>
      <c r="D719" s="566"/>
      <c r="E719" s="566"/>
      <c r="F719" s="566"/>
      <c r="G719" s="566"/>
      <c r="H719" s="566"/>
      <c r="I719" s="566"/>
      <c r="J719" s="566"/>
      <c r="K719" s="566"/>
      <c r="L719" s="566"/>
      <c r="M719" s="566"/>
      <c r="N719" s="566"/>
      <c r="O719" s="566"/>
      <c r="P719" s="566"/>
      <c r="Q719" s="566"/>
      <c r="R719" s="566"/>
      <c r="S719" s="566"/>
      <c r="T719" s="566"/>
      <c r="U719" s="566"/>
      <c r="V719" s="566"/>
      <c r="W719" s="566"/>
      <c r="X719" s="566"/>
      <c r="Y719" s="566"/>
      <c r="Z719" s="566"/>
    </row>
    <row r="720" spans="1:26" x14ac:dyDescent="0.25">
      <c r="A720" s="566"/>
      <c r="B720" s="566"/>
      <c r="C720" s="566"/>
      <c r="D720" s="566"/>
      <c r="E720" s="566"/>
      <c r="F720" s="566"/>
      <c r="G720" s="566"/>
      <c r="H720" s="566"/>
      <c r="I720" s="566"/>
      <c r="J720" s="566"/>
      <c r="K720" s="566"/>
      <c r="L720" s="566"/>
      <c r="M720" s="566"/>
      <c r="N720" s="566"/>
      <c r="O720" s="566"/>
      <c r="P720" s="566"/>
      <c r="Q720" s="566"/>
      <c r="R720" s="566"/>
      <c r="S720" s="566"/>
      <c r="T720" s="566"/>
      <c r="U720" s="566"/>
      <c r="V720" s="566"/>
      <c r="W720" s="566"/>
      <c r="X720" s="566"/>
      <c r="Y720" s="566"/>
      <c r="Z720" s="566"/>
    </row>
    <row r="721" spans="1:26" x14ac:dyDescent="0.25">
      <c r="A721" s="566"/>
      <c r="B721" s="566"/>
      <c r="C721" s="566"/>
      <c r="D721" s="566"/>
      <c r="E721" s="566"/>
      <c r="F721" s="566"/>
      <c r="G721" s="566"/>
      <c r="H721" s="566"/>
      <c r="I721" s="566"/>
      <c r="J721" s="566"/>
      <c r="K721" s="566"/>
      <c r="L721" s="566"/>
      <c r="M721" s="566"/>
      <c r="N721" s="566"/>
      <c r="O721" s="566"/>
      <c r="P721" s="566"/>
      <c r="Q721" s="566"/>
      <c r="R721" s="566"/>
      <c r="S721" s="566"/>
      <c r="T721" s="566"/>
      <c r="U721" s="566"/>
      <c r="V721" s="566"/>
      <c r="W721" s="566"/>
      <c r="X721" s="566"/>
      <c r="Y721" s="566"/>
      <c r="Z721" s="566"/>
    </row>
    <row r="722" spans="1:26" x14ac:dyDescent="0.25">
      <c r="A722" s="566"/>
      <c r="B722" s="566"/>
      <c r="C722" s="566"/>
      <c r="D722" s="566"/>
      <c r="E722" s="566"/>
      <c r="F722" s="566"/>
      <c r="G722" s="566"/>
      <c r="H722" s="566"/>
      <c r="I722" s="566"/>
      <c r="J722" s="566"/>
      <c r="K722" s="566"/>
      <c r="L722" s="566"/>
      <c r="M722" s="566"/>
      <c r="N722" s="566"/>
      <c r="O722" s="566"/>
      <c r="P722" s="566"/>
      <c r="Q722" s="566"/>
      <c r="R722" s="566"/>
      <c r="S722" s="566"/>
      <c r="T722" s="566"/>
      <c r="U722" s="566"/>
      <c r="V722" s="566"/>
      <c r="W722" s="566"/>
      <c r="X722" s="566"/>
      <c r="Y722" s="566"/>
      <c r="Z722" s="566"/>
    </row>
    <row r="723" spans="1:26" x14ac:dyDescent="0.25">
      <c r="A723" s="566"/>
      <c r="B723" s="566"/>
      <c r="C723" s="566"/>
      <c r="D723" s="566"/>
      <c r="E723" s="566"/>
      <c r="F723" s="566"/>
      <c r="G723" s="566"/>
      <c r="H723" s="566"/>
      <c r="I723" s="566"/>
      <c r="J723" s="566"/>
      <c r="K723" s="566"/>
      <c r="L723" s="566"/>
      <c r="M723" s="566"/>
      <c r="N723" s="566"/>
      <c r="O723" s="566"/>
      <c r="P723" s="566"/>
      <c r="Q723" s="566"/>
      <c r="R723" s="566"/>
      <c r="S723" s="566"/>
      <c r="T723" s="566"/>
      <c r="U723" s="566"/>
      <c r="V723" s="566"/>
      <c r="W723" s="566"/>
      <c r="X723" s="566"/>
      <c r="Y723" s="566"/>
      <c r="Z723" s="566"/>
    </row>
    <row r="724" spans="1:26" x14ac:dyDescent="0.25">
      <c r="A724" s="566"/>
      <c r="B724" s="566"/>
      <c r="C724" s="566"/>
      <c r="D724" s="566"/>
      <c r="E724" s="566"/>
      <c r="F724" s="566"/>
      <c r="G724" s="566"/>
      <c r="H724" s="566"/>
      <c r="I724" s="566"/>
      <c r="J724" s="566"/>
      <c r="K724" s="566"/>
      <c r="L724" s="566"/>
      <c r="M724" s="566"/>
      <c r="N724" s="566"/>
      <c r="O724" s="566"/>
      <c r="P724" s="566"/>
      <c r="Q724" s="566"/>
      <c r="R724" s="566"/>
      <c r="S724" s="566"/>
      <c r="T724" s="566"/>
      <c r="U724" s="566"/>
      <c r="V724" s="566"/>
      <c r="W724" s="566"/>
      <c r="X724" s="566"/>
      <c r="Y724" s="566"/>
      <c r="Z724" s="566"/>
    </row>
    <row r="725" spans="1:26" x14ac:dyDescent="0.25">
      <c r="A725" s="566"/>
      <c r="B725" s="566"/>
      <c r="C725" s="566"/>
      <c r="D725" s="566"/>
      <c r="E725" s="566"/>
      <c r="F725" s="566"/>
      <c r="G725" s="566"/>
      <c r="H725" s="566"/>
      <c r="I725" s="566"/>
      <c r="J725" s="566"/>
      <c r="K725" s="566"/>
      <c r="L725" s="566"/>
      <c r="M725" s="566"/>
      <c r="N725" s="566"/>
      <c r="O725" s="566"/>
      <c r="P725" s="566"/>
      <c r="Q725" s="566"/>
      <c r="R725" s="566"/>
      <c r="S725" s="566"/>
      <c r="T725" s="566"/>
      <c r="U725" s="566"/>
      <c r="V725" s="566"/>
      <c r="W725" s="566"/>
      <c r="X725" s="566"/>
      <c r="Y725" s="566"/>
      <c r="Z725" s="566"/>
    </row>
    <row r="726" spans="1:26" x14ac:dyDescent="0.25">
      <c r="A726" s="566"/>
      <c r="B726" s="566"/>
      <c r="C726" s="566"/>
      <c r="D726" s="566"/>
      <c r="E726" s="566"/>
      <c r="F726" s="566"/>
      <c r="G726" s="566"/>
      <c r="H726" s="566"/>
      <c r="I726" s="566"/>
      <c r="J726" s="566"/>
      <c r="K726" s="566"/>
      <c r="L726" s="566"/>
      <c r="M726" s="566"/>
      <c r="N726" s="566"/>
      <c r="O726" s="566"/>
      <c r="P726" s="566"/>
      <c r="Q726" s="566"/>
      <c r="R726" s="566"/>
      <c r="S726" s="566"/>
      <c r="T726" s="566"/>
      <c r="U726" s="566"/>
      <c r="V726" s="566"/>
      <c r="W726" s="566"/>
      <c r="X726" s="566"/>
      <c r="Y726" s="566"/>
      <c r="Z726" s="566"/>
    </row>
    <row r="727" spans="1:26" x14ac:dyDescent="0.25">
      <c r="A727" s="566"/>
      <c r="B727" s="566"/>
      <c r="C727" s="566"/>
      <c r="D727" s="566"/>
      <c r="E727" s="566"/>
      <c r="F727" s="566"/>
      <c r="G727" s="566"/>
      <c r="H727" s="566"/>
      <c r="I727" s="566"/>
      <c r="J727" s="566"/>
      <c r="K727" s="566"/>
      <c r="L727" s="566"/>
      <c r="M727" s="566"/>
      <c r="N727" s="566"/>
      <c r="O727" s="566"/>
      <c r="P727" s="566"/>
      <c r="Q727" s="566"/>
      <c r="R727" s="566"/>
      <c r="S727" s="566"/>
      <c r="T727" s="566"/>
      <c r="U727" s="566"/>
      <c r="V727" s="566"/>
      <c r="W727" s="566"/>
      <c r="X727" s="566"/>
      <c r="Y727" s="566"/>
      <c r="Z727" s="566"/>
    </row>
    <row r="728" spans="1:26" x14ac:dyDescent="0.25">
      <c r="A728" s="566"/>
      <c r="B728" s="566"/>
      <c r="C728" s="566"/>
      <c r="D728" s="566"/>
      <c r="E728" s="566"/>
      <c r="F728" s="566"/>
      <c r="G728" s="566"/>
      <c r="H728" s="566"/>
      <c r="I728" s="566"/>
      <c r="J728" s="566"/>
      <c r="K728" s="566"/>
      <c r="L728" s="566"/>
      <c r="M728" s="566"/>
      <c r="N728" s="566"/>
      <c r="O728" s="566"/>
      <c r="P728" s="566"/>
      <c r="Q728" s="566"/>
      <c r="R728" s="566"/>
      <c r="S728" s="566"/>
      <c r="T728" s="566"/>
      <c r="U728" s="566"/>
      <c r="V728" s="566"/>
      <c r="W728" s="566"/>
      <c r="X728" s="566"/>
      <c r="Y728" s="566"/>
      <c r="Z728" s="566"/>
    </row>
    <row r="729" spans="1:26" x14ac:dyDescent="0.25">
      <c r="A729" s="566"/>
      <c r="B729" s="566"/>
      <c r="C729" s="566"/>
      <c r="D729" s="566"/>
      <c r="E729" s="566"/>
      <c r="F729" s="566"/>
      <c r="G729" s="566"/>
      <c r="H729" s="566"/>
      <c r="I729" s="566"/>
      <c r="J729" s="566"/>
      <c r="K729" s="566"/>
      <c r="L729" s="566"/>
      <c r="M729" s="566"/>
      <c r="N729" s="566"/>
      <c r="O729" s="566"/>
      <c r="P729" s="566"/>
      <c r="Q729" s="566"/>
      <c r="R729" s="566"/>
      <c r="S729" s="566"/>
      <c r="T729" s="566"/>
      <c r="U729" s="566"/>
      <c r="V729" s="566"/>
      <c r="W729" s="566"/>
      <c r="X729" s="566"/>
      <c r="Y729" s="566"/>
      <c r="Z729" s="566"/>
    </row>
    <row r="730" spans="1:26" x14ac:dyDescent="0.25">
      <c r="A730" s="566"/>
      <c r="B730" s="566"/>
      <c r="C730" s="566"/>
      <c r="D730" s="566"/>
      <c r="E730" s="566"/>
      <c r="F730" s="566"/>
      <c r="G730" s="566"/>
      <c r="H730" s="566"/>
      <c r="I730" s="566"/>
      <c r="J730" s="566"/>
      <c r="K730" s="566"/>
      <c r="L730" s="566"/>
      <c r="M730" s="566"/>
      <c r="N730" s="566"/>
      <c r="O730" s="566"/>
      <c r="P730" s="566"/>
      <c r="Q730" s="566"/>
      <c r="R730" s="566"/>
      <c r="S730" s="566"/>
      <c r="T730" s="566"/>
      <c r="U730" s="566"/>
      <c r="V730" s="566"/>
      <c r="W730" s="566"/>
      <c r="X730" s="566"/>
      <c r="Y730" s="566"/>
      <c r="Z730" s="566"/>
    </row>
    <row r="731" spans="1:26" x14ac:dyDescent="0.25">
      <c r="A731" s="566"/>
      <c r="B731" s="566"/>
      <c r="C731" s="566"/>
      <c r="D731" s="566"/>
      <c r="E731" s="566"/>
      <c r="F731" s="566"/>
      <c r="G731" s="566"/>
      <c r="H731" s="566"/>
      <c r="I731" s="566"/>
      <c r="J731" s="566"/>
      <c r="K731" s="566"/>
      <c r="L731" s="566"/>
      <c r="M731" s="566"/>
      <c r="N731" s="566"/>
      <c r="O731" s="566"/>
      <c r="P731" s="566"/>
      <c r="Q731" s="566"/>
      <c r="R731" s="566"/>
      <c r="S731" s="566"/>
      <c r="T731" s="566"/>
      <c r="U731" s="566"/>
      <c r="V731" s="566"/>
      <c r="W731" s="566"/>
      <c r="X731" s="566"/>
      <c r="Y731" s="566"/>
      <c r="Z731" s="566"/>
    </row>
    <row r="732" spans="1:26" x14ac:dyDescent="0.25">
      <c r="A732" s="566"/>
      <c r="B732" s="566"/>
      <c r="C732" s="566"/>
      <c r="D732" s="566"/>
      <c r="E732" s="566"/>
      <c r="F732" s="566"/>
      <c r="G732" s="566"/>
      <c r="H732" s="566"/>
      <c r="I732" s="566"/>
      <c r="J732" s="566"/>
      <c r="K732" s="566"/>
      <c r="L732" s="566"/>
      <c r="M732" s="566"/>
      <c r="N732" s="566"/>
      <c r="O732" s="566"/>
      <c r="P732" s="566"/>
      <c r="Q732" s="566"/>
      <c r="R732" s="566"/>
      <c r="S732" s="566"/>
      <c r="T732" s="566"/>
      <c r="U732" s="566"/>
      <c r="V732" s="566"/>
      <c r="W732" s="566"/>
      <c r="X732" s="566"/>
      <c r="Y732" s="566"/>
      <c r="Z732" s="566"/>
    </row>
    <row r="733" spans="1:26" x14ac:dyDescent="0.25">
      <c r="A733" s="566"/>
      <c r="B733" s="566"/>
      <c r="C733" s="566"/>
      <c r="D733" s="566"/>
      <c r="E733" s="566"/>
      <c r="F733" s="566"/>
      <c r="G733" s="566"/>
      <c r="H733" s="566"/>
      <c r="I733" s="566"/>
      <c r="J733" s="566"/>
      <c r="K733" s="566"/>
      <c r="L733" s="566"/>
      <c r="M733" s="566"/>
      <c r="N733" s="566"/>
      <c r="O733" s="566"/>
      <c r="P733" s="566"/>
      <c r="Q733" s="566"/>
      <c r="R733" s="566"/>
      <c r="S733" s="566"/>
      <c r="T733" s="566"/>
      <c r="U733" s="566"/>
      <c r="V733" s="566"/>
      <c r="W733" s="566"/>
      <c r="X733" s="566"/>
      <c r="Y733" s="566"/>
      <c r="Z733" s="566"/>
    </row>
    <row r="734" spans="1:26" x14ac:dyDescent="0.25">
      <c r="A734" s="566"/>
      <c r="B734" s="566"/>
      <c r="C734" s="566"/>
      <c r="D734" s="566"/>
      <c r="E734" s="566"/>
      <c r="F734" s="566"/>
      <c r="G734" s="566"/>
      <c r="H734" s="566"/>
      <c r="I734" s="566"/>
      <c r="J734" s="566"/>
      <c r="K734" s="566"/>
      <c r="L734" s="566"/>
      <c r="M734" s="566"/>
      <c r="N734" s="566"/>
      <c r="O734" s="566"/>
      <c r="P734" s="566"/>
      <c r="Q734" s="566"/>
      <c r="R734" s="566"/>
      <c r="S734" s="566"/>
      <c r="T734" s="566"/>
      <c r="U734" s="566"/>
      <c r="V734" s="566"/>
      <c r="W734" s="566"/>
      <c r="X734" s="566"/>
      <c r="Y734" s="566"/>
      <c r="Z734" s="566"/>
    </row>
    <row r="735" spans="1:26" x14ac:dyDescent="0.25">
      <c r="A735" s="566"/>
      <c r="B735" s="566"/>
      <c r="C735" s="566"/>
      <c r="D735" s="566"/>
      <c r="E735" s="566"/>
      <c r="F735" s="566"/>
      <c r="G735" s="566"/>
      <c r="H735" s="566"/>
      <c r="I735" s="566"/>
      <c r="J735" s="566"/>
      <c r="K735" s="566"/>
      <c r="L735" s="566"/>
      <c r="M735" s="566"/>
      <c r="N735" s="566"/>
      <c r="O735" s="566"/>
      <c r="P735" s="566"/>
      <c r="Q735" s="566"/>
      <c r="R735" s="566"/>
      <c r="S735" s="566"/>
      <c r="T735" s="566"/>
      <c r="U735" s="566"/>
      <c r="V735" s="566"/>
      <c r="W735" s="566"/>
      <c r="X735" s="566"/>
      <c r="Y735" s="566"/>
      <c r="Z735" s="566"/>
    </row>
    <row r="736" spans="1:26" x14ac:dyDescent="0.25">
      <c r="A736" s="566"/>
      <c r="B736" s="566"/>
      <c r="C736" s="566"/>
      <c r="D736" s="566"/>
      <c r="E736" s="566"/>
      <c r="F736" s="566"/>
      <c r="G736" s="566"/>
      <c r="H736" s="566"/>
      <c r="I736" s="566"/>
      <c r="J736" s="566"/>
      <c r="K736" s="566"/>
      <c r="L736" s="566"/>
      <c r="M736" s="566"/>
      <c r="N736" s="566"/>
      <c r="O736" s="566"/>
      <c r="P736" s="566"/>
      <c r="Q736" s="566"/>
      <c r="R736" s="566"/>
      <c r="S736" s="566"/>
      <c r="T736" s="566"/>
      <c r="U736" s="566"/>
      <c r="V736" s="566"/>
      <c r="W736" s="566"/>
      <c r="X736" s="566"/>
      <c r="Y736" s="566"/>
      <c r="Z736" s="566"/>
    </row>
    <row r="737" spans="1:26" x14ac:dyDescent="0.25">
      <c r="A737" s="566"/>
      <c r="B737" s="566"/>
      <c r="C737" s="566"/>
      <c r="D737" s="566"/>
      <c r="E737" s="566"/>
      <c r="F737" s="566"/>
      <c r="G737" s="566"/>
      <c r="H737" s="566"/>
      <c r="I737" s="566"/>
      <c r="J737" s="566"/>
      <c r="K737" s="566"/>
      <c r="L737" s="566"/>
      <c r="M737" s="566"/>
      <c r="N737" s="566"/>
      <c r="O737" s="566"/>
      <c r="P737" s="566"/>
      <c r="Q737" s="566"/>
      <c r="R737" s="566"/>
      <c r="S737" s="566"/>
      <c r="T737" s="566"/>
      <c r="U737" s="566"/>
      <c r="V737" s="566"/>
      <c r="W737" s="566"/>
      <c r="X737" s="566"/>
      <c r="Y737" s="566"/>
      <c r="Z737" s="566"/>
    </row>
    <row r="738" spans="1:26" x14ac:dyDescent="0.25">
      <c r="A738" s="566"/>
      <c r="B738" s="566"/>
      <c r="C738" s="566"/>
      <c r="D738" s="566"/>
      <c r="E738" s="566"/>
      <c r="F738" s="566"/>
      <c r="G738" s="566"/>
      <c r="H738" s="566"/>
      <c r="I738" s="566"/>
      <c r="J738" s="566"/>
      <c r="K738" s="566"/>
      <c r="L738" s="566"/>
      <c r="M738" s="566"/>
      <c r="N738" s="566"/>
      <c r="O738" s="566"/>
      <c r="P738" s="566"/>
      <c r="Q738" s="566"/>
      <c r="R738" s="566"/>
      <c r="S738" s="566"/>
      <c r="T738" s="566"/>
      <c r="U738" s="566"/>
      <c r="V738" s="566"/>
      <c r="W738" s="566"/>
      <c r="X738" s="566"/>
      <c r="Y738" s="566"/>
      <c r="Z738" s="566"/>
    </row>
    <row r="739" spans="1:26" x14ac:dyDescent="0.25">
      <c r="A739" s="566"/>
      <c r="B739" s="566"/>
      <c r="C739" s="566"/>
      <c r="D739" s="566"/>
      <c r="E739" s="566"/>
      <c r="F739" s="566"/>
      <c r="G739" s="566"/>
      <c r="H739" s="566"/>
      <c r="I739" s="566"/>
      <c r="J739" s="566"/>
      <c r="K739" s="566"/>
      <c r="L739" s="566"/>
      <c r="M739" s="566"/>
      <c r="N739" s="566"/>
      <c r="O739" s="566"/>
      <c r="P739" s="566"/>
      <c r="Q739" s="566"/>
      <c r="R739" s="566"/>
      <c r="S739" s="566"/>
      <c r="T739" s="566"/>
      <c r="U739" s="566"/>
      <c r="V739" s="566"/>
      <c r="W739" s="566"/>
      <c r="X739" s="566"/>
      <c r="Y739" s="566"/>
      <c r="Z739" s="566"/>
    </row>
    <row r="740" spans="1:26" x14ac:dyDescent="0.25">
      <c r="A740" s="566"/>
      <c r="B740" s="566"/>
      <c r="C740" s="566"/>
      <c r="D740" s="566"/>
      <c r="E740" s="566"/>
      <c r="F740" s="566"/>
      <c r="G740" s="566"/>
      <c r="H740" s="566"/>
      <c r="I740" s="566"/>
      <c r="J740" s="566"/>
      <c r="K740" s="566"/>
      <c r="L740" s="566"/>
      <c r="M740" s="566"/>
      <c r="N740" s="566"/>
      <c r="O740" s="566"/>
      <c r="P740" s="566"/>
      <c r="Q740" s="566"/>
      <c r="R740" s="566"/>
      <c r="S740" s="566"/>
      <c r="T740" s="566"/>
      <c r="U740" s="566"/>
      <c r="V740" s="566"/>
      <c r="W740" s="566"/>
      <c r="X740" s="566"/>
      <c r="Y740" s="566"/>
      <c r="Z740" s="566"/>
    </row>
    <row r="741" spans="1:26" x14ac:dyDescent="0.25">
      <c r="A741" s="566"/>
      <c r="B741" s="566"/>
      <c r="C741" s="566"/>
      <c r="D741" s="566"/>
      <c r="E741" s="566"/>
      <c r="F741" s="566"/>
      <c r="G741" s="566"/>
      <c r="H741" s="566"/>
      <c r="I741" s="566"/>
      <c r="J741" s="566"/>
      <c r="K741" s="566"/>
      <c r="L741" s="566"/>
      <c r="M741" s="566"/>
      <c r="N741" s="566"/>
      <c r="O741" s="566"/>
      <c r="P741" s="566"/>
      <c r="Q741" s="566"/>
      <c r="R741" s="566"/>
      <c r="S741" s="566"/>
      <c r="T741" s="566"/>
      <c r="U741" s="566"/>
      <c r="V741" s="566"/>
      <c r="W741" s="566"/>
      <c r="X741" s="566"/>
      <c r="Y741" s="566"/>
      <c r="Z741" s="566"/>
    </row>
    <row r="742" spans="1:26" x14ac:dyDescent="0.25">
      <c r="A742" s="566"/>
      <c r="B742" s="566"/>
      <c r="C742" s="566"/>
      <c r="D742" s="566"/>
      <c r="E742" s="566"/>
      <c r="F742" s="566"/>
      <c r="G742" s="566"/>
      <c r="H742" s="566"/>
      <c r="I742" s="566"/>
      <c r="J742" s="566"/>
      <c r="K742" s="566"/>
      <c r="L742" s="566"/>
      <c r="M742" s="566"/>
      <c r="N742" s="566"/>
      <c r="O742" s="566"/>
      <c r="P742" s="566"/>
      <c r="Q742" s="566"/>
      <c r="R742" s="566"/>
      <c r="S742" s="566"/>
      <c r="T742" s="566"/>
      <c r="U742" s="566"/>
      <c r="V742" s="566"/>
      <c r="W742" s="566"/>
      <c r="X742" s="566"/>
      <c r="Y742" s="566"/>
      <c r="Z742" s="566"/>
    </row>
    <row r="743" spans="1:26" x14ac:dyDescent="0.25">
      <c r="A743" s="566"/>
      <c r="B743" s="566"/>
      <c r="C743" s="566"/>
      <c r="D743" s="566"/>
      <c r="E743" s="566"/>
      <c r="F743" s="566"/>
      <c r="G743" s="566"/>
      <c r="H743" s="566"/>
      <c r="I743" s="566"/>
      <c r="J743" s="566"/>
      <c r="K743" s="566"/>
      <c r="L743" s="566"/>
      <c r="M743" s="566"/>
      <c r="N743" s="566"/>
      <c r="O743" s="566"/>
      <c r="P743" s="566"/>
      <c r="Q743" s="566"/>
      <c r="R743" s="566"/>
      <c r="S743" s="566"/>
      <c r="T743" s="566"/>
      <c r="U743" s="566"/>
      <c r="V743" s="566"/>
      <c r="W743" s="566"/>
      <c r="X743" s="566"/>
      <c r="Y743" s="566"/>
      <c r="Z743" s="566"/>
    </row>
    <row r="744" spans="1:26" x14ac:dyDescent="0.25">
      <c r="A744" s="566"/>
      <c r="B744" s="566"/>
      <c r="C744" s="566"/>
      <c r="D744" s="566"/>
      <c r="E744" s="566"/>
      <c r="F744" s="566"/>
      <c r="G744" s="566"/>
      <c r="H744" s="566"/>
      <c r="I744" s="566"/>
      <c r="J744" s="566"/>
      <c r="K744" s="566"/>
      <c r="L744" s="566"/>
      <c r="M744" s="566"/>
      <c r="N744" s="566"/>
      <c r="O744" s="566"/>
      <c r="P744" s="566"/>
      <c r="Q744" s="566"/>
      <c r="R744" s="566"/>
      <c r="S744" s="566"/>
      <c r="T744" s="566"/>
      <c r="U744" s="566"/>
      <c r="V744" s="566"/>
      <c r="W744" s="566"/>
      <c r="X744" s="566"/>
      <c r="Y744" s="566"/>
      <c r="Z744" s="566"/>
    </row>
    <row r="745" spans="1:26" x14ac:dyDescent="0.25">
      <c r="A745" s="566"/>
      <c r="B745" s="566"/>
      <c r="C745" s="566"/>
      <c r="D745" s="566"/>
      <c r="E745" s="566"/>
      <c r="F745" s="566"/>
      <c r="G745" s="566"/>
      <c r="H745" s="566"/>
      <c r="I745" s="566"/>
      <c r="J745" s="566"/>
      <c r="K745" s="566"/>
      <c r="L745" s="566"/>
      <c r="M745" s="566"/>
      <c r="N745" s="566"/>
      <c r="O745" s="566"/>
      <c r="P745" s="566"/>
      <c r="Q745" s="566"/>
      <c r="R745" s="566"/>
      <c r="S745" s="566"/>
      <c r="T745" s="566"/>
      <c r="U745" s="566"/>
      <c r="V745" s="566"/>
      <c r="W745" s="566"/>
      <c r="X745" s="566"/>
      <c r="Y745" s="566"/>
      <c r="Z745" s="566"/>
    </row>
    <row r="746" spans="1:26" x14ac:dyDescent="0.25">
      <c r="A746" s="566"/>
      <c r="B746" s="566"/>
      <c r="C746" s="566"/>
      <c r="D746" s="566"/>
      <c r="E746" s="566"/>
      <c r="F746" s="566"/>
      <c r="G746" s="566"/>
      <c r="H746" s="566"/>
      <c r="I746" s="566"/>
      <c r="J746" s="566"/>
      <c r="K746" s="566"/>
      <c r="L746" s="566"/>
      <c r="M746" s="566"/>
      <c r="N746" s="566"/>
      <c r="O746" s="566"/>
      <c r="P746" s="566"/>
      <c r="Q746" s="566"/>
      <c r="R746" s="566"/>
      <c r="S746" s="566"/>
      <c r="T746" s="566"/>
      <c r="U746" s="566"/>
      <c r="V746" s="566"/>
      <c r="W746" s="566"/>
      <c r="X746" s="566"/>
      <c r="Y746" s="566"/>
      <c r="Z746" s="566"/>
    </row>
    <row r="747" spans="1:26" x14ac:dyDescent="0.25">
      <c r="A747" s="566"/>
      <c r="B747" s="566"/>
      <c r="C747" s="566"/>
      <c r="D747" s="566"/>
      <c r="E747" s="566"/>
      <c r="F747" s="566"/>
      <c r="G747" s="566"/>
      <c r="H747" s="566"/>
      <c r="I747" s="566"/>
      <c r="J747" s="566"/>
      <c r="K747" s="566"/>
      <c r="L747" s="566"/>
      <c r="M747" s="566"/>
      <c r="N747" s="566"/>
      <c r="O747" s="566"/>
      <c r="P747" s="566"/>
      <c r="Q747" s="566"/>
      <c r="R747" s="566"/>
      <c r="S747" s="566"/>
      <c r="T747" s="566"/>
      <c r="U747" s="566"/>
      <c r="V747" s="566"/>
      <c r="W747" s="566"/>
      <c r="X747" s="566"/>
      <c r="Y747" s="566"/>
      <c r="Z747" s="566"/>
    </row>
    <row r="748" spans="1:26" x14ac:dyDescent="0.25">
      <c r="A748" s="566"/>
      <c r="B748" s="566"/>
      <c r="C748" s="566"/>
      <c r="D748" s="566"/>
      <c r="E748" s="566"/>
      <c r="F748" s="566"/>
      <c r="G748" s="566"/>
      <c r="H748" s="566"/>
      <c r="I748" s="566"/>
      <c r="J748" s="566"/>
      <c r="K748" s="566"/>
      <c r="L748" s="566"/>
      <c r="M748" s="566"/>
      <c r="N748" s="566"/>
      <c r="O748" s="566"/>
      <c r="P748" s="566"/>
      <c r="Q748" s="566"/>
      <c r="R748" s="566"/>
      <c r="S748" s="566"/>
      <c r="T748" s="566"/>
      <c r="U748" s="566"/>
      <c r="V748" s="566"/>
      <c r="W748" s="566"/>
      <c r="X748" s="566"/>
      <c r="Y748" s="566"/>
      <c r="Z748" s="566"/>
    </row>
    <row r="749" spans="1:26" x14ac:dyDescent="0.25">
      <c r="A749" s="566"/>
      <c r="B749" s="566"/>
      <c r="C749" s="566"/>
      <c r="D749" s="566"/>
      <c r="E749" s="566"/>
      <c r="F749" s="566"/>
      <c r="G749" s="566"/>
      <c r="H749" s="566"/>
      <c r="I749" s="566"/>
      <c r="J749" s="566"/>
      <c r="K749" s="566"/>
      <c r="L749" s="566"/>
      <c r="M749" s="566"/>
      <c r="N749" s="566"/>
      <c r="O749" s="566"/>
      <c r="P749" s="566"/>
      <c r="Q749" s="566"/>
      <c r="R749" s="566"/>
      <c r="S749" s="566"/>
      <c r="T749" s="566"/>
      <c r="U749" s="566"/>
      <c r="V749" s="566"/>
      <c r="W749" s="566"/>
      <c r="X749" s="566"/>
      <c r="Y749" s="566"/>
      <c r="Z749" s="566"/>
    </row>
    <row r="750" spans="1:26" x14ac:dyDescent="0.25">
      <c r="A750" s="566"/>
      <c r="B750" s="566"/>
      <c r="C750" s="566"/>
      <c r="D750" s="566"/>
      <c r="E750" s="566"/>
      <c r="F750" s="566"/>
      <c r="G750" s="566"/>
      <c r="H750" s="566"/>
      <c r="I750" s="566"/>
      <c r="J750" s="566"/>
      <c r="K750" s="566"/>
      <c r="L750" s="566"/>
      <c r="M750" s="566"/>
      <c r="N750" s="566"/>
      <c r="O750" s="566"/>
      <c r="P750" s="566"/>
      <c r="Q750" s="566"/>
      <c r="R750" s="566"/>
      <c r="S750" s="566"/>
      <c r="T750" s="566"/>
      <c r="U750" s="566"/>
      <c r="V750" s="566"/>
      <c r="W750" s="566"/>
      <c r="X750" s="566"/>
      <c r="Y750" s="566"/>
      <c r="Z750" s="566"/>
    </row>
    <row r="751" spans="1:26" x14ac:dyDescent="0.25">
      <c r="A751" s="566"/>
      <c r="B751" s="566"/>
      <c r="C751" s="566"/>
      <c r="D751" s="566"/>
      <c r="E751" s="566"/>
      <c r="F751" s="566"/>
      <c r="G751" s="566"/>
      <c r="H751" s="566"/>
      <c r="I751" s="566"/>
      <c r="J751" s="566"/>
      <c r="K751" s="566"/>
      <c r="L751" s="566"/>
      <c r="M751" s="566"/>
      <c r="N751" s="566"/>
      <c r="O751" s="566"/>
      <c r="P751" s="566"/>
      <c r="Q751" s="566"/>
      <c r="R751" s="566"/>
      <c r="S751" s="566"/>
      <c r="T751" s="566"/>
      <c r="U751" s="566"/>
      <c r="V751" s="566"/>
      <c r="W751" s="566"/>
      <c r="X751" s="566"/>
      <c r="Y751" s="566"/>
      <c r="Z751" s="566"/>
    </row>
    <row r="752" spans="1:26" x14ac:dyDescent="0.25">
      <c r="A752" s="566"/>
      <c r="B752" s="566"/>
      <c r="C752" s="566"/>
      <c r="D752" s="566"/>
      <c r="E752" s="566"/>
      <c r="F752" s="566"/>
      <c r="G752" s="566"/>
      <c r="H752" s="566"/>
      <c r="I752" s="566"/>
      <c r="J752" s="566"/>
      <c r="K752" s="566"/>
      <c r="L752" s="566"/>
      <c r="M752" s="566"/>
      <c r="N752" s="566"/>
      <c r="O752" s="566"/>
      <c r="P752" s="566"/>
      <c r="Q752" s="566"/>
      <c r="R752" s="566"/>
      <c r="S752" s="566"/>
      <c r="T752" s="566"/>
      <c r="U752" s="566"/>
      <c r="V752" s="566"/>
      <c r="W752" s="566"/>
      <c r="X752" s="566"/>
      <c r="Y752" s="566"/>
      <c r="Z752" s="566"/>
    </row>
    <row r="753" spans="1:26" x14ac:dyDescent="0.25">
      <c r="A753" s="566"/>
      <c r="B753" s="566"/>
      <c r="C753" s="566"/>
      <c r="D753" s="566"/>
      <c r="E753" s="566"/>
      <c r="F753" s="566"/>
      <c r="G753" s="566"/>
      <c r="H753" s="566"/>
      <c r="I753" s="566"/>
      <c r="J753" s="566"/>
      <c r="K753" s="566"/>
      <c r="L753" s="566"/>
      <c r="M753" s="566"/>
      <c r="N753" s="566"/>
      <c r="O753" s="566"/>
      <c r="P753" s="566"/>
      <c r="Q753" s="566"/>
      <c r="R753" s="566"/>
      <c r="S753" s="566"/>
      <c r="T753" s="566"/>
      <c r="U753" s="566"/>
      <c r="V753" s="566"/>
      <c r="W753" s="566"/>
      <c r="X753" s="566"/>
      <c r="Y753" s="566"/>
      <c r="Z753" s="566"/>
    </row>
    <row r="754" spans="1:26" x14ac:dyDescent="0.25">
      <c r="A754" s="566"/>
      <c r="B754" s="566"/>
      <c r="C754" s="566"/>
      <c r="D754" s="566"/>
      <c r="E754" s="566"/>
      <c r="F754" s="566"/>
      <c r="G754" s="566"/>
      <c r="H754" s="566"/>
      <c r="I754" s="566"/>
      <c r="J754" s="566"/>
      <c r="K754" s="566"/>
      <c r="L754" s="566"/>
      <c r="M754" s="566"/>
      <c r="N754" s="566"/>
      <c r="O754" s="566"/>
      <c r="P754" s="566"/>
      <c r="Q754" s="566"/>
      <c r="R754" s="566"/>
      <c r="S754" s="566"/>
      <c r="T754" s="566"/>
      <c r="U754" s="566"/>
      <c r="V754" s="566"/>
      <c r="W754" s="566"/>
      <c r="X754" s="566"/>
      <c r="Y754" s="566"/>
      <c r="Z754" s="566"/>
    </row>
    <row r="755" spans="1:26" x14ac:dyDescent="0.25">
      <c r="A755" s="566"/>
      <c r="B755" s="566"/>
      <c r="C755" s="566"/>
      <c r="D755" s="566"/>
      <c r="E755" s="566"/>
      <c r="F755" s="566"/>
      <c r="G755" s="566"/>
      <c r="H755" s="566"/>
      <c r="I755" s="566"/>
      <c r="J755" s="566"/>
      <c r="K755" s="566"/>
      <c r="L755" s="566"/>
      <c r="M755" s="566"/>
      <c r="N755" s="566"/>
      <c r="O755" s="566"/>
      <c r="P755" s="566"/>
      <c r="Q755" s="566"/>
      <c r="R755" s="566"/>
      <c r="S755" s="566"/>
      <c r="T755" s="566"/>
      <c r="U755" s="566"/>
      <c r="V755" s="566"/>
      <c r="W755" s="566"/>
      <c r="X755" s="566"/>
      <c r="Y755" s="566"/>
      <c r="Z755" s="566"/>
    </row>
    <row r="756" spans="1:26" x14ac:dyDescent="0.25">
      <c r="A756" s="566"/>
      <c r="B756" s="566"/>
      <c r="C756" s="566"/>
      <c r="D756" s="566"/>
      <c r="E756" s="566"/>
      <c r="F756" s="566"/>
      <c r="G756" s="566"/>
      <c r="H756" s="566"/>
      <c r="I756" s="566"/>
      <c r="J756" s="566"/>
      <c r="K756" s="566"/>
      <c r="L756" s="566"/>
      <c r="M756" s="566"/>
      <c r="N756" s="566"/>
      <c r="O756" s="566"/>
      <c r="P756" s="566"/>
      <c r="Q756" s="566"/>
      <c r="R756" s="566"/>
      <c r="S756" s="566"/>
      <c r="T756" s="566"/>
      <c r="U756" s="566"/>
      <c r="V756" s="566"/>
      <c r="W756" s="566"/>
      <c r="X756" s="566"/>
      <c r="Y756" s="566"/>
      <c r="Z756" s="566"/>
    </row>
    <row r="757" spans="1:26" x14ac:dyDescent="0.25">
      <c r="A757" s="566"/>
      <c r="B757" s="566"/>
      <c r="C757" s="566"/>
      <c r="D757" s="566"/>
      <c r="E757" s="566"/>
      <c r="F757" s="566"/>
      <c r="G757" s="566"/>
      <c r="H757" s="566"/>
      <c r="I757" s="566"/>
      <c r="J757" s="566"/>
      <c r="K757" s="566"/>
      <c r="L757" s="566"/>
      <c r="M757" s="566"/>
      <c r="N757" s="566"/>
      <c r="O757" s="566"/>
      <c r="P757" s="566"/>
      <c r="Q757" s="566"/>
      <c r="R757" s="566"/>
      <c r="S757" s="566"/>
      <c r="T757" s="566"/>
      <c r="U757" s="566"/>
      <c r="V757" s="566"/>
      <c r="W757" s="566"/>
      <c r="X757" s="566"/>
      <c r="Y757" s="566"/>
      <c r="Z757" s="566"/>
    </row>
    <row r="758" spans="1:26" x14ac:dyDescent="0.25">
      <c r="A758" s="566"/>
      <c r="B758" s="566"/>
      <c r="C758" s="566"/>
      <c r="D758" s="566"/>
      <c r="E758" s="566"/>
      <c r="F758" s="566"/>
      <c r="G758" s="566"/>
      <c r="H758" s="566"/>
      <c r="I758" s="566"/>
      <c r="J758" s="566"/>
      <c r="K758" s="566"/>
      <c r="L758" s="566"/>
      <c r="M758" s="566"/>
      <c r="N758" s="566"/>
      <c r="O758" s="566"/>
      <c r="P758" s="566"/>
      <c r="Q758" s="566"/>
      <c r="R758" s="566"/>
      <c r="S758" s="566"/>
      <c r="T758" s="566"/>
      <c r="U758" s="566"/>
      <c r="V758" s="566"/>
      <c r="W758" s="566"/>
      <c r="X758" s="566"/>
      <c r="Y758" s="566"/>
      <c r="Z758" s="566"/>
    </row>
    <row r="759" spans="1:26" x14ac:dyDescent="0.25">
      <c r="A759" s="566"/>
      <c r="B759" s="566"/>
      <c r="C759" s="566"/>
      <c r="D759" s="566"/>
      <c r="E759" s="566"/>
      <c r="F759" s="566"/>
      <c r="G759" s="566"/>
      <c r="H759" s="566"/>
      <c r="I759" s="566"/>
      <c r="J759" s="566"/>
      <c r="K759" s="566"/>
      <c r="L759" s="566"/>
      <c r="M759" s="566"/>
      <c r="N759" s="566"/>
      <c r="O759" s="566"/>
      <c r="P759" s="566"/>
      <c r="Q759" s="566"/>
      <c r="R759" s="566"/>
      <c r="S759" s="566"/>
      <c r="T759" s="566"/>
      <c r="U759" s="566"/>
      <c r="V759" s="566"/>
      <c r="W759" s="566"/>
      <c r="X759" s="566"/>
      <c r="Y759" s="566"/>
      <c r="Z759" s="566"/>
    </row>
    <row r="760" spans="1:26" x14ac:dyDescent="0.25">
      <c r="A760" s="566"/>
      <c r="B760" s="566"/>
      <c r="C760" s="566"/>
      <c r="D760" s="566"/>
      <c r="E760" s="566"/>
      <c r="F760" s="566"/>
      <c r="G760" s="566"/>
      <c r="H760" s="566"/>
      <c r="I760" s="566"/>
      <c r="J760" s="566"/>
      <c r="K760" s="566"/>
      <c r="L760" s="566"/>
      <c r="M760" s="566"/>
      <c r="N760" s="566"/>
      <c r="O760" s="566"/>
      <c r="P760" s="566"/>
      <c r="Q760" s="566"/>
      <c r="R760" s="566"/>
      <c r="S760" s="566"/>
      <c r="T760" s="566"/>
      <c r="U760" s="566"/>
      <c r="V760" s="566"/>
      <c r="W760" s="566"/>
      <c r="X760" s="566"/>
      <c r="Y760" s="566"/>
      <c r="Z760" s="566"/>
    </row>
    <row r="761" spans="1:26" x14ac:dyDescent="0.25">
      <c r="A761" s="566"/>
      <c r="B761" s="566"/>
      <c r="C761" s="566"/>
      <c r="D761" s="566"/>
      <c r="E761" s="566"/>
      <c r="F761" s="566"/>
      <c r="G761" s="566"/>
      <c r="H761" s="566"/>
      <c r="I761" s="566"/>
      <c r="J761" s="566"/>
      <c r="K761" s="566"/>
      <c r="L761" s="566"/>
      <c r="M761" s="566"/>
      <c r="N761" s="566"/>
      <c r="O761" s="566"/>
      <c r="P761" s="566"/>
      <c r="Q761" s="566"/>
      <c r="R761" s="566"/>
      <c r="S761" s="566"/>
      <c r="T761" s="566"/>
      <c r="U761" s="566"/>
      <c r="V761" s="566"/>
      <c r="W761" s="566"/>
      <c r="X761" s="566"/>
      <c r="Y761" s="566"/>
      <c r="Z761" s="566"/>
    </row>
    <row r="762" spans="1:26" x14ac:dyDescent="0.25">
      <c r="A762" s="566"/>
      <c r="B762" s="566"/>
      <c r="C762" s="566"/>
      <c r="D762" s="566"/>
      <c r="E762" s="566"/>
      <c r="F762" s="566"/>
      <c r="G762" s="566"/>
      <c r="H762" s="566"/>
      <c r="I762" s="566"/>
      <c r="J762" s="566"/>
      <c r="K762" s="566"/>
      <c r="L762" s="566"/>
      <c r="M762" s="566"/>
      <c r="N762" s="566"/>
      <c r="O762" s="566"/>
      <c r="P762" s="566"/>
      <c r="Q762" s="566"/>
      <c r="R762" s="566"/>
      <c r="S762" s="566"/>
      <c r="T762" s="566"/>
      <c r="U762" s="566"/>
      <c r="V762" s="566"/>
      <c r="W762" s="566"/>
      <c r="X762" s="566"/>
      <c r="Y762" s="566"/>
      <c r="Z762" s="566"/>
    </row>
    <row r="763" spans="1:26" x14ac:dyDescent="0.25">
      <c r="A763" s="566"/>
      <c r="B763" s="566"/>
      <c r="C763" s="566"/>
      <c r="D763" s="566"/>
      <c r="E763" s="566"/>
      <c r="F763" s="566"/>
      <c r="G763" s="566"/>
      <c r="H763" s="566"/>
      <c r="I763" s="566"/>
      <c r="J763" s="566"/>
      <c r="K763" s="566"/>
      <c r="L763" s="566"/>
      <c r="M763" s="566"/>
      <c r="N763" s="566"/>
      <c r="O763" s="566"/>
      <c r="P763" s="566"/>
      <c r="Q763" s="566"/>
      <c r="R763" s="566"/>
      <c r="S763" s="566"/>
      <c r="T763" s="566"/>
      <c r="U763" s="566"/>
      <c r="V763" s="566"/>
      <c r="W763" s="566"/>
      <c r="X763" s="566"/>
      <c r="Y763" s="566"/>
      <c r="Z763" s="566"/>
    </row>
    <row r="764" spans="1:26" x14ac:dyDescent="0.25">
      <c r="A764" s="566"/>
      <c r="B764" s="566"/>
      <c r="C764" s="566"/>
      <c r="D764" s="566"/>
      <c r="E764" s="566"/>
      <c r="F764" s="566"/>
      <c r="G764" s="566"/>
      <c r="H764" s="566"/>
      <c r="I764" s="566"/>
      <c r="J764" s="566"/>
      <c r="K764" s="566"/>
      <c r="L764" s="566"/>
      <c r="M764" s="566"/>
      <c r="N764" s="566"/>
      <c r="O764" s="566"/>
      <c r="P764" s="566"/>
      <c r="Q764" s="566"/>
      <c r="R764" s="566"/>
      <c r="S764" s="566"/>
      <c r="T764" s="566"/>
      <c r="U764" s="566"/>
      <c r="V764" s="566"/>
      <c r="W764" s="566"/>
      <c r="X764" s="566"/>
      <c r="Y764" s="566"/>
      <c r="Z764" s="566"/>
    </row>
    <row r="765" spans="1:26" x14ac:dyDescent="0.25">
      <c r="A765" s="566"/>
      <c r="B765" s="566"/>
      <c r="C765" s="566"/>
      <c r="D765" s="566"/>
      <c r="E765" s="566"/>
      <c r="F765" s="566"/>
      <c r="G765" s="566"/>
      <c r="H765" s="566"/>
      <c r="I765" s="566"/>
      <c r="J765" s="566"/>
      <c r="K765" s="566"/>
      <c r="L765" s="566"/>
      <c r="M765" s="566"/>
      <c r="N765" s="566"/>
      <c r="O765" s="566"/>
      <c r="P765" s="566"/>
      <c r="Q765" s="566"/>
      <c r="R765" s="566"/>
      <c r="S765" s="566"/>
      <c r="T765" s="566"/>
      <c r="U765" s="566"/>
      <c r="V765" s="566"/>
      <c r="W765" s="566"/>
      <c r="X765" s="566"/>
      <c r="Y765" s="566"/>
      <c r="Z765" s="566"/>
    </row>
    <row r="766" spans="1:26" x14ac:dyDescent="0.25">
      <c r="A766" s="566"/>
      <c r="B766" s="566"/>
      <c r="C766" s="566"/>
      <c r="D766" s="566"/>
      <c r="E766" s="566"/>
      <c r="F766" s="566"/>
      <c r="G766" s="566"/>
      <c r="H766" s="566"/>
      <c r="I766" s="566"/>
      <c r="J766" s="566"/>
      <c r="K766" s="566"/>
      <c r="L766" s="566"/>
      <c r="M766" s="566"/>
      <c r="N766" s="566"/>
      <c r="O766" s="566"/>
      <c r="P766" s="566"/>
      <c r="Q766" s="566"/>
      <c r="R766" s="566"/>
      <c r="S766" s="566"/>
      <c r="T766" s="566"/>
      <c r="U766" s="566"/>
      <c r="V766" s="566"/>
      <c r="W766" s="566"/>
      <c r="X766" s="566"/>
      <c r="Y766" s="566"/>
      <c r="Z766" s="566"/>
    </row>
    <row r="767" spans="1:26" x14ac:dyDescent="0.25">
      <c r="A767" s="566"/>
      <c r="B767" s="566"/>
      <c r="C767" s="566"/>
      <c r="D767" s="566"/>
      <c r="E767" s="566"/>
      <c r="F767" s="566"/>
      <c r="G767" s="566"/>
      <c r="H767" s="566"/>
      <c r="I767" s="566"/>
      <c r="J767" s="566"/>
      <c r="K767" s="566"/>
      <c r="L767" s="566"/>
      <c r="M767" s="566"/>
      <c r="N767" s="566"/>
      <c r="O767" s="566"/>
      <c r="P767" s="566"/>
      <c r="Q767" s="566"/>
      <c r="R767" s="566"/>
      <c r="S767" s="566"/>
      <c r="T767" s="566"/>
      <c r="U767" s="566"/>
      <c r="V767" s="566"/>
      <c r="W767" s="566"/>
      <c r="X767" s="566"/>
      <c r="Y767" s="566"/>
      <c r="Z767" s="566"/>
    </row>
    <row r="768" spans="1:26" x14ac:dyDescent="0.25">
      <c r="A768" s="566"/>
      <c r="B768" s="566"/>
      <c r="C768" s="566"/>
      <c r="D768" s="566"/>
      <c r="E768" s="566"/>
      <c r="F768" s="566"/>
      <c r="G768" s="566"/>
      <c r="H768" s="566"/>
      <c r="I768" s="566"/>
      <c r="J768" s="566"/>
      <c r="K768" s="566"/>
      <c r="L768" s="566"/>
      <c r="M768" s="566"/>
      <c r="N768" s="566"/>
      <c r="O768" s="566"/>
      <c r="P768" s="566"/>
      <c r="Q768" s="566"/>
      <c r="R768" s="566"/>
      <c r="S768" s="566"/>
      <c r="T768" s="566"/>
      <c r="U768" s="566"/>
      <c r="V768" s="566"/>
      <c r="W768" s="566"/>
      <c r="X768" s="566"/>
      <c r="Y768" s="566"/>
      <c r="Z768" s="566"/>
    </row>
    <row r="769" spans="1:26" x14ac:dyDescent="0.25">
      <c r="A769" s="566"/>
      <c r="B769" s="566"/>
      <c r="C769" s="566"/>
      <c r="D769" s="566"/>
      <c r="E769" s="566"/>
      <c r="F769" s="566"/>
      <c r="G769" s="566"/>
      <c r="H769" s="566"/>
      <c r="I769" s="566"/>
      <c r="J769" s="566"/>
      <c r="K769" s="566"/>
      <c r="L769" s="566"/>
      <c r="M769" s="566"/>
      <c r="N769" s="566"/>
      <c r="O769" s="566"/>
      <c r="P769" s="566"/>
      <c r="Q769" s="566"/>
      <c r="R769" s="566"/>
      <c r="S769" s="566"/>
      <c r="T769" s="566"/>
      <c r="U769" s="566"/>
      <c r="V769" s="566"/>
      <c r="W769" s="566"/>
      <c r="X769" s="566"/>
      <c r="Y769" s="566"/>
      <c r="Z769" s="566"/>
    </row>
    <row r="770" spans="1:26" x14ac:dyDescent="0.25">
      <c r="A770" s="566"/>
      <c r="B770" s="566"/>
      <c r="C770" s="566"/>
      <c r="D770" s="566"/>
      <c r="E770" s="566"/>
      <c r="F770" s="566"/>
      <c r="G770" s="566"/>
      <c r="H770" s="566"/>
      <c r="I770" s="566"/>
      <c r="J770" s="566"/>
      <c r="K770" s="566"/>
      <c r="L770" s="566"/>
      <c r="M770" s="566"/>
      <c r="N770" s="566"/>
      <c r="O770" s="566"/>
      <c r="P770" s="566"/>
      <c r="Q770" s="566"/>
      <c r="R770" s="566"/>
      <c r="S770" s="566"/>
      <c r="T770" s="566"/>
      <c r="U770" s="566"/>
      <c r="V770" s="566"/>
      <c r="W770" s="566"/>
      <c r="X770" s="566"/>
      <c r="Y770" s="566"/>
      <c r="Z770" s="566"/>
    </row>
    <row r="771" spans="1:26" x14ac:dyDescent="0.25">
      <c r="A771" s="566"/>
      <c r="B771" s="566"/>
      <c r="C771" s="566"/>
      <c r="D771" s="566"/>
      <c r="E771" s="566"/>
      <c r="F771" s="566"/>
      <c r="G771" s="566"/>
      <c r="H771" s="566"/>
      <c r="I771" s="566"/>
      <c r="J771" s="566"/>
      <c r="K771" s="566"/>
      <c r="L771" s="566"/>
      <c r="M771" s="566"/>
      <c r="N771" s="566"/>
      <c r="O771" s="566"/>
      <c r="P771" s="566"/>
      <c r="Q771" s="566"/>
      <c r="R771" s="566"/>
      <c r="S771" s="566"/>
      <c r="T771" s="566"/>
      <c r="U771" s="566"/>
      <c r="V771" s="566"/>
      <c r="W771" s="566"/>
      <c r="X771" s="566"/>
      <c r="Y771" s="566"/>
      <c r="Z771" s="566"/>
    </row>
    <row r="772" spans="1:26" x14ac:dyDescent="0.25">
      <c r="A772" s="566"/>
      <c r="B772" s="566"/>
      <c r="C772" s="566"/>
      <c r="D772" s="566"/>
      <c r="E772" s="566"/>
      <c r="F772" s="566"/>
      <c r="G772" s="566"/>
      <c r="H772" s="566"/>
      <c r="I772" s="566"/>
      <c r="J772" s="566"/>
      <c r="K772" s="566"/>
      <c r="L772" s="566"/>
      <c r="M772" s="566"/>
      <c r="N772" s="566"/>
      <c r="O772" s="566"/>
      <c r="P772" s="566"/>
      <c r="Q772" s="566"/>
      <c r="R772" s="566"/>
      <c r="S772" s="566"/>
      <c r="T772" s="566"/>
      <c r="U772" s="566"/>
      <c r="V772" s="566"/>
      <c r="W772" s="566"/>
      <c r="X772" s="566"/>
      <c r="Y772" s="566"/>
      <c r="Z772" s="566"/>
    </row>
    <row r="773" spans="1:26" x14ac:dyDescent="0.25">
      <c r="A773" s="566"/>
      <c r="B773" s="566"/>
      <c r="C773" s="566"/>
      <c r="D773" s="566"/>
      <c r="E773" s="566"/>
      <c r="F773" s="566"/>
      <c r="G773" s="566"/>
      <c r="H773" s="566"/>
      <c r="I773" s="566"/>
      <c r="J773" s="566"/>
      <c r="K773" s="566"/>
      <c r="L773" s="566"/>
      <c r="M773" s="566"/>
      <c r="N773" s="566"/>
      <c r="O773" s="566"/>
      <c r="P773" s="566"/>
      <c r="Q773" s="566"/>
      <c r="R773" s="566"/>
      <c r="S773" s="566"/>
      <c r="T773" s="566"/>
      <c r="U773" s="566"/>
      <c r="V773" s="566"/>
      <c r="W773" s="566"/>
      <c r="X773" s="566"/>
      <c r="Y773" s="566"/>
      <c r="Z773" s="566"/>
    </row>
    <row r="774" spans="1:26" x14ac:dyDescent="0.25">
      <c r="A774" s="566"/>
      <c r="B774" s="566"/>
      <c r="C774" s="566"/>
      <c r="D774" s="566"/>
      <c r="E774" s="566"/>
      <c r="F774" s="566"/>
      <c r="G774" s="566"/>
      <c r="H774" s="566"/>
      <c r="I774" s="566"/>
      <c r="J774" s="566"/>
      <c r="K774" s="566"/>
      <c r="L774" s="566"/>
      <c r="M774" s="566"/>
      <c r="N774" s="566"/>
      <c r="O774" s="566"/>
      <c r="P774" s="566"/>
      <c r="Q774" s="566"/>
      <c r="R774" s="566"/>
      <c r="S774" s="566"/>
      <c r="T774" s="566"/>
      <c r="U774" s="566"/>
      <c r="V774" s="566"/>
      <c r="W774" s="566"/>
      <c r="X774" s="566"/>
      <c r="Y774" s="566"/>
      <c r="Z774" s="566"/>
    </row>
    <row r="775" spans="1:26" x14ac:dyDescent="0.25">
      <c r="A775" s="566"/>
      <c r="B775" s="566"/>
      <c r="C775" s="566"/>
      <c r="D775" s="566"/>
      <c r="E775" s="566"/>
      <c r="F775" s="566"/>
      <c r="G775" s="566"/>
      <c r="H775" s="566"/>
      <c r="I775" s="566"/>
      <c r="J775" s="566"/>
      <c r="K775" s="566"/>
      <c r="L775" s="566"/>
      <c r="M775" s="566"/>
      <c r="N775" s="566"/>
      <c r="O775" s="566"/>
      <c r="P775" s="566"/>
      <c r="Q775" s="566"/>
      <c r="R775" s="566"/>
      <c r="S775" s="566"/>
      <c r="T775" s="566"/>
      <c r="U775" s="566"/>
      <c r="V775" s="566"/>
      <c r="W775" s="566"/>
      <c r="X775" s="566"/>
      <c r="Y775" s="566"/>
      <c r="Z775" s="566"/>
    </row>
    <row r="776" spans="1:26" x14ac:dyDescent="0.25">
      <c r="A776" s="566"/>
      <c r="B776" s="566"/>
      <c r="C776" s="566"/>
      <c r="D776" s="566"/>
      <c r="E776" s="566"/>
      <c r="F776" s="566"/>
      <c r="G776" s="566"/>
      <c r="H776" s="566"/>
      <c r="I776" s="566"/>
      <c r="J776" s="566"/>
      <c r="K776" s="566"/>
      <c r="L776" s="566"/>
      <c r="M776" s="566"/>
      <c r="N776" s="566"/>
      <c r="O776" s="566"/>
      <c r="P776" s="566"/>
      <c r="Q776" s="566"/>
      <c r="R776" s="566"/>
      <c r="S776" s="566"/>
      <c r="T776" s="566"/>
      <c r="U776" s="566"/>
      <c r="V776" s="566"/>
      <c r="W776" s="566"/>
      <c r="X776" s="566"/>
      <c r="Y776" s="566"/>
      <c r="Z776" s="566"/>
    </row>
    <row r="777" spans="1:26" x14ac:dyDescent="0.25">
      <c r="A777" s="566"/>
      <c r="B777" s="566"/>
      <c r="C777" s="566"/>
      <c r="D777" s="566"/>
      <c r="E777" s="566"/>
      <c r="F777" s="566"/>
      <c r="G777" s="566"/>
      <c r="H777" s="566"/>
      <c r="I777" s="566"/>
      <c r="J777" s="566"/>
      <c r="K777" s="566"/>
      <c r="L777" s="566"/>
      <c r="M777" s="566"/>
      <c r="N777" s="566"/>
      <c r="O777" s="566"/>
      <c r="P777" s="566"/>
      <c r="Q777" s="566"/>
      <c r="R777" s="566"/>
      <c r="S777" s="566"/>
      <c r="T777" s="566"/>
      <c r="U777" s="566"/>
      <c r="V777" s="566"/>
      <c r="W777" s="566"/>
      <c r="X777" s="566"/>
      <c r="Y777" s="566"/>
      <c r="Z777" s="566"/>
    </row>
    <row r="778" spans="1:26" x14ac:dyDescent="0.25">
      <c r="A778" s="566"/>
      <c r="B778" s="566"/>
      <c r="C778" s="566"/>
      <c r="D778" s="566"/>
      <c r="E778" s="566"/>
      <c r="F778" s="566"/>
      <c r="G778" s="566"/>
      <c r="H778" s="566"/>
      <c r="I778" s="566"/>
      <c r="J778" s="566"/>
      <c r="K778" s="566"/>
      <c r="L778" s="566"/>
      <c r="M778" s="566"/>
      <c r="N778" s="566"/>
      <c r="O778" s="566"/>
      <c r="P778" s="566"/>
      <c r="Q778" s="566"/>
      <c r="R778" s="566"/>
      <c r="S778" s="566"/>
      <c r="T778" s="566"/>
      <c r="U778" s="566"/>
      <c r="V778" s="566"/>
      <c r="W778" s="566"/>
      <c r="X778" s="566"/>
      <c r="Y778" s="566"/>
      <c r="Z778" s="566"/>
    </row>
    <row r="779" spans="1:26" x14ac:dyDescent="0.25">
      <c r="A779" s="566"/>
      <c r="B779" s="566"/>
      <c r="C779" s="566"/>
      <c r="D779" s="566"/>
      <c r="E779" s="566"/>
      <c r="F779" s="566"/>
      <c r="G779" s="566"/>
      <c r="H779" s="566"/>
      <c r="I779" s="566"/>
      <c r="J779" s="566"/>
      <c r="K779" s="566"/>
      <c r="L779" s="566"/>
      <c r="M779" s="566"/>
      <c r="N779" s="566"/>
      <c r="O779" s="566"/>
      <c r="P779" s="566"/>
      <c r="Q779" s="566"/>
      <c r="R779" s="566"/>
      <c r="S779" s="566"/>
      <c r="T779" s="566"/>
      <c r="U779" s="566"/>
      <c r="V779" s="566"/>
      <c r="W779" s="566"/>
      <c r="X779" s="566"/>
      <c r="Y779" s="566"/>
      <c r="Z779" s="566"/>
    </row>
    <row r="780" spans="1:26" x14ac:dyDescent="0.25">
      <c r="A780" s="566"/>
      <c r="B780" s="566"/>
      <c r="C780" s="566"/>
      <c r="D780" s="566"/>
      <c r="E780" s="566"/>
      <c r="F780" s="566"/>
      <c r="G780" s="566"/>
      <c r="H780" s="566"/>
      <c r="I780" s="566"/>
      <c r="J780" s="566"/>
      <c r="K780" s="566"/>
      <c r="L780" s="566"/>
      <c r="M780" s="566"/>
      <c r="N780" s="566"/>
      <c r="O780" s="566"/>
      <c r="P780" s="566"/>
      <c r="Q780" s="566"/>
      <c r="R780" s="566"/>
      <c r="S780" s="566"/>
      <c r="T780" s="566"/>
      <c r="U780" s="566"/>
      <c r="V780" s="566"/>
      <c r="W780" s="566"/>
      <c r="X780" s="566"/>
      <c r="Y780" s="566"/>
      <c r="Z780" s="566"/>
    </row>
    <row r="781" spans="1:26" x14ac:dyDescent="0.25">
      <c r="A781" s="566"/>
      <c r="B781" s="566"/>
      <c r="C781" s="566"/>
      <c r="D781" s="566"/>
      <c r="E781" s="566"/>
      <c r="F781" s="566"/>
      <c r="G781" s="566"/>
      <c r="H781" s="566"/>
      <c r="I781" s="566"/>
      <c r="J781" s="566"/>
      <c r="K781" s="566"/>
      <c r="L781" s="566"/>
      <c r="M781" s="566"/>
      <c r="N781" s="566"/>
      <c r="O781" s="566"/>
      <c r="P781" s="566"/>
      <c r="Q781" s="566"/>
      <c r="R781" s="566"/>
      <c r="S781" s="566"/>
      <c r="T781" s="566"/>
      <c r="U781" s="566"/>
      <c r="V781" s="566"/>
      <c r="W781" s="566"/>
      <c r="X781" s="566"/>
      <c r="Y781" s="566"/>
      <c r="Z781" s="566"/>
    </row>
    <row r="782" spans="1:26" x14ac:dyDescent="0.25">
      <c r="A782" s="566"/>
      <c r="B782" s="566"/>
      <c r="C782" s="566"/>
      <c r="D782" s="566"/>
      <c r="E782" s="566"/>
      <c r="F782" s="566"/>
      <c r="G782" s="566"/>
      <c r="H782" s="566"/>
      <c r="I782" s="566"/>
      <c r="J782" s="566"/>
      <c r="K782" s="566"/>
      <c r="L782" s="566"/>
      <c r="M782" s="566"/>
      <c r="N782" s="566"/>
      <c r="O782" s="566"/>
      <c r="P782" s="566"/>
      <c r="Q782" s="566"/>
      <c r="R782" s="566"/>
      <c r="S782" s="566"/>
      <c r="T782" s="566"/>
      <c r="U782" s="566"/>
      <c r="V782" s="566"/>
      <c r="W782" s="566"/>
      <c r="X782" s="566"/>
      <c r="Y782" s="566"/>
      <c r="Z782" s="566"/>
    </row>
    <row r="783" spans="1:26" x14ac:dyDescent="0.25">
      <c r="A783" s="566"/>
      <c r="B783" s="566"/>
      <c r="C783" s="566"/>
      <c r="D783" s="566"/>
      <c r="E783" s="566"/>
      <c r="F783" s="566"/>
      <c r="G783" s="566"/>
      <c r="H783" s="566"/>
      <c r="I783" s="566"/>
      <c r="J783" s="566"/>
      <c r="K783" s="566"/>
      <c r="L783" s="566"/>
      <c r="M783" s="566"/>
      <c r="N783" s="566"/>
      <c r="O783" s="566"/>
      <c r="P783" s="566"/>
      <c r="Q783" s="566"/>
      <c r="R783" s="566"/>
      <c r="S783" s="566"/>
      <c r="T783" s="566"/>
      <c r="U783" s="566"/>
      <c r="V783" s="566"/>
      <c r="W783" s="566"/>
      <c r="X783" s="566"/>
      <c r="Y783" s="566"/>
      <c r="Z783" s="566"/>
    </row>
    <row r="784" spans="1:26" x14ac:dyDescent="0.25">
      <c r="A784" s="566"/>
      <c r="B784" s="566"/>
      <c r="C784" s="566"/>
      <c r="D784" s="566"/>
      <c r="E784" s="566"/>
      <c r="F784" s="566"/>
      <c r="G784" s="566"/>
      <c r="H784" s="566"/>
      <c r="I784" s="566"/>
      <c r="J784" s="566"/>
      <c r="K784" s="566"/>
      <c r="L784" s="566"/>
      <c r="M784" s="566"/>
      <c r="N784" s="566"/>
      <c r="O784" s="566"/>
      <c r="P784" s="566"/>
      <c r="Q784" s="566"/>
      <c r="R784" s="566"/>
      <c r="S784" s="566"/>
      <c r="T784" s="566"/>
      <c r="U784" s="566"/>
      <c r="V784" s="566"/>
      <c r="W784" s="566"/>
      <c r="X784" s="566"/>
      <c r="Y784" s="566"/>
      <c r="Z784" s="566"/>
    </row>
    <row r="785" spans="1:26" x14ac:dyDescent="0.25">
      <c r="A785" s="566"/>
      <c r="B785" s="566"/>
      <c r="C785" s="566"/>
      <c r="D785" s="566"/>
      <c r="E785" s="566"/>
      <c r="F785" s="566"/>
      <c r="G785" s="566"/>
      <c r="H785" s="566"/>
      <c r="I785" s="566"/>
      <c r="J785" s="566"/>
      <c r="K785" s="566"/>
      <c r="L785" s="566"/>
      <c r="M785" s="566"/>
      <c r="N785" s="566"/>
      <c r="O785" s="566"/>
      <c r="P785" s="566"/>
      <c r="Q785" s="566"/>
      <c r="R785" s="566"/>
      <c r="S785" s="566"/>
      <c r="T785" s="566"/>
      <c r="U785" s="566"/>
      <c r="V785" s="566"/>
      <c r="W785" s="566"/>
      <c r="X785" s="566"/>
      <c r="Y785" s="566"/>
      <c r="Z785" s="566"/>
    </row>
    <row r="786" spans="1:26" x14ac:dyDescent="0.25">
      <c r="A786" s="566"/>
      <c r="B786" s="566"/>
      <c r="C786" s="566"/>
      <c r="D786" s="566"/>
      <c r="E786" s="566"/>
      <c r="F786" s="566"/>
      <c r="G786" s="566"/>
      <c r="H786" s="566"/>
      <c r="I786" s="566"/>
      <c r="J786" s="566"/>
      <c r="K786" s="566"/>
      <c r="L786" s="566"/>
      <c r="M786" s="566"/>
      <c r="N786" s="566"/>
      <c r="O786" s="566"/>
      <c r="P786" s="566"/>
      <c r="Q786" s="566"/>
      <c r="R786" s="566"/>
      <c r="S786" s="566"/>
      <c r="T786" s="566"/>
      <c r="U786" s="566"/>
      <c r="V786" s="566"/>
      <c r="W786" s="566"/>
      <c r="X786" s="566"/>
      <c r="Y786" s="566"/>
      <c r="Z786" s="566"/>
    </row>
    <row r="787" spans="1:26" x14ac:dyDescent="0.25">
      <c r="A787" s="566"/>
      <c r="B787" s="566"/>
      <c r="C787" s="566"/>
      <c r="D787" s="566"/>
      <c r="E787" s="566"/>
      <c r="F787" s="566"/>
      <c r="G787" s="566"/>
      <c r="H787" s="566"/>
      <c r="I787" s="566"/>
      <c r="J787" s="566"/>
      <c r="K787" s="566"/>
      <c r="L787" s="566"/>
      <c r="M787" s="566"/>
      <c r="N787" s="566"/>
      <c r="O787" s="566"/>
      <c r="P787" s="566"/>
      <c r="Q787" s="566"/>
      <c r="R787" s="566"/>
      <c r="S787" s="566"/>
      <c r="T787" s="566"/>
      <c r="U787" s="566"/>
      <c r="V787" s="566"/>
      <c r="W787" s="566"/>
      <c r="X787" s="566"/>
      <c r="Y787" s="566"/>
      <c r="Z787" s="566"/>
    </row>
    <row r="788" spans="1:26" x14ac:dyDescent="0.25">
      <c r="A788" s="566"/>
      <c r="B788" s="566"/>
      <c r="C788" s="566"/>
      <c r="D788" s="566"/>
      <c r="E788" s="566"/>
      <c r="F788" s="566"/>
      <c r="G788" s="566"/>
      <c r="H788" s="566"/>
      <c r="I788" s="566"/>
      <c r="J788" s="566"/>
      <c r="K788" s="566"/>
      <c r="L788" s="566"/>
      <c r="M788" s="566"/>
      <c r="N788" s="566"/>
      <c r="O788" s="566"/>
      <c r="P788" s="566"/>
      <c r="Q788" s="566"/>
      <c r="R788" s="566"/>
      <c r="S788" s="566"/>
      <c r="T788" s="566"/>
      <c r="U788" s="566"/>
      <c r="V788" s="566"/>
      <c r="W788" s="566"/>
      <c r="X788" s="566"/>
      <c r="Y788" s="566"/>
      <c r="Z788" s="566"/>
    </row>
    <row r="789" spans="1:26" x14ac:dyDescent="0.25">
      <c r="A789" s="566"/>
      <c r="B789" s="566"/>
      <c r="C789" s="566"/>
      <c r="D789" s="566"/>
      <c r="E789" s="566"/>
      <c r="F789" s="566"/>
      <c r="G789" s="566"/>
      <c r="H789" s="566"/>
      <c r="I789" s="566"/>
      <c r="J789" s="566"/>
      <c r="K789" s="566"/>
      <c r="L789" s="566"/>
      <c r="M789" s="566"/>
      <c r="N789" s="566"/>
      <c r="O789" s="566"/>
      <c r="P789" s="566"/>
      <c r="Q789" s="566"/>
      <c r="R789" s="566"/>
      <c r="S789" s="566"/>
      <c r="T789" s="566"/>
      <c r="U789" s="566"/>
      <c r="V789" s="566"/>
      <c r="W789" s="566"/>
      <c r="X789" s="566"/>
      <c r="Y789" s="566"/>
      <c r="Z789" s="566"/>
    </row>
    <row r="790" spans="1:26" x14ac:dyDescent="0.25">
      <c r="A790" s="566"/>
      <c r="B790" s="566"/>
      <c r="C790" s="566"/>
      <c r="D790" s="566"/>
      <c r="E790" s="566"/>
      <c r="F790" s="566"/>
      <c r="G790" s="566"/>
      <c r="H790" s="566"/>
      <c r="I790" s="566"/>
      <c r="J790" s="566"/>
      <c r="K790" s="566"/>
      <c r="L790" s="566"/>
      <c r="M790" s="566"/>
      <c r="N790" s="566"/>
      <c r="O790" s="566"/>
      <c r="P790" s="566"/>
      <c r="Q790" s="566"/>
      <c r="R790" s="566"/>
      <c r="S790" s="566"/>
      <c r="T790" s="566"/>
      <c r="U790" s="566"/>
      <c r="V790" s="566"/>
      <c r="W790" s="566"/>
      <c r="X790" s="566"/>
      <c r="Y790" s="566"/>
      <c r="Z790" s="566"/>
    </row>
    <row r="791" spans="1:26" x14ac:dyDescent="0.25">
      <c r="A791" s="566"/>
      <c r="B791" s="566"/>
      <c r="C791" s="566"/>
      <c r="D791" s="566"/>
      <c r="E791" s="566"/>
      <c r="F791" s="566"/>
      <c r="G791" s="566"/>
      <c r="H791" s="566"/>
      <c r="I791" s="566"/>
      <c r="J791" s="566"/>
      <c r="K791" s="566"/>
      <c r="L791" s="566"/>
      <c r="M791" s="566"/>
      <c r="N791" s="566"/>
      <c r="O791" s="566"/>
      <c r="P791" s="566"/>
      <c r="Q791" s="566"/>
      <c r="R791" s="566"/>
      <c r="S791" s="566"/>
      <c r="T791" s="566"/>
      <c r="U791" s="566"/>
      <c r="V791" s="566"/>
      <c r="W791" s="566"/>
      <c r="X791" s="566"/>
      <c r="Y791" s="566"/>
      <c r="Z791" s="566"/>
    </row>
    <row r="792" spans="1:26" x14ac:dyDescent="0.25">
      <c r="A792" s="566"/>
      <c r="B792" s="566"/>
      <c r="C792" s="566"/>
      <c r="D792" s="566"/>
      <c r="E792" s="566"/>
      <c r="F792" s="566"/>
      <c r="G792" s="566"/>
      <c r="H792" s="566"/>
      <c r="I792" s="566"/>
      <c r="J792" s="566"/>
      <c r="K792" s="566"/>
      <c r="L792" s="566"/>
      <c r="M792" s="566"/>
      <c r="N792" s="566"/>
      <c r="O792" s="566"/>
      <c r="P792" s="566"/>
      <c r="Q792" s="566"/>
      <c r="R792" s="566"/>
      <c r="S792" s="566"/>
      <c r="T792" s="566"/>
      <c r="U792" s="566"/>
      <c r="V792" s="566"/>
      <c r="W792" s="566"/>
      <c r="X792" s="566"/>
      <c r="Y792" s="566"/>
      <c r="Z792" s="566"/>
    </row>
    <row r="793" spans="1:26" x14ac:dyDescent="0.25">
      <c r="A793" s="566"/>
      <c r="B793" s="566"/>
      <c r="C793" s="566"/>
      <c r="D793" s="566"/>
      <c r="E793" s="566"/>
      <c r="F793" s="566"/>
      <c r="G793" s="566"/>
      <c r="H793" s="566"/>
      <c r="I793" s="566"/>
      <c r="J793" s="566"/>
      <c r="K793" s="566"/>
      <c r="L793" s="566"/>
      <c r="M793" s="566"/>
      <c r="N793" s="566"/>
      <c r="O793" s="566"/>
      <c r="P793" s="566"/>
      <c r="Q793" s="566"/>
      <c r="R793" s="566"/>
      <c r="S793" s="566"/>
      <c r="T793" s="566"/>
      <c r="U793" s="566"/>
      <c r="V793" s="566"/>
      <c r="W793" s="566"/>
      <c r="X793" s="566"/>
      <c r="Y793" s="566"/>
      <c r="Z793" s="566"/>
    </row>
    <row r="794" spans="1:26" x14ac:dyDescent="0.25">
      <c r="A794" s="566"/>
      <c r="B794" s="566"/>
      <c r="C794" s="566"/>
      <c r="D794" s="566"/>
      <c r="E794" s="566"/>
      <c r="F794" s="566"/>
      <c r="G794" s="566"/>
      <c r="H794" s="566"/>
      <c r="I794" s="566"/>
      <c r="J794" s="566"/>
      <c r="K794" s="566"/>
      <c r="L794" s="566"/>
      <c r="M794" s="566"/>
      <c r="N794" s="566"/>
      <c r="O794" s="566"/>
      <c r="P794" s="566"/>
      <c r="Q794" s="566"/>
      <c r="R794" s="566"/>
      <c r="S794" s="566"/>
      <c r="T794" s="566"/>
      <c r="U794" s="566"/>
      <c r="V794" s="566"/>
      <c r="W794" s="566"/>
      <c r="X794" s="566"/>
      <c r="Y794" s="566"/>
      <c r="Z794" s="566"/>
    </row>
    <row r="795" spans="1:26" x14ac:dyDescent="0.25">
      <c r="A795" s="566"/>
      <c r="B795" s="566"/>
      <c r="C795" s="566"/>
      <c r="D795" s="566"/>
      <c r="E795" s="566"/>
      <c r="F795" s="566"/>
      <c r="G795" s="566"/>
      <c r="H795" s="566"/>
      <c r="I795" s="566"/>
      <c r="J795" s="566"/>
      <c r="K795" s="566"/>
      <c r="L795" s="566"/>
      <c r="M795" s="566"/>
      <c r="N795" s="566"/>
      <c r="O795" s="566"/>
      <c r="P795" s="566"/>
      <c r="Q795" s="566"/>
      <c r="R795" s="566"/>
      <c r="S795" s="566"/>
      <c r="T795" s="566"/>
      <c r="U795" s="566"/>
      <c r="V795" s="566"/>
      <c r="W795" s="566"/>
      <c r="X795" s="566"/>
      <c r="Y795" s="566"/>
      <c r="Z795" s="566"/>
    </row>
    <row r="796" spans="1:26" x14ac:dyDescent="0.25">
      <c r="A796" s="566"/>
      <c r="B796" s="566"/>
      <c r="C796" s="566"/>
      <c r="D796" s="566"/>
      <c r="E796" s="566"/>
      <c r="F796" s="566"/>
      <c r="G796" s="566"/>
      <c r="H796" s="566"/>
      <c r="I796" s="566"/>
      <c r="J796" s="566"/>
      <c r="K796" s="566"/>
      <c r="L796" s="566"/>
      <c r="M796" s="566"/>
      <c r="N796" s="566"/>
      <c r="O796" s="566"/>
      <c r="P796" s="566"/>
      <c r="Q796" s="566"/>
      <c r="R796" s="566"/>
      <c r="S796" s="566"/>
      <c r="T796" s="566"/>
      <c r="U796" s="566"/>
      <c r="V796" s="566"/>
      <c r="W796" s="566"/>
      <c r="X796" s="566"/>
      <c r="Y796" s="566"/>
      <c r="Z796" s="566"/>
    </row>
    <row r="797" spans="1:26" x14ac:dyDescent="0.25">
      <c r="A797" s="566"/>
      <c r="B797" s="566"/>
      <c r="C797" s="566"/>
      <c r="D797" s="566"/>
      <c r="E797" s="566"/>
      <c r="F797" s="566"/>
      <c r="G797" s="566"/>
      <c r="H797" s="566"/>
      <c r="I797" s="566"/>
      <c r="J797" s="566"/>
      <c r="K797" s="566"/>
      <c r="L797" s="566"/>
      <c r="M797" s="566"/>
      <c r="N797" s="566"/>
      <c r="O797" s="566"/>
      <c r="P797" s="566"/>
      <c r="Q797" s="566"/>
      <c r="R797" s="566"/>
      <c r="S797" s="566"/>
      <c r="T797" s="566"/>
      <c r="U797" s="566"/>
      <c r="V797" s="566"/>
      <c r="W797" s="566"/>
      <c r="X797" s="566"/>
      <c r="Y797" s="566"/>
      <c r="Z797" s="566"/>
    </row>
    <row r="798" spans="1:26" x14ac:dyDescent="0.25">
      <c r="A798" s="566"/>
      <c r="B798" s="566"/>
      <c r="C798" s="566"/>
      <c r="D798" s="566"/>
      <c r="E798" s="566"/>
      <c r="F798" s="566"/>
      <c r="G798" s="566"/>
      <c r="H798" s="566"/>
      <c r="I798" s="566"/>
      <c r="J798" s="566"/>
      <c r="K798" s="566"/>
      <c r="L798" s="566"/>
      <c r="M798" s="566"/>
      <c r="N798" s="566"/>
      <c r="O798" s="566"/>
      <c r="P798" s="566"/>
      <c r="Q798" s="566"/>
      <c r="R798" s="566"/>
      <c r="S798" s="566"/>
      <c r="T798" s="566"/>
      <c r="U798" s="566"/>
      <c r="V798" s="566"/>
      <c r="W798" s="566"/>
      <c r="X798" s="566"/>
      <c r="Y798" s="566"/>
      <c r="Z798" s="566"/>
    </row>
    <row r="799" spans="1:26" x14ac:dyDescent="0.25">
      <c r="A799" s="566"/>
      <c r="B799" s="566"/>
      <c r="C799" s="566"/>
      <c r="D799" s="566"/>
      <c r="E799" s="566"/>
      <c r="F799" s="566"/>
      <c r="G799" s="566"/>
      <c r="H799" s="566"/>
      <c r="I799" s="566"/>
      <c r="J799" s="566"/>
      <c r="K799" s="566"/>
      <c r="L799" s="566"/>
      <c r="M799" s="566"/>
      <c r="N799" s="566"/>
      <c r="O799" s="566"/>
      <c r="P799" s="566"/>
      <c r="Q799" s="566"/>
      <c r="R799" s="566"/>
      <c r="S799" s="566"/>
      <c r="T799" s="566"/>
      <c r="U799" s="566"/>
      <c r="V799" s="566"/>
      <c r="W799" s="566"/>
      <c r="X799" s="566"/>
      <c r="Y799" s="566"/>
      <c r="Z799" s="566"/>
    </row>
    <row r="800" spans="1:26" x14ac:dyDescent="0.25">
      <c r="A800" s="566"/>
      <c r="B800" s="566"/>
      <c r="C800" s="566"/>
      <c r="D800" s="566"/>
      <c r="E800" s="566"/>
      <c r="F800" s="566"/>
      <c r="G800" s="566"/>
      <c r="H800" s="566"/>
      <c r="I800" s="566"/>
      <c r="J800" s="566"/>
      <c r="K800" s="566"/>
      <c r="L800" s="566"/>
      <c r="M800" s="566"/>
      <c r="N800" s="566"/>
      <c r="O800" s="566"/>
      <c r="P800" s="566"/>
      <c r="Q800" s="566"/>
      <c r="R800" s="566"/>
      <c r="S800" s="566"/>
      <c r="T800" s="566"/>
      <c r="U800" s="566"/>
      <c r="V800" s="566"/>
      <c r="W800" s="566"/>
      <c r="X800" s="566"/>
      <c r="Y800" s="566"/>
      <c r="Z800" s="566"/>
    </row>
    <row r="801" spans="1:26" x14ac:dyDescent="0.25">
      <c r="A801" s="566"/>
      <c r="B801" s="566"/>
      <c r="C801" s="566"/>
      <c r="D801" s="566"/>
      <c r="E801" s="566"/>
      <c r="F801" s="566"/>
      <c r="G801" s="566"/>
      <c r="H801" s="566"/>
      <c r="I801" s="566"/>
      <c r="J801" s="566"/>
      <c r="K801" s="566"/>
      <c r="L801" s="566"/>
      <c r="M801" s="566"/>
      <c r="N801" s="566"/>
      <c r="O801" s="566"/>
      <c r="P801" s="566"/>
      <c r="Q801" s="566"/>
      <c r="R801" s="566"/>
      <c r="S801" s="566"/>
      <c r="T801" s="566"/>
      <c r="U801" s="566"/>
      <c r="V801" s="566"/>
      <c r="W801" s="566"/>
      <c r="X801" s="566"/>
      <c r="Y801" s="566"/>
      <c r="Z801" s="566"/>
    </row>
    <row r="802" spans="1:26" x14ac:dyDescent="0.25">
      <c r="A802" s="566"/>
      <c r="B802" s="566"/>
      <c r="C802" s="566"/>
      <c r="D802" s="566"/>
      <c r="E802" s="566"/>
      <c r="F802" s="566"/>
      <c r="G802" s="566"/>
      <c r="H802" s="566"/>
      <c r="I802" s="566"/>
      <c r="J802" s="566"/>
      <c r="K802" s="566"/>
      <c r="L802" s="566"/>
      <c r="M802" s="566"/>
      <c r="N802" s="566"/>
      <c r="O802" s="566"/>
      <c r="P802" s="566"/>
      <c r="Q802" s="566"/>
      <c r="R802" s="566"/>
      <c r="S802" s="566"/>
      <c r="T802" s="566"/>
      <c r="U802" s="566"/>
      <c r="V802" s="566"/>
      <c r="W802" s="566"/>
      <c r="X802" s="566"/>
      <c r="Y802" s="566"/>
      <c r="Z802" s="566"/>
    </row>
    <row r="803" spans="1:26" x14ac:dyDescent="0.25">
      <c r="A803" s="566"/>
      <c r="B803" s="566"/>
      <c r="C803" s="566"/>
      <c r="D803" s="566"/>
      <c r="E803" s="566"/>
      <c r="F803" s="566"/>
      <c r="G803" s="566"/>
      <c r="H803" s="566"/>
      <c r="I803" s="566"/>
      <c r="J803" s="566"/>
      <c r="K803" s="566"/>
      <c r="L803" s="566"/>
      <c r="M803" s="566"/>
      <c r="N803" s="566"/>
      <c r="O803" s="566"/>
      <c r="P803" s="566"/>
      <c r="Q803" s="566"/>
      <c r="R803" s="566"/>
      <c r="S803" s="566"/>
      <c r="T803" s="566"/>
      <c r="U803" s="566"/>
      <c r="V803" s="566"/>
      <c r="W803" s="566"/>
      <c r="X803" s="566"/>
      <c r="Y803" s="566"/>
      <c r="Z803" s="566"/>
    </row>
    <row r="804" spans="1:26" x14ac:dyDescent="0.25">
      <c r="A804" s="566"/>
      <c r="B804" s="566"/>
      <c r="C804" s="566"/>
      <c r="D804" s="566"/>
      <c r="E804" s="566"/>
      <c r="F804" s="566"/>
      <c r="G804" s="566"/>
      <c r="H804" s="566"/>
      <c r="I804" s="566"/>
      <c r="J804" s="566"/>
      <c r="K804" s="566"/>
      <c r="L804" s="566"/>
      <c r="M804" s="566"/>
      <c r="N804" s="566"/>
      <c r="O804" s="566"/>
      <c r="P804" s="566"/>
      <c r="Q804" s="566"/>
      <c r="R804" s="566"/>
      <c r="S804" s="566"/>
      <c r="T804" s="566"/>
      <c r="U804" s="566"/>
      <c r="V804" s="566"/>
      <c r="W804" s="566"/>
      <c r="X804" s="566"/>
      <c r="Y804" s="566"/>
      <c r="Z804" s="566"/>
    </row>
    <row r="805" spans="1:26" x14ac:dyDescent="0.25">
      <c r="A805" s="566"/>
      <c r="B805" s="566"/>
      <c r="C805" s="566"/>
      <c r="D805" s="566"/>
      <c r="E805" s="566"/>
      <c r="F805" s="566"/>
      <c r="G805" s="566"/>
      <c r="H805" s="566"/>
      <c r="I805" s="566"/>
      <c r="J805" s="566"/>
      <c r="K805" s="566"/>
      <c r="L805" s="566"/>
      <c r="M805" s="566"/>
      <c r="N805" s="566"/>
      <c r="O805" s="566"/>
      <c r="P805" s="566"/>
      <c r="Q805" s="566"/>
      <c r="R805" s="566"/>
      <c r="S805" s="566"/>
      <c r="T805" s="566"/>
      <c r="U805" s="566"/>
      <c r="V805" s="566"/>
      <c r="W805" s="566"/>
      <c r="X805" s="566"/>
      <c r="Y805" s="566"/>
      <c r="Z805" s="566"/>
    </row>
    <row r="806" spans="1:26" x14ac:dyDescent="0.25">
      <c r="A806" s="566"/>
      <c r="B806" s="566"/>
      <c r="C806" s="566"/>
      <c r="D806" s="566"/>
      <c r="E806" s="566"/>
      <c r="F806" s="566"/>
      <c r="G806" s="566"/>
      <c r="H806" s="566"/>
      <c r="I806" s="566"/>
      <c r="J806" s="566"/>
      <c r="K806" s="566"/>
      <c r="L806" s="566"/>
      <c r="M806" s="566"/>
      <c r="N806" s="566"/>
      <c r="O806" s="566"/>
      <c r="P806" s="566"/>
      <c r="Q806" s="566"/>
      <c r="R806" s="566"/>
      <c r="S806" s="566"/>
      <c r="T806" s="566"/>
      <c r="U806" s="566"/>
      <c r="V806" s="566"/>
      <c r="W806" s="566"/>
      <c r="X806" s="566"/>
      <c r="Y806" s="566"/>
      <c r="Z806" s="566"/>
    </row>
    <row r="807" spans="1:26" x14ac:dyDescent="0.25">
      <c r="A807" s="566"/>
      <c r="B807" s="566"/>
      <c r="C807" s="566"/>
      <c r="D807" s="566"/>
      <c r="E807" s="566"/>
      <c r="F807" s="566"/>
      <c r="G807" s="566"/>
      <c r="H807" s="566"/>
      <c r="I807" s="566"/>
      <c r="J807" s="566"/>
      <c r="K807" s="566"/>
      <c r="L807" s="566"/>
      <c r="M807" s="566"/>
      <c r="N807" s="566"/>
      <c r="O807" s="566"/>
      <c r="P807" s="566"/>
      <c r="Q807" s="566"/>
      <c r="R807" s="566"/>
      <c r="S807" s="566"/>
      <c r="T807" s="566"/>
      <c r="U807" s="566"/>
      <c r="V807" s="566"/>
      <c r="W807" s="566"/>
      <c r="X807" s="566"/>
      <c r="Y807" s="566"/>
      <c r="Z807" s="566"/>
    </row>
    <row r="808" spans="1:26" x14ac:dyDescent="0.25">
      <c r="A808" s="566"/>
      <c r="B808" s="566"/>
      <c r="C808" s="566"/>
      <c r="D808" s="566"/>
      <c r="E808" s="566"/>
      <c r="F808" s="566"/>
      <c r="G808" s="566"/>
      <c r="H808" s="566"/>
      <c r="I808" s="566"/>
      <c r="J808" s="566"/>
      <c r="K808" s="566"/>
      <c r="L808" s="566"/>
      <c r="M808" s="566"/>
      <c r="N808" s="566"/>
      <c r="O808" s="566"/>
      <c r="P808" s="566"/>
      <c r="Q808" s="566"/>
      <c r="R808" s="566"/>
      <c r="S808" s="566"/>
      <c r="T808" s="566"/>
      <c r="U808" s="566"/>
      <c r="V808" s="566"/>
      <c r="W808" s="566"/>
      <c r="X808" s="566"/>
      <c r="Y808" s="566"/>
      <c r="Z808" s="566"/>
    </row>
    <row r="809" spans="1:26" x14ac:dyDescent="0.25">
      <c r="A809" s="566"/>
      <c r="B809" s="566"/>
      <c r="C809" s="566"/>
      <c r="D809" s="566"/>
      <c r="E809" s="566"/>
      <c r="F809" s="566"/>
      <c r="G809" s="566"/>
      <c r="H809" s="566"/>
      <c r="I809" s="566"/>
      <c r="J809" s="566"/>
      <c r="K809" s="566"/>
      <c r="L809" s="566"/>
      <c r="M809" s="566"/>
      <c r="N809" s="566"/>
      <c r="O809" s="566"/>
      <c r="P809" s="566"/>
      <c r="Q809" s="566"/>
      <c r="R809" s="566"/>
      <c r="S809" s="566"/>
      <c r="T809" s="566"/>
      <c r="U809" s="566"/>
      <c r="V809" s="566"/>
      <c r="W809" s="566"/>
      <c r="X809" s="566"/>
      <c r="Y809" s="566"/>
      <c r="Z809" s="566"/>
    </row>
    <row r="810" spans="1:26" x14ac:dyDescent="0.25">
      <c r="A810" s="566"/>
      <c r="B810" s="566"/>
      <c r="C810" s="566"/>
      <c r="D810" s="566"/>
      <c r="E810" s="566"/>
      <c r="F810" s="566"/>
      <c r="G810" s="566"/>
      <c r="H810" s="566"/>
      <c r="I810" s="566"/>
      <c r="J810" s="566"/>
      <c r="K810" s="566"/>
      <c r="L810" s="566"/>
      <c r="M810" s="566"/>
      <c r="N810" s="566"/>
      <c r="O810" s="566"/>
      <c r="P810" s="566"/>
      <c r="Q810" s="566"/>
      <c r="R810" s="566"/>
      <c r="S810" s="566"/>
      <c r="T810" s="566"/>
      <c r="U810" s="566"/>
      <c r="V810" s="566"/>
      <c r="W810" s="566"/>
      <c r="X810" s="566"/>
      <c r="Y810" s="566"/>
      <c r="Z810" s="566"/>
    </row>
    <row r="811" spans="1:26" x14ac:dyDescent="0.25">
      <c r="A811" s="566"/>
      <c r="B811" s="566"/>
      <c r="C811" s="566"/>
      <c r="D811" s="566"/>
      <c r="E811" s="566"/>
      <c r="F811" s="566"/>
      <c r="G811" s="566"/>
      <c r="H811" s="566"/>
      <c r="I811" s="566"/>
      <c r="J811" s="566"/>
      <c r="K811" s="566"/>
      <c r="L811" s="566"/>
      <c r="M811" s="566"/>
      <c r="N811" s="566"/>
      <c r="O811" s="566"/>
      <c r="P811" s="566"/>
      <c r="Q811" s="566"/>
      <c r="R811" s="566"/>
      <c r="S811" s="566"/>
      <c r="T811" s="566"/>
      <c r="U811" s="566"/>
      <c r="V811" s="566"/>
      <c r="W811" s="566"/>
      <c r="X811" s="566"/>
      <c r="Y811" s="566"/>
      <c r="Z811" s="566"/>
    </row>
    <row r="812" spans="1:26" x14ac:dyDescent="0.25">
      <c r="A812" s="566"/>
      <c r="B812" s="566"/>
      <c r="C812" s="566"/>
      <c r="D812" s="566"/>
      <c r="E812" s="566"/>
      <c r="F812" s="566"/>
      <c r="G812" s="566"/>
      <c r="H812" s="566"/>
      <c r="I812" s="566"/>
      <c r="J812" s="566"/>
      <c r="K812" s="566"/>
      <c r="L812" s="566"/>
      <c r="M812" s="566"/>
      <c r="N812" s="566"/>
      <c r="O812" s="566"/>
      <c r="P812" s="566"/>
      <c r="Q812" s="566"/>
      <c r="R812" s="566"/>
      <c r="S812" s="566"/>
      <c r="T812" s="566"/>
      <c r="U812" s="566"/>
      <c r="V812" s="566"/>
      <c r="W812" s="566"/>
      <c r="X812" s="566"/>
      <c r="Y812" s="566"/>
      <c r="Z812" s="566"/>
    </row>
    <row r="813" spans="1:26" x14ac:dyDescent="0.25">
      <c r="A813" s="566"/>
      <c r="B813" s="566"/>
      <c r="C813" s="566"/>
      <c r="D813" s="566"/>
      <c r="E813" s="566"/>
      <c r="F813" s="566"/>
      <c r="G813" s="566"/>
      <c r="H813" s="566"/>
      <c r="I813" s="566"/>
      <c r="J813" s="566"/>
      <c r="K813" s="566"/>
      <c r="L813" s="566"/>
      <c r="M813" s="566"/>
      <c r="N813" s="566"/>
      <c r="O813" s="566"/>
      <c r="P813" s="566"/>
      <c r="Q813" s="566"/>
      <c r="R813" s="566"/>
      <c r="S813" s="566"/>
      <c r="T813" s="566"/>
      <c r="U813" s="566"/>
      <c r="V813" s="566"/>
      <c r="W813" s="566"/>
      <c r="X813" s="566"/>
      <c r="Y813" s="566"/>
      <c r="Z813" s="566"/>
    </row>
    <row r="814" spans="1:26" x14ac:dyDescent="0.25">
      <c r="A814" s="566"/>
      <c r="B814" s="566"/>
      <c r="C814" s="566"/>
      <c r="D814" s="566"/>
      <c r="E814" s="566"/>
      <c r="F814" s="566"/>
      <c r="G814" s="566"/>
      <c r="H814" s="566"/>
      <c r="I814" s="566"/>
      <c r="J814" s="566"/>
      <c r="K814" s="566"/>
      <c r="L814" s="566"/>
      <c r="M814" s="566"/>
      <c r="N814" s="566"/>
      <c r="O814" s="566"/>
      <c r="P814" s="566"/>
      <c r="Q814" s="566"/>
      <c r="R814" s="566"/>
      <c r="S814" s="566"/>
      <c r="T814" s="566"/>
      <c r="U814" s="566"/>
      <c r="V814" s="566"/>
      <c r="W814" s="566"/>
      <c r="X814" s="566"/>
      <c r="Y814" s="566"/>
      <c r="Z814" s="566"/>
    </row>
    <row r="815" spans="1:26" x14ac:dyDescent="0.25">
      <c r="A815" s="566"/>
      <c r="B815" s="566"/>
      <c r="C815" s="566"/>
      <c r="D815" s="566"/>
      <c r="E815" s="566"/>
      <c r="F815" s="566"/>
      <c r="G815" s="566"/>
      <c r="H815" s="566"/>
      <c r="I815" s="566"/>
      <c r="J815" s="566"/>
      <c r="K815" s="566"/>
      <c r="L815" s="566"/>
      <c r="M815" s="566"/>
      <c r="N815" s="566"/>
      <c r="O815" s="566"/>
      <c r="P815" s="566"/>
      <c r="Q815" s="566"/>
      <c r="R815" s="566"/>
      <c r="S815" s="566"/>
      <c r="T815" s="566"/>
      <c r="U815" s="566"/>
      <c r="V815" s="566"/>
      <c r="W815" s="566"/>
      <c r="X815" s="566"/>
      <c r="Y815" s="566"/>
      <c r="Z815" s="566"/>
    </row>
    <row r="816" spans="1:26" x14ac:dyDescent="0.25">
      <c r="A816" s="566"/>
      <c r="B816" s="566"/>
      <c r="C816" s="566"/>
      <c r="D816" s="566"/>
      <c r="E816" s="566"/>
      <c r="F816" s="566"/>
      <c r="G816" s="566"/>
      <c r="H816" s="566"/>
      <c r="I816" s="566"/>
      <c r="J816" s="566"/>
      <c r="K816" s="566"/>
      <c r="L816" s="566"/>
      <c r="M816" s="566"/>
      <c r="N816" s="566"/>
      <c r="O816" s="566"/>
      <c r="P816" s="566"/>
      <c r="Q816" s="566"/>
      <c r="R816" s="566"/>
      <c r="S816" s="566"/>
      <c r="T816" s="566"/>
      <c r="U816" s="566"/>
      <c r="V816" s="566"/>
      <c r="W816" s="566"/>
      <c r="X816" s="566"/>
      <c r="Y816" s="566"/>
      <c r="Z816" s="566"/>
    </row>
    <row r="817" spans="1:26" x14ac:dyDescent="0.25">
      <c r="A817" s="566"/>
      <c r="B817" s="566"/>
      <c r="C817" s="566"/>
      <c r="D817" s="566"/>
      <c r="E817" s="566"/>
      <c r="F817" s="566"/>
      <c r="G817" s="566"/>
      <c r="H817" s="566"/>
      <c r="I817" s="566"/>
      <c r="J817" s="566"/>
      <c r="K817" s="566"/>
      <c r="L817" s="566"/>
      <c r="M817" s="566"/>
      <c r="N817" s="566"/>
      <c r="O817" s="566"/>
      <c r="P817" s="566"/>
      <c r="Q817" s="566"/>
      <c r="R817" s="566"/>
      <c r="S817" s="566"/>
      <c r="T817" s="566"/>
      <c r="U817" s="566"/>
      <c r="V817" s="566"/>
      <c r="W817" s="566"/>
      <c r="X817" s="566"/>
      <c r="Y817" s="566"/>
      <c r="Z817" s="566"/>
    </row>
    <row r="818" spans="1:26" x14ac:dyDescent="0.25">
      <c r="A818" s="566"/>
      <c r="B818" s="566"/>
      <c r="C818" s="566"/>
      <c r="D818" s="566"/>
      <c r="E818" s="566"/>
      <c r="F818" s="566"/>
      <c r="G818" s="566"/>
      <c r="H818" s="566"/>
      <c r="I818" s="566"/>
      <c r="J818" s="566"/>
      <c r="K818" s="566"/>
      <c r="L818" s="566"/>
      <c r="M818" s="566"/>
      <c r="N818" s="566"/>
      <c r="O818" s="566"/>
      <c r="P818" s="566"/>
      <c r="Q818" s="566"/>
      <c r="R818" s="566"/>
      <c r="S818" s="566"/>
      <c r="T818" s="566"/>
      <c r="U818" s="566"/>
      <c r="V818" s="566"/>
      <c r="W818" s="566"/>
      <c r="X818" s="566"/>
      <c r="Y818" s="566"/>
      <c r="Z818" s="566"/>
    </row>
    <row r="819" spans="1:26" x14ac:dyDescent="0.25">
      <c r="A819" s="566"/>
      <c r="B819" s="566"/>
      <c r="C819" s="566"/>
      <c r="D819" s="566"/>
      <c r="E819" s="566"/>
      <c r="F819" s="566"/>
      <c r="G819" s="566"/>
      <c r="H819" s="566"/>
      <c r="I819" s="566"/>
      <c r="J819" s="566"/>
      <c r="K819" s="566"/>
      <c r="L819" s="566"/>
      <c r="M819" s="566"/>
      <c r="N819" s="566"/>
      <c r="O819" s="566"/>
      <c r="P819" s="566"/>
      <c r="Q819" s="566"/>
      <c r="R819" s="566"/>
      <c r="S819" s="566"/>
      <c r="T819" s="566"/>
      <c r="U819" s="566"/>
      <c r="V819" s="566"/>
      <c r="W819" s="566"/>
      <c r="X819" s="566"/>
      <c r="Y819" s="566"/>
      <c r="Z819" s="566"/>
    </row>
    <row r="820" spans="1:26" x14ac:dyDescent="0.25">
      <c r="A820" s="566"/>
      <c r="B820" s="566"/>
      <c r="C820" s="566"/>
      <c r="D820" s="566"/>
      <c r="E820" s="566"/>
      <c r="F820" s="566"/>
      <c r="G820" s="566"/>
      <c r="H820" s="566"/>
      <c r="I820" s="566"/>
      <c r="J820" s="566"/>
      <c r="K820" s="566"/>
      <c r="L820" s="566"/>
      <c r="M820" s="566"/>
      <c r="N820" s="566"/>
      <c r="O820" s="566"/>
      <c r="P820" s="566"/>
      <c r="Q820" s="566"/>
      <c r="R820" s="566"/>
      <c r="S820" s="566"/>
      <c r="T820" s="566"/>
      <c r="U820" s="566"/>
      <c r="V820" s="566"/>
      <c r="W820" s="566"/>
      <c r="X820" s="566"/>
      <c r="Y820" s="566"/>
      <c r="Z820" s="566"/>
    </row>
    <row r="821" spans="1:26" x14ac:dyDescent="0.25">
      <c r="A821" s="566"/>
      <c r="B821" s="566"/>
      <c r="C821" s="566"/>
      <c r="D821" s="566"/>
      <c r="E821" s="566"/>
      <c r="F821" s="566"/>
      <c r="G821" s="566"/>
      <c r="H821" s="566"/>
      <c r="I821" s="566"/>
      <c r="J821" s="566"/>
      <c r="K821" s="566"/>
      <c r="L821" s="566"/>
      <c r="M821" s="566"/>
      <c r="N821" s="566"/>
      <c r="O821" s="566"/>
      <c r="P821" s="566"/>
      <c r="Q821" s="566"/>
      <c r="R821" s="566"/>
      <c r="S821" s="566"/>
      <c r="T821" s="566"/>
      <c r="U821" s="566"/>
      <c r="V821" s="566"/>
      <c r="W821" s="566"/>
      <c r="X821" s="566"/>
      <c r="Y821" s="566"/>
      <c r="Z821" s="566"/>
    </row>
    <row r="822" spans="1:26" x14ac:dyDescent="0.25">
      <c r="A822" s="566"/>
      <c r="B822" s="566"/>
      <c r="C822" s="566"/>
      <c r="D822" s="566"/>
      <c r="E822" s="566"/>
      <c r="F822" s="566"/>
      <c r="G822" s="566"/>
      <c r="H822" s="566"/>
      <c r="I822" s="566"/>
      <c r="J822" s="566"/>
      <c r="K822" s="566"/>
      <c r="L822" s="566"/>
      <c r="M822" s="566"/>
      <c r="N822" s="566"/>
      <c r="O822" s="566"/>
      <c r="P822" s="566"/>
      <c r="Q822" s="566"/>
      <c r="R822" s="566"/>
      <c r="S822" s="566"/>
      <c r="T822" s="566"/>
      <c r="U822" s="566"/>
      <c r="V822" s="566"/>
      <c r="W822" s="566"/>
      <c r="X822" s="566"/>
      <c r="Y822" s="566"/>
      <c r="Z822" s="566"/>
    </row>
    <row r="823" spans="1:26" x14ac:dyDescent="0.25">
      <c r="A823" s="566"/>
      <c r="B823" s="566"/>
      <c r="C823" s="566"/>
      <c r="D823" s="566"/>
      <c r="E823" s="566"/>
      <c r="F823" s="566"/>
      <c r="G823" s="566"/>
      <c r="H823" s="566"/>
      <c r="I823" s="566"/>
      <c r="J823" s="566"/>
      <c r="K823" s="566"/>
      <c r="L823" s="566"/>
      <c r="M823" s="566"/>
      <c r="N823" s="566"/>
      <c r="O823" s="566"/>
      <c r="P823" s="566"/>
      <c r="Q823" s="566"/>
      <c r="R823" s="566"/>
      <c r="S823" s="566"/>
      <c r="T823" s="566"/>
      <c r="U823" s="566"/>
      <c r="V823" s="566"/>
      <c r="W823" s="566"/>
      <c r="X823" s="566"/>
      <c r="Y823" s="566"/>
      <c r="Z823" s="566"/>
    </row>
    <row r="824" spans="1:26" x14ac:dyDescent="0.25">
      <c r="A824" s="566"/>
      <c r="B824" s="566"/>
      <c r="C824" s="566"/>
      <c r="D824" s="566"/>
      <c r="E824" s="566"/>
      <c r="F824" s="566"/>
      <c r="G824" s="566"/>
      <c r="H824" s="566"/>
      <c r="I824" s="566"/>
      <c r="J824" s="566"/>
      <c r="K824" s="566"/>
      <c r="L824" s="566"/>
      <c r="M824" s="566"/>
      <c r="N824" s="566"/>
      <c r="O824" s="566"/>
      <c r="P824" s="566"/>
      <c r="Q824" s="566"/>
      <c r="R824" s="566"/>
      <c r="S824" s="566"/>
      <c r="T824" s="566"/>
      <c r="U824" s="566"/>
      <c r="V824" s="566"/>
      <c r="W824" s="566"/>
      <c r="X824" s="566"/>
      <c r="Y824" s="566"/>
      <c r="Z824" s="566"/>
    </row>
    <row r="825" spans="1:26" x14ac:dyDescent="0.25">
      <c r="A825" s="566"/>
      <c r="B825" s="566"/>
      <c r="C825" s="566"/>
      <c r="D825" s="566"/>
      <c r="E825" s="566"/>
      <c r="F825" s="566"/>
      <c r="G825" s="566"/>
      <c r="H825" s="566"/>
      <c r="I825" s="566"/>
      <c r="J825" s="566"/>
      <c r="K825" s="566"/>
      <c r="L825" s="566"/>
      <c r="M825" s="566"/>
      <c r="N825" s="566"/>
      <c r="O825" s="566"/>
      <c r="P825" s="566"/>
      <c r="Q825" s="566"/>
      <c r="R825" s="566"/>
      <c r="S825" s="566"/>
      <c r="T825" s="566"/>
      <c r="U825" s="566"/>
      <c r="V825" s="566"/>
      <c r="W825" s="566"/>
      <c r="X825" s="566"/>
      <c r="Y825" s="566"/>
      <c r="Z825" s="566"/>
    </row>
    <row r="826" spans="1:26" x14ac:dyDescent="0.25">
      <c r="A826" s="566"/>
      <c r="B826" s="566"/>
      <c r="C826" s="566"/>
      <c r="D826" s="566"/>
      <c r="E826" s="566"/>
      <c r="F826" s="566"/>
      <c r="G826" s="566"/>
      <c r="H826" s="566"/>
      <c r="I826" s="566"/>
      <c r="J826" s="566"/>
      <c r="K826" s="566"/>
      <c r="L826" s="566"/>
      <c r="M826" s="566"/>
      <c r="N826" s="566"/>
      <c r="O826" s="566"/>
      <c r="P826" s="566"/>
      <c r="Q826" s="566"/>
      <c r="R826" s="566"/>
      <c r="S826" s="566"/>
      <c r="T826" s="566"/>
      <c r="U826" s="566"/>
      <c r="V826" s="566"/>
      <c r="W826" s="566"/>
      <c r="X826" s="566"/>
      <c r="Y826" s="566"/>
      <c r="Z826" s="566"/>
    </row>
    <row r="827" spans="1:26" x14ac:dyDescent="0.25">
      <c r="A827" s="566"/>
      <c r="B827" s="566"/>
      <c r="C827" s="566"/>
      <c r="D827" s="566"/>
      <c r="E827" s="566"/>
      <c r="F827" s="566"/>
      <c r="G827" s="566"/>
      <c r="H827" s="566"/>
      <c r="I827" s="566"/>
      <c r="J827" s="566"/>
      <c r="K827" s="566"/>
      <c r="L827" s="566"/>
      <c r="M827" s="566"/>
      <c r="N827" s="566"/>
      <c r="O827" s="566"/>
      <c r="P827" s="566"/>
      <c r="Q827" s="566"/>
      <c r="R827" s="566"/>
      <c r="S827" s="566"/>
      <c r="T827" s="566"/>
      <c r="U827" s="566"/>
      <c r="V827" s="566"/>
      <c r="W827" s="566"/>
      <c r="X827" s="566"/>
      <c r="Y827" s="566"/>
      <c r="Z827" s="566"/>
    </row>
    <row r="828" spans="1:26" x14ac:dyDescent="0.25">
      <c r="A828" s="566"/>
      <c r="B828" s="566"/>
      <c r="C828" s="566"/>
      <c r="D828" s="566"/>
      <c r="E828" s="566"/>
      <c r="F828" s="566"/>
      <c r="G828" s="566"/>
      <c r="H828" s="566"/>
      <c r="I828" s="566"/>
      <c r="J828" s="566"/>
      <c r="K828" s="566"/>
      <c r="L828" s="566"/>
      <c r="M828" s="566"/>
      <c r="N828" s="566"/>
      <c r="O828" s="566"/>
      <c r="P828" s="566"/>
      <c r="Q828" s="566"/>
      <c r="R828" s="566"/>
      <c r="S828" s="566"/>
      <c r="T828" s="566"/>
      <c r="U828" s="566"/>
      <c r="V828" s="566"/>
      <c r="W828" s="566"/>
      <c r="X828" s="566"/>
      <c r="Y828" s="566"/>
      <c r="Z828" s="566"/>
    </row>
    <row r="829" spans="1:26" x14ac:dyDescent="0.25">
      <c r="A829" s="566"/>
      <c r="B829" s="566"/>
      <c r="C829" s="566"/>
      <c r="D829" s="566"/>
      <c r="E829" s="566"/>
      <c r="F829" s="566"/>
      <c r="G829" s="566"/>
      <c r="H829" s="566"/>
      <c r="I829" s="566"/>
      <c r="J829" s="566"/>
      <c r="K829" s="566"/>
      <c r="L829" s="566"/>
      <c r="M829" s="566"/>
      <c r="N829" s="566"/>
      <c r="O829" s="566"/>
      <c r="P829" s="566"/>
      <c r="Q829" s="566"/>
      <c r="R829" s="566"/>
      <c r="S829" s="566"/>
      <c r="T829" s="566"/>
      <c r="U829" s="566"/>
      <c r="V829" s="566"/>
      <c r="W829" s="566"/>
      <c r="X829" s="566"/>
      <c r="Y829" s="566"/>
      <c r="Z829" s="566"/>
    </row>
    <row r="830" spans="1:26" x14ac:dyDescent="0.25">
      <c r="A830" s="566"/>
      <c r="B830" s="566"/>
      <c r="C830" s="566"/>
      <c r="D830" s="566"/>
      <c r="E830" s="566"/>
      <c r="F830" s="566"/>
      <c r="G830" s="566"/>
      <c r="H830" s="566"/>
      <c r="I830" s="566"/>
      <c r="J830" s="566"/>
      <c r="K830" s="566"/>
      <c r="L830" s="566"/>
      <c r="M830" s="566"/>
      <c r="N830" s="566"/>
      <c r="O830" s="566"/>
      <c r="P830" s="566"/>
      <c r="Q830" s="566"/>
      <c r="R830" s="566"/>
      <c r="S830" s="566"/>
      <c r="T830" s="566"/>
      <c r="U830" s="566"/>
      <c r="V830" s="566"/>
      <c r="W830" s="566"/>
      <c r="X830" s="566"/>
      <c r="Y830" s="566"/>
      <c r="Z830" s="566"/>
    </row>
    <row r="831" spans="1:26" x14ac:dyDescent="0.25">
      <c r="A831" s="566"/>
      <c r="B831" s="566"/>
      <c r="C831" s="566"/>
      <c r="D831" s="566"/>
      <c r="E831" s="566"/>
      <c r="F831" s="566"/>
      <c r="G831" s="566"/>
      <c r="H831" s="566"/>
      <c r="I831" s="566"/>
      <c r="J831" s="566"/>
      <c r="K831" s="566"/>
      <c r="L831" s="566"/>
      <c r="M831" s="566"/>
      <c r="N831" s="566"/>
      <c r="O831" s="566"/>
      <c r="P831" s="566"/>
      <c r="Q831" s="566"/>
      <c r="R831" s="566"/>
      <c r="S831" s="566"/>
      <c r="T831" s="566"/>
      <c r="U831" s="566"/>
      <c r="V831" s="566"/>
      <c r="W831" s="566"/>
      <c r="X831" s="566"/>
      <c r="Y831" s="566"/>
      <c r="Z831" s="566"/>
    </row>
    <row r="832" spans="1:26" x14ac:dyDescent="0.25">
      <c r="A832" s="566"/>
      <c r="B832" s="566"/>
      <c r="C832" s="566"/>
      <c r="D832" s="566"/>
      <c r="E832" s="566"/>
      <c r="F832" s="566"/>
      <c r="G832" s="566"/>
      <c r="H832" s="566"/>
      <c r="I832" s="566"/>
      <c r="J832" s="566"/>
      <c r="K832" s="566"/>
      <c r="L832" s="566"/>
      <c r="M832" s="566"/>
      <c r="N832" s="566"/>
      <c r="O832" s="566"/>
      <c r="P832" s="566"/>
      <c r="Q832" s="566"/>
      <c r="R832" s="566"/>
      <c r="S832" s="566"/>
      <c r="T832" s="566"/>
      <c r="U832" s="566"/>
      <c r="V832" s="566"/>
      <c r="W832" s="566"/>
      <c r="X832" s="566"/>
      <c r="Y832" s="566"/>
      <c r="Z832" s="566"/>
    </row>
    <row r="833" spans="1:26" x14ac:dyDescent="0.25">
      <c r="A833" s="566"/>
      <c r="B833" s="566"/>
      <c r="C833" s="566"/>
      <c r="D833" s="566"/>
      <c r="E833" s="566"/>
      <c r="F833" s="566"/>
      <c r="G833" s="566"/>
      <c r="H833" s="566"/>
      <c r="I833" s="566"/>
      <c r="J833" s="566"/>
      <c r="K833" s="566"/>
      <c r="L833" s="566"/>
      <c r="M833" s="566"/>
      <c r="N833" s="566"/>
      <c r="O833" s="566"/>
      <c r="P833" s="566"/>
      <c r="Q833" s="566"/>
      <c r="R833" s="566"/>
      <c r="S833" s="566"/>
      <c r="T833" s="566"/>
      <c r="U833" s="566"/>
      <c r="V833" s="566"/>
      <c r="W833" s="566"/>
      <c r="X833" s="566"/>
      <c r="Y833" s="566"/>
      <c r="Z833" s="566"/>
    </row>
    <row r="834" spans="1:26" x14ac:dyDescent="0.25">
      <c r="A834" s="566"/>
      <c r="B834" s="566"/>
      <c r="C834" s="566"/>
      <c r="D834" s="566"/>
      <c r="E834" s="566"/>
      <c r="F834" s="566"/>
      <c r="G834" s="566"/>
      <c r="H834" s="566"/>
      <c r="I834" s="566"/>
      <c r="J834" s="566"/>
      <c r="K834" s="566"/>
      <c r="L834" s="566"/>
      <c r="M834" s="566"/>
      <c r="N834" s="566"/>
      <c r="O834" s="566"/>
      <c r="P834" s="566"/>
      <c r="Q834" s="566"/>
      <c r="R834" s="566"/>
      <c r="S834" s="566"/>
      <c r="T834" s="566"/>
      <c r="U834" s="566"/>
      <c r="V834" s="566"/>
      <c r="W834" s="566"/>
      <c r="X834" s="566"/>
      <c r="Y834" s="566"/>
      <c r="Z834" s="566"/>
    </row>
    <row r="835" spans="1:26" x14ac:dyDescent="0.25">
      <c r="A835" s="566"/>
      <c r="B835" s="566"/>
      <c r="C835" s="566"/>
      <c r="D835" s="566"/>
      <c r="E835" s="566"/>
      <c r="F835" s="566"/>
      <c r="G835" s="566"/>
      <c r="H835" s="566"/>
      <c r="I835" s="566"/>
      <c r="J835" s="566"/>
      <c r="K835" s="566"/>
      <c r="L835" s="566"/>
      <c r="M835" s="566"/>
      <c r="N835" s="566"/>
      <c r="O835" s="566"/>
      <c r="P835" s="566"/>
      <c r="Q835" s="566"/>
      <c r="R835" s="566"/>
      <c r="S835" s="566"/>
      <c r="T835" s="566"/>
      <c r="U835" s="566"/>
      <c r="V835" s="566"/>
      <c r="W835" s="566"/>
      <c r="X835" s="566"/>
      <c r="Y835" s="566"/>
      <c r="Z835" s="566"/>
    </row>
    <row r="836" spans="1:26" x14ac:dyDescent="0.25">
      <c r="A836" s="566"/>
      <c r="B836" s="566"/>
      <c r="C836" s="566"/>
      <c r="D836" s="566"/>
      <c r="E836" s="566"/>
      <c r="F836" s="566"/>
      <c r="G836" s="566"/>
      <c r="H836" s="566"/>
      <c r="I836" s="566"/>
      <c r="J836" s="566"/>
      <c r="K836" s="566"/>
      <c r="L836" s="566"/>
      <c r="M836" s="566"/>
      <c r="N836" s="566"/>
      <c r="O836" s="566"/>
      <c r="P836" s="566"/>
      <c r="Q836" s="566"/>
      <c r="R836" s="566"/>
      <c r="S836" s="566"/>
      <c r="T836" s="566"/>
      <c r="U836" s="566"/>
      <c r="V836" s="566"/>
      <c r="W836" s="566"/>
      <c r="X836" s="566"/>
      <c r="Y836" s="566"/>
      <c r="Z836" s="566"/>
    </row>
    <row r="837" spans="1:26" x14ac:dyDescent="0.25">
      <c r="A837" s="566"/>
      <c r="B837" s="566"/>
      <c r="C837" s="566"/>
      <c r="D837" s="566"/>
      <c r="E837" s="566"/>
      <c r="F837" s="566"/>
      <c r="G837" s="566"/>
      <c r="H837" s="566"/>
      <c r="I837" s="566"/>
      <c r="J837" s="566"/>
      <c r="K837" s="566"/>
      <c r="L837" s="566"/>
      <c r="M837" s="566"/>
      <c r="N837" s="566"/>
      <c r="O837" s="566"/>
      <c r="P837" s="566"/>
      <c r="Q837" s="566"/>
      <c r="R837" s="566"/>
      <c r="S837" s="566"/>
      <c r="T837" s="566"/>
      <c r="U837" s="566"/>
      <c r="V837" s="566"/>
      <c r="W837" s="566"/>
      <c r="X837" s="566"/>
      <c r="Y837" s="566"/>
      <c r="Z837" s="566"/>
    </row>
    <row r="838" spans="1:26" x14ac:dyDescent="0.25">
      <c r="A838" s="566"/>
      <c r="B838" s="566"/>
      <c r="C838" s="566"/>
      <c r="D838" s="566"/>
      <c r="E838" s="566"/>
      <c r="F838" s="566"/>
      <c r="G838" s="566"/>
      <c r="H838" s="566"/>
      <c r="I838" s="566"/>
      <c r="J838" s="566"/>
      <c r="K838" s="566"/>
      <c r="L838" s="566"/>
      <c r="M838" s="566"/>
      <c r="N838" s="566"/>
      <c r="O838" s="566"/>
      <c r="P838" s="566"/>
      <c r="Q838" s="566"/>
      <c r="R838" s="566"/>
      <c r="S838" s="566"/>
      <c r="T838" s="566"/>
      <c r="U838" s="566"/>
      <c r="V838" s="566"/>
      <c r="W838" s="566"/>
      <c r="X838" s="566"/>
      <c r="Y838" s="566"/>
      <c r="Z838" s="566"/>
    </row>
    <row r="839" spans="1:26" x14ac:dyDescent="0.25">
      <c r="A839" s="566"/>
      <c r="B839" s="566"/>
      <c r="C839" s="566"/>
      <c r="D839" s="566"/>
      <c r="E839" s="566"/>
      <c r="F839" s="566"/>
      <c r="G839" s="566"/>
      <c r="H839" s="566"/>
      <c r="I839" s="566"/>
      <c r="J839" s="566"/>
      <c r="K839" s="566"/>
      <c r="L839" s="566"/>
      <c r="M839" s="566"/>
      <c r="N839" s="566"/>
      <c r="O839" s="566"/>
      <c r="P839" s="566"/>
      <c r="Q839" s="566"/>
      <c r="R839" s="566"/>
      <c r="S839" s="566"/>
      <c r="T839" s="566"/>
      <c r="U839" s="566"/>
      <c r="V839" s="566"/>
      <c r="W839" s="566"/>
      <c r="X839" s="566"/>
      <c r="Y839" s="566"/>
      <c r="Z839" s="566"/>
    </row>
    <row r="840" spans="1:26" x14ac:dyDescent="0.25">
      <c r="A840" s="566"/>
      <c r="B840" s="566"/>
      <c r="C840" s="566"/>
      <c r="D840" s="566"/>
      <c r="E840" s="566"/>
      <c r="F840" s="566"/>
      <c r="G840" s="566"/>
      <c r="H840" s="566"/>
      <c r="I840" s="566"/>
      <c r="J840" s="566"/>
      <c r="K840" s="566"/>
      <c r="L840" s="566"/>
      <c r="M840" s="566"/>
      <c r="N840" s="566"/>
      <c r="O840" s="566"/>
      <c r="P840" s="566"/>
      <c r="Q840" s="566"/>
      <c r="R840" s="566"/>
      <c r="S840" s="566"/>
      <c r="T840" s="566"/>
      <c r="U840" s="566"/>
      <c r="V840" s="566"/>
      <c r="W840" s="566"/>
      <c r="X840" s="566"/>
      <c r="Y840" s="566"/>
      <c r="Z840" s="566"/>
    </row>
    <row r="841" spans="1:26" x14ac:dyDescent="0.25">
      <c r="A841" s="566"/>
      <c r="B841" s="566"/>
      <c r="C841" s="566"/>
      <c r="D841" s="566"/>
      <c r="E841" s="566"/>
      <c r="F841" s="566"/>
      <c r="G841" s="566"/>
      <c r="H841" s="566"/>
      <c r="I841" s="566"/>
      <c r="J841" s="566"/>
      <c r="K841" s="566"/>
      <c r="L841" s="566"/>
      <c r="M841" s="566"/>
      <c r="N841" s="566"/>
      <c r="O841" s="566"/>
      <c r="P841" s="566"/>
      <c r="Q841" s="566"/>
      <c r="R841" s="566"/>
      <c r="S841" s="566"/>
      <c r="T841" s="566"/>
      <c r="U841" s="566"/>
      <c r="V841" s="566"/>
      <c r="W841" s="566"/>
      <c r="X841" s="566"/>
      <c r="Y841" s="566"/>
      <c r="Z841" s="566"/>
    </row>
    <row r="842" spans="1:26" x14ac:dyDescent="0.25">
      <c r="A842" s="566"/>
      <c r="B842" s="566"/>
      <c r="C842" s="566"/>
      <c r="D842" s="566"/>
      <c r="E842" s="566"/>
      <c r="F842" s="566"/>
      <c r="G842" s="566"/>
      <c r="H842" s="566"/>
      <c r="I842" s="566"/>
      <c r="J842" s="566"/>
      <c r="K842" s="566"/>
      <c r="L842" s="566"/>
      <c r="M842" s="566"/>
      <c r="N842" s="566"/>
      <c r="O842" s="566"/>
      <c r="P842" s="566"/>
      <c r="Q842" s="566"/>
      <c r="R842" s="566"/>
      <c r="S842" s="566"/>
      <c r="T842" s="566"/>
      <c r="U842" s="566"/>
      <c r="V842" s="566"/>
      <c r="W842" s="566"/>
      <c r="X842" s="566"/>
      <c r="Y842" s="566"/>
      <c r="Z842" s="566"/>
    </row>
    <row r="843" spans="1:26" x14ac:dyDescent="0.25">
      <c r="A843" s="566"/>
      <c r="B843" s="566"/>
      <c r="C843" s="566"/>
      <c r="D843" s="566"/>
      <c r="E843" s="566"/>
      <c r="F843" s="566"/>
      <c r="G843" s="566"/>
      <c r="H843" s="566"/>
      <c r="I843" s="566"/>
      <c r="J843" s="566"/>
      <c r="K843" s="566"/>
      <c r="L843" s="566"/>
      <c r="M843" s="566"/>
      <c r="N843" s="566"/>
      <c r="O843" s="566"/>
      <c r="P843" s="566"/>
      <c r="Q843" s="566"/>
      <c r="R843" s="566"/>
      <c r="S843" s="566"/>
      <c r="T843" s="566"/>
      <c r="U843" s="566"/>
      <c r="V843" s="566"/>
      <c r="W843" s="566"/>
      <c r="X843" s="566"/>
      <c r="Y843" s="566"/>
      <c r="Z843" s="566"/>
    </row>
    <row r="844" spans="1:26" x14ac:dyDescent="0.25">
      <c r="A844" s="566"/>
      <c r="B844" s="566"/>
      <c r="C844" s="566"/>
      <c r="D844" s="566"/>
      <c r="E844" s="566"/>
      <c r="F844" s="566"/>
      <c r="G844" s="566"/>
      <c r="H844" s="566"/>
      <c r="I844" s="566"/>
      <c r="J844" s="566"/>
      <c r="K844" s="566"/>
      <c r="L844" s="566"/>
      <c r="M844" s="566"/>
      <c r="N844" s="566"/>
      <c r="O844" s="566"/>
      <c r="P844" s="566"/>
      <c r="Q844" s="566"/>
      <c r="R844" s="566"/>
      <c r="S844" s="566"/>
      <c r="T844" s="566"/>
      <c r="U844" s="566"/>
      <c r="V844" s="566"/>
      <c r="W844" s="566"/>
      <c r="X844" s="566"/>
      <c r="Y844" s="566"/>
      <c r="Z844" s="566"/>
    </row>
    <row r="845" spans="1:26" x14ac:dyDescent="0.25">
      <c r="A845" s="566"/>
      <c r="B845" s="566"/>
      <c r="C845" s="566"/>
      <c r="D845" s="566"/>
      <c r="E845" s="566"/>
      <c r="F845" s="566"/>
      <c r="G845" s="566"/>
      <c r="H845" s="566"/>
      <c r="I845" s="566"/>
      <c r="J845" s="566"/>
      <c r="K845" s="566"/>
      <c r="L845" s="566"/>
      <c r="M845" s="566"/>
      <c r="N845" s="566"/>
      <c r="O845" s="566"/>
      <c r="P845" s="566"/>
      <c r="Q845" s="566"/>
      <c r="R845" s="566"/>
      <c r="S845" s="566"/>
      <c r="T845" s="566"/>
      <c r="U845" s="566"/>
      <c r="V845" s="566"/>
      <c r="W845" s="566"/>
      <c r="X845" s="566"/>
      <c r="Y845" s="566"/>
      <c r="Z845" s="566"/>
    </row>
    <row r="846" spans="1:26" x14ac:dyDescent="0.25">
      <c r="A846" s="566"/>
      <c r="B846" s="566"/>
      <c r="C846" s="566"/>
      <c r="D846" s="566"/>
      <c r="E846" s="566"/>
      <c r="F846" s="566"/>
      <c r="G846" s="566"/>
      <c r="H846" s="566"/>
      <c r="I846" s="566"/>
      <c r="J846" s="566"/>
      <c r="K846" s="566"/>
      <c r="L846" s="566"/>
      <c r="M846" s="566"/>
      <c r="N846" s="566"/>
      <c r="O846" s="566"/>
      <c r="P846" s="566"/>
      <c r="Q846" s="566"/>
      <c r="R846" s="566"/>
      <c r="S846" s="566"/>
      <c r="T846" s="566"/>
      <c r="U846" s="566"/>
      <c r="V846" s="566"/>
      <c r="W846" s="566"/>
      <c r="X846" s="566"/>
      <c r="Y846" s="566"/>
      <c r="Z846" s="566"/>
    </row>
    <row r="847" spans="1:26" x14ac:dyDescent="0.25">
      <c r="A847" s="566"/>
      <c r="B847" s="566"/>
      <c r="C847" s="566"/>
      <c r="D847" s="566"/>
      <c r="E847" s="566"/>
      <c r="F847" s="566"/>
      <c r="G847" s="566"/>
      <c r="H847" s="566"/>
      <c r="I847" s="566"/>
      <c r="J847" s="566"/>
      <c r="K847" s="566"/>
      <c r="L847" s="566"/>
      <c r="M847" s="566"/>
      <c r="N847" s="566"/>
      <c r="O847" s="566"/>
      <c r="P847" s="566"/>
      <c r="Q847" s="566"/>
      <c r="R847" s="566"/>
      <c r="S847" s="566"/>
      <c r="T847" s="566"/>
      <c r="U847" s="566"/>
      <c r="V847" s="566"/>
      <c r="W847" s="566"/>
      <c r="X847" s="566"/>
      <c r="Y847" s="566"/>
      <c r="Z847" s="566"/>
    </row>
    <row r="848" spans="1:26" x14ac:dyDescent="0.25">
      <c r="A848" s="566"/>
      <c r="B848" s="566"/>
      <c r="C848" s="566"/>
      <c r="D848" s="566"/>
      <c r="E848" s="566"/>
      <c r="F848" s="566"/>
      <c r="G848" s="566"/>
      <c r="H848" s="566"/>
      <c r="I848" s="566"/>
      <c r="J848" s="566"/>
      <c r="K848" s="566"/>
      <c r="L848" s="566"/>
      <c r="M848" s="566"/>
      <c r="N848" s="566"/>
      <c r="O848" s="566"/>
      <c r="P848" s="566"/>
      <c r="Q848" s="566"/>
      <c r="R848" s="566"/>
      <c r="S848" s="566"/>
      <c r="T848" s="566"/>
      <c r="U848" s="566"/>
      <c r="V848" s="566"/>
      <c r="W848" s="566"/>
      <c r="X848" s="566"/>
      <c r="Y848" s="566"/>
      <c r="Z848" s="566"/>
    </row>
    <row r="849" spans="1:26" x14ac:dyDescent="0.25">
      <c r="A849" s="566"/>
      <c r="B849" s="566"/>
      <c r="C849" s="566"/>
      <c r="D849" s="566"/>
      <c r="E849" s="566"/>
      <c r="F849" s="566"/>
      <c r="G849" s="566"/>
      <c r="H849" s="566"/>
      <c r="I849" s="566"/>
      <c r="J849" s="566"/>
      <c r="K849" s="566"/>
      <c r="L849" s="566"/>
      <c r="M849" s="566"/>
      <c r="N849" s="566"/>
      <c r="O849" s="566"/>
      <c r="P849" s="566"/>
      <c r="Q849" s="566"/>
      <c r="R849" s="566"/>
      <c r="S849" s="566"/>
      <c r="T849" s="566"/>
      <c r="U849" s="566"/>
      <c r="V849" s="566"/>
      <c r="W849" s="566"/>
      <c r="X849" s="566"/>
      <c r="Y849" s="566"/>
      <c r="Z849" s="566"/>
    </row>
    <row r="850" spans="1:26" x14ac:dyDescent="0.25">
      <c r="A850" s="566"/>
      <c r="B850" s="566"/>
      <c r="C850" s="566"/>
      <c r="D850" s="566"/>
      <c r="E850" s="566"/>
      <c r="F850" s="566"/>
      <c r="G850" s="566"/>
      <c r="H850" s="566"/>
      <c r="I850" s="566"/>
      <c r="J850" s="566"/>
      <c r="K850" s="566"/>
      <c r="L850" s="566"/>
      <c r="M850" s="566"/>
      <c r="N850" s="566"/>
      <c r="O850" s="566"/>
      <c r="P850" s="566"/>
      <c r="Q850" s="566"/>
      <c r="R850" s="566"/>
      <c r="S850" s="566"/>
      <c r="T850" s="566"/>
      <c r="U850" s="566"/>
      <c r="V850" s="566"/>
      <c r="W850" s="566"/>
      <c r="X850" s="566"/>
      <c r="Y850" s="566"/>
      <c r="Z850" s="566"/>
    </row>
    <row r="851" spans="1:26" x14ac:dyDescent="0.25">
      <c r="A851" s="566"/>
      <c r="B851" s="566"/>
      <c r="C851" s="566"/>
      <c r="D851" s="566"/>
      <c r="E851" s="566"/>
      <c r="F851" s="566"/>
      <c r="G851" s="566"/>
      <c r="H851" s="566"/>
      <c r="I851" s="566"/>
      <c r="J851" s="566"/>
      <c r="K851" s="566"/>
      <c r="L851" s="566"/>
      <c r="M851" s="566"/>
      <c r="N851" s="566"/>
      <c r="O851" s="566"/>
      <c r="P851" s="566"/>
      <c r="Q851" s="566"/>
      <c r="R851" s="566"/>
      <c r="S851" s="566"/>
      <c r="T851" s="566"/>
      <c r="U851" s="566"/>
      <c r="V851" s="566"/>
      <c r="W851" s="566"/>
      <c r="X851" s="566"/>
      <c r="Y851" s="566"/>
      <c r="Z851" s="566"/>
    </row>
    <row r="852" spans="1:26" x14ac:dyDescent="0.25">
      <c r="A852" s="566"/>
      <c r="B852" s="566"/>
      <c r="C852" s="566"/>
      <c r="D852" s="566"/>
      <c r="E852" s="566"/>
      <c r="F852" s="566"/>
      <c r="G852" s="566"/>
      <c r="H852" s="566"/>
      <c r="I852" s="566"/>
      <c r="J852" s="566"/>
      <c r="K852" s="566"/>
      <c r="L852" s="566"/>
      <c r="M852" s="566"/>
      <c r="N852" s="566"/>
      <c r="O852" s="566"/>
      <c r="P852" s="566"/>
      <c r="Q852" s="566"/>
      <c r="R852" s="566"/>
      <c r="S852" s="566"/>
      <c r="T852" s="566"/>
      <c r="U852" s="566"/>
      <c r="V852" s="566"/>
      <c r="W852" s="566"/>
      <c r="X852" s="566"/>
      <c r="Y852" s="566"/>
      <c r="Z852" s="566"/>
    </row>
    <row r="853" spans="1:26" x14ac:dyDescent="0.25">
      <c r="A853" s="566"/>
      <c r="B853" s="566"/>
      <c r="C853" s="566"/>
      <c r="D853" s="566"/>
      <c r="E853" s="566"/>
      <c r="F853" s="566"/>
      <c r="G853" s="566"/>
      <c r="H853" s="566"/>
      <c r="I853" s="566"/>
      <c r="J853" s="566"/>
      <c r="K853" s="566"/>
      <c r="L853" s="566"/>
      <c r="M853" s="566"/>
      <c r="N853" s="566"/>
      <c r="O853" s="566"/>
      <c r="P853" s="566"/>
      <c r="Q853" s="566"/>
      <c r="R853" s="566"/>
      <c r="S853" s="566"/>
      <c r="T853" s="566"/>
      <c r="U853" s="566"/>
      <c r="V853" s="566"/>
      <c r="W853" s="566"/>
      <c r="X853" s="566"/>
      <c r="Y853" s="566"/>
      <c r="Z853" s="566"/>
    </row>
    <row r="854" spans="1:26" x14ac:dyDescent="0.25">
      <c r="A854" s="566"/>
      <c r="B854" s="566"/>
      <c r="C854" s="566"/>
      <c r="D854" s="566"/>
      <c r="E854" s="566"/>
      <c r="F854" s="566"/>
      <c r="G854" s="566"/>
      <c r="H854" s="566"/>
      <c r="I854" s="566"/>
      <c r="J854" s="566"/>
      <c r="K854" s="566"/>
      <c r="L854" s="566"/>
      <c r="M854" s="566"/>
      <c r="N854" s="566"/>
      <c r="O854" s="566"/>
      <c r="P854" s="566"/>
      <c r="Q854" s="566"/>
      <c r="R854" s="566"/>
      <c r="S854" s="566"/>
      <c r="T854" s="566"/>
      <c r="U854" s="566"/>
      <c r="V854" s="566"/>
      <c r="W854" s="566"/>
      <c r="X854" s="566"/>
      <c r="Y854" s="566"/>
      <c r="Z854" s="566"/>
    </row>
    <row r="855" spans="1:26" x14ac:dyDescent="0.25">
      <c r="A855" s="566"/>
      <c r="B855" s="566"/>
      <c r="C855" s="566"/>
      <c r="D855" s="566"/>
      <c r="E855" s="566"/>
      <c r="F855" s="566"/>
      <c r="G855" s="566"/>
      <c r="H855" s="566"/>
      <c r="I855" s="566"/>
      <c r="J855" s="566"/>
      <c r="K855" s="566"/>
      <c r="L855" s="566"/>
      <c r="M855" s="566"/>
      <c r="N855" s="566"/>
      <c r="O855" s="566"/>
      <c r="P855" s="566"/>
      <c r="Q855" s="566"/>
      <c r="R855" s="566"/>
      <c r="S855" s="566"/>
      <c r="T855" s="566"/>
      <c r="U855" s="566"/>
      <c r="V855" s="566"/>
      <c r="W855" s="566"/>
      <c r="X855" s="566"/>
      <c r="Y855" s="566"/>
      <c r="Z855" s="566"/>
    </row>
    <row r="856" spans="1:26" x14ac:dyDescent="0.25">
      <c r="A856" s="566"/>
      <c r="B856" s="566"/>
      <c r="C856" s="566"/>
      <c r="D856" s="566"/>
      <c r="E856" s="566"/>
      <c r="F856" s="566"/>
      <c r="G856" s="566"/>
      <c r="H856" s="566"/>
      <c r="I856" s="566"/>
      <c r="J856" s="566"/>
      <c r="K856" s="566"/>
      <c r="L856" s="566"/>
      <c r="M856" s="566"/>
      <c r="N856" s="566"/>
      <c r="O856" s="566"/>
      <c r="P856" s="566"/>
      <c r="Q856" s="566"/>
      <c r="R856" s="566"/>
      <c r="S856" s="566"/>
      <c r="T856" s="566"/>
      <c r="U856" s="566"/>
      <c r="V856" s="566"/>
      <c r="W856" s="566"/>
      <c r="X856" s="566"/>
      <c r="Y856" s="566"/>
      <c r="Z856" s="566"/>
    </row>
    <row r="857" spans="1:26" x14ac:dyDescent="0.25">
      <c r="A857" s="566"/>
      <c r="B857" s="566"/>
      <c r="C857" s="566"/>
      <c r="D857" s="566"/>
      <c r="E857" s="566"/>
      <c r="F857" s="566"/>
      <c r="G857" s="566"/>
      <c r="H857" s="566"/>
      <c r="I857" s="566"/>
      <c r="J857" s="566"/>
      <c r="K857" s="566"/>
      <c r="L857" s="566"/>
      <c r="M857" s="566"/>
      <c r="N857" s="566"/>
      <c r="O857" s="566"/>
      <c r="P857" s="566"/>
      <c r="Q857" s="566"/>
      <c r="R857" s="566"/>
      <c r="S857" s="566"/>
      <c r="T857" s="566"/>
      <c r="U857" s="566"/>
      <c r="V857" s="566"/>
      <c r="W857" s="566"/>
      <c r="X857" s="566"/>
      <c r="Y857" s="566"/>
      <c r="Z857" s="566"/>
    </row>
    <row r="858" spans="1:26" x14ac:dyDescent="0.25">
      <c r="A858" s="566"/>
      <c r="B858" s="566"/>
      <c r="C858" s="566"/>
      <c r="D858" s="566"/>
      <c r="E858" s="566"/>
      <c r="F858" s="566"/>
      <c r="G858" s="566"/>
      <c r="H858" s="566"/>
      <c r="I858" s="566"/>
      <c r="J858" s="566"/>
      <c r="K858" s="566"/>
      <c r="L858" s="566"/>
      <c r="M858" s="566"/>
      <c r="N858" s="566"/>
      <c r="O858" s="566"/>
      <c r="P858" s="566"/>
      <c r="Q858" s="566"/>
      <c r="R858" s="566"/>
      <c r="S858" s="566"/>
      <c r="T858" s="566"/>
      <c r="U858" s="566"/>
      <c r="V858" s="566"/>
      <c r="W858" s="566"/>
      <c r="X858" s="566"/>
      <c r="Y858" s="566"/>
      <c r="Z858" s="566"/>
    </row>
    <row r="859" spans="1:26" x14ac:dyDescent="0.25">
      <c r="A859" s="566"/>
      <c r="B859" s="566"/>
      <c r="C859" s="566"/>
      <c r="D859" s="566"/>
      <c r="E859" s="566"/>
      <c r="F859" s="566"/>
      <c r="G859" s="566"/>
      <c r="H859" s="566"/>
      <c r="I859" s="566"/>
      <c r="J859" s="566"/>
      <c r="K859" s="566"/>
      <c r="L859" s="566"/>
      <c r="M859" s="566"/>
      <c r="N859" s="566"/>
      <c r="O859" s="566"/>
      <c r="P859" s="566"/>
      <c r="Q859" s="566"/>
      <c r="R859" s="566"/>
      <c r="S859" s="566"/>
      <c r="T859" s="566"/>
      <c r="U859" s="566"/>
      <c r="V859" s="566"/>
      <c r="W859" s="566"/>
      <c r="X859" s="566"/>
      <c r="Y859" s="566"/>
      <c r="Z859" s="566"/>
    </row>
    <row r="860" spans="1:26" x14ac:dyDescent="0.25">
      <c r="A860" s="566"/>
      <c r="B860" s="566"/>
      <c r="C860" s="566"/>
      <c r="D860" s="566"/>
      <c r="E860" s="566"/>
      <c r="F860" s="566"/>
      <c r="G860" s="566"/>
      <c r="H860" s="566"/>
      <c r="I860" s="566"/>
      <c r="J860" s="566"/>
      <c r="K860" s="566"/>
      <c r="L860" s="566"/>
      <c r="M860" s="566"/>
      <c r="N860" s="566"/>
      <c r="O860" s="566"/>
      <c r="P860" s="566"/>
      <c r="Q860" s="566"/>
      <c r="R860" s="566"/>
      <c r="S860" s="566"/>
      <c r="T860" s="566"/>
      <c r="U860" s="566"/>
      <c r="V860" s="566"/>
      <c r="W860" s="566"/>
      <c r="X860" s="566"/>
      <c r="Y860" s="566"/>
      <c r="Z860" s="566"/>
    </row>
    <row r="861" spans="1:26" x14ac:dyDescent="0.25">
      <c r="A861" s="566"/>
      <c r="B861" s="566"/>
      <c r="C861" s="566"/>
      <c r="D861" s="566"/>
      <c r="E861" s="566"/>
      <c r="F861" s="566"/>
      <c r="G861" s="566"/>
      <c r="H861" s="566"/>
      <c r="I861" s="566"/>
      <c r="J861" s="566"/>
      <c r="K861" s="566"/>
      <c r="L861" s="566"/>
      <c r="M861" s="566"/>
      <c r="N861" s="566"/>
      <c r="O861" s="566"/>
      <c r="P861" s="566"/>
      <c r="Q861" s="566"/>
      <c r="R861" s="566"/>
      <c r="S861" s="566"/>
      <c r="T861" s="566"/>
      <c r="U861" s="566"/>
      <c r="V861" s="566"/>
      <c r="W861" s="566"/>
      <c r="X861" s="566"/>
      <c r="Y861" s="566"/>
      <c r="Z861" s="566"/>
    </row>
    <row r="862" spans="1:26" x14ac:dyDescent="0.25">
      <c r="A862" s="566"/>
      <c r="B862" s="566"/>
      <c r="C862" s="566"/>
      <c r="D862" s="566"/>
      <c r="E862" s="566"/>
      <c r="F862" s="566"/>
      <c r="G862" s="566"/>
      <c r="H862" s="566"/>
      <c r="I862" s="566"/>
      <c r="J862" s="566"/>
      <c r="K862" s="566"/>
      <c r="L862" s="566"/>
      <c r="M862" s="566"/>
      <c r="N862" s="566"/>
      <c r="O862" s="566"/>
      <c r="P862" s="566"/>
      <c r="Q862" s="566"/>
      <c r="R862" s="566"/>
      <c r="S862" s="566"/>
      <c r="T862" s="566"/>
      <c r="U862" s="566"/>
      <c r="V862" s="566"/>
      <c r="W862" s="566"/>
      <c r="X862" s="566"/>
      <c r="Y862" s="566"/>
      <c r="Z862" s="566"/>
    </row>
    <row r="863" spans="1:26" x14ac:dyDescent="0.25">
      <c r="A863" s="566"/>
      <c r="B863" s="566"/>
      <c r="C863" s="566"/>
      <c r="D863" s="566"/>
      <c r="E863" s="566"/>
      <c r="F863" s="566"/>
      <c r="G863" s="566"/>
      <c r="H863" s="566"/>
      <c r="I863" s="566"/>
      <c r="J863" s="566"/>
      <c r="K863" s="566"/>
      <c r="L863" s="566"/>
      <c r="M863" s="566"/>
      <c r="N863" s="566"/>
      <c r="O863" s="566"/>
      <c r="P863" s="566"/>
      <c r="Q863" s="566"/>
      <c r="R863" s="566"/>
      <c r="S863" s="566"/>
      <c r="T863" s="566"/>
      <c r="U863" s="566"/>
      <c r="V863" s="566"/>
      <c r="W863" s="566"/>
      <c r="X863" s="566"/>
      <c r="Y863" s="566"/>
      <c r="Z863" s="566"/>
    </row>
    <row r="864" spans="1:26" x14ac:dyDescent="0.25">
      <c r="A864" s="566"/>
      <c r="B864" s="566"/>
      <c r="C864" s="566"/>
      <c r="D864" s="566"/>
      <c r="E864" s="566"/>
      <c r="F864" s="566"/>
      <c r="G864" s="566"/>
      <c r="H864" s="566"/>
      <c r="I864" s="566"/>
      <c r="J864" s="566"/>
      <c r="K864" s="566"/>
      <c r="L864" s="566"/>
      <c r="M864" s="566"/>
      <c r="N864" s="566"/>
      <c r="O864" s="566"/>
      <c r="P864" s="566"/>
      <c r="Q864" s="566"/>
      <c r="R864" s="566"/>
      <c r="S864" s="566"/>
      <c r="T864" s="566"/>
      <c r="U864" s="566"/>
      <c r="V864" s="566"/>
      <c r="W864" s="566"/>
      <c r="X864" s="566"/>
      <c r="Y864" s="566"/>
      <c r="Z864" s="566"/>
    </row>
    <row r="865" spans="1:26" x14ac:dyDescent="0.25">
      <c r="A865" s="566"/>
      <c r="B865" s="566"/>
      <c r="C865" s="566"/>
      <c r="D865" s="566"/>
      <c r="E865" s="566"/>
      <c r="F865" s="566"/>
      <c r="G865" s="566"/>
      <c r="H865" s="566"/>
      <c r="I865" s="566"/>
      <c r="J865" s="566"/>
      <c r="K865" s="566"/>
      <c r="L865" s="566"/>
      <c r="M865" s="566"/>
      <c r="N865" s="566"/>
      <c r="O865" s="566"/>
      <c r="P865" s="566"/>
      <c r="Q865" s="566"/>
      <c r="R865" s="566"/>
      <c r="S865" s="566"/>
      <c r="T865" s="566"/>
      <c r="U865" s="566"/>
      <c r="V865" s="566"/>
      <c r="W865" s="566"/>
      <c r="X865" s="566"/>
      <c r="Y865" s="566"/>
      <c r="Z865" s="566"/>
    </row>
    <row r="866" spans="1:26" x14ac:dyDescent="0.25">
      <c r="A866" s="566"/>
      <c r="B866" s="566"/>
      <c r="C866" s="566"/>
      <c r="D866" s="566"/>
      <c r="E866" s="566"/>
      <c r="F866" s="566"/>
      <c r="G866" s="566"/>
      <c r="H866" s="566"/>
      <c r="I866" s="566"/>
      <c r="J866" s="566"/>
      <c r="K866" s="566"/>
      <c r="L866" s="566"/>
      <c r="M866" s="566"/>
      <c r="N866" s="566"/>
      <c r="O866" s="566"/>
      <c r="P866" s="566"/>
      <c r="Q866" s="566"/>
      <c r="R866" s="566"/>
      <c r="S866" s="566"/>
      <c r="T866" s="566"/>
      <c r="U866" s="566"/>
      <c r="V866" s="566"/>
      <c r="W866" s="566"/>
      <c r="X866" s="566"/>
      <c r="Y866" s="566"/>
      <c r="Z866" s="566"/>
    </row>
    <row r="867" spans="1:26" x14ac:dyDescent="0.25">
      <c r="A867" s="566"/>
      <c r="B867" s="566"/>
      <c r="C867" s="566"/>
      <c r="D867" s="566"/>
      <c r="E867" s="566"/>
      <c r="F867" s="566"/>
      <c r="G867" s="566"/>
      <c r="H867" s="566"/>
      <c r="I867" s="566"/>
      <c r="J867" s="566"/>
      <c r="K867" s="566"/>
      <c r="L867" s="566"/>
      <c r="M867" s="566"/>
      <c r="N867" s="566"/>
      <c r="O867" s="566"/>
      <c r="P867" s="566"/>
      <c r="Q867" s="566"/>
      <c r="R867" s="566"/>
      <c r="S867" s="566"/>
      <c r="T867" s="566"/>
      <c r="U867" s="566"/>
      <c r="V867" s="566"/>
      <c r="W867" s="566"/>
      <c r="X867" s="566"/>
      <c r="Y867" s="566"/>
      <c r="Z867" s="566"/>
    </row>
    <row r="868" spans="1:26" x14ac:dyDescent="0.25">
      <c r="A868" s="566"/>
      <c r="B868" s="566"/>
      <c r="C868" s="566"/>
      <c r="D868" s="566"/>
      <c r="E868" s="566"/>
      <c r="F868" s="566"/>
      <c r="G868" s="566"/>
      <c r="H868" s="566"/>
      <c r="I868" s="566"/>
      <c r="J868" s="566"/>
      <c r="K868" s="566"/>
      <c r="L868" s="566"/>
      <c r="M868" s="566"/>
      <c r="N868" s="566"/>
      <c r="O868" s="566"/>
      <c r="P868" s="566"/>
      <c r="Q868" s="566"/>
      <c r="R868" s="566"/>
      <c r="S868" s="566"/>
      <c r="T868" s="566"/>
      <c r="U868" s="566"/>
      <c r="V868" s="566"/>
      <c r="W868" s="566"/>
      <c r="X868" s="566"/>
      <c r="Y868" s="566"/>
      <c r="Z868" s="566"/>
    </row>
    <row r="869" spans="1:26" x14ac:dyDescent="0.25">
      <c r="A869" s="566"/>
      <c r="B869" s="566"/>
      <c r="C869" s="566"/>
      <c r="D869" s="566"/>
      <c r="E869" s="566"/>
      <c r="F869" s="566"/>
      <c r="G869" s="566"/>
      <c r="H869" s="566"/>
      <c r="I869" s="566"/>
      <c r="J869" s="566"/>
      <c r="K869" s="566"/>
      <c r="L869" s="566"/>
      <c r="M869" s="566"/>
      <c r="N869" s="566"/>
      <c r="O869" s="566"/>
      <c r="P869" s="566"/>
      <c r="Q869" s="566"/>
      <c r="R869" s="566"/>
      <c r="S869" s="566"/>
      <c r="T869" s="566"/>
      <c r="U869" s="566"/>
      <c r="V869" s="566"/>
      <c r="W869" s="566"/>
      <c r="X869" s="566"/>
      <c r="Y869" s="566"/>
      <c r="Z869" s="566"/>
    </row>
    <row r="870" spans="1:26" x14ac:dyDescent="0.25">
      <c r="A870" s="566"/>
      <c r="B870" s="566"/>
      <c r="C870" s="566"/>
      <c r="D870" s="566"/>
      <c r="E870" s="566"/>
      <c r="F870" s="566"/>
      <c r="G870" s="566"/>
      <c r="H870" s="566"/>
      <c r="I870" s="566"/>
      <c r="J870" s="566"/>
      <c r="K870" s="566"/>
      <c r="L870" s="566"/>
      <c r="M870" s="566"/>
      <c r="N870" s="566"/>
      <c r="O870" s="566"/>
      <c r="P870" s="566"/>
      <c r="Q870" s="566"/>
      <c r="R870" s="566"/>
      <c r="S870" s="566"/>
      <c r="T870" s="566"/>
      <c r="U870" s="566"/>
      <c r="V870" s="566"/>
      <c r="W870" s="566"/>
      <c r="X870" s="566"/>
      <c r="Y870" s="566"/>
      <c r="Z870" s="566"/>
    </row>
    <row r="871" spans="1:26" x14ac:dyDescent="0.25">
      <c r="A871" s="566"/>
      <c r="B871" s="566"/>
      <c r="C871" s="566"/>
      <c r="D871" s="566"/>
      <c r="E871" s="566"/>
      <c r="F871" s="566"/>
      <c r="G871" s="566"/>
      <c r="H871" s="566"/>
      <c r="I871" s="566"/>
      <c r="J871" s="566"/>
      <c r="K871" s="566"/>
      <c r="L871" s="566"/>
      <c r="M871" s="566"/>
      <c r="N871" s="566"/>
      <c r="O871" s="566"/>
      <c r="P871" s="566"/>
      <c r="Q871" s="566"/>
      <c r="R871" s="566"/>
      <c r="S871" s="566"/>
      <c r="T871" s="566"/>
      <c r="U871" s="566"/>
      <c r="V871" s="566"/>
      <c r="W871" s="566"/>
      <c r="X871" s="566"/>
      <c r="Y871" s="566"/>
      <c r="Z871" s="566"/>
    </row>
    <row r="872" spans="1:26" x14ac:dyDescent="0.25">
      <c r="A872" s="566"/>
      <c r="B872" s="566"/>
      <c r="C872" s="566"/>
      <c r="D872" s="566"/>
      <c r="E872" s="566"/>
      <c r="F872" s="566"/>
      <c r="G872" s="566"/>
      <c r="H872" s="566"/>
      <c r="I872" s="566"/>
      <c r="J872" s="566"/>
      <c r="K872" s="566"/>
      <c r="L872" s="566"/>
      <c r="M872" s="566"/>
      <c r="N872" s="566"/>
      <c r="O872" s="566"/>
      <c r="P872" s="566"/>
      <c r="Q872" s="566"/>
      <c r="R872" s="566"/>
      <c r="S872" s="566"/>
      <c r="T872" s="566"/>
      <c r="U872" s="566"/>
      <c r="V872" s="566"/>
      <c r="W872" s="566"/>
      <c r="X872" s="566"/>
      <c r="Y872" s="566"/>
      <c r="Z872" s="566"/>
    </row>
    <row r="873" spans="1:26" x14ac:dyDescent="0.25">
      <c r="A873" s="566"/>
      <c r="B873" s="566"/>
      <c r="C873" s="566"/>
      <c r="D873" s="566"/>
      <c r="E873" s="566"/>
      <c r="F873" s="566"/>
      <c r="G873" s="566"/>
      <c r="H873" s="566"/>
      <c r="I873" s="566"/>
      <c r="J873" s="566"/>
      <c r="K873" s="566"/>
      <c r="L873" s="566"/>
      <c r="M873" s="566"/>
      <c r="N873" s="566"/>
      <c r="O873" s="566"/>
      <c r="P873" s="566"/>
      <c r="Q873" s="566"/>
      <c r="R873" s="566"/>
      <c r="S873" s="566"/>
      <c r="T873" s="566"/>
      <c r="U873" s="566"/>
      <c r="V873" s="566"/>
      <c r="W873" s="566"/>
      <c r="X873" s="566"/>
      <c r="Y873" s="566"/>
      <c r="Z873" s="566"/>
    </row>
    <row r="874" spans="1:26" x14ac:dyDescent="0.25">
      <c r="A874" s="566"/>
      <c r="B874" s="566"/>
      <c r="C874" s="566"/>
      <c r="D874" s="566"/>
      <c r="E874" s="566"/>
      <c r="F874" s="566"/>
      <c r="G874" s="566"/>
      <c r="H874" s="566"/>
      <c r="I874" s="566"/>
      <c r="J874" s="566"/>
      <c r="K874" s="566"/>
      <c r="L874" s="566"/>
      <c r="M874" s="566"/>
      <c r="N874" s="566"/>
      <c r="O874" s="566"/>
      <c r="P874" s="566"/>
      <c r="Q874" s="566"/>
      <c r="R874" s="566"/>
      <c r="S874" s="566"/>
      <c r="T874" s="566"/>
      <c r="U874" s="566"/>
      <c r="V874" s="566"/>
      <c r="W874" s="566"/>
      <c r="X874" s="566"/>
      <c r="Y874" s="566"/>
      <c r="Z874" s="566"/>
    </row>
    <row r="875" spans="1:26" x14ac:dyDescent="0.25">
      <c r="A875" s="566"/>
      <c r="B875" s="566"/>
      <c r="C875" s="566"/>
      <c r="D875" s="566"/>
      <c r="E875" s="566"/>
      <c r="F875" s="566"/>
      <c r="G875" s="566"/>
      <c r="H875" s="566"/>
      <c r="I875" s="566"/>
      <c r="J875" s="566"/>
      <c r="K875" s="566"/>
      <c r="L875" s="566"/>
      <c r="M875" s="566"/>
      <c r="N875" s="566"/>
      <c r="O875" s="566"/>
      <c r="P875" s="566"/>
      <c r="Q875" s="566"/>
      <c r="R875" s="566"/>
      <c r="S875" s="566"/>
      <c r="T875" s="566"/>
      <c r="U875" s="566"/>
      <c r="V875" s="566"/>
      <c r="W875" s="566"/>
      <c r="X875" s="566"/>
      <c r="Y875" s="566"/>
      <c r="Z875" s="566"/>
    </row>
    <row r="876" spans="1:26" x14ac:dyDescent="0.25">
      <c r="A876" s="566"/>
      <c r="B876" s="566"/>
      <c r="C876" s="566"/>
      <c r="D876" s="566"/>
      <c r="E876" s="566"/>
      <c r="F876" s="566"/>
      <c r="G876" s="566"/>
      <c r="H876" s="566"/>
      <c r="I876" s="566"/>
      <c r="J876" s="566"/>
      <c r="K876" s="566"/>
      <c r="L876" s="566"/>
      <c r="M876" s="566"/>
      <c r="N876" s="566"/>
      <c r="O876" s="566"/>
      <c r="P876" s="566"/>
      <c r="Q876" s="566"/>
      <c r="R876" s="566"/>
      <c r="S876" s="566"/>
      <c r="T876" s="566"/>
      <c r="U876" s="566"/>
      <c r="V876" s="566"/>
      <c r="W876" s="566"/>
      <c r="X876" s="566"/>
      <c r="Y876" s="566"/>
      <c r="Z876" s="566"/>
    </row>
    <row r="877" spans="1:26" x14ac:dyDescent="0.25">
      <c r="A877" s="566"/>
      <c r="B877" s="566"/>
      <c r="C877" s="566"/>
      <c r="D877" s="566"/>
      <c r="E877" s="566"/>
      <c r="F877" s="566"/>
      <c r="G877" s="566"/>
      <c r="H877" s="566"/>
      <c r="I877" s="566"/>
      <c r="J877" s="566"/>
      <c r="K877" s="566"/>
      <c r="L877" s="566"/>
      <c r="M877" s="566"/>
      <c r="N877" s="566"/>
      <c r="O877" s="566"/>
      <c r="P877" s="566"/>
      <c r="Q877" s="566"/>
      <c r="R877" s="566"/>
      <c r="S877" s="566"/>
      <c r="T877" s="566"/>
      <c r="U877" s="566"/>
      <c r="V877" s="566"/>
      <c r="W877" s="566"/>
      <c r="X877" s="566"/>
      <c r="Y877" s="566"/>
      <c r="Z877" s="566"/>
    </row>
    <row r="878" spans="1:26" x14ac:dyDescent="0.25">
      <c r="A878" s="566"/>
      <c r="B878" s="566"/>
      <c r="C878" s="566"/>
      <c r="D878" s="566"/>
      <c r="E878" s="566"/>
      <c r="F878" s="566"/>
      <c r="G878" s="566"/>
      <c r="H878" s="566"/>
      <c r="I878" s="566"/>
      <c r="J878" s="566"/>
      <c r="K878" s="566"/>
      <c r="L878" s="566"/>
      <c r="M878" s="566"/>
      <c r="N878" s="566"/>
      <c r="O878" s="566"/>
      <c r="P878" s="566"/>
      <c r="Q878" s="566"/>
      <c r="R878" s="566"/>
      <c r="S878" s="566"/>
      <c r="T878" s="566"/>
      <c r="U878" s="566"/>
      <c r="V878" s="566"/>
      <c r="W878" s="566"/>
      <c r="X878" s="566"/>
      <c r="Y878" s="566"/>
      <c r="Z878" s="566"/>
    </row>
    <row r="879" spans="1:26" x14ac:dyDescent="0.25">
      <c r="A879" s="566"/>
      <c r="B879" s="566"/>
      <c r="C879" s="566"/>
      <c r="D879" s="566"/>
      <c r="E879" s="566"/>
      <c r="F879" s="566"/>
      <c r="G879" s="566"/>
      <c r="H879" s="566"/>
      <c r="I879" s="566"/>
      <c r="J879" s="566"/>
      <c r="K879" s="566"/>
      <c r="L879" s="566"/>
      <c r="M879" s="566"/>
      <c r="N879" s="566"/>
      <c r="O879" s="566"/>
      <c r="P879" s="566"/>
      <c r="Q879" s="566"/>
      <c r="R879" s="566"/>
      <c r="S879" s="566"/>
      <c r="T879" s="566"/>
      <c r="U879" s="566"/>
      <c r="V879" s="566"/>
      <c r="W879" s="566"/>
      <c r="X879" s="566"/>
      <c r="Y879" s="566"/>
      <c r="Z879" s="566"/>
    </row>
    <row r="880" spans="1:26" x14ac:dyDescent="0.25">
      <c r="A880" s="566"/>
      <c r="B880" s="566"/>
      <c r="C880" s="566"/>
      <c r="D880" s="566"/>
      <c r="E880" s="566"/>
      <c r="F880" s="566"/>
      <c r="G880" s="566"/>
      <c r="H880" s="566"/>
      <c r="I880" s="566"/>
      <c r="J880" s="566"/>
      <c r="K880" s="566"/>
      <c r="L880" s="566"/>
      <c r="M880" s="566"/>
      <c r="N880" s="566"/>
      <c r="O880" s="566"/>
      <c r="P880" s="566"/>
      <c r="Q880" s="566"/>
      <c r="R880" s="566"/>
      <c r="S880" s="566"/>
      <c r="T880" s="566"/>
      <c r="U880" s="566"/>
      <c r="V880" s="566"/>
      <c r="W880" s="566"/>
      <c r="X880" s="566"/>
      <c r="Y880" s="566"/>
      <c r="Z880" s="566"/>
    </row>
    <row r="881" spans="1:26" x14ac:dyDescent="0.25">
      <c r="A881" s="566"/>
      <c r="B881" s="566"/>
      <c r="C881" s="566"/>
      <c r="D881" s="566"/>
      <c r="E881" s="566"/>
      <c r="F881" s="566"/>
      <c r="G881" s="566"/>
      <c r="H881" s="566"/>
      <c r="I881" s="566"/>
      <c r="J881" s="566"/>
      <c r="K881" s="566"/>
      <c r="L881" s="566"/>
      <c r="M881" s="566"/>
      <c r="N881" s="566"/>
      <c r="O881" s="566"/>
      <c r="P881" s="566"/>
      <c r="Q881" s="566"/>
      <c r="R881" s="566"/>
      <c r="S881" s="566"/>
      <c r="T881" s="566"/>
      <c r="U881" s="566"/>
      <c r="V881" s="566"/>
      <c r="W881" s="566"/>
      <c r="X881" s="566"/>
      <c r="Y881" s="566"/>
      <c r="Z881" s="566"/>
    </row>
    <row r="882" spans="1:26" x14ac:dyDescent="0.25">
      <c r="A882" s="566"/>
      <c r="B882" s="566"/>
      <c r="C882" s="566"/>
      <c r="D882" s="566"/>
      <c r="E882" s="566"/>
      <c r="F882" s="566"/>
      <c r="G882" s="566"/>
      <c r="H882" s="566"/>
      <c r="I882" s="566"/>
      <c r="J882" s="566"/>
      <c r="K882" s="566"/>
      <c r="L882" s="566"/>
      <c r="M882" s="566"/>
      <c r="N882" s="566"/>
      <c r="O882" s="566"/>
      <c r="P882" s="566"/>
      <c r="Q882" s="566"/>
      <c r="R882" s="566"/>
      <c r="S882" s="566"/>
      <c r="T882" s="566"/>
      <c r="U882" s="566"/>
      <c r="V882" s="566"/>
      <c r="W882" s="566"/>
      <c r="X882" s="566"/>
      <c r="Y882" s="566"/>
      <c r="Z882" s="566"/>
    </row>
    <row r="883" spans="1:26" x14ac:dyDescent="0.25">
      <c r="A883" s="566"/>
      <c r="B883" s="566"/>
      <c r="C883" s="566"/>
      <c r="D883" s="566"/>
      <c r="E883" s="566"/>
      <c r="F883" s="566"/>
      <c r="G883" s="566"/>
      <c r="H883" s="566"/>
      <c r="I883" s="566"/>
      <c r="J883" s="566"/>
      <c r="K883" s="566"/>
      <c r="L883" s="566"/>
      <c r="M883" s="566"/>
      <c r="N883" s="566"/>
      <c r="O883" s="566"/>
      <c r="P883" s="566"/>
      <c r="Q883" s="566"/>
      <c r="R883" s="566"/>
      <c r="S883" s="566"/>
      <c r="T883" s="566"/>
      <c r="U883" s="566"/>
      <c r="V883" s="566"/>
      <c r="W883" s="566"/>
      <c r="X883" s="566"/>
      <c r="Y883" s="566"/>
      <c r="Z883" s="566"/>
    </row>
    <row r="884" spans="1:26" x14ac:dyDescent="0.25">
      <c r="A884" s="566"/>
      <c r="B884" s="566"/>
      <c r="C884" s="566"/>
      <c r="D884" s="566"/>
      <c r="E884" s="566"/>
      <c r="F884" s="566"/>
      <c r="G884" s="566"/>
      <c r="H884" s="566"/>
      <c r="I884" s="566"/>
      <c r="J884" s="566"/>
      <c r="K884" s="566"/>
      <c r="L884" s="566"/>
      <c r="M884" s="566"/>
      <c r="N884" s="566"/>
      <c r="O884" s="566"/>
      <c r="P884" s="566"/>
      <c r="Q884" s="566"/>
      <c r="R884" s="566"/>
      <c r="S884" s="566"/>
      <c r="T884" s="566"/>
      <c r="U884" s="566"/>
      <c r="V884" s="566"/>
      <c r="W884" s="566"/>
      <c r="X884" s="566"/>
      <c r="Y884" s="566"/>
      <c r="Z884" s="566"/>
    </row>
    <row r="885" spans="1:26" x14ac:dyDescent="0.25">
      <c r="A885" s="566"/>
      <c r="B885" s="566"/>
      <c r="C885" s="566"/>
      <c r="D885" s="566"/>
      <c r="E885" s="566"/>
      <c r="F885" s="566"/>
      <c r="G885" s="566"/>
      <c r="H885" s="566"/>
      <c r="I885" s="566"/>
      <c r="J885" s="566"/>
      <c r="K885" s="566"/>
      <c r="L885" s="566"/>
      <c r="M885" s="566"/>
      <c r="N885" s="566"/>
      <c r="O885" s="566"/>
      <c r="P885" s="566"/>
      <c r="Q885" s="566"/>
      <c r="R885" s="566"/>
      <c r="S885" s="566"/>
      <c r="T885" s="566"/>
      <c r="U885" s="566"/>
      <c r="V885" s="566"/>
      <c r="W885" s="566"/>
      <c r="X885" s="566"/>
      <c r="Y885" s="566"/>
      <c r="Z885" s="566"/>
    </row>
    <row r="886" spans="1:26" x14ac:dyDescent="0.25">
      <c r="A886" s="566"/>
      <c r="B886" s="566"/>
      <c r="C886" s="566"/>
      <c r="D886" s="566"/>
      <c r="E886" s="566"/>
      <c r="F886" s="566"/>
      <c r="G886" s="566"/>
      <c r="H886" s="566"/>
      <c r="I886" s="566"/>
      <c r="J886" s="566"/>
      <c r="K886" s="566"/>
      <c r="L886" s="566"/>
      <c r="M886" s="566"/>
      <c r="N886" s="566"/>
      <c r="O886" s="566"/>
      <c r="P886" s="566"/>
      <c r="Q886" s="566"/>
      <c r="R886" s="566"/>
      <c r="S886" s="566"/>
      <c r="T886" s="566"/>
      <c r="U886" s="566"/>
      <c r="V886" s="566"/>
      <c r="W886" s="566"/>
      <c r="X886" s="566"/>
      <c r="Y886" s="566"/>
      <c r="Z886" s="566"/>
    </row>
    <row r="887" spans="1:26" x14ac:dyDescent="0.25">
      <c r="A887" s="566"/>
      <c r="B887" s="566"/>
      <c r="C887" s="566"/>
      <c r="D887" s="566"/>
      <c r="E887" s="566"/>
      <c r="F887" s="566"/>
      <c r="G887" s="566"/>
      <c r="H887" s="566"/>
      <c r="I887" s="566"/>
      <c r="J887" s="566"/>
      <c r="K887" s="566"/>
      <c r="L887" s="566"/>
      <c r="M887" s="566"/>
      <c r="N887" s="566"/>
      <c r="O887" s="566"/>
      <c r="P887" s="566"/>
      <c r="Q887" s="566"/>
      <c r="R887" s="566"/>
      <c r="S887" s="566"/>
      <c r="T887" s="566"/>
      <c r="U887" s="566"/>
      <c r="V887" s="566"/>
      <c r="W887" s="566"/>
      <c r="X887" s="566"/>
      <c r="Y887" s="566"/>
      <c r="Z887" s="566"/>
    </row>
    <row r="888" spans="1:26" x14ac:dyDescent="0.25">
      <c r="A888" s="566"/>
      <c r="B888" s="566"/>
      <c r="C888" s="566"/>
      <c r="D888" s="566"/>
      <c r="E888" s="566"/>
      <c r="F888" s="566"/>
      <c r="G888" s="566"/>
      <c r="H888" s="566"/>
      <c r="I888" s="566"/>
      <c r="J888" s="566"/>
      <c r="K888" s="566"/>
      <c r="L888" s="566"/>
      <c r="M888" s="566"/>
      <c r="N888" s="566"/>
      <c r="O888" s="566"/>
      <c r="P888" s="566"/>
      <c r="Q888" s="566"/>
      <c r="R888" s="566"/>
      <c r="S888" s="566"/>
      <c r="T888" s="566"/>
      <c r="U888" s="566"/>
      <c r="V888" s="566"/>
      <c r="W888" s="566"/>
      <c r="X888" s="566"/>
      <c r="Y888" s="566"/>
      <c r="Z888" s="566"/>
    </row>
    <row r="889" spans="1:26" x14ac:dyDescent="0.25">
      <c r="A889" s="566"/>
      <c r="B889" s="566"/>
      <c r="C889" s="566"/>
      <c r="D889" s="566"/>
      <c r="E889" s="566"/>
      <c r="F889" s="566"/>
      <c r="G889" s="566"/>
      <c r="H889" s="566"/>
      <c r="I889" s="566"/>
      <c r="J889" s="566"/>
      <c r="K889" s="566"/>
      <c r="L889" s="566"/>
      <c r="M889" s="566"/>
      <c r="N889" s="566"/>
      <c r="O889" s="566"/>
      <c r="P889" s="566"/>
      <c r="Q889" s="566"/>
      <c r="R889" s="566"/>
      <c r="S889" s="566"/>
      <c r="T889" s="566"/>
      <c r="U889" s="566"/>
      <c r="V889" s="566"/>
      <c r="W889" s="566"/>
      <c r="X889" s="566"/>
      <c r="Y889" s="566"/>
      <c r="Z889" s="566"/>
    </row>
    <row r="890" spans="1:26" x14ac:dyDescent="0.25">
      <c r="A890" s="566"/>
      <c r="B890" s="566"/>
      <c r="C890" s="566"/>
      <c r="D890" s="566"/>
      <c r="E890" s="566"/>
      <c r="F890" s="566"/>
      <c r="G890" s="566"/>
      <c r="H890" s="566"/>
      <c r="I890" s="566"/>
      <c r="J890" s="566"/>
      <c r="K890" s="566"/>
      <c r="L890" s="566"/>
      <c r="M890" s="566"/>
      <c r="N890" s="566"/>
      <c r="O890" s="566"/>
      <c r="P890" s="566"/>
      <c r="Q890" s="566"/>
      <c r="R890" s="566"/>
      <c r="S890" s="566"/>
      <c r="T890" s="566"/>
      <c r="U890" s="566"/>
      <c r="V890" s="566"/>
      <c r="W890" s="566"/>
      <c r="X890" s="566"/>
      <c r="Y890" s="566"/>
      <c r="Z890" s="566"/>
    </row>
    <row r="891" spans="1:26" x14ac:dyDescent="0.25">
      <c r="A891" s="566"/>
      <c r="B891" s="566"/>
      <c r="C891" s="566"/>
      <c r="D891" s="566"/>
      <c r="E891" s="566"/>
      <c r="F891" s="566"/>
      <c r="G891" s="566"/>
      <c r="H891" s="566"/>
      <c r="I891" s="566"/>
      <c r="J891" s="566"/>
      <c r="K891" s="566"/>
      <c r="L891" s="566"/>
      <c r="M891" s="566"/>
      <c r="N891" s="566"/>
      <c r="O891" s="566"/>
      <c r="P891" s="566"/>
      <c r="Q891" s="566"/>
      <c r="R891" s="566"/>
      <c r="S891" s="566"/>
      <c r="T891" s="566"/>
      <c r="U891" s="566"/>
      <c r="V891" s="566"/>
      <c r="W891" s="566"/>
      <c r="X891" s="566"/>
      <c r="Y891" s="566"/>
      <c r="Z891" s="566"/>
    </row>
    <row r="892" spans="1:26" x14ac:dyDescent="0.25">
      <c r="A892" s="566"/>
      <c r="B892" s="566"/>
      <c r="C892" s="566"/>
      <c r="D892" s="566"/>
      <c r="E892" s="566"/>
      <c r="F892" s="566"/>
      <c r="G892" s="566"/>
      <c r="H892" s="566"/>
      <c r="I892" s="566"/>
      <c r="J892" s="566"/>
      <c r="K892" s="566"/>
      <c r="L892" s="566"/>
      <c r="M892" s="566"/>
      <c r="N892" s="566"/>
      <c r="O892" s="566"/>
      <c r="P892" s="566"/>
      <c r="Q892" s="566"/>
      <c r="R892" s="566"/>
      <c r="S892" s="566"/>
      <c r="T892" s="566"/>
      <c r="U892" s="566"/>
      <c r="V892" s="566"/>
      <c r="W892" s="566"/>
      <c r="X892" s="566"/>
      <c r="Y892" s="566"/>
      <c r="Z892" s="566"/>
    </row>
    <row r="893" spans="1:26" x14ac:dyDescent="0.25">
      <c r="A893" s="566"/>
      <c r="B893" s="566"/>
      <c r="C893" s="566"/>
      <c r="D893" s="566"/>
      <c r="E893" s="566"/>
      <c r="F893" s="566"/>
      <c r="G893" s="566"/>
      <c r="H893" s="566"/>
      <c r="I893" s="566"/>
      <c r="J893" s="566"/>
      <c r="K893" s="566"/>
      <c r="L893" s="566"/>
      <c r="M893" s="566"/>
      <c r="N893" s="566"/>
      <c r="O893" s="566"/>
      <c r="P893" s="566"/>
      <c r="Q893" s="566"/>
      <c r="R893" s="566"/>
      <c r="S893" s="566"/>
      <c r="T893" s="566"/>
      <c r="U893" s="566"/>
      <c r="V893" s="566"/>
      <c r="W893" s="566"/>
      <c r="X893" s="566"/>
      <c r="Y893" s="566"/>
      <c r="Z893" s="566"/>
    </row>
    <row r="894" spans="1:26" x14ac:dyDescent="0.25">
      <c r="A894" s="566"/>
      <c r="B894" s="566"/>
      <c r="C894" s="566"/>
      <c r="D894" s="566"/>
      <c r="E894" s="566"/>
      <c r="F894" s="566"/>
      <c r="G894" s="566"/>
      <c r="H894" s="566"/>
      <c r="I894" s="566"/>
      <c r="J894" s="566"/>
      <c r="K894" s="566"/>
      <c r="L894" s="566"/>
      <c r="M894" s="566"/>
      <c r="N894" s="566"/>
      <c r="O894" s="566"/>
      <c r="P894" s="566"/>
      <c r="Q894" s="566"/>
      <c r="R894" s="566"/>
      <c r="S894" s="566"/>
      <c r="T894" s="566"/>
      <c r="U894" s="566"/>
      <c r="V894" s="566"/>
      <c r="W894" s="566"/>
      <c r="X894" s="566"/>
      <c r="Y894" s="566"/>
      <c r="Z894" s="566"/>
    </row>
    <row r="895" spans="1:26" x14ac:dyDescent="0.25">
      <c r="A895" s="566"/>
      <c r="B895" s="566"/>
      <c r="C895" s="566"/>
      <c r="D895" s="566"/>
      <c r="E895" s="566"/>
      <c r="F895" s="566"/>
      <c r="G895" s="566"/>
      <c r="H895" s="566"/>
      <c r="I895" s="566"/>
      <c r="J895" s="566"/>
      <c r="K895" s="566"/>
      <c r="L895" s="566"/>
      <c r="M895" s="566"/>
      <c r="N895" s="566"/>
      <c r="O895" s="566"/>
      <c r="P895" s="566"/>
      <c r="Q895" s="566"/>
      <c r="R895" s="566"/>
      <c r="S895" s="566"/>
      <c r="T895" s="566"/>
      <c r="U895" s="566"/>
      <c r="V895" s="566"/>
      <c r="W895" s="566"/>
      <c r="X895" s="566"/>
      <c r="Y895" s="566"/>
      <c r="Z895" s="566"/>
    </row>
    <row r="896" spans="1:26" x14ac:dyDescent="0.25">
      <c r="A896" s="566"/>
      <c r="B896" s="566"/>
      <c r="C896" s="566"/>
      <c r="D896" s="566"/>
      <c r="E896" s="566"/>
      <c r="F896" s="566"/>
      <c r="G896" s="566"/>
      <c r="H896" s="566"/>
      <c r="I896" s="566"/>
      <c r="J896" s="566"/>
      <c r="K896" s="566"/>
      <c r="L896" s="566"/>
      <c r="M896" s="566"/>
      <c r="N896" s="566"/>
      <c r="O896" s="566"/>
      <c r="P896" s="566"/>
      <c r="Q896" s="566"/>
      <c r="R896" s="566"/>
      <c r="S896" s="566"/>
      <c r="T896" s="566"/>
      <c r="U896" s="566"/>
      <c r="V896" s="566"/>
      <c r="W896" s="566"/>
      <c r="X896" s="566"/>
      <c r="Y896" s="566"/>
      <c r="Z896" s="566"/>
    </row>
    <row r="897" spans="1:26" x14ac:dyDescent="0.25">
      <c r="A897" s="566"/>
      <c r="B897" s="566"/>
      <c r="C897" s="566"/>
      <c r="D897" s="566"/>
      <c r="E897" s="566"/>
      <c r="F897" s="566"/>
      <c r="G897" s="566"/>
      <c r="H897" s="566"/>
      <c r="I897" s="566"/>
      <c r="J897" s="566"/>
      <c r="K897" s="566"/>
      <c r="L897" s="566"/>
      <c r="M897" s="566"/>
      <c r="N897" s="566"/>
      <c r="O897" s="566"/>
      <c r="P897" s="566"/>
      <c r="Q897" s="566"/>
      <c r="R897" s="566"/>
      <c r="S897" s="566"/>
      <c r="T897" s="566"/>
      <c r="U897" s="566"/>
      <c r="V897" s="566"/>
      <c r="W897" s="566"/>
      <c r="X897" s="566"/>
      <c r="Y897" s="566"/>
      <c r="Z897" s="566"/>
    </row>
    <row r="898" spans="1:26" x14ac:dyDescent="0.25">
      <c r="A898" s="566"/>
      <c r="B898" s="566"/>
      <c r="C898" s="566"/>
      <c r="D898" s="566"/>
      <c r="E898" s="566"/>
      <c r="F898" s="566"/>
      <c r="G898" s="566"/>
      <c r="H898" s="566"/>
      <c r="I898" s="566"/>
      <c r="J898" s="566"/>
      <c r="K898" s="566"/>
      <c r="L898" s="566"/>
      <c r="M898" s="566"/>
      <c r="N898" s="566"/>
      <c r="O898" s="566"/>
      <c r="P898" s="566"/>
      <c r="Q898" s="566"/>
      <c r="R898" s="566"/>
      <c r="S898" s="566"/>
      <c r="T898" s="566"/>
      <c r="U898" s="566"/>
      <c r="V898" s="566"/>
      <c r="W898" s="566"/>
      <c r="X898" s="566"/>
      <c r="Y898" s="566"/>
      <c r="Z898" s="566"/>
    </row>
    <row r="899" spans="1:26" x14ac:dyDescent="0.25">
      <c r="A899" s="566"/>
      <c r="B899" s="566"/>
      <c r="C899" s="566"/>
      <c r="D899" s="566"/>
      <c r="E899" s="566"/>
      <c r="F899" s="566"/>
      <c r="G899" s="566"/>
      <c r="H899" s="566"/>
      <c r="I899" s="566"/>
      <c r="J899" s="566"/>
      <c r="K899" s="566"/>
      <c r="L899" s="566"/>
      <c r="M899" s="566"/>
      <c r="N899" s="566"/>
      <c r="O899" s="566"/>
      <c r="P899" s="566"/>
      <c r="Q899" s="566"/>
      <c r="R899" s="566"/>
      <c r="S899" s="566"/>
      <c r="T899" s="566"/>
      <c r="U899" s="566"/>
      <c r="V899" s="566"/>
      <c r="W899" s="566"/>
      <c r="X899" s="566"/>
      <c r="Y899" s="566"/>
      <c r="Z899" s="566"/>
    </row>
    <row r="900" spans="1:26" x14ac:dyDescent="0.25">
      <c r="A900" s="566"/>
      <c r="B900" s="566"/>
      <c r="C900" s="566"/>
      <c r="D900" s="566"/>
      <c r="E900" s="566"/>
      <c r="F900" s="566"/>
      <c r="G900" s="566"/>
      <c r="H900" s="566"/>
      <c r="I900" s="566"/>
      <c r="J900" s="566"/>
      <c r="K900" s="566"/>
      <c r="L900" s="566"/>
      <c r="M900" s="566"/>
      <c r="N900" s="566"/>
      <c r="O900" s="566"/>
      <c r="P900" s="566"/>
      <c r="Q900" s="566"/>
      <c r="R900" s="566"/>
      <c r="S900" s="566"/>
      <c r="T900" s="566"/>
      <c r="U900" s="566"/>
      <c r="V900" s="566"/>
      <c r="W900" s="566"/>
      <c r="X900" s="566"/>
      <c r="Y900" s="566"/>
      <c r="Z900" s="566"/>
    </row>
    <row r="901" spans="1:26" x14ac:dyDescent="0.25">
      <c r="A901" s="566"/>
      <c r="B901" s="566"/>
      <c r="C901" s="566"/>
      <c r="D901" s="566"/>
      <c r="E901" s="566"/>
      <c r="F901" s="566"/>
      <c r="G901" s="566"/>
      <c r="H901" s="566"/>
      <c r="I901" s="566"/>
      <c r="J901" s="566"/>
      <c r="K901" s="566"/>
      <c r="L901" s="566"/>
      <c r="M901" s="566"/>
      <c r="N901" s="566"/>
      <c r="O901" s="566"/>
      <c r="P901" s="566"/>
      <c r="Q901" s="566"/>
      <c r="R901" s="566"/>
      <c r="S901" s="566"/>
      <c r="T901" s="566"/>
      <c r="U901" s="566"/>
      <c r="V901" s="566"/>
      <c r="W901" s="566"/>
      <c r="X901" s="566"/>
      <c r="Y901" s="566"/>
      <c r="Z901" s="566"/>
    </row>
    <row r="902" spans="1:26" x14ac:dyDescent="0.25">
      <c r="A902" s="566"/>
      <c r="B902" s="566"/>
      <c r="C902" s="566"/>
      <c r="D902" s="566"/>
      <c r="E902" s="566"/>
      <c r="F902" s="566"/>
      <c r="G902" s="566"/>
      <c r="H902" s="566"/>
      <c r="I902" s="566"/>
      <c r="J902" s="566"/>
      <c r="K902" s="566"/>
      <c r="L902" s="566"/>
      <c r="M902" s="566"/>
      <c r="N902" s="566"/>
      <c r="O902" s="566"/>
      <c r="P902" s="566"/>
      <c r="Q902" s="566"/>
      <c r="R902" s="566"/>
      <c r="S902" s="566"/>
      <c r="T902" s="566"/>
      <c r="U902" s="566"/>
      <c r="V902" s="566"/>
      <c r="W902" s="566"/>
      <c r="X902" s="566"/>
      <c r="Y902" s="566"/>
      <c r="Z902" s="566"/>
    </row>
    <row r="903" spans="1:26" x14ac:dyDescent="0.25">
      <c r="A903" s="566"/>
      <c r="B903" s="566"/>
      <c r="C903" s="566"/>
      <c r="D903" s="566"/>
      <c r="E903" s="566"/>
      <c r="F903" s="566"/>
      <c r="G903" s="566"/>
      <c r="H903" s="566"/>
      <c r="I903" s="566"/>
      <c r="J903" s="566"/>
      <c r="K903" s="566"/>
      <c r="L903" s="566"/>
      <c r="M903" s="566"/>
      <c r="N903" s="566"/>
      <c r="O903" s="566"/>
      <c r="P903" s="566"/>
      <c r="Q903" s="566"/>
      <c r="R903" s="566"/>
      <c r="S903" s="566"/>
      <c r="T903" s="566"/>
      <c r="U903" s="566"/>
      <c r="V903" s="566"/>
      <c r="W903" s="566"/>
      <c r="X903" s="566"/>
      <c r="Y903" s="566"/>
      <c r="Z903" s="566"/>
    </row>
    <row r="904" spans="1:26" x14ac:dyDescent="0.25">
      <c r="A904" s="566"/>
      <c r="B904" s="566"/>
      <c r="C904" s="566"/>
      <c r="D904" s="566"/>
      <c r="E904" s="566"/>
      <c r="F904" s="566"/>
      <c r="G904" s="566"/>
      <c r="H904" s="566"/>
      <c r="I904" s="566"/>
      <c r="J904" s="566"/>
      <c r="K904" s="566"/>
      <c r="L904" s="566"/>
      <c r="M904" s="566"/>
      <c r="N904" s="566"/>
      <c r="O904" s="566"/>
      <c r="P904" s="566"/>
      <c r="Q904" s="566"/>
      <c r="R904" s="566"/>
      <c r="S904" s="566"/>
      <c r="T904" s="566"/>
      <c r="U904" s="566"/>
      <c r="V904" s="566"/>
      <c r="W904" s="566"/>
      <c r="X904" s="566"/>
      <c r="Y904" s="566"/>
      <c r="Z904" s="566"/>
    </row>
    <row r="905" spans="1:26" x14ac:dyDescent="0.25">
      <c r="A905" s="566"/>
      <c r="B905" s="566"/>
      <c r="C905" s="566"/>
      <c r="D905" s="566"/>
      <c r="E905" s="566"/>
      <c r="F905" s="566"/>
      <c r="G905" s="566"/>
      <c r="H905" s="566"/>
      <c r="I905" s="566"/>
      <c r="J905" s="566"/>
      <c r="K905" s="566"/>
      <c r="L905" s="566"/>
      <c r="M905" s="566"/>
      <c r="N905" s="566"/>
      <c r="O905" s="566"/>
      <c r="P905" s="566"/>
      <c r="Q905" s="566"/>
      <c r="R905" s="566"/>
      <c r="S905" s="566"/>
      <c r="T905" s="566"/>
      <c r="U905" s="566"/>
      <c r="V905" s="566"/>
      <c r="W905" s="566"/>
      <c r="X905" s="566"/>
      <c r="Y905" s="566"/>
      <c r="Z905" s="566"/>
    </row>
    <row r="906" spans="1:26" x14ac:dyDescent="0.25">
      <c r="A906" s="566"/>
      <c r="B906" s="566"/>
      <c r="C906" s="566"/>
      <c r="D906" s="566"/>
      <c r="E906" s="566"/>
      <c r="F906" s="566"/>
      <c r="G906" s="566"/>
      <c r="H906" s="566"/>
      <c r="I906" s="566"/>
      <c r="J906" s="566"/>
      <c r="K906" s="566"/>
      <c r="L906" s="566"/>
      <c r="M906" s="566"/>
      <c r="N906" s="566"/>
      <c r="O906" s="566"/>
      <c r="P906" s="566"/>
      <c r="Q906" s="566"/>
      <c r="R906" s="566"/>
      <c r="S906" s="566"/>
      <c r="T906" s="566"/>
      <c r="U906" s="566"/>
      <c r="V906" s="566"/>
      <c r="W906" s="566"/>
      <c r="X906" s="566"/>
      <c r="Y906" s="566"/>
      <c r="Z906" s="566"/>
    </row>
    <row r="907" spans="1:26" x14ac:dyDescent="0.25">
      <c r="A907" s="566"/>
      <c r="B907" s="566"/>
      <c r="C907" s="566"/>
      <c r="D907" s="566"/>
      <c r="E907" s="566"/>
      <c r="F907" s="566"/>
      <c r="G907" s="566"/>
      <c r="H907" s="566"/>
      <c r="I907" s="566"/>
      <c r="J907" s="566"/>
      <c r="K907" s="566"/>
      <c r="L907" s="566"/>
      <c r="M907" s="566"/>
      <c r="N907" s="566"/>
      <c r="O907" s="566"/>
      <c r="P907" s="566"/>
      <c r="Q907" s="566"/>
      <c r="R907" s="566"/>
      <c r="S907" s="566"/>
      <c r="T907" s="566"/>
      <c r="U907" s="566"/>
      <c r="V907" s="566"/>
      <c r="W907" s="566"/>
      <c r="X907" s="566"/>
      <c r="Y907" s="566"/>
      <c r="Z907" s="566"/>
    </row>
    <row r="908" spans="1:26" x14ac:dyDescent="0.25">
      <c r="A908" s="566"/>
      <c r="B908" s="566"/>
      <c r="C908" s="566"/>
      <c r="D908" s="566"/>
      <c r="E908" s="566"/>
      <c r="F908" s="566"/>
      <c r="G908" s="566"/>
      <c r="H908" s="566"/>
      <c r="I908" s="566"/>
      <c r="J908" s="566"/>
      <c r="K908" s="566"/>
      <c r="L908" s="566"/>
      <c r="M908" s="566"/>
      <c r="N908" s="566"/>
      <c r="O908" s="566"/>
      <c r="P908" s="566"/>
      <c r="Q908" s="566"/>
      <c r="R908" s="566"/>
      <c r="S908" s="566"/>
      <c r="T908" s="566"/>
      <c r="U908" s="566"/>
      <c r="V908" s="566"/>
      <c r="W908" s="566"/>
      <c r="X908" s="566"/>
      <c r="Y908" s="566"/>
      <c r="Z908" s="566"/>
    </row>
    <row r="909" spans="1:26" x14ac:dyDescent="0.25">
      <c r="A909" s="566"/>
      <c r="B909" s="566"/>
      <c r="C909" s="566"/>
      <c r="D909" s="566"/>
      <c r="E909" s="566"/>
      <c r="F909" s="566"/>
      <c r="G909" s="566"/>
      <c r="H909" s="566"/>
      <c r="I909" s="566"/>
      <c r="J909" s="566"/>
      <c r="K909" s="566"/>
      <c r="L909" s="566"/>
      <c r="M909" s="566"/>
      <c r="N909" s="566"/>
      <c r="O909" s="566"/>
      <c r="P909" s="566"/>
      <c r="Q909" s="566"/>
      <c r="R909" s="566"/>
      <c r="S909" s="566"/>
      <c r="T909" s="566"/>
      <c r="U909" s="566"/>
      <c r="V909" s="566"/>
      <c r="W909" s="566"/>
      <c r="X909" s="566"/>
      <c r="Y909" s="566"/>
      <c r="Z909" s="566"/>
    </row>
    <row r="910" spans="1:26" x14ac:dyDescent="0.25">
      <c r="A910" s="566"/>
      <c r="B910" s="566"/>
      <c r="C910" s="566"/>
      <c r="D910" s="566"/>
      <c r="E910" s="566"/>
      <c r="F910" s="566"/>
      <c r="G910" s="566"/>
      <c r="H910" s="566"/>
      <c r="I910" s="566"/>
      <c r="J910" s="566"/>
      <c r="K910" s="566"/>
      <c r="L910" s="566"/>
      <c r="M910" s="566"/>
      <c r="N910" s="566"/>
      <c r="O910" s="566"/>
      <c r="P910" s="566"/>
      <c r="Q910" s="566"/>
      <c r="R910" s="566"/>
      <c r="S910" s="566"/>
      <c r="T910" s="566"/>
      <c r="U910" s="566"/>
      <c r="V910" s="566"/>
      <c r="W910" s="566"/>
      <c r="X910" s="566"/>
      <c r="Y910" s="566"/>
      <c r="Z910" s="566"/>
    </row>
    <row r="911" spans="1:26" x14ac:dyDescent="0.25">
      <c r="A911" s="566"/>
      <c r="B911" s="566"/>
      <c r="C911" s="566"/>
      <c r="D911" s="566"/>
      <c r="E911" s="566"/>
      <c r="F911" s="566"/>
      <c r="G911" s="566"/>
      <c r="H911" s="566"/>
      <c r="I911" s="566"/>
      <c r="J911" s="566"/>
      <c r="K911" s="566"/>
      <c r="L911" s="566"/>
      <c r="M911" s="566"/>
      <c r="N911" s="566"/>
      <c r="O911" s="566"/>
      <c r="P911" s="566"/>
      <c r="Q911" s="566"/>
      <c r="R911" s="566"/>
      <c r="S911" s="566"/>
      <c r="T911" s="566"/>
      <c r="U911" s="566"/>
      <c r="V911" s="566"/>
      <c r="W911" s="566"/>
      <c r="X911" s="566"/>
      <c r="Y911" s="566"/>
      <c r="Z911" s="566"/>
    </row>
    <row r="912" spans="1:26" x14ac:dyDescent="0.25">
      <c r="A912" s="566"/>
      <c r="B912" s="566"/>
      <c r="C912" s="566"/>
      <c r="D912" s="566"/>
      <c r="E912" s="566"/>
      <c r="F912" s="566"/>
      <c r="G912" s="566"/>
      <c r="H912" s="566"/>
      <c r="I912" s="566"/>
      <c r="J912" s="566"/>
      <c r="K912" s="566"/>
      <c r="L912" s="566"/>
      <c r="M912" s="566"/>
      <c r="N912" s="566"/>
      <c r="O912" s="566"/>
      <c r="P912" s="566"/>
      <c r="Q912" s="566"/>
      <c r="R912" s="566"/>
      <c r="S912" s="566"/>
      <c r="T912" s="566"/>
      <c r="U912" s="566"/>
      <c r="V912" s="566"/>
      <c r="W912" s="566"/>
      <c r="X912" s="566"/>
      <c r="Y912" s="566"/>
      <c r="Z912" s="566"/>
    </row>
    <row r="913" spans="1:26" x14ac:dyDescent="0.25">
      <c r="A913" s="566"/>
      <c r="B913" s="566"/>
      <c r="C913" s="566"/>
      <c r="D913" s="566"/>
      <c r="E913" s="566"/>
      <c r="F913" s="566"/>
      <c r="G913" s="566"/>
      <c r="H913" s="566"/>
      <c r="I913" s="566"/>
      <c r="J913" s="566"/>
      <c r="K913" s="566"/>
      <c r="L913" s="566"/>
      <c r="M913" s="566"/>
      <c r="N913" s="566"/>
      <c r="O913" s="566"/>
      <c r="P913" s="566"/>
      <c r="Q913" s="566"/>
      <c r="R913" s="566"/>
      <c r="S913" s="566"/>
      <c r="T913" s="566"/>
      <c r="U913" s="566"/>
      <c r="V913" s="566"/>
      <c r="W913" s="566"/>
      <c r="X913" s="566"/>
      <c r="Y913" s="566"/>
      <c r="Z913" s="566"/>
    </row>
    <row r="914" spans="1:26" x14ac:dyDescent="0.25">
      <c r="A914" s="566"/>
      <c r="B914" s="566"/>
      <c r="C914" s="566"/>
      <c r="D914" s="566"/>
      <c r="E914" s="566"/>
      <c r="F914" s="566"/>
      <c r="G914" s="566"/>
      <c r="H914" s="566"/>
      <c r="I914" s="566"/>
      <c r="J914" s="566"/>
      <c r="K914" s="566"/>
      <c r="L914" s="566"/>
      <c r="M914" s="566"/>
      <c r="N914" s="566"/>
      <c r="O914" s="566"/>
      <c r="P914" s="566"/>
      <c r="Q914" s="566"/>
      <c r="R914" s="566"/>
      <c r="S914" s="566"/>
      <c r="T914" s="566"/>
      <c r="U914" s="566"/>
      <c r="V914" s="566"/>
      <c r="W914" s="566"/>
      <c r="X914" s="566"/>
      <c r="Y914" s="566"/>
      <c r="Z914" s="566"/>
    </row>
    <row r="915" spans="1:26" x14ac:dyDescent="0.25">
      <c r="A915" s="566"/>
      <c r="B915" s="566"/>
      <c r="C915" s="566"/>
      <c r="D915" s="566"/>
      <c r="E915" s="566"/>
      <c r="F915" s="566"/>
      <c r="G915" s="566"/>
      <c r="H915" s="566"/>
      <c r="I915" s="566"/>
      <c r="J915" s="566"/>
      <c r="K915" s="566"/>
      <c r="L915" s="566"/>
      <c r="M915" s="566"/>
      <c r="N915" s="566"/>
      <c r="O915" s="566"/>
      <c r="P915" s="566"/>
      <c r="Q915" s="566"/>
      <c r="R915" s="566"/>
      <c r="S915" s="566"/>
      <c r="T915" s="566"/>
      <c r="U915" s="566"/>
      <c r="V915" s="566"/>
      <c r="W915" s="566"/>
      <c r="X915" s="566"/>
      <c r="Y915" s="566"/>
      <c r="Z915" s="566"/>
    </row>
    <row r="916" spans="1:26" x14ac:dyDescent="0.25">
      <c r="A916" s="566"/>
      <c r="B916" s="566"/>
      <c r="C916" s="566"/>
      <c r="D916" s="566"/>
      <c r="E916" s="566"/>
      <c r="F916" s="566"/>
      <c r="G916" s="566"/>
      <c r="H916" s="566"/>
      <c r="I916" s="566"/>
      <c r="J916" s="566"/>
      <c r="K916" s="566"/>
      <c r="L916" s="566"/>
      <c r="M916" s="566"/>
      <c r="N916" s="566"/>
      <c r="O916" s="566"/>
      <c r="P916" s="566"/>
      <c r="Q916" s="566"/>
      <c r="R916" s="566"/>
      <c r="S916" s="566"/>
      <c r="T916" s="566"/>
      <c r="U916" s="566"/>
      <c r="V916" s="566"/>
      <c r="W916" s="566"/>
      <c r="X916" s="566"/>
      <c r="Y916" s="566"/>
      <c r="Z916" s="566"/>
    </row>
    <row r="917" spans="1:26" x14ac:dyDescent="0.25">
      <c r="A917" s="566"/>
      <c r="B917" s="566"/>
      <c r="C917" s="566"/>
      <c r="D917" s="566"/>
      <c r="E917" s="566"/>
      <c r="F917" s="566"/>
      <c r="G917" s="566"/>
      <c r="H917" s="566"/>
      <c r="I917" s="566"/>
      <c r="J917" s="566"/>
      <c r="K917" s="566"/>
      <c r="L917" s="566"/>
      <c r="M917" s="566"/>
      <c r="N917" s="566"/>
      <c r="O917" s="566"/>
      <c r="P917" s="566"/>
      <c r="Q917" s="566"/>
      <c r="R917" s="566"/>
      <c r="S917" s="566"/>
      <c r="T917" s="566"/>
      <c r="U917" s="566"/>
      <c r="V917" s="566"/>
      <c r="W917" s="566"/>
      <c r="X917" s="566"/>
      <c r="Y917" s="566"/>
      <c r="Z917" s="566"/>
    </row>
    <row r="918" spans="1:26" x14ac:dyDescent="0.25">
      <c r="A918" s="566"/>
      <c r="B918" s="566"/>
      <c r="C918" s="566"/>
      <c r="D918" s="566"/>
      <c r="E918" s="566"/>
      <c r="F918" s="566"/>
      <c r="G918" s="566"/>
      <c r="H918" s="566"/>
      <c r="I918" s="566"/>
      <c r="J918" s="566"/>
      <c r="K918" s="566"/>
      <c r="L918" s="566"/>
      <c r="M918" s="566"/>
      <c r="N918" s="566"/>
      <c r="O918" s="566"/>
      <c r="P918" s="566"/>
      <c r="Q918" s="566"/>
      <c r="R918" s="566"/>
      <c r="S918" s="566"/>
      <c r="T918" s="566"/>
      <c r="U918" s="566"/>
      <c r="V918" s="566"/>
      <c r="W918" s="566"/>
      <c r="X918" s="566"/>
      <c r="Y918" s="566"/>
      <c r="Z918" s="566"/>
    </row>
    <row r="919" spans="1:26" x14ac:dyDescent="0.25">
      <c r="A919" s="566"/>
      <c r="B919" s="566"/>
      <c r="C919" s="566"/>
      <c r="D919" s="566"/>
      <c r="E919" s="566"/>
      <c r="F919" s="566"/>
      <c r="G919" s="566"/>
      <c r="H919" s="566"/>
      <c r="I919" s="566"/>
      <c r="J919" s="566"/>
      <c r="K919" s="566"/>
      <c r="L919" s="566"/>
      <c r="M919" s="566"/>
      <c r="N919" s="566"/>
      <c r="O919" s="566"/>
      <c r="P919" s="566"/>
      <c r="Q919" s="566"/>
      <c r="R919" s="566"/>
      <c r="S919" s="566"/>
      <c r="T919" s="566"/>
      <c r="U919" s="566"/>
      <c r="V919" s="566"/>
      <c r="W919" s="566"/>
      <c r="X919" s="566"/>
      <c r="Y919" s="566"/>
      <c r="Z919" s="566"/>
    </row>
    <row r="920" spans="1:26" x14ac:dyDescent="0.25">
      <c r="A920" s="566"/>
      <c r="B920" s="566"/>
      <c r="C920" s="566"/>
      <c r="D920" s="566"/>
      <c r="E920" s="566"/>
      <c r="F920" s="566"/>
      <c r="G920" s="566"/>
      <c r="H920" s="566"/>
      <c r="I920" s="566"/>
      <c r="J920" s="566"/>
      <c r="K920" s="566"/>
      <c r="L920" s="566"/>
      <c r="M920" s="566"/>
      <c r="N920" s="566"/>
      <c r="O920" s="566"/>
      <c r="P920" s="566"/>
      <c r="Q920" s="566"/>
      <c r="R920" s="566"/>
      <c r="S920" s="566"/>
      <c r="T920" s="566"/>
      <c r="U920" s="566"/>
      <c r="V920" s="566"/>
      <c r="W920" s="566"/>
      <c r="X920" s="566"/>
      <c r="Y920" s="566"/>
      <c r="Z920" s="566"/>
    </row>
    <row r="921" spans="1:26" x14ac:dyDescent="0.25">
      <c r="A921" s="566"/>
      <c r="B921" s="566"/>
      <c r="C921" s="566"/>
      <c r="D921" s="566"/>
      <c r="E921" s="566"/>
      <c r="F921" s="566"/>
      <c r="G921" s="566"/>
      <c r="H921" s="566"/>
      <c r="I921" s="566"/>
      <c r="J921" s="566"/>
      <c r="K921" s="566"/>
      <c r="L921" s="566"/>
      <c r="M921" s="566"/>
      <c r="N921" s="566"/>
      <c r="O921" s="566"/>
      <c r="P921" s="566"/>
      <c r="Q921" s="566"/>
      <c r="R921" s="566"/>
      <c r="S921" s="566"/>
      <c r="T921" s="566"/>
      <c r="U921" s="566"/>
      <c r="V921" s="566"/>
      <c r="W921" s="566"/>
      <c r="X921" s="566"/>
      <c r="Y921" s="566"/>
      <c r="Z921" s="566"/>
    </row>
    <row r="922" spans="1:26" x14ac:dyDescent="0.25">
      <c r="A922" s="566"/>
      <c r="B922" s="566"/>
      <c r="C922" s="566"/>
      <c r="D922" s="566"/>
      <c r="E922" s="566"/>
      <c r="F922" s="566"/>
      <c r="G922" s="566"/>
      <c r="H922" s="566"/>
      <c r="I922" s="566"/>
      <c r="J922" s="566"/>
      <c r="K922" s="566"/>
      <c r="L922" s="566"/>
      <c r="M922" s="566"/>
      <c r="N922" s="566"/>
      <c r="O922" s="566"/>
      <c r="P922" s="566"/>
      <c r="Q922" s="566"/>
      <c r="R922" s="566"/>
      <c r="S922" s="566"/>
      <c r="T922" s="566"/>
      <c r="U922" s="566"/>
      <c r="V922" s="566"/>
      <c r="W922" s="566"/>
      <c r="X922" s="566"/>
      <c r="Y922" s="566"/>
      <c r="Z922" s="566"/>
    </row>
    <row r="923" spans="1:26" x14ac:dyDescent="0.25">
      <c r="A923" s="566"/>
      <c r="B923" s="566"/>
      <c r="C923" s="566"/>
      <c r="D923" s="566"/>
      <c r="E923" s="566"/>
      <c r="F923" s="566"/>
      <c r="G923" s="566"/>
      <c r="H923" s="566"/>
      <c r="I923" s="566"/>
      <c r="J923" s="566"/>
      <c r="K923" s="566"/>
      <c r="L923" s="566"/>
      <c r="M923" s="566"/>
      <c r="N923" s="566"/>
      <c r="O923" s="566"/>
      <c r="P923" s="566"/>
      <c r="Q923" s="566"/>
      <c r="R923" s="566"/>
      <c r="S923" s="566"/>
      <c r="T923" s="566"/>
      <c r="U923" s="566"/>
      <c r="V923" s="566"/>
      <c r="W923" s="566"/>
      <c r="X923" s="566"/>
      <c r="Y923" s="566"/>
      <c r="Z923" s="566"/>
    </row>
    <row r="924" spans="1:26" x14ac:dyDescent="0.25">
      <c r="A924" s="566"/>
      <c r="B924" s="566"/>
      <c r="C924" s="566"/>
      <c r="D924" s="566"/>
      <c r="E924" s="566"/>
      <c r="F924" s="566"/>
      <c r="G924" s="566"/>
      <c r="H924" s="566"/>
      <c r="I924" s="566"/>
      <c r="J924" s="566"/>
      <c r="K924" s="566"/>
      <c r="L924" s="566"/>
      <c r="M924" s="566"/>
      <c r="N924" s="566"/>
      <c r="O924" s="566"/>
      <c r="P924" s="566"/>
      <c r="Q924" s="566"/>
      <c r="R924" s="566"/>
      <c r="S924" s="566"/>
      <c r="T924" s="566"/>
      <c r="U924" s="566"/>
      <c r="V924" s="566"/>
      <c r="W924" s="566"/>
      <c r="X924" s="566"/>
      <c r="Y924" s="566"/>
      <c r="Z924" s="566"/>
    </row>
    <row r="925" spans="1:26" x14ac:dyDescent="0.25">
      <c r="A925" s="566"/>
      <c r="B925" s="566"/>
      <c r="C925" s="566"/>
      <c r="D925" s="566"/>
      <c r="E925" s="566"/>
      <c r="F925" s="566"/>
      <c r="G925" s="566"/>
      <c r="H925" s="566"/>
      <c r="I925" s="566"/>
      <c r="J925" s="566"/>
      <c r="K925" s="566"/>
      <c r="L925" s="566"/>
      <c r="M925" s="566"/>
      <c r="N925" s="566"/>
      <c r="O925" s="566"/>
      <c r="P925" s="566"/>
      <c r="Q925" s="566"/>
      <c r="R925" s="566"/>
      <c r="S925" s="566"/>
      <c r="T925" s="566"/>
      <c r="U925" s="566"/>
      <c r="V925" s="566"/>
      <c r="W925" s="566"/>
      <c r="X925" s="566"/>
      <c r="Y925" s="566"/>
      <c r="Z925" s="566"/>
    </row>
    <row r="926" spans="1:26" x14ac:dyDescent="0.25">
      <c r="A926" s="566"/>
      <c r="B926" s="566"/>
      <c r="C926" s="566"/>
      <c r="D926" s="566"/>
      <c r="E926" s="566"/>
      <c r="F926" s="566"/>
      <c r="G926" s="566"/>
      <c r="H926" s="566"/>
      <c r="I926" s="566"/>
      <c r="J926" s="566"/>
      <c r="K926" s="566"/>
      <c r="L926" s="566"/>
      <c r="M926" s="566"/>
      <c r="N926" s="566"/>
      <c r="O926" s="566"/>
      <c r="P926" s="566"/>
      <c r="Q926" s="566"/>
      <c r="R926" s="566"/>
      <c r="S926" s="566"/>
      <c r="T926" s="566"/>
      <c r="U926" s="566"/>
      <c r="V926" s="566"/>
      <c r="W926" s="566"/>
      <c r="X926" s="566"/>
      <c r="Y926" s="566"/>
      <c r="Z926" s="566"/>
    </row>
    <row r="927" spans="1:26" x14ac:dyDescent="0.25">
      <c r="A927" s="566"/>
      <c r="B927" s="566"/>
      <c r="C927" s="566"/>
      <c r="D927" s="566"/>
      <c r="E927" s="566"/>
      <c r="F927" s="566"/>
      <c r="G927" s="566"/>
      <c r="H927" s="566"/>
      <c r="I927" s="566"/>
      <c r="J927" s="566"/>
      <c r="K927" s="566"/>
      <c r="L927" s="566"/>
      <c r="M927" s="566"/>
      <c r="N927" s="566"/>
      <c r="O927" s="566"/>
      <c r="P927" s="566"/>
      <c r="Q927" s="566"/>
      <c r="R927" s="566"/>
      <c r="S927" s="566"/>
      <c r="T927" s="566"/>
      <c r="U927" s="566"/>
      <c r="V927" s="566"/>
      <c r="W927" s="566"/>
      <c r="X927" s="566"/>
      <c r="Y927" s="566"/>
      <c r="Z927" s="566"/>
    </row>
    <row r="928" spans="1:26" x14ac:dyDescent="0.25">
      <c r="A928" s="566"/>
      <c r="B928" s="566"/>
      <c r="C928" s="566"/>
      <c r="D928" s="566"/>
      <c r="E928" s="566"/>
      <c r="F928" s="566"/>
      <c r="G928" s="566"/>
      <c r="H928" s="566"/>
      <c r="I928" s="566"/>
      <c r="J928" s="566"/>
      <c r="K928" s="566"/>
      <c r="L928" s="566"/>
      <c r="M928" s="566"/>
      <c r="N928" s="566"/>
      <c r="O928" s="566"/>
      <c r="P928" s="566"/>
      <c r="Q928" s="566"/>
      <c r="R928" s="566"/>
      <c r="S928" s="566"/>
      <c r="T928" s="566"/>
      <c r="U928" s="566"/>
      <c r="V928" s="566"/>
      <c r="W928" s="566"/>
      <c r="X928" s="566"/>
      <c r="Y928" s="566"/>
      <c r="Z928" s="566"/>
    </row>
    <row r="929" spans="1:26" x14ac:dyDescent="0.25">
      <c r="A929" s="566"/>
      <c r="B929" s="566"/>
      <c r="C929" s="566"/>
      <c r="D929" s="566"/>
      <c r="E929" s="566"/>
      <c r="F929" s="566"/>
      <c r="G929" s="566"/>
      <c r="H929" s="566"/>
      <c r="I929" s="566"/>
      <c r="J929" s="566"/>
      <c r="K929" s="566"/>
      <c r="L929" s="566"/>
      <c r="M929" s="566"/>
      <c r="N929" s="566"/>
      <c r="O929" s="566"/>
      <c r="P929" s="566"/>
      <c r="Q929" s="566"/>
      <c r="R929" s="566"/>
      <c r="S929" s="566"/>
      <c r="T929" s="566"/>
      <c r="U929" s="566"/>
      <c r="V929" s="566"/>
      <c r="W929" s="566"/>
      <c r="X929" s="566"/>
      <c r="Y929" s="566"/>
      <c r="Z929" s="566"/>
    </row>
    <row r="930" spans="1:26" x14ac:dyDescent="0.25">
      <c r="A930" s="566"/>
      <c r="B930" s="566"/>
      <c r="C930" s="566"/>
      <c r="D930" s="566"/>
      <c r="E930" s="566"/>
      <c r="F930" s="566"/>
      <c r="G930" s="566"/>
      <c r="H930" s="566"/>
      <c r="I930" s="566"/>
      <c r="J930" s="566"/>
      <c r="K930" s="566"/>
      <c r="L930" s="566"/>
      <c r="M930" s="566"/>
      <c r="N930" s="566"/>
      <c r="O930" s="566"/>
      <c r="P930" s="566"/>
      <c r="Q930" s="566"/>
      <c r="R930" s="566"/>
      <c r="S930" s="566"/>
      <c r="T930" s="566"/>
      <c r="U930" s="566"/>
      <c r="V930" s="566"/>
      <c r="W930" s="566"/>
      <c r="X930" s="566"/>
      <c r="Y930" s="566"/>
      <c r="Z930" s="566"/>
    </row>
    <row r="931" spans="1:26" x14ac:dyDescent="0.25">
      <c r="A931" s="566"/>
      <c r="B931" s="566"/>
      <c r="C931" s="566"/>
      <c r="D931" s="566"/>
      <c r="E931" s="566"/>
      <c r="F931" s="566"/>
      <c r="G931" s="566"/>
      <c r="H931" s="566"/>
      <c r="I931" s="566"/>
      <c r="J931" s="566"/>
      <c r="K931" s="566"/>
      <c r="L931" s="566"/>
      <c r="M931" s="566"/>
      <c r="N931" s="566"/>
      <c r="O931" s="566"/>
      <c r="P931" s="566"/>
      <c r="Q931" s="566"/>
      <c r="R931" s="566"/>
      <c r="S931" s="566"/>
      <c r="T931" s="566"/>
      <c r="U931" s="566"/>
      <c r="V931" s="566"/>
      <c r="W931" s="566"/>
      <c r="X931" s="566"/>
      <c r="Y931" s="566"/>
      <c r="Z931" s="566"/>
    </row>
    <row r="932" spans="1:26" x14ac:dyDescent="0.25">
      <c r="A932" s="566"/>
      <c r="B932" s="566"/>
      <c r="C932" s="566"/>
      <c r="D932" s="566"/>
      <c r="E932" s="566"/>
      <c r="F932" s="566"/>
      <c r="G932" s="566"/>
      <c r="H932" s="566"/>
      <c r="I932" s="566"/>
      <c r="J932" s="566"/>
      <c r="K932" s="566"/>
      <c r="L932" s="566"/>
      <c r="M932" s="566"/>
      <c r="N932" s="566"/>
      <c r="O932" s="566"/>
      <c r="P932" s="566"/>
      <c r="Q932" s="566"/>
      <c r="R932" s="566"/>
      <c r="S932" s="566"/>
      <c r="T932" s="566"/>
      <c r="U932" s="566"/>
      <c r="V932" s="566"/>
      <c r="W932" s="566"/>
      <c r="X932" s="566"/>
      <c r="Y932" s="566"/>
      <c r="Z932" s="566"/>
    </row>
    <row r="933" spans="1:26" x14ac:dyDescent="0.25">
      <c r="A933" s="566"/>
      <c r="B933" s="566"/>
      <c r="C933" s="566"/>
      <c r="D933" s="566"/>
      <c r="E933" s="566"/>
      <c r="F933" s="566"/>
      <c r="G933" s="566"/>
      <c r="H933" s="566"/>
      <c r="I933" s="566"/>
      <c r="J933" s="566"/>
      <c r="K933" s="566"/>
      <c r="L933" s="566"/>
      <c r="M933" s="566"/>
      <c r="N933" s="566"/>
      <c r="O933" s="566"/>
      <c r="P933" s="566"/>
      <c r="Q933" s="566"/>
      <c r="R933" s="566"/>
      <c r="S933" s="566"/>
      <c r="T933" s="566"/>
      <c r="U933" s="566"/>
      <c r="V933" s="566"/>
      <c r="W933" s="566"/>
      <c r="X933" s="566"/>
      <c r="Y933" s="566"/>
      <c r="Z933" s="566"/>
    </row>
    <row r="934" spans="1:26" x14ac:dyDescent="0.25">
      <c r="A934" s="566"/>
      <c r="B934" s="566"/>
      <c r="C934" s="566"/>
      <c r="D934" s="566"/>
      <c r="E934" s="566"/>
      <c r="F934" s="566"/>
      <c r="G934" s="566"/>
      <c r="H934" s="566"/>
      <c r="I934" s="566"/>
      <c r="J934" s="566"/>
      <c r="K934" s="566"/>
      <c r="L934" s="566"/>
      <c r="M934" s="566"/>
      <c r="N934" s="566"/>
      <c r="O934" s="566"/>
      <c r="P934" s="566"/>
      <c r="Q934" s="566"/>
      <c r="R934" s="566"/>
      <c r="S934" s="566"/>
      <c r="T934" s="566"/>
      <c r="U934" s="566"/>
      <c r="V934" s="566"/>
      <c r="W934" s="566"/>
      <c r="X934" s="566"/>
      <c r="Y934" s="566"/>
      <c r="Z934" s="566"/>
    </row>
    <row r="935" spans="1:26" x14ac:dyDescent="0.25">
      <c r="A935" s="566"/>
      <c r="B935" s="566"/>
      <c r="C935" s="566"/>
      <c r="D935" s="566"/>
      <c r="E935" s="566"/>
      <c r="F935" s="566"/>
      <c r="G935" s="566"/>
      <c r="H935" s="566"/>
      <c r="I935" s="566"/>
      <c r="J935" s="566"/>
      <c r="K935" s="566"/>
      <c r="L935" s="566"/>
      <c r="M935" s="566"/>
      <c r="N935" s="566"/>
      <c r="O935" s="566"/>
      <c r="P935" s="566"/>
      <c r="Q935" s="566"/>
      <c r="R935" s="566"/>
      <c r="S935" s="566"/>
      <c r="T935" s="566"/>
      <c r="U935" s="566"/>
      <c r="V935" s="566"/>
      <c r="W935" s="566"/>
      <c r="X935" s="566"/>
      <c r="Y935" s="566"/>
      <c r="Z935" s="566"/>
    </row>
    <row r="936" spans="1:26" x14ac:dyDescent="0.25">
      <c r="A936" s="566"/>
      <c r="B936" s="566"/>
      <c r="C936" s="566"/>
      <c r="D936" s="566"/>
      <c r="E936" s="566"/>
      <c r="F936" s="566"/>
      <c r="G936" s="566"/>
      <c r="H936" s="566"/>
      <c r="I936" s="566"/>
      <c r="J936" s="566"/>
      <c r="K936" s="566"/>
      <c r="L936" s="566"/>
      <c r="M936" s="566"/>
      <c r="N936" s="566"/>
      <c r="O936" s="566"/>
      <c r="P936" s="566"/>
      <c r="Q936" s="566"/>
      <c r="R936" s="566"/>
      <c r="S936" s="566"/>
      <c r="T936" s="566"/>
      <c r="U936" s="566"/>
      <c r="V936" s="566"/>
      <c r="W936" s="566"/>
      <c r="X936" s="566"/>
      <c r="Y936" s="566"/>
      <c r="Z936" s="566"/>
    </row>
    <row r="937" spans="1:26" x14ac:dyDescent="0.25">
      <c r="A937" s="566"/>
      <c r="B937" s="566"/>
      <c r="C937" s="566"/>
      <c r="D937" s="566"/>
      <c r="E937" s="566"/>
      <c r="F937" s="566"/>
      <c r="G937" s="566"/>
      <c r="H937" s="566"/>
      <c r="I937" s="566"/>
      <c r="J937" s="566"/>
      <c r="K937" s="566"/>
      <c r="L937" s="566"/>
      <c r="M937" s="566"/>
      <c r="N937" s="566"/>
      <c r="O937" s="566"/>
      <c r="P937" s="566"/>
      <c r="Q937" s="566"/>
      <c r="R937" s="566"/>
      <c r="S937" s="566"/>
      <c r="T937" s="566"/>
      <c r="U937" s="566"/>
      <c r="V937" s="566"/>
      <c r="W937" s="566"/>
      <c r="X937" s="566"/>
      <c r="Y937" s="566"/>
      <c r="Z937" s="566"/>
    </row>
    <row r="938" spans="1:26" x14ac:dyDescent="0.25">
      <c r="A938" s="566"/>
      <c r="B938" s="566"/>
      <c r="C938" s="566"/>
      <c r="D938" s="566"/>
      <c r="E938" s="566"/>
      <c r="F938" s="566"/>
      <c r="G938" s="566"/>
      <c r="H938" s="566"/>
      <c r="I938" s="566"/>
      <c r="J938" s="566"/>
      <c r="K938" s="566"/>
      <c r="L938" s="566"/>
      <c r="M938" s="566"/>
      <c r="N938" s="566"/>
      <c r="O938" s="566"/>
      <c r="P938" s="566"/>
      <c r="Q938" s="566"/>
      <c r="R938" s="566"/>
      <c r="S938" s="566"/>
      <c r="T938" s="566"/>
      <c r="U938" s="566"/>
      <c r="V938" s="566"/>
      <c r="W938" s="566"/>
      <c r="X938" s="566"/>
      <c r="Y938" s="566"/>
      <c r="Z938" s="566"/>
    </row>
    <row r="939" spans="1:26" x14ac:dyDescent="0.25">
      <c r="A939" s="566"/>
      <c r="B939" s="566"/>
      <c r="C939" s="566"/>
      <c r="D939" s="566"/>
      <c r="E939" s="566"/>
      <c r="F939" s="566"/>
      <c r="G939" s="566"/>
      <c r="H939" s="566"/>
      <c r="I939" s="566"/>
      <c r="J939" s="566"/>
      <c r="K939" s="566"/>
      <c r="L939" s="566"/>
      <c r="M939" s="566"/>
      <c r="N939" s="566"/>
      <c r="O939" s="566"/>
      <c r="P939" s="566"/>
      <c r="Q939" s="566"/>
      <c r="R939" s="566"/>
      <c r="S939" s="566"/>
      <c r="T939" s="566"/>
      <c r="U939" s="566"/>
      <c r="V939" s="566"/>
      <c r="W939" s="566"/>
      <c r="X939" s="566"/>
      <c r="Y939" s="566"/>
      <c r="Z939" s="566"/>
    </row>
    <row r="940" spans="1:26" x14ac:dyDescent="0.25">
      <c r="A940" s="566"/>
      <c r="B940" s="566"/>
      <c r="C940" s="566"/>
      <c r="D940" s="566"/>
      <c r="E940" s="566"/>
      <c r="F940" s="566"/>
      <c r="G940" s="566"/>
      <c r="H940" s="566"/>
      <c r="I940" s="566"/>
      <c r="J940" s="566"/>
      <c r="K940" s="566"/>
      <c r="L940" s="566"/>
      <c r="M940" s="566"/>
      <c r="N940" s="566"/>
      <c r="O940" s="566"/>
      <c r="P940" s="566"/>
      <c r="Q940" s="566"/>
      <c r="R940" s="566"/>
      <c r="S940" s="566"/>
      <c r="T940" s="566"/>
      <c r="U940" s="566"/>
      <c r="V940" s="566"/>
      <c r="W940" s="566"/>
      <c r="X940" s="566"/>
      <c r="Y940" s="566"/>
      <c r="Z940" s="566"/>
    </row>
    <row r="941" spans="1:26" x14ac:dyDescent="0.25">
      <c r="A941" s="566"/>
      <c r="B941" s="566"/>
      <c r="C941" s="566"/>
      <c r="D941" s="566"/>
      <c r="E941" s="566"/>
      <c r="F941" s="566"/>
      <c r="G941" s="566"/>
      <c r="H941" s="566"/>
      <c r="I941" s="566"/>
      <c r="J941" s="566"/>
      <c r="K941" s="566"/>
      <c r="L941" s="566"/>
      <c r="M941" s="566"/>
      <c r="N941" s="566"/>
      <c r="O941" s="566"/>
      <c r="P941" s="566"/>
      <c r="Q941" s="566"/>
      <c r="R941" s="566"/>
      <c r="S941" s="566"/>
      <c r="T941" s="566"/>
      <c r="U941" s="566"/>
      <c r="V941" s="566"/>
      <c r="W941" s="566"/>
      <c r="X941" s="566"/>
      <c r="Y941" s="566"/>
      <c r="Z941" s="566"/>
    </row>
    <row r="942" spans="1:26" x14ac:dyDescent="0.25">
      <c r="A942" s="566"/>
      <c r="B942" s="566"/>
      <c r="C942" s="566"/>
      <c r="D942" s="566"/>
      <c r="E942" s="566"/>
      <c r="F942" s="566"/>
      <c r="G942" s="566"/>
      <c r="H942" s="566"/>
      <c r="I942" s="566"/>
      <c r="J942" s="566"/>
      <c r="K942" s="566"/>
      <c r="L942" s="566"/>
      <c r="M942" s="566"/>
      <c r="N942" s="566"/>
      <c r="O942" s="566"/>
      <c r="P942" s="566"/>
      <c r="Q942" s="566"/>
      <c r="R942" s="566"/>
      <c r="S942" s="566"/>
      <c r="T942" s="566"/>
      <c r="U942" s="566"/>
      <c r="V942" s="566"/>
      <c r="W942" s="566"/>
      <c r="X942" s="566"/>
      <c r="Y942" s="566"/>
      <c r="Z942" s="566"/>
    </row>
    <row r="943" spans="1:26" x14ac:dyDescent="0.25">
      <c r="A943" s="566"/>
      <c r="B943" s="566"/>
      <c r="C943" s="566"/>
      <c r="D943" s="566"/>
      <c r="E943" s="566"/>
      <c r="F943" s="566"/>
      <c r="G943" s="566"/>
      <c r="H943" s="566"/>
      <c r="I943" s="566"/>
      <c r="J943" s="566"/>
      <c r="K943" s="566"/>
      <c r="L943" s="566"/>
      <c r="M943" s="566"/>
      <c r="N943" s="566"/>
      <c r="O943" s="566"/>
      <c r="P943" s="566"/>
      <c r="Q943" s="566"/>
      <c r="R943" s="566"/>
      <c r="S943" s="566"/>
      <c r="T943" s="566"/>
      <c r="U943" s="566"/>
      <c r="V943" s="566"/>
      <c r="W943" s="566"/>
      <c r="X943" s="566"/>
      <c r="Y943" s="566"/>
      <c r="Z943" s="566"/>
    </row>
    <row r="944" spans="1:26" x14ac:dyDescent="0.25">
      <c r="A944" s="566"/>
      <c r="B944" s="566"/>
      <c r="C944" s="566"/>
      <c r="D944" s="566"/>
      <c r="E944" s="566"/>
      <c r="F944" s="566"/>
      <c r="G944" s="566"/>
      <c r="H944" s="566"/>
      <c r="I944" s="566"/>
      <c r="J944" s="566"/>
      <c r="K944" s="566"/>
      <c r="L944" s="566"/>
      <c r="M944" s="566"/>
      <c r="N944" s="566"/>
      <c r="O944" s="566"/>
      <c r="P944" s="566"/>
      <c r="Q944" s="566"/>
      <c r="R944" s="566"/>
      <c r="S944" s="566"/>
      <c r="T944" s="566"/>
      <c r="U944" s="566"/>
      <c r="V944" s="566"/>
      <c r="W944" s="566"/>
      <c r="X944" s="566"/>
      <c r="Y944" s="566"/>
      <c r="Z944" s="566"/>
    </row>
    <row r="945" spans="1:26" x14ac:dyDescent="0.25">
      <c r="A945" s="566"/>
      <c r="B945" s="566"/>
      <c r="C945" s="566"/>
      <c r="D945" s="566"/>
      <c r="E945" s="566"/>
      <c r="F945" s="566"/>
      <c r="G945" s="566"/>
      <c r="H945" s="566"/>
      <c r="I945" s="566"/>
      <c r="J945" s="566"/>
      <c r="K945" s="566"/>
      <c r="L945" s="566"/>
      <c r="M945" s="566"/>
      <c r="N945" s="566"/>
      <c r="O945" s="566"/>
      <c r="P945" s="566"/>
      <c r="Q945" s="566"/>
      <c r="R945" s="566"/>
      <c r="S945" s="566"/>
      <c r="T945" s="566"/>
      <c r="U945" s="566"/>
      <c r="V945" s="566"/>
      <c r="W945" s="566"/>
      <c r="X945" s="566"/>
      <c r="Y945" s="566"/>
      <c r="Z945" s="566"/>
    </row>
    <row r="946" spans="1:26" x14ac:dyDescent="0.25">
      <c r="A946" s="566"/>
      <c r="B946" s="566"/>
      <c r="C946" s="566"/>
      <c r="D946" s="566"/>
      <c r="E946" s="566"/>
      <c r="F946" s="566"/>
      <c r="G946" s="566"/>
      <c r="H946" s="566"/>
      <c r="I946" s="566"/>
      <c r="J946" s="566"/>
      <c r="K946" s="566"/>
      <c r="L946" s="566"/>
      <c r="M946" s="566"/>
      <c r="N946" s="566"/>
      <c r="O946" s="566"/>
      <c r="P946" s="566"/>
      <c r="Q946" s="566"/>
      <c r="R946" s="566"/>
      <c r="S946" s="566"/>
      <c r="T946" s="566"/>
      <c r="U946" s="566"/>
      <c r="V946" s="566"/>
      <c r="W946" s="566"/>
      <c r="X946" s="566"/>
      <c r="Y946" s="566"/>
      <c r="Z946" s="566"/>
    </row>
    <row r="947" spans="1:26" x14ac:dyDescent="0.25">
      <c r="A947" s="566"/>
      <c r="B947" s="566"/>
      <c r="C947" s="566"/>
      <c r="D947" s="566"/>
      <c r="E947" s="566"/>
      <c r="F947" s="566"/>
      <c r="G947" s="566"/>
      <c r="H947" s="566"/>
      <c r="I947" s="566"/>
      <c r="J947" s="566"/>
      <c r="K947" s="566"/>
      <c r="L947" s="566"/>
      <c r="M947" s="566"/>
      <c r="N947" s="566"/>
      <c r="O947" s="566"/>
      <c r="P947" s="566"/>
      <c r="Q947" s="566"/>
      <c r="R947" s="566"/>
      <c r="S947" s="566"/>
      <c r="T947" s="566"/>
      <c r="U947" s="566"/>
      <c r="V947" s="566"/>
      <c r="W947" s="566"/>
      <c r="X947" s="566"/>
      <c r="Y947" s="566"/>
      <c r="Z947" s="566"/>
    </row>
    <row r="948" spans="1:26" x14ac:dyDescent="0.25">
      <c r="A948" s="566"/>
      <c r="B948" s="566"/>
      <c r="C948" s="566"/>
      <c r="D948" s="566"/>
      <c r="E948" s="566"/>
      <c r="F948" s="566"/>
      <c r="G948" s="566"/>
      <c r="H948" s="566"/>
      <c r="I948" s="566"/>
      <c r="J948" s="566"/>
      <c r="K948" s="566"/>
      <c r="L948" s="566"/>
      <c r="M948" s="566"/>
      <c r="N948" s="566"/>
      <c r="O948" s="566"/>
      <c r="P948" s="566"/>
      <c r="Q948" s="566"/>
      <c r="R948" s="566"/>
      <c r="S948" s="566"/>
      <c r="T948" s="566"/>
      <c r="U948" s="566"/>
      <c r="V948" s="566"/>
      <c r="W948" s="566"/>
      <c r="X948" s="566"/>
      <c r="Y948" s="566"/>
      <c r="Z948" s="566"/>
    </row>
    <row r="949" spans="1:26" x14ac:dyDescent="0.25">
      <c r="A949" s="566"/>
      <c r="B949" s="566"/>
      <c r="C949" s="566"/>
      <c r="D949" s="566"/>
      <c r="E949" s="566"/>
      <c r="F949" s="566"/>
      <c r="G949" s="566"/>
      <c r="H949" s="566"/>
      <c r="I949" s="566"/>
      <c r="J949" s="566"/>
      <c r="K949" s="566"/>
      <c r="L949" s="566"/>
      <c r="M949" s="566"/>
      <c r="N949" s="566"/>
      <c r="O949" s="566"/>
      <c r="P949" s="566"/>
      <c r="Q949" s="566"/>
      <c r="R949" s="566"/>
      <c r="S949" s="566"/>
      <c r="T949" s="566"/>
      <c r="U949" s="566"/>
      <c r="V949" s="566"/>
      <c r="W949" s="566"/>
      <c r="X949" s="566"/>
      <c r="Y949" s="566"/>
      <c r="Z949" s="566"/>
    </row>
    <row r="950" spans="1:26" x14ac:dyDescent="0.25">
      <c r="A950" s="566"/>
      <c r="B950" s="566"/>
      <c r="C950" s="566"/>
      <c r="D950" s="566"/>
      <c r="E950" s="566"/>
      <c r="F950" s="566"/>
      <c r="G950" s="566"/>
      <c r="H950" s="566"/>
      <c r="I950" s="566"/>
      <c r="J950" s="566"/>
      <c r="K950" s="566"/>
      <c r="L950" s="566"/>
      <c r="M950" s="566"/>
      <c r="N950" s="566"/>
      <c r="O950" s="566"/>
      <c r="P950" s="566"/>
      <c r="Q950" s="566"/>
      <c r="R950" s="566"/>
      <c r="S950" s="566"/>
      <c r="T950" s="566"/>
      <c r="U950" s="566"/>
      <c r="V950" s="566"/>
      <c r="W950" s="566"/>
      <c r="X950" s="566"/>
      <c r="Y950" s="566"/>
      <c r="Z950" s="566"/>
    </row>
    <row r="951" spans="1:26" x14ac:dyDescent="0.25">
      <c r="A951" s="566"/>
      <c r="B951" s="566"/>
      <c r="C951" s="566"/>
      <c r="D951" s="566"/>
      <c r="E951" s="566"/>
      <c r="F951" s="566"/>
      <c r="G951" s="566"/>
      <c r="H951" s="566"/>
      <c r="I951" s="566"/>
      <c r="J951" s="566"/>
      <c r="K951" s="566"/>
      <c r="L951" s="566"/>
      <c r="M951" s="566"/>
      <c r="N951" s="566"/>
      <c r="O951" s="566"/>
      <c r="P951" s="566"/>
      <c r="Q951" s="566"/>
      <c r="R951" s="566"/>
      <c r="S951" s="566"/>
      <c r="T951" s="566"/>
      <c r="U951" s="566"/>
      <c r="V951" s="566"/>
      <c r="W951" s="566"/>
      <c r="X951" s="566"/>
      <c r="Y951" s="566"/>
      <c r="Z951" s="566"/>
    </row>
    <row r="952" spans="1:26" x14ac:dyDescent="0.25">
      <c r="A952" s="566"/>
      <c r="B952" s="566"/>
      <c r="C952" s="566"/>
      <c r="D952" s="566"/>
      <c r="E952" s="566"/>
      <c r="F952" s="566"/>
      <c r="G952" s="566"/>
      <c r="H952" s="566"/>
      <c r="I952" s="566"/>
      <c r="J952" s="566"/>
      <c r="K952" s="566"/>
      <c r="L952" s="566"/>
      <c r="M952" s="566"/>
      <c r="N952" s="566"/>
      <c r="O952" s="566"/>
      <c r="P952" s="566"/>
      <c r="Q952" s="566"/>
      <c r="R952" s="566"/>
      <c r="S952" s="566"/>
      <c r="T952" s="566"/>
      <c r="U952" s="566"/>
      <c r="V952" s="566"/>
      <c r="W952" s="566"/>
      <c r="X952" s="566"/>
      <c r="Y952" s="566"/>
      <c r="Z952" s="566"/>
    </row>
    <row r="953" spans="1:26" x14ac:dyDescent="0.25">
      <c r="A953" s="566"/>
      <c r="B953" s="566"/>
      <c r="C953" s="566"/>
      <c r="D953" s="566"/>
      <c r="E953" s="566"/>
      <c r="F953" s="566"/>
      <c r="G953" s="566"/>
      <c r="H953" s="566"/>
      <c r="I953" s="566"/>
      <c r="J953" s="566"/>
      <c r="K953" s="566"/>
      <c r="L953" s="566"/>
      <c r="M953" s="566"/>
      <c r="N953" s="566"/>
      <c r="O953" s="566"/>
      <c r="P953" s="566"/>
      <c r="Q953" s="566"/>
      <c r="R953" s="566"/>
      <c r="S953" s="566"/>
      <c r="T953" s="566"/>
      <c r="U953" s="566"/>
      <c r="V953" s="566"/>
      <c r="W953" s="566"/>
      <c r="X953" s="566"/>
      <c r="Y953" s="566"/>
      <c r="Z953" s="566"/>
    </row>
    <row r="954" spans="1:26" x14ac:dyDescent="0.25">
      <c r="A954" s="566"/>
      <c r="B954" s="566"/>
      <c r="C954" s="566"/>
      <c r="D954" s="566"/>
      <c r="E954" s="566"/>
      <c r="F954" s="566"/>
      <c r="G954" s="566"/>
      <c r="H954" s="566"/>
      <c r="I954" s="566"/>
      <c r="J954" s="566"/>
      <c r="K954" s="566"/>
      <c r="L954" s="566"/>
      <c r="M954" s="566"/>
      <c r="N954" s="566"/>
      <c r="O954" s="566"/>
      <c r="P954" s="566"/>
      <c r="Q954" s="566"/>
      <c r="R954" s="566"/>
      <c r="S954" s="566"/>
      <c r="T954" s="566"/>
      <c r="U954" s="566"/>
      <c r="V954" s="566"/>
      <c r="W954" s="566"/>
      <c r="X954" s="566"/>
      <c r="Y954" s="566"/>
      <c r="Z954" s="566"/>
    </row>
    <row r="955" spans="1:26" x14ac:dyDescent="0.25">
      <c r="A955" s="566"/>
      <c r="B955" s="566"/>
      <c r="C955" s="566"/>
      <c r="D955" s="566"/>
      <c r="E955" s="566"/>
      <c r="F955" s="566"/>
      <c r="G955" s="566"/>
      <c r="H955" s="566"/>
      <c r="I955" s="566"/>
      <c r="J955" s="566"/>
      <c r="K955" s="566"/>
      <c r="L955" s="566"/>
      <c r="M955" s="566"/>
      <c r="N955" s="566"/>
      <c r="O955" s="566"/>
      <c r="P955" s="566"/>
      <c r="Q955" s="566"/>
      <c r="R955" s="566"/>
      <c r="S955" s="566"/>
      <c r="T955" s="566"/>
      <c r="U955" s="566"/>
      <c r="V955" s="566"/>
      <c r="W955" s="566"/>
      <c r="X955" s="566"/>
      <c r="Y955" s="566"/>
      <c r="Z955" s="566"/>
    </row>
    <row r="956" spans="1:26" x14ac:dyDescent="0.25">
      <c r="A956" s="566"/>
      <c r="B956" s="566"/>
      <c r="C956" s="566"/>
      <c r="D956" s="566"/>
      <c r="E956" s="566"/>
      <c r="F956" s="566"/>
      <c r="G956" s="566"/>
      <c r="H956" s="566"/>
      <c r="I956" s="566"/>
      <c r="J956" s="566"/>
      <c r="K956" s="566"/>
      <c r="L956" s="566"/>
      <c r="M956" s="566"/>
      <c r="N956" s="566"/>
      <c r="O956" s="566"/>
      <c r="P956" s="566"/>
      <c r="Q956" s="566"/>
      <c r="R956" s="566"/>
      <c r="S956" s="566"/>
      <c r="T956" s="566"/>
      <c r="U956" s="566"/>
      <c r="V956" s="566"/>
      <c r="W956" s="566"/>
      <c r="X956" s="566"/>
      <c r="Y956" s="566"/>
      <c r="Z956" s="566"/>
    </row>
    <row r="957" spans="1:26" x14ac:dyDescent="0.25">
      <c r="A957" s="566"/>
      <c r="B957" s="566"/>
      <c r="C957" s="566"/>
      <c r="D957" s="566"/>
      <c r="E957" s="566"/>
      <c r="F957" s="566"/>
      <c r="G957" s="566"/>
      <c r="H957" s="566"/>
      <c r="I957" s="566"/>
      <c r="J957" s="566"/>
      <c r="K957" s="566"/>
      <c r="L957" s="566"/>
      <c r="M957" s="566"/>
      <c r="N957" s="566"/>
      <c r="O957" s="566"/>
      <c r="P957" s="566"/>
      <c r="Q957" s="566"/>
      <c r="R957" s="566"/>
      <c r="S957" s="566"/>
      <c r="T957" s="566"/>
      <c r="U957" s="566"/>
      <c r="V957" s="566"/>
      <c r="W957" s="566"/>
      <c r="X957" s="566"/>
      <c r="Y957" s="566"/>
      <c r="Z957" s="566"/>
    </row>
    <row r="958" spans="1:26" x14ac:dyDescent="0.25">
      <c r="A958" s="566"/>
      <c r="B958" s="566"/>
      <c r="C958" s="566"/>
      <c r="D958" s="566"/>
      <c r="E958" s="566"/>
      <c r="F958" s="566"/>
      <c r="G958" s="566"/>
      <c r="H958" s="566"/>
      <c r="I958" s="566"/>
      <c r="J958" s="566"/>
      <c r="K958" s="566"/>
      <c r="L958" s="566"/>
      <c r="M958" s="566"/>
      <c r="N958" s="566"/>
      <c r="O958" s="566"/>
      <c r="P958" s="566"/>
      <c r="Q958" s="566"/>
      <c r="R958" s="566"/>
      <c r="S958" s="566"/>
      <c r="T958" s="566"/>
      <c r="U958" s="566"/>
      <c r="V958" s="566"/>
      <c r="W958" s="566"/>
      <c r="X958" s="566"/>
      <c r="Y958" s="566"/>
      <c r="Z958" s="566"/>
    </row>
    <row r="959" spans="1:26" x14ac:dyDescent="0.25">
      <c r="A959" s="566"/>
      <c r="B959" s="566"/>
      <c r="C959" s="566"/>
      <c r="D959" s="566"/>
      <c r="E959" s="566"/>
      <c r="F959" s="566"/>
      <c r="G959" s="566"/>
      <c r="H959" s="566"/>
      <c r="I959" s="566"/>
      <c r="J959" s="566"/>
      <c r="K959" s="566"/>
      <c r="L959" s="566"/>
      <c r="M959" s="566"/>
      <c r="N959" s="566"/>
      <c r="O959" s="566"/>
      <c r="P959" s="566"/>
      <c r="Q959" s="566"/>
      <c r="R959" s="566"/>
      <c r="S959" s="566"/>
      <c r="T959" s="566"/>
      <c r="U959" s="566"/>
      <c r="V959" s="566"/>
      <c r="W959" s="566"/>
      <c r="X959" s="566"/>
      <c r="Y959" s="566"/>
      <c r="Z959" s="566"/>
    </row>
    <row r="960" spans="1:26" x14ac:dyDescent="0.25">
      <c r="A960" s="566"/>
      <c r="B960" s="566"/>
      <c r="C960" s="566"/>
      <c r="D960" s="566"/>
      <c r="E960" s="566"/>
      <c r="F960" s="566"/>
      <c r="G960" s="566"/>
      <c r="H960" s="566"/>
      <c r="I960" s="566"/>
      <c r="J960" s="566"/>
      <c r="K960" s="566"/>
      <c r="L960" s="566"/>
      <c r="M960" s="566"/>
      <c r="N960" s="566"/>
      <c r="O960" s="566"/>
      <c r="P960" s="566"/>
      <c r="Q960" s="566"/>
      <c r="R960" s="566"/>
      <c r="S960" s="566"/>
      <c r="T960" s="566"/>
      <c r="U960" s="566"/>
      <c r="V960" s="566"/>
      <c r="W960" s="566"/>
      <c r="X960" s="566"/>
      <c r="Y960" s="566"/>
      <c r="Z960" s="566"/>
    </row>
    <row r="961" spans="1:26" x14ac:dyDescent="0.25">
      <c r="A961" s="566"/>
      <c r="B961" s="566"/>
      <c r="C961" s="566"/>
      <c r="D961" s="566"/>
      <c r="E961" s="566"/>
      <c r="F961" s="566"/>
      <c r="G961" s="566"/>
      <c r="H961" s="566"/>
      <c r="I961" s="566"/>
      <c r="J961" s="566"/>
      <c r="K961" s="566"/>
      <c r="L961" s="566"/>
      <c r="M961" s="566"/>
      <c r="N961" s="566"/>
      <c r="O961" s="566"/>
      <c r="P961" s="566"/>
      <c r="Q961" s="566"/>
      <c r="R961" s="566"/>
      <c r="S961" s="566"/>
      <c r="T961" s="566"/>
      <c r="U961" s="566"/>
      <c r="V961" s="566"/>
      <c r="W961" s="566"/>
      <c r="X961" s="566"/>
      <c r="Y961" s="566"/>
      <c r="Z961" s="566"/>
    </row>
    <row r="962" spans="1:26" x14ac:dyDescent="0.25">
      <c r="A962" s="566"/>
      <c r="B962" s="566"/>
      <c r="C962" s="566"/>
      <c r="D962" s="566"/>
      <c r="E962" s="566"/>
      <c r="F962" s="566"/>
      <c r="G962" s="566"/>
      <c r="H962" s="566"/>
      <c r="I962" s="566"/>
      <c r="J962" s="566"/>
      <c r="K962" s="566"/>
      <c r="L962" s="566"/>
      <c r="M962" s="566"/>
      <c r="N962" s="566"/>
      <c r="O962" s="566"/>
      <c r="P962" s="566"/>
      <c r="Q962" s="566"/>
      <c r="R962" s="566"/>
      <c r="S962" s="566"/>
      <c r="T962" s="566"/>
      <c r="U962" s="566"/>
      <c r="V962" s="566"/>
      <c r="W962" s="566"/>
      <c r="X962" s="566"/>
      <c r="Y962" s="566"/>
      <c r="Z962" s="566"/>
    </row>
    <row r="963" spans="1:26" x14ac:dyDescent="0.25">
      <c r="A963" s="566"/>
      <c r="B963" s="566"/>
      <c r="C963" s="566"/>
      <c r="D963" s="566"/>
      <c r="E963" s="566"/>
      <c r="F963" s="566"/>
      <c r="G963" s="566"/>
      <c r="H963" s="566"/>
      <c r="I963" s="566"/>
      <c r="J963" s="566"/>
      <c r="K963" s="566"/>
      <c r="L963" s="566"/>
      <c r="M963" s="566"/>
      <c r="N963" s="566"/>
      <c r="O963" s="566"/>
      <c r="P963" s="566"/>
      <c r="Q963" s="566"/>
      <c r="R963" s="566"/>
      <c r="S963" s="566"/>
      <c r="T963" s="566"/>
      <c r="U963" s="566"/>
      <c r="V963" s="566"/>
      <c r="W963" s="566"/>
      <c r="X963" s="566"/>
      <c r="Y963" s="566"/>
      <c r="Z963" s="566"/>
    </row>
    <row r="964" spans="1:26" x14ac:dyDescent="0.25">
      <c r="A964" s="566"/>
      <c r="B964" s="566"/>
      <c r="C964" s="566"/>
      <c r="D964" s="566"/>
      <c r="E964" s="566"/>
      <c r="F964" s="566"/>
      <c r="G964" s="566"/>
      <c r="H964" s="566"/>
      <c r="I964" s="566"/>
      <c r="J964" s="566"/>
      <c r="K964" s="566"/>
      <c r="L964" s="566"/>
      <c r="M964" s="566"/>
      <c r="N964" s="566"/>
      <c r="O964" s="566"/>
      <c r="P964" s="566"/>
      <c r="Q964" s="566"/>
      <c r="R964" s="566"/>
      <c r="S964" s="566"/>
      <c r="T964" s="566"/>
      <c r="U964" s="566"/>
      <c r="V964" s="566"/>
      <c r="W964" s="566"/>
      <c r="X964" s="566"/>
      <c r="Y964" s="566"/>
      <c r="Z964" s="566"/>
    </row>
    <row r="965" spans="1:26" x14ac:dyDescent="0.25">
      <c r="A965" s="566"/>
      <c r="B965" s="566"/>
      <c r="C965" s="566"/>
      <c r="D965" s="566"/>
      <c r="E965" s="566"/>
      <c r="F965" s="566"/>
      <c r="G965" s="566"/>
      <c r="H965" s="566"/>
      <c r="I965" s="566"/>
      <c r="J965" s="566"/>
      <c r="K965" s="566"/>
      <c r="L965" s="566"/>
      <c r="M965" s="566"/>
      <c r="N965" s="566"/>
      <c r="O965" s="566"/>
      <c r="P965" s="566"/>
      <c r="Q965" s="566"/>
      <c r="R965" s="566"/>
      <c r="S965" s="566"/>
      <c r="T965" s="566"/>
      <c r="U965" s="566"/>
      <c r="V965" s="566"/>
      <c r="W965" s="566"/>
      <c r="X965" s="566"/>
      <c r="Y965" s="566"/>
      <c r="Z965" s="566"/>
    </row>
    <row r="966" spans="1:26" x14ac:dyDescent="0.25">
      <c r="A966" s="566"/>
      <c r="B966" s="566"/>
      <c r="C966" s="566"/>
      <c r="D966" s="566"/>
      <c r="E966" s="566"/>
      <c r="F966" s="566"/>
      <c r="G966" s="566"/>
      <c r="H966" s="566"/>
      <c r="I966" s="566"/>
      <c r="J966" s="566"/>
      <c r="K966" s="566"/>
      <c r="L966" s="566"/>
      <c r="M966" s="566"/>
      <c r="N966" s="566"/>
      <c r="O966" s="566"/>
      <c r="P966" s="566"/>
      <c r="Q966" s="566"/>
      <c r="R966" s="566"/>
      <c r="S966" s="566"/>
      <c r="T966" s="566"/>
      <c r="U966" s="566"/>
      <c r="V966" s="566"/>
      <c r="W966" s="566"/>
      <c r="X966" s="566"/>
      <c r="Y966" s="566"/>
      <c r="Z966" s="566"/>
    </row>
    <row r="967" spans="1:26" x14ac:dyDescent="0.25">
      <c r="A967" s="566"/>
      <c r="B967" s="566"/>
      <c r="C967" s="566"/>
      <c r="D967" s="566"/>
      <c r="E967" s="566"/>
      <c r="F967" s="566"/>
      <c r="G967" s="566"/>
      <c r="H967" s="566"/>
      <c r="I967" s="566"/>
      <c r="J967" s="566"/>
      <c r="K967" s="566"/>
      <c r="L967" s="566"/>
      <c r="M967" s="566"/>
      <c r="N967" s="566"/>
      <c r="O967" s="566"/>
      <c r="P967" s="566"/>
      <c r="Q967" s="566"/>
      <c r="R967" s="566"/>
      <c r="S967" s="566"/>
      <c r="T967" s="566"/>
      <c r="U967" s="566"/>
      <c r="V967" s="566"/>
      <c r="W967" s="566"/>
      <c r="X967" s="566"/>
      <c r="Y967" s="566"/>
      <c r="Z967" s="566"/>
    </row>
    <row r="968" spans="1:26" x14ac:dyDescent="0.25">
      <c r="A968" s="566"/>
      <c r="B968" s="566"/>
      <c r="C968" s="566"/>
      <c r="D968" s="566"/>
      <c r="E968" s="566"/>
      <c r="F968" s="566"/>
      <c r="G968" s="566"/>
      <c r="H968" s="566"/>
      <c r="I968" s="566"/>
      <c r="J968" s="566"/>
      <c r="K968" s="566"/>
      <c r="L968" s="566"/>
      <c r="M968" s="566"/>
      <c r="N968" s="566"/>
      <c r="O968" s="566"/>
      <c r="P968" s="566"/>
      <c r="Q968" s="566"/>
      <c r="R968" s="566"/>
      <c r="S968" s="566"/>
      <c r="T968" s="566"/>
      <c r="U968" s="566"/>
      <c r="V968" s="566"/>
      <c r="W968" s="566"/>
      <c r="X968" s="566"/>
      <c r="Y968" s="566"/>
      <c r="Z968" s="566"/>
    </row>
    <row r="969" spans="1:26" x14ac:dyDescent="0.25">
      <c r="A969" s="566"/>
      <c r="B969" s="566"/>
      <c r="C969" s="566"/>
      <c r="D969" s="566"/>
      <c r="E969" s="566"/>
      <c r="F969" s="566"/>
      <c r="G969" s="566"/>
      <c r="H969" s="566"/>
      <c r="I969" s="566"/>
      <c r="J969" s="566"/>
      <c r="K969" s="566"/>
      <c r="L969" s="566"/>
      <c r="M969" s="566"/>
      <c r="N969" s="566"/>
      <c r="O969" s="566"/>
      <c r="P969" s="566"/>
      <c r="Q969" s="566"/>
      <c r="R969" s="566"/>
      <c r="S969" s="566"/>
      <c r="T969" s="566"/>
      <c r="U969" s="566"/>
      <c r="V969" s="566"/>
      <c r="W969" s="566"/>
      <c r="X969" s="566"/>
      <c r="Y969" s="566"/>
      <c r="Z969" s="566"/>
    </row>
    <row r="970" spans="1:26" x14ac:dyDescent="0.25">
      <c r="A970" s="566"/>
      <c r="B970" s="566"/>
      <c r="C970" s="566"/>
      <c r="D970" s="566"/>
      <c r="E970" s="566"/>
      <c r="F970" s="566"/>
      <c r="G970" s="566"/>
      <c r="H970" s="566"/>
      <c r="I970" s="566"/>
      <c r="J970" s="566"/>
      <c r="K970" s="566"/>
      <c r="L970" s="566"/>
      <c r="M970" s="566"/>
      <c r="N970" s="566"/>
      <c r="O970" s="566"/>
      <c r="P970" s="566"/>
      <c r="Q970" s="566"/>
      <c r="R970" s="566"/>
      <c r="S970" s="566"/>
      <c r="T970" s="566"/>
      <c r="U970" s="566"/>
      <c r="V970" s="566"/>
      <c r="W970" s="566"/>
      <c r="X970" s="566"/>
      <c r="Y970" s="566"/>
      <c r="Z970" s="566"/>
    </row>
    <row r="971" spans="1:26" x14ac:dyDescent="0.25">
      <c r="A971" s="566"/>
      <c r="B971" s="566"/>
      <c r="C971" s="566"/>
      <c r="D971" s="566"/>
      <c r="E971" s="566"/>
      <c r="F971" s="566"/>
      <c r="G971" s="566"/>
      <c r="H971" s="566"/>
      <c r="I971" s="566"/>
      <c r="J971" s="566"/>
      <c r="K971" s="566"/>
      <c r="L971" s="566"/>
      <c r="M971" s="566"/>
      <c r="N971" s="566"/>
      <c r="O971" s="566"/>
      <c r="P971" s="566"/>
      <c r="Q971" s="566"/>
      <c r="R971" s="566"/>
      <c r="S971" s="566"/>
      <c r="T971" s="566"/>
      <c r="U971" s="566"/>
      <c r="V971" s="566"/>
      <c r="W971" s="566"/>
      <c r="X971" s="566"/>
      <c r="Y971" s="566"/>
      <c r="Z971" s="566"/>
    </row>
    <row r="972" spans="1:26" x14ac:dyDescent="0.25">
      <c r="A972" s="566"/>
      <c r="B972" s="566"/>
      <c r="C972" s="566"/>
      <c r="D972" s="566"/>
      <c r="E972" s="566"/>
      <c r="F972" s="566"/>
      <c r="G972" s="566"/>
      <c r="H972" s="566"/>
      <c r="I972" s="566"/>
      <c r="J972" s="566"/>
      <c r="K972" s="566"/>
      <c r="L972" s="566"/>
      <c r="M972" s="566"/>
      <c r="N972" s="566"/>
      <c r="O972" s="566"/>
      <c r="P972" s="566"/>
      <c r="Q972" s="566"/>
      <c r="R972" s="566"/>
      <c r="S972" s="566"/>
      <c r="T972" s="566"/>
      <c r="U972" s="566"/>
      <c r="V972" s="566"/>
      <c r="W972" s="566"/>
      <c r="X972" s="566"/>
      <c r="Y972" s="566"/>
      <c r="Z972" s="566"/>
    </row>
    <row r="973" spans="1:26" x14ac:dyDescent="0.25">
      <c r="A973" s="566"/>
      <c r="B973" s="566"/>
      <c r="C973" s="566"/>
      <c r="D973" s="566"/>
      <c r="E973" s="566"/>
      <c r="F973" s="566"/>
      <c r="G973" s="566"/>
      <c r="H973" s="566"/>
      <c r="I973" s="566"/>
      <c r="J973" s="566"/>
      <c r="K973" s="566"/>
      <c r="L973" s="566"/>
      <c r="M973" s="566"/>
      <c r="N973" s="566"/>
      <c r="O973" s="566"/>
      <c r="P973" s="566"/>
      <c r="Q973" s="566"/>
      <c r="R973" s="566"/>
      <c r="S973" s="566"/>
      <c r="T973" s="566"/>
      <c r="U973" s="566"/>
      <c r="V973" s="566"/>
      <c r="W973" s="566"/>
      <c r="X973" s="566"/>
      <c r="Y973" s="566"/>
      <c r="Z973" s="566"/>
    </row>
    <row r="974" spans="1:26" x14ac:dyDescent="0.25">
      <c r="A974" s="566"/>
      <c r="B974" s="566"/>
      <c r="C974" s="566"/>
      <c r="D974" s="566"/>
      <c r="E974" s="566"/>
      <c r="F974" s="566"/>
      <c r="G974" s="566"/>
      <c r="H974" s="566"/>
      <c r="I974" s="566"/>
      <c r="J974" s="566"/>
      <c r="K974" s="566"/>
      <c r="L974" s="566"/>
      <c r="M974" s="566"/>
      <c r="N974" s="566"/>
      <c r="O974" s="566"/>
      <c r="P974" s="566"/>
      <c r="Q974" s="566"/>
      <c r="R974" s="566"/>
      <c r="S974" s="566"/>
      <c r="T974" s="566"/>
      <c r="U974" s="566"/>
      <c r="V974" s="566"/>
      <c r="W974" s="566"/>
      <c r="X974" s="566"/>
      <c r="Y974" s="566"/>
      <c r="Z974" s="566"/>
    </row>
    <row r="975" spans="1:26" x14ac:dyDescent="0.25">
      <c r="A975" s="566"/>
      <c r="B975" s="566"/>
      <c r="C975" s="566"/>
      <c r="D975" s="566"/>
      <c r="E975" s="566"/>
      <c r="F975" s="566"/>
      <c r="G975" s="566"/>
      <c r="H975" s="566"/>
      <c r="I975" s="566"/>
      <c r="J975" s="566"/>
      <c r="K975" s="566"/>
      <c r="L975" s="566"/>
      <c r="M975" s="566"/>
      <c r="N975" s="566"/>
      <c r="O975" s="566"/>
      <c r="P975" s="566"/>
      <c r="Q975" s="566"/>
      <c r="R975" s="566"/>
      <c r="S975" s="566"/>
      <c r="T975" s="566"/>
      <c r="U975" s="566"/>
      <c r="V975" s="566"/>
      <c r="W975" s="566"/>
      <c r="X975" s="566"/>
      <c r="Y975" s="566"/>
      <c r="Z975" s="566"/>
    </row>
    <row r="976" spans="1:26" x14ac:dyDescent="0.25">
      <c r="A976" s="566"/>
      <c r="B976" s="566"/>
      <c r="C976" s="566"/>
      <c r="D976" s="566"/>
      <c r="E976" s="566"/>
      <c r="F976" s="566"/>
      <c r="G976" s="566"/>
      <c r="H976" s="566"/>
      <c r="I976" s="566"/>
      <c r="J976" s="566"/>
      <c r="K976" s="566"/>
      <c r="L976" s="566"/>
      <c r="M976" s="566"/>
      <c r="N976" s="566"/>
      <c r="O976" s="566"/>
      <c r="P976" s="566"/>
      <c r="Q976" s="566"/>
      <c r="R976" s="566"/>
      <c r="S976" s="566"/>
      <c r="T976" s="566"/>
      <c r="U976" s="566"/>
      <c r="V976" s="566"/>
      <c r="W976" s="566"/>
      <c r="X976" s="566"/>
      <c r="Y976" s="566"/>
      <c r="Z976" s="566"/>
    </row>
    <row r="977" spans="1:26" x14ac:dyDescent="0.25">
      <c r="A977" s="566"/>
      <c r="B977" s="566"/>
      <c r="C977" s="566"/>
      <c r="D977" s="566"/>
      <c r="E977" s="566"/>
      <c r="F977" s="566"/>
      <c r="G977" s="566"/>
      <c r="H977" s="566"/>
      <c r="I977" s="566"/>
      <c r="J977" s="566"/>
      <c r="K977" s="566"/>
      <c r="L977" s="566"/>
      <c r="M977" s="566"/>
      <c r="N977" s="566"/>
      <c r="O977" s="566"/>
      <c r="P977" s="566"/>
      <c r="Q977" s="566"/>
      <c r="R977" s="566"/>
      <c r="S977" s="566"/>
      <c r="T977" s="566"/>
      <c r="U977" s="566"/>
      <c r="V977" s="566"/>
      <c r="W977" s="566"/>
      <c r="X977" s="566"/>
      <c r="Y977" s="566"/>
      <c r="Z977" s="566"/>
    </row>
    <row r="978" spans="1:26" x14ac:dyDescent="0.25">
      <c r="A978" s="566"/>
      <c r="B978" s="566"/>
      <c r="C978" s="566"/>
      <c r="D978" s="566"/>
      <c r="E978" s="566"/>
      <c r="F978" s="566"/>
      <c r="G978" s="566"/>
      <c r="H978" s="566"/>
      <c r="I978" s="566"/>
      <c r="J978" s="566"/>
      <c r="K978" s="566"/>
      <c r="L978" s="566"/>
      <c r="M978" s="566"/>
      <c r="N978" s="566"/>
      <c r="O978" s="566"/>
      <c r="P978" s="566"/>
      <c r="Q978" s="566"/>
      <c r="R978" s="566"/>
      <c r="S978" s="566"/>
      <c r="T978" s="566"/>
      <c r="U978" s="566"/>
      <c r="V978" s="566"/>
      <c r="W978" s="566"/>
      <c r="X978" s="566"/>
      <c r="Y978" s="566"/>
      <c r="Z978" s="566"/>
    </row>
    <row r="979" spans="1:26" x14ac:dyDescent="0.25">
      <c r="A979" s="566"/>
      <c r="B979" s="566"/>
      <c r="C979" s="566"/>
      <c r="D979" s="566"/>
      <c r="E979" s="566"/>
      <c r="F979" s="566"/>
      <c r="G979" s="566"/>
      <c r="H979" s="566"/>
      <c r="I979" s="566"/>
      <c r="J979" s="566"/>
      <c r="K979" s="566"/>
      <c r="L979" s="566"/>
      <c r="M979" s="566"/>
      <c r="N979" s="566"/>
      <c r="O979" s="566"/>
      <c r="P979" s="566"/>
      <c r="Q979" s="566"/>
      <c r="R979" s="566"/>
      <c r="S979" s="566"/>
      <c r="T979" s="566"/>
      <c r="U979" s="566"/>
      <c r="V979" s="566"/>
      <c r="W979" s="566"/>
      <c r="X979" s="566"/>
      <c r="Y979" s="566"/>
      <c r="Z979" s="566"/>
    </row>
    <row r="980" spans="1:26" x14ac:dyDescent="0.25">
      <c r="A980" s="566"/>
      <c r="B980" s="566"/>
      <c r="C980" s="566"/>
      <c r="D980" s="566"/>
      <c r="E980" s="566"/>
      <c r="F980" s="566"/>
      <c r="G980" s="566"/>
      <c r="H980" s="566"/>
      <c r="I980" s="566"/>
      <c r="J980" s="566"/>
      <c r="K980" s="566"/>
      <c r="L980" s="566"/>
      <c r="M980" s="566"/>
      <c r="N980" s="566"/>
      <c r="O980" s="566"/>
      <c r="P980" s="566"/>
      <c r="Q980" s="566"/>
      <c r="R980" s="566"/>
      <c r="S980" s="566"/>
      <c r="T980" s="566"/>
      <c r="U980" s="566"/>
      <c r="V980" s="566"/>
      <c r="W980" s="566"/>
      <c r="X980" s="566"/>
      <c r="Y980" s="566"/>
      <c r="Z980" s="566"/>
    </row>
    <row r="981" spans="1:26" x14ac:dyDescent="0.25">
      <c r="A981" s="566"/>
      <c r="B981" s="566"/>
      <c r="C981" s="566"/>
      <c r="D981" s="566"/>
      <c r="E981" s="566"/>
      <c r="F981" s="566"/>
      <c r="G981" s="566"/>
      <c r="H981" s="566"/>
      <c r="I981" s="566"/>
      <c r="J981" s="566"/>
      <c r="K981" s="566"/>
      <c r="L981" s="566"/>
      <c r="M981" s="566"/>
      <c r="N981" s="566"/>
      <c r="O981" s="566"/>
      <c r="P981" s="566"/>
      <c r="Q981" s="566"/>
      <c r="R981" s="566"/>
      <c r="S981" s="566"/>
      <c r="T981" s="566"/>
      <c r="U981" s="566"/>
      <c r="V981" s="566"/>
      <c r="W981" s="566"/>
      <c r="X981" s="566"/>
      <c r="Y981" s="566"/>
      <c r="Z981" s="566"/>
    </row>
    <row r="982" spans="1:26" x14ac:dyDescent="0.25">
      <c r="A982" s="566"/>
      <c r="B982" s="566"/>
      <c r="C982" s="566"/>
      <c r="D982" s="566"/>
      <c r="E982" s="566"/>
      <c r="F982" s="566"/>
      <c r="G982" s="566"/>
      <c r="H982" s="566"/>
      <c r="I982" s="566"/>
      <c r="J982" s="566"/>
      <c r="K982" s="566"/>
      <c r="L982" s="566"/>
      <c r="M982" s="566"/>
      <c r="N982" s="566"/>
      <c r="O982" s="566"/>
      <c r="P982" s="566"/>
      <c r="Q982" s="566"/>
      <c r="R982" s="566"/>
      <c r="S982" s="566"/>
      <c r="T982" s="566"/>
      <c r="U982" s="566"/>
      <c r="V982" s="566"/>
      <c r="W982" s="566"/>
      <c r="X982" s="566"/>
      <c r="Y982" s="566"/>
      <c r="Z982" s="566"/>
    </row>
    <row r="983" spans="1:26" x14ac:dyDescent="0.25">
      <c r="A983" s="566"/>
      <c r="B983" s="566"/>
      <c r="C983" s="566"/>
      <c r="D983" s="566"/>
      <c r="E983" s="566"/>
      <c r="F983" s="566"/>
      <c r="G983" s="566"/>
      <c r="H983" s="566"/>
      <c r="I983" s="566"/>
      <c r="J983" s="566"/>
      <c r="K983" s="566"/>
      <c r="L983" s="566"/>
      <c r="M983" s="566"/>
      <c r="N983" s="566"/>
      <c r="O983" s="566"/>
      <c r="P983" s="566"/>
      <c r="Q983" s="566"/>
      <c r="R983" s="566"/>
      <c r="S983" s="566"/>
      <c r="T983" s="566"/>
      <c r="U983" s="566"/>
      <c r="V983" s="566"/>
      <c r="W983" s="566"/>
      <c r="X983" s="566"/>
      <c r="Y983" s="566"/>
      <c r="Z983" s="566"/>
    </row>
    <row r="984" spans="1:26" x14ac:dyDescent="0.25">
      <c r="A984" s="566"/>
      <c r="B984" s="566"/>
      <c r="C984" s="566"/>
      <c r="D984" s="566"/>
      <c r="E984" s="566"/>
      <c r="F984" s="566"/>
      <c r="G984" s="566"/>
      <c r="H984" s="566"/>
      <c r="I984" s="566"/>
      <c r="J984" s="566"/>
      <c r="K984" s="566"/>
      <c r="L984" s="566"/>
      <c r="M984" s="566"/>
      <c r="N984" s="566"/>
      <c r="O984" s="566"/>
      <c r="P984" s="566"/>
      <c r="Q984" s="566"/>
      <c r="R984" s="566"/>
      <c r="S984" s="566"/>
      <c r="T984" s="566"/>
      <c r="U984" s="566"/>
      <c r="V984" s="566"/>
      <c r="W984" s="566"/>
      <c r="X984" s="566"/>
      <c r="Y984" s="566"/>
      <c r="Z984" s="566"/>
    </row>
    <row r="985" spans="1:26" x14ac:dyDescent="0.25">
      <c r="A985" s="566"/>
      <c r="B985" s="566"/>
      <c r="C985" s="566"/>
      <c r="D985" s="566"/>
      <c r="E985" s="566"/>
      <c r="F985" s="566"/>
      <c r="G985" s="566"/>
      <c r="H985" s="566"/>
      <c r="I985" s="566"/>
      <c r="J985" s="566"/>
      <c r="K985" s="566"/>
      <c r="L985" s="566"/>
      <c r="M985" s="566"/>
      <c r="N985" s="566"/>
      <c r="O985" s="566"/>
      <c r="P985" s="566"/>
      <c r="Q985" s="566"/>
      <c r="R985" s="566"/>
      <c r="S985" s="566"/>
      <c r="T985" s="566"/>
      <c r="U985" s="566"/>
      <c r="V985" s="566"/>
      <c r="W985" s="566"/>
      <c r="X985" s="566"/>
      <c r="Y985" s="566"/>
      <c r="Z985" s="566"/>
    </row>
    <row r="986" spans="1:26" x14ac:dyDescent="0.25">
      <c r="A986" s="566"/>
      <c r="B986" s="566"/>
      <c r="C986" s="566"/>
      <c r="D986" s="566"/>
      <c r="E986" s="566"/>
      <c r="F986" s="566"/>
      <c r="G986" s="566"/>
      <c r="H986" s="566"/>
      <c r="I986" s="566"/>
      <c r="J986" s="566"/>
      <c r="K986" s="566"/>
      <c r="L986" s="566"/>
      <c r="M986" s="566"/>
      <c r="N986" s="566"/>
      <c r="O986" s="566"/>
      <c r="P986" s="566"/>
      <c r="Q986" s="566"/>
      <c r="R986" s="566"/>
      <c r="S986" s="566"/>
      <c r="T986" s="566"/>
      <c r="U986" s="566"/>
      <c r="V986" s="566"/>
      <c r="W986" s="566"/>
      <c r="X986" s="566"/>
      <c r="Y986" s="566"/>
      <c r="Z986" s="566"/>
    </row>
    <row r="987" spans="1:26" x14ac:dyDescent="0.25">
      <c r="A987" s="566"/>
      <c r="B987" s="566"/>
      <c r="C987" s="566"/>
      <c r="D987" s="566"/>
      <c r="E987" s="566"/>
      <c r="F987" s="566"/>
      <c r="G987" s="566"/>
      <c r="H987" s="566"/>
      <c r="I987" s="566"/>
      <c r="J987" s="566"/>
      <c r="K987" s="566"/>
      <c r="L987" s="566"/>
      <c r="M987" s="566"/>
      <c r="N987" s="566"/>
      <c r="O987" s="566"/>
      <c r="P987" s="566"/>
      <c r="Q987" s="566"/>
      <c r="R987" s="566"/>
      <c r="S987" s="566"/>
      <c r="T987" s="566"/>
      <c r="U987" s="566"/>
      <c r="V987" s="566"/>
      <c r="W987" s="566"/>
      <c r="X987" s="566"/>
      <c r="Y987" s="566"/>
      <c r="Z987" s="566"/>
    </row>
    <row r="988" spans="1:26" x14ac:dyDescent="0.25">
      <c r="A988" s="566"/>
      <c r="B988" s="566"/>
      <c r="C988" s="566"/>
      <c r="D988" s="566"/>
      <c r="E988" s="566"/>
      <c r="F988" s="566"/>
      <c r="G988" s="566"/>
      <c r="H988" s="566"/>
      <c r="I988" s="566"/>
      <c r="J988" s="566"/>
      <c r="K988" s="566"/>
      <c r="L988" s="566"/>
      <c r="M988" s="566"/>
      <c r="N988" s="566"/>
      <c r="O988" s="566"/>
      <c r="P988" s="566"/>
      <c r="Q988" s="566"/>
      <c r="R988" s="566"/>
      <c r="S988" s="566"/>
      <c r="T988" s="566"/>
      <c r="U988" s="566"/>
      <c r="V988" s="566"/>
      <c r="W988" s="566"/>
      <c r="X988" s="566"/>
      <c r="Y988" s="566"/>
      <c r="Z988" s="566"/>
    </row>
    <row r="989" spans="1:26" x14ac:dyDescent="0.25">
      <c r="A989" s="566"/>
      <c r="B989" s="566"/>
      <c r="C989" s="566"/>
      <c r="D989" s="566"/>
      <c r="E989" s="566"/>
      <c r="F989" s="566"/>
      <c r="G989" s="566"/>
      <c r="H989" s="566"/>
      <c r="I989" s="566"/>
      <c r="J989" s="566"/>
      <c r="K989" s="566"/>
      <c r="L989" s="566"/>
      <c r="M989" s="566"/>
      <c r="N989" s="566"/>
      <c r="O989" s="566"/>
      <c r="P989" s="566"/>
      <c r="Q989" s="566"/>
      <c r="R989" s="566"/>
      <c r="S989" s="566"/>
      <c r="T989" s="566"/>
      <c r="U989" s="566"/>
      <c r="V989" s="566"/>
      <c r="W989" s="566"/>
      <c r="X989" s="566"/>
      <c r="Y989" s="566"/>
      <c r="Z989" s="566"/>
    </row>
    <row r="990" spans="1:26" x14ac:dyDescent="0.25">
      <c r="A990" s="566"/>
      <c r="B990" s="566"/>
      <c r="C990" s="566"/>
      <c r="D990" s="566"/>
      <c r="E990" s="566"/>
      <c r="F990" s="566"/>
      <c r="G990" s="566"/>
      <c r="H990" s="566"/>
      <c r="I990" s="566"/>
      <c r="J990" s="566"/>
      <c r="K990" s="566"/>
      <c r="L990" s="566"/>
      <c r="M990" s="566"/>
      <c r="N990" s="566"/>
      <c r="O990" s="566"/>
      <c r="P990" s="566"/>
      <c r="Q990" s="566"/>
      <c r="R990" s="566"/>
      <c r="S990" s="566"/>
      <c r="T990" s="566"/>
      <c r="U990" s="566"/>
      <c r="V990" s="566"/>
      <c r="W990" s="566"/>
      <c r="X990" s="566"/>
      <c r="Y990" s="566"/>
      <c r="Z990" s="566"/>
    </row>
    <row r="991" spans="1:26" x14ac:dyDescent="0.25">
      <c r="A991" s="566"/>
      <c r="B991" s="566"/>
      <c r="C991" s="566"/>
      <c r="D991" s="566"/>
      <c r="E991" s="566"/>
      <c r="F991" s="566"/>
      <c r="G991" s="566"/>
      <c r="H991" s="566"/>
      <c r="I991" s="566"/>
      <c r="J991" s="566"/>
      <c r="K991" s="566"/>
      <c r="L991" s="566"/>
      <c r="M991" s="566"/>
      <c r="N991" s="566"/>
      <c r="O991" s="566"/>
      <c r="P991" s="566"/>
      <c r="Q991" s="566"/>
      <c r="R991" s="566"/>
      <c r="S991" s="566"/>
      <c r="T991" s="566"/>
      <c r="U991" s="566"/>
      <c r="V991" s="566"/>
      <c r="W991" s="566"/>
      <c r="X991" s="566"/>
      <c r="Y991" s="566"/>
      <c r="Z991" s="566"/>
    </row>
    <row r="992" spans="1:26" x14ac:dyDescent="0.25">
      <c r="A992" s="566"/>
      <c r="B992" s="566"/>
      <c r="C992" s="566"/>
      <c r="D992" s="566"/>
      <c r="E992" s="566"/>
      <c r="F992" s="566"/>
      <c r="G992" s="566"/>
      <c r="H992" s="566"/>
      <c r="I992" s="566"/>
      <c r="J992" s="566"/>
      <c r="K992" s="566"/>
      <c r="L992" s="566"/>
      <c r="M992" s="566"/>
      <c r="N992" s="566"/>
      <c r="O992" s="566"/>
      <c r="P992" s="566"/>
      <c r="Q992" s="566"/>
      <c r="R992" s="566"/>
      <c r="S992" s="566"/>
      <c r="T992" s="566"/>
      <c r="U992" s="566"/>
      <c r="V992" s="566"/>
      <c r="W992" s="566"/>
      <c r="X992" s="566"/>
      <c r="Y992" s="566"/>
      <c r="Z992" s="566"/>
    </row>
    <row r="993" spans="1:26" x14ac:dyDescent="0.25">
      <c r="A993" s="566"/>
      <c r="B993" s="566"/>
      <c r="C993" s="566"/>
      <c r="D993" s="566"/>
      <c r="E993" s="566"/>
      <c r="F993" s="566"/>
      <c r="G993" s="566"/>
      <c r="H993" s="566"/>
      <c r="I993" s="566"/>
      <c r="J993" s="566"/>
      <c r="K993" s="566"/>
      <c r="L993" s="566"/>
      <c r="M993" s="566"/>
      <c r="N993" s="566"/>
      <c r="O993" s="566"/>
      <c r="P993" s="566"/>
      <c r="Q993" s="566"/>
      <c r="R993" s="566"/>
      <c r="S993" s="566"/>
      <c r="T993" s="566"/>
      <c r="U993" s="566"/>
      <c r="V993" s="566"/>
      <c r="W993" s="566"/>
      <c r="X993" s="566"/>
      <c r="Y993" s="566"/>
      <c r="Z993" s="566"/>
    </row>
    <row r="994" spans="1:26" x14ac:dyDescent="0.25">
      <c r="A994" s="566"/>
      <c r="B994" s="566"/>
      <c r="C994" s="566"/>
      <c r="D994" s="566"/>
      <c r="E994" s="566"/>
      <c r="F994" s="566"/>
      <c r="G994" s="566"/>
      <c r="H994" s="566"/>
      <c r="I994" s="566"/>
      <c r="J994" s="566"/>
      <c r="K994" s="566"/>
      <c r="L994" s="566"/>
      <c r="M994" s="566"/>
      <c r="N994" s="566"/>
      <c r="O994" s="566"/>
      <c r="P994" s="566"/>
      <c r="Q994" s="566"/>
      <c r="R994" s="566"/>
      <c r="S994" s="566"/>
      <c r="T994" s="566"/>
      <c r="U994" s="566"/>
      <c r="V994" s="566"/>
      <c r="W994" s="566"/>
      <c r="X994" s="566"/>
      <c r="Y994" s="566"/>
      <c r="Z994" s="566"/>
    </row>
    <row r="995" spans="1:26" x14ac:dyDescent="0.25">
      <c r="A995" s="566"/>
      <c r="B995" s="566"/>
      <c r="C995" s="566"/>
      <c r="D995" s="566"/>
      <c r="E995" s="566"/>
      <c r="F995" s="566"/>
      <c r="G995" s="566"/>
      <c r="H995" s="566"/>
      <c r="I995" s="566"/>
      <c r="J995" s="566"/>
      <c r="K995" s="566"/>
      <c r="L995" s="566"/>
      <c r="M995" s="566"/>
      <c r="N995" s="566"/>
      <c r="O995" s="566"/>
      <c r="P995" s="566"/>
      <c r="Q995" s="566"/>
      <c r="R995" s="566"/>
      <c r="S995" s="566"/>
      <c r="T995" s="566"/>
      <c r="U995" s="566"/>
      <c r="V995" s="566"/>
      <c r="W995" s="566"/>
      <c r="X995" s="566"/>
      <c r="Y995" s="566"/>
      <c r="Z995" s="566"/>
    </row>
    <row r="996" spans="1:26" x14ac:dyDescent="0.25">
      <c r="A996" s="566"/>
      <c r="B996" s="566"/>
      <c r="C996" s="566"/>
      <c r="D996" s="566"/>
      <c r="E996" s="566"/>
      <c r="F996" s="566"/>
      <c r="G996" s="566"/>
      <c r="H996" s="566"/>
      <c r="I996" s="566"/>
      <c r="J996" s="566"/>
      <c r="K996" s="566"/>
      <c r="L996" s="566"/>
      <c r="M996" s="566"/>
      <c r="N996" s="566"/>
      <c r="O996" s="566"/>
      <c r="P996" s="566"/>
      <c r="Q996" s="566"/>
      <c r="R996" s="566"/>
      <c r="S996" s="566"/>
      <c r="T996" s="566"/>
      <c r="U996" s="566"/>
      <c r="V996" s="566"/>
      <c r="W996" s="566"/>
      <c r="X996" s="566"/>
      <c r="Y996" s="566"/>
      <c r="Z996" s="566"/>
    </row>
    <row r="997" spans="1:26" x14ac:dyDescent="0.25">
      <c r="A997" s="566"/>
      <c r="B997" s="566"/>
      <c r="C997" s="566"/>
      <c r="D997" s="566"/>
      <c r="E997" s="566"/>
      <c r="F997" s="566"/>
      <c r="G997" s="566"/>
      <c r="H997" s="566"/>
      <c r="I997" s="566"/>
      <c r="J997" s="566"/>
      <c r="K997" s="566"/>
      <c r="L997" s="566"/>
      <c r="M997" s="566"/>
      <c r="N997" s="566"/>
      <c r="O997" s="566"/>
      <c r="P997" s="566"/>
      <c r="Q997" s="566"/>
      <c r="R997" s="566"/>
      <c r="S997" s="566"/>
      <c r="T997" s="566"/>
      <c r="U997" s="566"/>
      <c r="V997" s="566"/>
      <c r="W997" s="566"/>
      <c r="X997" s="566"/>
      <c r="Y997" s="566"/>
      <c r="Z997" s="566"/>
    </row>
    <row r="998" spans="1:26" x14ac:dyDescent="0.25">
      <c r="A998" s="566"/>
      <c r="B998" s="566"/>
      <c r="C998" s="566"/>
      <c r="D998" s="566"/>
      <c r="E998" s="566"/>
      <c r="F998" s="566"/>
      <c r="G998" s="566"/>
      <c r="H998" s="566"/>
      <c r="I998" s="566"/>
      <c r="J998" s="566"/>
      <c r="K998" s="566"/>
      <c r="L998" s="566"/>
      <c r="M998" s="566"/>
      <c r="N998" s="566"/>
      <c r="O998" s="566"/>
      <c r="P998" s="566"/>
      <c r="Q998" s="566"/>
      <c r="R998" s="566"/>
      <c r="S998" s="566"/>
      <c r="T998" s="566"/>
      <c r="U998" s="566"/>
      <c r="V998" s="566"/>
      <c r="W998" s="566"/>
      <c r="X998" s="566"/>
      <c r="Y998" s="566"/>
      <c r="Z998" s="566"/>
    </row>
    <row r="999" spans="1:26" x14ac:dyDescent="0.25">
      <c r="A999" s="566"/>
      <c r="B999" s="566"/>
      <c r="C999" s="566"/>
      <c r="D999" s="566"/>
      <c r="E999" s="566"/>
      <c r="F999" s="566"/>
      <c r="G999" s="566"/>
      <c r="H999" s="566"/>
      <c r="I999" s="566"/>
      <c r="J999" s="566"/>
      <c r="K999" s="566"/>
      <c r="L999" s="566"/>
      <c r="M999" s="566"/>
      <c r="N999" s="566"/>
      <c r="O999" s="566"/>
      <c r="P999" s="566"/>
      <c r="Q999" s="566"/>
      <c r="R999" s="566"/>
      <c r="S999" s="566"/>
      <c r="T999" s="566"/>
      <c r="U999" s="566"/>
      <c r="V999" s="566"/>
      <c r="W999" s="566"/>
      <c r="X999" s="566"/>
      <c r="Y999" s="566"/>
      <c r="Z999" s="566"/>
    </row>
    <row r="1000" spans="1:26" x14ac:dyDescent="0.25">
      <c r="A1000" s="566"/>
      <c r="B1000" s="566"/>
      <c r="C1000" s="566"/>
      <c r="D1000" s="566"/>
      <c r="E1000" s="566"/>
      <c r="F1000" s="566"/>
      <c r="G1000" s="566"/>
      <c r="H1000" s="566"/>
      <c r="I1000" s="566"/>
      <c r="J1000" s="566"/>
      <c r="K1000" s="566"/>
      <c r="L1000" s="566"/>
      <c r="M1000" s="566"/>
      <c r="N1000" s="566"/>
      <c r="O1000" s="566"/>
      <c r="P1000" s="566"/>
      <c r="Q1000" s="566"/>
      <c r="R1000" s="566"/>
      <c r="S1000" s="566"/>
      <c r="T1000" s="566"/>
      <c r="U1000" s="566"/>
      <c r="V1000" s="566"/>
      <c r="W1000" s="566"/>
      <c r="X1000" s="566"/>
      <c r="Y1000" s="566"/>
      <c r="Z1000" s="566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4"/>
  <dimension ref="A1:AD1000"/>
  <sheetViews>
    <sheetView workbookViewId="0">
      <selection activeCell="B61" sqref="B61:Y61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6.42578125" bestFit="1" customWidth="1"/>
    <col min="4" max="5" width="9.5703125" bestFit="1" customWidth="1"/>
    <col min="6" max="6" width="8.5703125" bestFit="1" customWidth="1"/>
    <col min="7" max="7" width="5.28515625" bestFit="1" customWidth="1"/>
    <col min="8" max="8" width="7.42578125" bestFit="1" customWidth="1"/>
    <col min="9" max="9" width="9.7109375" bestFit="1" customWidth="1"/>
    <col min="10" max="11" width="9.5703125" bestFit="1" customWidth="1"/>
    <col min="12" max="13" width="3.5703125" bestFit="1" customWidth="1"/>
    <col min="14" max="14" width="9.28515625" bestFit="1" customWidth="1"/>
    <col min="15" max="16" width="9.5703125" bestFit="1" customWidth="1"/>
    <col min="17" max="17" width="9.28515625" bestFit="1" customWidth="1"/>
    <col min="18" max="18" width="5.28515625" bestFit="1" customWidth="1"/>
    <col min="19" max="19" width="7.42578125" bestFit="1" customWidth="1"/>
    <col min="20" max="20" width="9.7109375" bestFit="1" customWidth="1"/>
    <col min="21" max="22" width="9.5703125" bestFit="1" customWidth="1"/>
    <col min="23" max="24" width="3.5703125" bestFit="1" customWidth="1"/>
    <col min="25" max="25" width="9.28515625" bestFit="1" customWidth="1"/>
  </cols>
  <sheetData>
    <row r="1" spans="1:3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</row>
    <row r="2" spans="1:30" x14ac:dyDescent="0.25">
      <c r="C2" t="s">
        <v>430</v>
      </c>
      <c r="D2" t="s">
        <v>323</v>
      </c>
      <c r="E2" t="s">
        <v>321</v>
      </c>
      <c r="F2" t="s">
        <v>429</v>
      </c>
      <c r="G2" t="s">
        <v>424</v>
      </c>
      <c r="H2" t="s">
        <v>423</v>
      </c>
      <c r="L2" t="s">
        <v>419</v>
      </c>
      <c r="M2" t="s">
        <v>418</v>
      </c>
      <c r="N2" t="s">
        <v>417</v>
      </c>
      <c r="O2" t="s">
        <v>323</v>
      </c>
      <c r="P2" t="s">
        <v>321</v>
      </c>
      <c r="Q2" t="s">
        <v>429</v>
      </c>
      <c r="R2" t="s">
        <v>424</v>
      </c>
      <c r="S2" t="s">
        <v>423</v>
      </c>
      <c r="U2" s="540"/>
      <c r="W2" t="s">
        <v>419</v>
      </c>
      <c r="X2" t="s">
        <v>418</v>
      </c>
      <c r="Y2" t="s">
        <v>417</v>
      </c>
    </row>
    <row r="3" spans="1:30" x14ac:dyDescent="0.25">
      <c r="C3" t="s">
        <v>428</v>
      </c>
      <c r="D3" t="s">
        <v>427</v>
      </c>
      <c r="E3" t="s">
        <v>426</v>
      </c>
      <c r="F3" t="s">
        <v>425</v>
      </c>
      <c r="G3" t="s">
        <v>424</v>
      </c>
      <c r="H3" t="s">
        <v>423</v>
      </c>
      <c r="I3" t="s">
        <v>422</v>
      </c>
      <c r="J3" t="s">
        <v>421</v>
      </c>
      <c r="K3" t="s">
        <v>420</v>
      </c>
      <c r="L3" t="s">
        <v>419</v>
      </c>
      <c r="M3" t="s">
        <v>418</v>
      </c>
      <c r="N3" t="s">
        <v>417</v>
      </c>
      <c r="O3" t="s">
        <v>427</v>
      </c>
      <c r="P3" t="s">
        <v>426</v>
      </c>
      <c r="Q3" t="s">
        <v>425</v>
      </c>
      <c r="R3" t="s">
        <v>424</v>
      </c>
      <c r="S3" t="s">
        <v>423</v>
      </c>
      <c r="T3" t="s">
        <v>422</v>
      </c>
      <c r="U3" t="s">
        <v>421</v>
      </c>
      <c r="V3" t="s">
        <v>420</v>
      </c>
      <c r="W3" t="s">
        <v>419</v>
      </c>
      <c r="X3" t="s">
        <v>418</v>
      </c>
      <c r="Y3" t="s">
        <v>417</v>
      </c>
    </row>
    <row r="4" spans="1:30" x14ac:dyDescent="0.25">
      <c r="A4" t="s">
        <v>416</v>
      </c>
      <c r="B4" t="s">
        <v>415</v>
      </c>
      <c r="C4" t="s">
        <v>414</v>
      </c>
      <c r="D4" s="1197" t="s">
        <v>413</v>
      </c>
      <c r="E4" s="1197"/>
      <c r="F4" s="1197"/>
      <c r="G4" s="1197"/>
      <c r="H4" s="1197"/>
      <c r="I4" s="1197"/>
      <c r="J4" s="1197"/>
      <c r="K4" s="1197"/>
      <c r="L4" s="1197"/>
      <c r="M4" s="1197"/>
      <c r="N4" s="1197"/>
      <c r="O4" s="1197" t="s">
        <v>412</v>
      </c>
      <c r="P4" s="1197"/>
      <c r="Q4" s="1197"/>
      <c r="R4" s="1197"/>
      <c r="S4" s="1197"/>
      <c r="T4" s="1197"/>
      <c r="U4" s="1197"/>
      <c r="V4" s="1197"/>
      <c r="W4" s="1197"/>
      <c r="X4" s="1197"/>
      <c r="Y4" s="1197"/>
    </row>
    <row r="5" spans="1:30" x14ac:dyDescent="0.25">
      <c r="A5" s="570">
        <v>1</v>
      </c>
      <c r="B5" s="570">
        <v>0</v>
      </c>
      <c r="C5" s="570">
        <v>1</v>
      </c>
      <c r="D5" s="567">
        <v>5.2699999999999997E-2</v>
      </c>
      <c r="E5" s="567">
        <v>2.2700000000000001E-2</v>
      </c>
      <c r="F5" s="567">
        <v>9.5500000000000002E-2</v>
      </c>
      <c r="G5" s="570">
        <v>0</v>
      </c>
      <c r="H5" s="570">
        <v>0</v>
      </c>
      <c r="I5" s="567"/>
      <c r="J5" s="567"/>
      <c r="K5" s="567"/>
      <c r="L5" s="568">
        <v>0</v>
      </c>
      <c r="M5" s="568">
        <v>0</v>
      </c>
      <c r="N5" s="567">
        <v>1</v>
      </c>
      <c r="O5" s="567">
        <v>5.2699999999999997E-2</v>
      </c>
      <c r="P5" s="567">
        <v>2.2700000000000001E-2</v>
      </c>
      <c r="Q5" s="567">
        <v>-2.9438</v>
      </c>
      <c r="R5" s="570">
        <v>0</v>
      </c>
      <c r="S5" s="570">
        <v>0</v>
      </c>
      <c r="T5" s="567"/>
      <c r="U5" s="567"/>
      <c r="V5" s="567"/>
      <c r="W5" s="568">
        <v>0</v>
      </c>
      <c r="X5" s="568">
        <v>0</v>
      </c>
      <c r="Y5" s="567">
        <v>1</v>
      </c>
    </row>
    <row r="6" spans="1:30" x14ac:dyDescent="0.25">
      <c r="A6" s="570">
        <v>2</v>
      </c>
      <c r="B6" s="570">
        <v>0</v>
      </c>
      <c r="C6" s="570">
        <v>0</v>
      </c>
      <c r="D6" s="567">
        <v>60.691335000000002</v>
      </c>
      <c r="E6" s="567">
        <v>1.7912320000000002</v>
      </c>
      <c r="F6" s="567">
        <v>0.62280000000000002</v>
      </c>
      <c r="G6" s="570">
        <v>0</v>
      </c>
      <c r="H6" s="570">
        <v>0</v>
      </c>
      <c r="I6" s="567"/>
      <c r="J6" s="567"/>
      <c r="K6" s="567"/>
      <c r="L6" s="568">
        <v>0</v>
      </c>
      <c r="M6" s="568">
        <v>0</v>
      </c>
      <c r="N6" s="567">
        <v>1</v>
      </c>
      <c r="O6" s="567">
        <v>60.67165</v>
      </c>
      <c r="P6" s="567">
        <v>1.7912320000000002</v>
      </c>
      <c r="Q6" s="567">
        <v>-2.4165000000000001</v>
      </c>
      <c r="R6" s="570">
        <v>0</v>
      </c>
      <c r="S6" s="570">
        <v>0</v>
      </c>
      <c r="T6" s="567"/>
      <c r="U6" s="567"/>
      <c r="V6" s="567"/>
      <c r="W6" s="568">
        <v>0</v>
      </c>
      <c r="X6" s="568">
        <v>0</v>
      </c>
      <c r="Y6" s="567">
        <v>1</v>
      </c>
    </row>
    <row r="7" spans="1:30" x14ac:dyDescent="0.25">
      <c r="A7" s="570">
        <v>3</v>
      </c>
      <c r="B7" s="570">
        <v>1</v>
      </c>
      <c r="C7" s="570">
        <v>-1</v>
      </c>
      <c r="D7" s="567">
        <v>60.691335000000002</v>
      </c>
      <c r="E7" s="567">
        <v>1.7912320000000002</v>
      </c>
      <c r="F7" s="567">
        <v>0.111</v>
      </c>
      <c r="G7" s="570">
        <v>0</v>
      </c>
      <c r="H7" s="570">
        <v>60</v>
      </c>
      <c r="I7" s="567"/>
      <c r="J7" s="567"/>
      <c r="K7" s="567"/>
      <c r="L7" s="568">
        <v>0</v>
      </c>
      <c r="M7" s="568">
        <v>0</v>
      </c>
      <c r="N7" s="567">
        <v>1</v>
      </c>
      <c r="O7" s="567">
        <v>60.67165</v>
      </c>
      <c r="P7" s="567">
        <v>1.7912320000000002</v>
      </c>
      <c r="Q7" s="567">
        <v>-2.9283000000000001</v>
      </c>
      <c r="R7" s="570">
        <v>0</v>
      </c>
      <c r="S7" s="570">
        <v>60</v>
      </c>
      <c r="T7" s="567"/>
      <c r="U7" s="567"/>
      <c r="V7" s="567"/>
      <c r="W7" s="568">
        <v>0</v>
      </c>
      <c r="X7" s="568">
        <v>0</v>
      </c>
      <c r="Y7" s="567">
        <v>1</v>
      </c>
    </row>
    <row r="8" spans="1:30" x14ac:dyDescent="0.25">
      <c r="A8" s="570">
        <v>4</v>
      </c>
      <c r="B8" s="570">
        <v>1</v>
      </c>
      <c r="C8" s="570">
        <v>-1</v>
      </c>
      <c r="D8" s="567">
        <v>60.673734000000003</v>
      </c>
      <c r="E8" s="567">
        <v>1.8503319999999999</v>
      </c>
      <c r="F8" s="567">
        <v>0.111</v>
      </c>
      <c r="G8" s="570">
        <v>0</v>
      </c>
      <c r="H8" s="570">
        <v>60</v>
      </c>
      <c r="I8" s="567"/>
      <c r="J8" s="567"/>
      <c r="K8" s="567"/>
      <c r="L8" s="568">
        <v>0</v>
      </c>
      <c r="M8" s="568">
        <v>0</v>
      </c>
      <c r="N8" s="567">
        <v>1</v>
      </c>
      <c r="O8" s="567">
        <v>60.67165</v>
      </c>
      <c r="P8" s="567">
        <v>1.7912320000000002</v>
      </c>
      <c r="Q8" s="567">
        <v>-2.9283000000000001</v>
      </c>
      <c r="R8" s="570">
        <v>0</v>
      </c>
      <c r="S8" s="570">
        <v>60</v>
      </c>
      <c r="T8" s="567"/>
      <c r="U8" s="567"/>
      <c r="V8" s="567"/>
      <c r="W8" s="568">
        <v>0</v>
      </c>
      <c r="X8" s="568">
        <v>0</v>
      </c>
      <c r="Y8" s="567">
        <v>1</v>
      </c>
    </row>
    <row r="9" spans="1:30" x14ac:dyDescent="0.25">
      <c r="A9" s="570">
        <v>5</v>
      </c>
      <c r="B9" s="570">
        <v>1</v>
      </c>
      <c r="C9" s="570">
        <v>2</v>
      </c>
      <c r="D9" s="567">
        <v>60.673436000000002</v>
      </c>
      <c r="E9" s="567">
        <v>1.9290320000000003</v>
      </c>
      <c r="F9" s="567">
        <v>0.111</v>
      </c>
      <c r="G9" s="570">
        <v>0</v>
      </c>
      <c r="H9" s="570">
        <v>60</v>
      </c>
      <c r="I9" s="567"/>
      <c r="J9" s="567"/>
      <c r="K9" s="567"/>
      <c r="L9" s="568">
        <v>0</v>
      </c>
      <c r="M9" s="568">
        <v>0</v>
      </c>
      <c r="N9" s="567">
        <v>1</v>
      </c>
      <c r="O9" s="567">
        <v>60.671450999999998</v>
      </c>
      <c r="P9" s="567">
        <v>1.8699320000000001</v>
      </c>
      <c r="Q9" s="567">
        <v>-2.9283000000000001</v>
      </c>
      <c r="R9" s="570">
        <v>0</v>
      </c>
      <c r="S9" s="570">
        <v>60</v>
      </c>
      <c r="T9" s="567"/>
      <c r="U9" s="567"/>
      <c r="V9" s="567"/>
      <c r="W9" s="568">
        <v>0</v>
      </c>
      <c r="X9" s="568">
        <v>0</v>
      </c>
      <c r="Y9" s="567">
        <v>1</v>
      </c>
    </row>
    <row r="10" spans="1:30" x14ac:dyDescent="0.25">
      <c r="A10" s="570">
        <v>6</v>
      </c>
      <c r="B10" s="570">
        <v>1</v>
      </c>
      <c r="C10" s="570">
        <v>1</v>
      </c>
      <c r="D10" s="567">
        <v>60.659497000000002</v>
      </c>
      <c r="E10" s="567">
        <v>5.0668319999999998</v>
      </c>
      <c r="F10" s="567">
        <v>0.111</v>
      </c>
      <c r="G10" s="570">
        <v>0</v>
      </c>
      <c r="H10" s="570">
        <v>60</v>
      </c>
      <c r="I10" s="567"/>
      <c r="J10" s="567"/>
      <c r="K10" s="567"/>
      <c r="L10" s="568">
        <v>0</v>
      </c>
      <c r="M10" s="568">
        <v>0</v>
      </c>
      <c r="N10" s="567">
        <v>1</v>
      </c>
      <c r="O10" s="567">
        <v>60.659477000000003</v>
      </c>
      <c r="P10" s="567">
        <v>5.5512320000000006</v>
      </c>
      <c r="Q10" s="567">
        <v>-2.9283000000000001</v>
      </c>
      <c r="R10" s="570">
        <v>0</v>
      </c>
      <c r="S10" s="570">
        <v>60</v>
      </c>
      <c r="T10" s="567"/>
      <c r="U10" s="567"/>
      <c r="V10" s="567"/>
      <c r="W10" s="568">
        <v>0</v>
      </c>
      <c r="X10" s="568">
        <v>0</v>
      </c>
      <c r="Y10" s="567">
        <v>1</v>
      </c>
    </row>
    <row r="11" spans="1:30" x14ac:dyDescent="0.25">
      <c r="A11" s="570">
        <v>7</v>
      </c>
      <c r="B11" s="570">
        <v>0</v>
      </c>
      <c r="C11" s="570">
        <v>1</v>
      </c>
      <c r="D11" s="567">
        <v>60.659398000000003</v>
      </c>
      <c r="E11" s="567">
        <v>5.0708320000000002</v>
      </c>
      <c r="F11" s="567">
        <v>0.111</v>
      </c>
      <c r="G11" s="570">
        <v>0</v>
      </c>
      <c r="H11" s="570">
        <v>0</v>
      </c>
      <c r="I11" s="567"/>
      <c r="J11" s="567"/>
      <c r="K11" s="567"/>
      <c r="L11" s="568">
        <v>0</v>
      </c>
      <c r="M11" s="568">
        <v>0</v>
      </c>
      <c r="N11" s="567">
        <v>1</v>
      </c>
      <c r="O11" s="567">
        <v>60.659477000000003</v>
      </c>
      <c r="P11" s="567">
        <v>5.5551320000000004</v>
      </c>
      <c r="Q11" s="567">
        <v>-2.9283000000000001</v>
      </c>
      <c r="R11" s="570">
        <v>0</v>
      </c>
      <c r="S11" s="570">
        <v>0</v>
      </c>
      <c r="T11" s="567"/>
      <c r="U11" s="567"/>
      <c r="V11" s="567"/>
      <c r="W11" s="568">
        <v>0</v>
      </c>
      <c r="X11" s="568">
        <v>0</v>
      </c>
      <c r="Y11" s="567">
        <v>1</v>
      </c>
    </row>
    <row r="12" spans="1:30" x14ac:dyDescent="0.25">
      <c r="A12" s="570">
        <v>8</v>
      </c>
      <c r="B12" s="570">
        <v>0</v>
      </c>
      <c r="C12" s="570">
        <v>0</v>
      </c>
      <c r="D12" s="567">
        <v>60.659398000000003</v>
      </c>
      <c r="E12" s="567">
        <v>5.0708320000000002</v>
      </c>
      <c r="F12" s="567">
        <v>0.62280000000000002</v>
      </c>
      <c r="G12" s="570">
        <v>0</v>
      </c>
      <c r="H12" s="570">
        <v>0</v>
      </c>
      <c r="I12" s="567"/>
      <c r="J12" s="567"/>
      <c r="K12" s="567"/>
      <c r="L12" s="568">
        <v>0</v>
      </c>
      <c r="M12" s="568">
        <v>0</v>
      </c>
      <c r="N12" s="567">
        <v>1</v>
      </c>
      <c r="O12" s="567">
        <v>60.659477000000003</v>
      </c>
      <c r="P12" s="567">
        <v>5.5551320000000004</v>
      </c>
      <c r="Q12" s="567">
        <v>-2.4165000000000001</v>
      </c>
      <c r="R12" s="570">
        <v>0</v>
      </c>
      <c r="S12" s="570">
        <v>0</v>
      </c>
      <c r="T12" s="567"/>
      <c r="U12" s="567"/>
      <c r="V12" s="567"/>
      <c r="W12" s="568">
        <v>0</v>
      </c>
      <c r="X12" s="568">
        <v>0</v>
      </c>
      <c r="Y12" s="567">
        <v>1</v>
      </c>
    </row>
    <row r="13" spans="1:30" x14ac:dyDescent="0.25">
      <c r="A13" s="570">
        <v>9</v>
      </c>
      <c r="B13" s="570">
        <v>0</v>
      </c>
      <c r="C13" s="570">
        <v>0</v>
      </c>
      <c r="D13" s="567">
        <v>60.661396999999994</v>
      </c>
      <c r="E13" s="567">
        <v>8.274832</v>
      </c>
      <c r="F13" s="567">
        <v>0.62860000000000005</v>
      </c>
      <c r="G13" s="570">
        <v>0</v>
      </c>
      <c r="H13" s="570">
        <v>0</v>
      </c>
      <c r="I13" s="567"/>
      <c r="J13" s="567"/>
      <c r="K13" s="567"/>
      <c r="L13" s="568">
        <v>0</v>
      </c>
      <c r="M13" s="568">
        <v>0</v>
      </c>
      <c r="N13" s="567">
        <v>1</v>
      </c>
      <c r="O13" s="567">
        <v>60.661474999999996</v>
      </c>
      <c r="P13" s="567">
        <v>8.759231999999999</v>
      </c>
      <c r="Q13" s="567">
        <v>-2.4106999999999998</v>
      </c>
      <c r="R13" s="570">
        <v>0</v>
      </c>
      <c r="S13" s="570">
        <v>0</v>
      </c>
      <c r="T13" s="567"/>
      <c r="U13" s="567"/>
      <c r="V13" s="567"/>
      <c r="W13" s="568">
        <v>0</v>
      </c>
      <c r="X13" s="568">
        <v>0</v>
      </c>
      <c r="Y13" s="567">
        <v>1</v>
      </c>
    </row>
    <row r="14" spans="1:30" x14ac:dyDescent="0.25">
      <c r="A14" s="570">
        <v>10</v>
      </c>
      <c r="B14" s="570">
        <v>0</v>
      </c>
      <c r="C14" s="570">
        <v>0</v>
      </c>
      <c r="D14" s="567">
        <v>52.281518999999996</v>
      </c>
      <c r="E14" s="567">
        <v>16.129231999999998</v>
      </c>
      <c r="F14" s="567">
        <v>0.51659999999999995</v>
      </c>
      <c r="G14" s="570">
        <v>0</v>
      </c>
      <c r="H14" s="570">
        <v>0</v>
      </c>
      <c r="I14" s="567"/>
      <c r="J14" s="567"/>
      <c r="K14" s="567"/>
      <c r="L14" s="568">
        <v>0</v>
      </c>
      <c r="M14" s="568">
        <v>0</v>
      </c>
      <c r="N14" s="567">
        <v>1</v>
      </c>
      <c r="O14" s="567">
        <v>52.281519000000003</v>
      </c>
      <c r="P14" s="567">
        <v>15.864032999999999</v>
      </c>
      <c r="Q14" s="567">
        <v>-2.5346000000000002</v>
      </c>
      <c r="R14" s="570">
        <v>0</v>
      </c>
      <c r="S14" s="570">
        <v>0</v>
      </c>
      <c r="T14" s="567"/>
      <c r="U14" s="567"/>
      <c r="V14" s="567"/>
      <c r="W14" s="568">
        <v>0</v>
      </c>
      <c r="X14" s="568">
        <v>0</v>
      </c>
      <c r="Y14" s="567">
        <v>1</v>
      </c>
    </row>
    <row r="15" spans="1:30" x14ac:dyDescent="0.25">
      <c r="A15" s="570">
        <v>11</v>
      </c>
      <c r="B15" s="570">
        <v>1</v>
      </c>
      <c r="C15" s="570">
        <v>-1</v>
      </c>
      <c r="D15" s="567">
        <v>52.281518999999996</v>
      </c>
      <c r="E15" s="567">
        <v>16.129231999999998</v>
      </c>
      <c r="F15" s="567">
        <v>4.7999999999999996E-3</v>
      </c>
      <c r="G15" s="570">
        <v>0</v>
      </c>
      <c r="H15" s="570">
        <v>60</v>
      </c>
      <c r="I15" s="567"/>
      <c r="J15" s="567"/>
      <c r="K15" s="567"/>
      <c r="L15" s="568">
        <v>0</v>
      </c>
      <c r="M15" s="568">
        <v>0</v>
      </c>
      <c r="N15" s="567">
        <v>1</v>
      </c>
      <c r="O15" s="567">
        <v>52.281519000000003</v>
      </c>
      <c r="P15" s="567">
        <v>15.864032999999999</v>
      </c>
      <c r="Q15" s="567">
        <v>-3.0464000000000002</v>
      </c>
      <c r="R15" s="570">
        <v>0</v>
      </c>
      <c r="S15" s="570">
        <v>60</v>
      </c>
      <c r="T15" s="567"/>
      <c r="U15" s="567"/>
      <c r="V15" s="567"/>
      <c r="W15" s="568">
        <v>0</v>
      </c>
      <c r="X15" s="568">
        <v>0</v>
      </c>
      <c r="Y15" s="567">
        <v>1</v>
      </c>
    </row>
    <row r="16" spans="1:30" x14ac:dyDescent="0.25">
      <c r="A16" s="570">
        <v>12</v>
      </c>
      <c r="B16" s="570">
        <v>1</v>
      </c>
      <c r="C16" s="570">
        <v>2</v>
      </c>
      <c r="D16" s="567">
        <v>52.439019999999999</v>
      </c>
      <c r="E16" s="567">
        <v>16.129231999999998</v>
      </c>
      <c r="F16" s="567">
        <v>4.7999999999999996E-3</v>
      </c>
      <c r="G16" s="570">
        <v>0</v>
      </c>
      <c r="H16" s="570">
        <v>60</v>
      </c>
      <c r="I16" s="567"/>
      <c r="J16" s="567"/>
      <c r="K16" s="567"/>
      <c r="L16" s="568">
        <v>0</v>
      </c>
      <c r="M16" s="568">
        <v>0</v>
      </c>
      <c r="N16" s="567">
        <v>1</v>
      </c>
      <c r="O16" s="567">
        <v>52.439019999999999</v>
      </c>
      <c r="P16" s="567">
        <v>15.864033000000001</v>
      </c>
      <c r="Q16" s="567">
        <v>-3.0464000000000002</v>
      </c>
      <c r="R16" s="570">
        <v>0</v>
      </c>
      <c r="S16" s="570">
        <v>60</v>
      </c>
      <c r="T16" s="567"/>
      <c r="U16" s="567"/>
      <c r="V16" s="567"/>
      <c r="W16" s="568">
        <v>0</v>
      </c>
      <c r="X16" s="568">
        <v>0</v>
      </c>
      <c r="Y16" s="567">
        <v>1</v>
      </c>
    </row>
    <row r="17" spans="1:25" x14ac:dyDescent="0.25">
      <c r="A17" s="570">
        <v>13</v>
      </c>
      <c r="B17" s="570">
        <v>1</v>
      </c>
      <c r="C17" s="570">
        <v>2</v>
      </c>
      <c r="D17" s="567">
        <v>54.08464</v>
      </c>
      <c r="E17" s="567">
        <v>16.099232000000001</v>
      </c>
      <c r="F17" s="567">
        <v>4.7999999999999996E-3</v>
      </c>
      <c r="G17" s="570">
        <v>0</v>
      </c>
      <c r="H17" s="570">
        <v>40</v>
      </c>
      <c r="I17" s="567"/>
      <c r="J17" s="567"/>
      <c r="K17" s="567"/>
      <c r="L17" s="568">
        <v>0</v>
      </c>
      <c r="M17" s="568">
        <v>0</v>
      </c>
      <c r="N17" s="567">
        <v>1</v>
      </c>
      <c r="O17" s="567">
        <v>54.08464</v>
      </c>
      <c r="P17" s="567">
        <v>15.864033000000001</v>
      </c>
      <c r="Q17" s="567">
        <v>-3.0464000000000002</v>
      </c>
      <c r="R17" s="570">
        <v>0</v>
      </c>
      <c r="S17" s="570">
        <v>40</v>
      </c>
      <c r="T17" s="567"/>
      <c r="U17" s="567"/>
      <c r="V17" s="567"/>
      <c r="W17" s="568">
        <v>0</v>
      </c>
      <c r="X17" s="568">
        <v>0</v>
      </c>
      <c r="Y17" s="567">
        <v>1</v>
      </c>
    </row>
    <row r="18" spans="1:25" x14ac:dyDescent="0.25">
      <c r="A18" s="570">
        <v>14</v>
      </c>
      <c r="B18" s="570">
        <v>1</v>
      </c>
      <c r="C18" s="570">
        <v>2</v>
      </c>
      <c r="D18" s="567">
        <v>54.08464</v>
      </c>
      <c r="E18" s="567">
        <v>16.474254999999999</v>
      </c>
      <c r="F18" s="567">
        <v>4.7999999999999996E-3</v>
      </c>
      <c r="G18" s="570">
        <v>1</v>
      </c>
      <c r="H18" s="570">
        <v>40</v>
      </c>
      <c r="I18" s="567">
        <v>54.124437999999998</v>
      </c>
      <c r="J18" s="567">
        <v>16.474653</v>
      </c>
      <c r="K18" s="567">
        <v>4.7999999999999996E-3</v>
      </c>
      <c r="L18" s="568">
        <v>0</v>
      </c>
      <c r="M18" s="568">
        <v>0</v>
      </c>
      <c r="N18" s="567">
        <v>-1</v>
      </c>
      <c r="O18" s="567">
        <v>54.084842000000002</v>
      </c>
      <c r="P18" s="567">
        <v>15.906641999999998</v>
      </c>
      <c r="Q18" s="567">
        <v>-3.0464000000000002</v>
      </c>
      <c r="R18" s="570">
        <v>1</v>
      </c>
      <c r="S18" s="570">
        <v>40</v>
      </c>
      <c r="T18" s="567">
        <v>54.124639999999999</v>
      </c>
      <c r="U18" s="567">
        <v>15.906942000000001</v>
      </c>
      <c r="V18" s="567">
        <v>-3.0464000000000002</v>
      </c>
      <c r="W18" s="568">
        <v>0</v>
      </c>
      <c r="X18" s="568">
        <v>0</v>
      </c>
      <c r="Y18" s="567">
        <v>-1</v>
      </c>
    </row>
    <row r="19" spans="1:25" x14ac:dyDescent="0.25">
      <c r="A19" s="570">
        <v>15</v>
      </c>
      <c r="B19" s="570">
        <v>1</v>
      </c>
      <c r="C19" s="570">
        <v>2</v>
      </c>
      <c r="D19" s="567">
        <v>54.124041999999996</v>
      </c>
      <c r="E19" s="567">
        <v>16.514254000000001</v>
      </c>
      <c r="F19" s="567">
        <v>4.7999999999999996E-3</v>
      </c>
      <c r="G19" s="570">
        <v>0</v>
      </c>
      <c r="H19" s="570">
        <v>40</v>
      </c>
      <c r="I19" s="567"/>
      <c r="J19" s="567"/>
      <c r="K19" s="567"/>
      <c r="L19" s="568">
        <v>0</v>
      </c>
      <c r="M19" s="568">
        <v>0</v>
      </c>
      <c r="N19" s="567">
        <v>1</v>
      </c>
      <c r="O19" s="567">
        <v>54.125343000000001</v>
      </c>
      <c r="P19" s="567">
        <v>15.946541999999999</v>
      </c>
      <c r="Q19" s="567">
        <v>-3.0464000000000002</v>
      </c>
      <c r="R19" s="570">
        <v>0</v>
      </c>
      <c r="S19" s="570">
        <v>40</v>
      </c>
      <c r="T19" s="567"/>
      <c r="U19" s="567"/>
      <c r="V19" s="567"/>
      <c r="W19" s="568">
        <v>0</v>
      </c>
      <c r="X19" s="568">
        <v>0</v>
      </c>
      <c r="Y19" s="567">
        <v>1</v>
      </c>
    </row>
    <row r="20" spans="1:25" x14ac:dyDescent="0.25">
      <c r="A20" s="570">
        <v>16</v>
      </c>
      <c r="B20" s="570">
        <v>1</v>
      </c>
      <c r="C20" s="570">
        <v>2</v>
      </c>
      <c r="D20" s="567">
        <v>54.584719</v>
      </c>
      <c r="E20" s="567">
        <v>16.514155000000002</v>
      </c>
      <c r="F20" s="567">
        <v>4.7999999999999996E-3</v>
      </c>
      <c r="G20" s="570">
        <v>0</v>
      </c>
      <c r="H20" s="570">
        <v>75</v>
      </c>
      <c r="I20" s="567"/>
      <c r="J20" s="567"/>
      <c r="K20" s="567"/>
      <c r="L20" s="568">
        <v>0</v>
      </c>
      <c r="M20" s="568">
        <v>0</v>
      </c>
      <c r="N20" s="567">
        <v>1</v>
      </c>
      <c r="O20" s="567">
        <v>54.584921000000001</v>
      </c>
      <c r="P20" s="567">
        <v>15.931942999999999</v>
      </c>
      <c r="Q20" s="567">
        <v>-3.0464000000000002</v>
      </c>
      <c r="R20" s="570">
        <v>0</v>
      </c>
      <c r="S20" s="570">
        <v>75</v>
      </c>
      <c r="T20" s="567"/>
      <c r="U20" s="567"/>
      <c r="V20" s="567"/>
      <c r="W20" s="568">
        <v>0</v>
      </c>
      <c r="X20" s="568">
        <v>0</v>
      </c>
      <c r="Y20" s="567">
        <v>1</v>
      </c>
    </row>
    <row r="21" spans="1:25" x14ac:dyDescent="0.25">
      <c r="A21" s="570">
        <v>17</v>
      </c>
      <c r="B21" s="570">
        <v>1</v>
      </c>
      <c r="C21" s="570">
        <v>2</v>
      </c>
      <c r="D21" s="567">
        <v>59.414121999999999</v>
      </c>
      <c r="E21" s="567">
        <v>16.909764000000003</v>
      </c>
      <c r="F21" s="567">
        <v>4.7999999999999996E-3</v>
      </c>
      <c r="G21" s="570">
        <v>0</v>
      </c>
      <c r="H21" s="570">
        <v>40</v>
      </c>
      <c r="I21" s="567"/>
      <c r="J21" s="567"/>
      <c r="K21" s="567"/>
      <c r="L21" s="568">
        <v>0</v>
      </c>
      <c r="M21" s="568">
        <v>0</v>
      </c>
      <c r="N21" s="567">
        <v>1</v>
      </c>
      <c r="O21" s="567">
        <v>59.408621000000004</v>
      </c>
      <c r="P21" s="567">
        <v>15.883327999999999</v>
      </c>
      <c r="Q21" s="567">
        <v>-3.0464000000000002</v>
      </c>
      <c r="R21" s="570">
        <v>0</v>
      </c>
      <c r="S21" s="570">
        <v>40</v>
      </c>
      <c r="T21" s="567"/>
      <c r="U21" s="567"/>
      <c r="V21" s="567"/>
      <c r="W21" s="568">
        <v>0</v>
      </c>
      <c r="X21" s="568">
        <v>0</v>
      </c>
      <c r="Y21" s="567">
        <v>1</v>
      </c>
    </row>
    <row r="22" spans="1:25" x14ac:dyDescent="0.25">
      <c r="A22" s="570">
        <v>18</v>
      </c>
      <c r="B22" s="570">
        <v>1</v>
      </c>
      <c r="C22" s="570">
        <v>2</v>
      </c>
      <c r="D22" s="567">
        <v>60.157665000000001</v>
      </c>
      <c r="E22" s="567">
        <v>16.909764000000003</v>
      </c>
      <c r="F22" s="567">
        <v>4.7999999999999996E-3</v>
      </c>
      <c r="G22" s="570">
        <v>1</v>
      </c>
      <c r="H22" s="570">
        <v>40</v>
      </c>
      <c r="I22" s="567">
        <v>60.156467999999997</v>
      </c>
      <c r="J22" s="567">
        <v>16.869162000000003</v>
      </c>
      <c r="K22" s="567">
        <v>4.7999999999999996E-3</v>
      </c>
      <c r="L22" s="568">
        <v>0</v>
      </c>
      <c r="M22" s="568">
        <v>0</v>
      </c>
      <c r="N22" s="567">
        <v>-1</v>
      </c>
      <c r="O22" s="567">
        <v>60.196816000000005</v>
      </c>
      <c r="P22" s="567">
        <v>15.892927999999998</v>
      </c>
      <c r="Q22" s="567">
        <v>-3.0464000000000002</v>
      </c>
      <c r="R22" s="570">
        <v>1</v>
      </c>
      <c r="S22" s="570">
        <v>40</v>
      </c>
      <c r="T22" s="567">
        <v>60.195619000000001</v>
      </c>
      <c r="U22" s="567">
        <v>15.852426999999999</v>
      </c>
      <c r="V22" s="567">
        <v>-3.0464000000000002</v>
      </c>
      <c r="W22" s="568">
        <v>0</v>
      </c>
      <c r="X22" s="568">
        <v>0</v>
      </c>
      <c r="Y22" s="567">
        <v>-1</v>
      </c>
    </row>
    <row r="23" spans="1:25" x14ac:dyDescent="0.25">
      <c r="A23" s="570">
        <v>19</v>
      </c>
      <c r="B23" s="570">
        <v>1</v>
      </c>
      <c r="C23" s="570">
        <v>2</v>
      </c>
      <c r="D23" s="567">
        <v>60.197066999999997</v>
      </c>
      <c r="E23" s="567">
        <v>16.868063000000003</v>
      </c>
      <c r="F23" s="567">
        <v>4.7999999999999996E-3</v>
      </c>
      <c r="G23" s="570">
        <v>0</v>
      </c>
      <c r="H23" s="570">
        <v>40</v>
      </c>
      <c r="I23" s="567"/>
      <c r="J23" s="567"/>
      <c r="K23" s="567"/>
      <c r="L23" s="568">
        <v>0</v>
      </c>
      <c r="M23" s="568">
        <v>0</v>
      </c>
      <c r="N23" s="567">
        <v>1</v>
      </c>
      <c r="O23" s="567">
        <v>60.236218000000001</v>
      </c>
      <c r="P23" s="567">
        <v>15.851226999999998</v>
      </c>
      <c r="Q23" s="567">
        <v>-3.0464000000000002</v>
      </c>
      <c r="R23" s="570">
        <v>0</v>
      </c>
      <c r="S23" s="570">
        <v>40</v>
      </c>
      <c r="T23" s="567"/>
      <c r="U23" s="567"/>
      <c r="V23" s="567"/>
      <c r="W23" s="568">
        <v>0</v>
      </c>
      <c r="X23" s="568">
        <v>0</v>
      </c>
      <c r="Y23" s="567">
        <v>1</v>
      </c>
    </row>
    <row r="24" spans="1:25" x14ac:dyDescent="0.25">
      <c r="A24" s="570">
        <v>20</v>
      </c>
      <c r="B24" s="570">
        <v>1</v>
      </c>
      <c r="C24" s="570">
        <v>1</v>
      </c>
      <c r="D24" s="567">
        <v>60.197066999999997</v>
      </c>
      <c r="E24" s="567">
        <v>15.379332000000002</v>
      </c>
      <c r="F24" s="567">
        <v>4.7999999999999996E-3</v>
      </c>
      <c r="G24" s="570">
        <v>0</v>
      </c>
      <c r="H24" s="570">
        <v>60</v>
      </c>
      <c r="I24" s="567"/>
      <c r="J24" s="567"/>
      <c r="K24" s="567"/>
      <c r="L24" s="568">
        <v>0</v>
      </c>
      <c r="M24" s="568">
        <v>0</v>
      </c>
      <c r="N24" s="567">
        <v>1</v>
      </c>
      <c r="O24" s="567">
        <v>60.236218000000001</v>
      </c>
      <c r="P24" s="567">
        <v>14.315932</v>
      </c>
      <c r="Q24" s="567">
        <v>-3.0464000000000002</v>
      </c>
      <c r="R24" s="570">
        <v>0</v>
      </c>
      <c r="S24" s="570">
        <v>60</v>
      </c>
      <c r="T24" s="567"/>
      <c r="U24" s="567"/>
      <c r="V24" s="567"/>
      <c r="W24" s="568">
        <v>0</v>
      </c>
      <c r="X24" s="568">
        <v>0</v>
      </c>
      <c r="Y24" s="567">
        <v>1</v>
      </c>
    </row>
    <row r="25" spans="1:25" x14ac:dyDescent="0.25">
      <c r="A25" s="570">
        <v>21</v>
      </c>
      <c r="B25" s="570">
        <v>0</v>
      </c>
      <c r="C25" s="570">
        <v>1</v>
      </c>
      <c r="D25" s="567">
        <v>60.196967000000001</v>
      </c>
      <c r="E25" s="567">
        <v>15.375431999999998</v>
      </c>
      <c r="F25" s="567">
        <v>4.7999999999999996E-3</v>
      </c>
      <c r="G25" s="570">
        <v>0</v>
      </c>
      <c r="H25" s="570">
        <v>0</v>
      </c>
      <c r="I25" s="567"/>
      <c r="J25" s="567"/>
      <c r="K25" s="567"/>
      <c r="L25" s="568">
        <v>0</v>
      </c>
      <c r="M25" s="568">
        <v>0</v>
      </c>
      <c r="N25" s="567">
        <v>1</v>
      </c>
      <c r="O25" s="567">
        <v>60.236218000000001</v>
      </c>
      <c r="P25" s="567">
        <v>14.311932000000001</v>
      </c>
      <c r="Q25" s="567">
        <v>-3.0464000000000002</v>
      </c>
      <c r="R25" s="570">
        <v>0</v>
      </c>
      <c r="S25" s="570">
        <v>0</v>
      </c>
      <c r="T25" s="567"/>
      <c r="U25" s="567"/>
      <c r="V25" s="567"/>
      <c r="W25" s="568">
        <v>0</v>
      </c>
      <c r="X25" s="568">
        <v>0</v>
      </c>
      <c r="Y25" s="567">
        <v>1</v>
      </c>
    </row>
    <row r="26" spans="1:25" x14ac:dyDescent="0.25">
      <c r="A26" s="570">
        <v>22</v>
      </c>
      <c r="B26" s="570">
        <v>0</v>
      </c>
      <c r="C26" s="570">
        <v>0</v>
      </c>
      <c r="D26" s="567">
        <v>60.196967000000001</v>
      </c>
      <c r="E26" s="567">
        <v>15.375431999999998</v>
      </c>
      <c r="F26" s="567">
        <v>0.51659999999999995</v>
      </c>
      <c r="G26" s="570">
        <v>0</v>
      </c>
      <c r="H26" s="570">
        <v>0</v>
      </c>
      <c r="I26" s="567"/>
      <c r="J26" s="567"/>
      <c r="K26" s="567"/>
      <c r="L26" s="568">
        <v>0</v>
      </c>
      <c r="M26" s="568">
        <v>0</v>
      </c>
      <c r="N26" s="567">
        <v>1</v>
      </c>
      <c r="O26" s="567">
        <v>60.236218000000001</v>
      </c>
      <c r="P26" s="567">
        <v>14.311932000000001</v>
      </c>
      <c r="Q26" s="567">
        <v>-2.5346000000000002</v>
      </c>
      <c r="R26" s="570">
        <v>0</v>
      </c>
      <c r="S26" s="570">
        <v>0</v>
      </c>
      <c r="T26" s="567"/>
      <c r="U26" s="567"/>
      <c r="V26" s="567"/>
      <c r="W26" s="568">
        <v>0</v>
      </c>
      <c r="X26" s="568">
        <v>0</v>
      </c>
      <c r="Y26" s="567">
        <v>1</v>
      </c>
    </row>
    <row r="27" spans="1:25" x14ac:dyDescent="0.25">
      <c r="A27" s="570">
        <v>23</v>
      </c>
      <c r="B27" s="570">
        <v>0</v>
      </c>
      <c r="C27" s="570">
        <v>0</v>
      </c>
      <c r="D27" s="567">
        <v>59.080721000000004</v>
      </c>
      <c r="E27" s="567">
        <v>18.051731999999998</v>
      </c>
      <c r="F27" s="567">
        <v>0.51659999999999995</v>
      </c>
      <c r="G27" s="570">
        <v>0</v>
      </c>
      <c r="H27" s="570">
        <v>0</v>
      </c>
      <c r="I27" s="567"/>
      <c r="J27" s="567"/>
      <c r="K27" s="567"/>
      <c r="L27" s="568">
        <v>0</v>
      </c>
      <c r="M27" s="568">
        <v>0</v>
      </c>
      <c r="N27" s="567">
        <v>1</v>
      </c>
      <c r="O27" s="567">
        <v>59.104219999999998</v>
      </c>
      <c r="P27" s="567">
        <v>16.988332</v>
      </c>
      <c r="Q27" s="567">
        <v>-2.5346000000000002</v>
      </c>
      <c r="R27" s="570">
        <v>0</v>
      </c>
      <c r="S27" s="570">
        <v>0</v>
      </c>
      <c r="T27" s="567"/>
      <c r="U27" s="567"/>
      <c r="V27" s="567"/>
      <c r="W27" s="568">
        <v>0</v>
      </c>
      <c r="X27" s="568">
        <v>0</v>
      </c>
      <c r="Y27" s="567">
        <v>1</v>
      </c>
    </row>
    <row r="28" spans="1:25" x14ac:dyDescent="0.25">
      <c r="A28" s="570">
        <v>24</v>
      </c>
      <c r="B28" s="570">
        <v>0</v>
      </c>
      <c r="C28" s="570">
        <v>0</v>
      </c>
      <c r="D28" s="567">
        <v>60.864222000000005</v>
      </c>
      <c r="E28" s="567">
        <v>18.021833000000001</v>
      </c>
      <c r="F28" s="567">
        <v>0.51659999999999995</v>
      </c>
      <c r="G28" s="570">
        <v>0</v>
      </c>
      <c r="H28" s="570">
        <v>0</v>
      </c>
      <c r="I28" s="567"/>
      <c r="J28" s="567"/>
      <c r="K28" s="567"/>
      <c r="L28" s="568">
        <v>0</v>
      </c>
      <c r="M28" s="568">
        <v>0</v>
      </c>
      <c r="N28" s="567">
        <v>1</v>
      </c>
      <c r="O28" s="567">
        <v>60.864221999999998</v>
      </c>
      <c r="P28" s="567">
        <v>18.287033000000001</v>
      </c>
      <c r="Q28" s="567">
        <v>-2.5346000000000002</v>
      </c>
      <c r="R28" s="570">
        <v>0</v>
      </c>
      <c r="S28" s="570">
        <v>0</v>
      </c>
      <c r="T28" s="567"/>
      <c r="U28" s="567"/>
      <c r="V28" s="567"/>
      <c r="W28" s="568">
        <v>0</v>
      </c>
      <c r="X28" s="568">
        <v>0</v>
      </c>
      <c r="Y28" s="567">
        <v>1</v>
      </c>
    </row>
    <row r="29" spans="1:25" x14ac:dyDescent="0.25">
      <c r="A29" s="570">
        <v>25</v>
      </c>
      <c r="B29" s="570">
        <v>1</v>
      </c>
      <c r="C29" s="570">
        <v>-1</v>
      </c>
      <c r="D29" s="567">
        <v>60.864222000000005</v>
      </c>
      <c r="E29" s="567">
        <v>18.021833000000001</v>
      </c>
      <c r="F29" s="567">
        <v>4.7999999999999996E-3</v>
      </c>
      <c r="G29" s="570">
        <v>0</v>
      </c>
      <c r="H29" s="570">
        <v>60</v>
      </c>
      <c r="I29" s="567"/>
      <c r="J29" s="567"/>
      <c r="K29" s="567"/>
      <c r="L29" s="568">
        <v>0</v>
      </c>
      <c r="M29" s="568">
        <v>0</v>
      </c>
      <c r="N29" s="567">
        <v>1</v>
      </c>
      <c r="O29" s="567">
        <v>60.864221999999998</v>
      </c>
      <c r="P29" s="567">
        <v>18.287033000000001</v>
      </c>
      <c r="Q29" s="567">
        <v>-3.0464000000000002</v>
      </c>
      <c r="R29" s="570">
        <v>0</v>
      </c>
      <c r="S29" s="570">
        <v>60</v>
      </c>
      <c r="T29" s="567"/>
      <c r="U29" s="567"/>
      <c r="V29" s="567"/>
      <c r="W29" s="568">
        <v>0</v>
      </c>
      <c r="X29" s="568">
        <v>0</v>
      </c>
      <c r="Y29" s="567">
        <v>1</v>
      </c>
    </row>
    <row r="30" spans="1:25" x14ac:dyDescent="0.25">
      <c r="A30" s="570">
        <v>26</v>
      </c>
      <c r="B30" s="570">
        <v>1</v>
      </c>
      <c r="C30" s="570">
        <v>2</v>
      </c>
      <c r="D30" s="567">
        <v>60.706721000000002</v>
      </c>
      <c r="E30" s="567">
        <v>18.021833000000001</v>
      </c>
      <c r="F30" s="567">
        <v>4.7999999999999996E-3</v>
      </c>
      <c r="G30" s="570">
        <v>0</v>
      </c>
      <c r="H30" s="570">
        <v>60</v>
      </c>
      <c r="I30" s="567"/>
      <c r="J30" s="567"/>
      <c r="K30" s="567"/>
      <c r="L30" s="568">
        <v>0</v>
      </c>
      <c r="M30" s="568">
        <v>0</v>
      </c>
      <c r="N30" s="567">
        <v>1</v>
      </c>
      <c r="O30" s="567">
        <v>60.706721000000002</v>
      </c>
      <c r="P30" s="567">
        <v>18.287033000000001</v>
      </c>
      <c r="Q30" s="567">
        <v>-3.0464000000000002</v>
      </c>
      <c r="R30" s="570">
        <v>0</v>
      </c>
      <c r="S30" s="570">
        <v>60</v>
      </c>
      <c r="T30" s="567"/>
      <c r="U30" s="567"/>
      <c r="V30" s="567"/>
      <c r="W30" s="568">
        <v>0</v>
      </c>
      <c r="X30" s="568">
        <v>0</v>
      </c>
      <c r="Y30" s="567">
        <v>1</v>
      </c>
    </row>
    <row r="31" spans="1:25" x14ac:dyDescent="0.25">
      <c r="A31" s="570">
        <v>27</v>
      </c>
      <c r="B31" s="570">
        <v>1</v>
      </c>
      <c r="C31" s="570">
        <v>2</v>
      </c>
      <c r="D31" s="567">
        <v>59.080721000000004</v>
      </c>
      <c r="E31" s="567">
        <v>18.021833000000001</v>
      </c>
      <c r="F31" s="567">
        <v>4.7999999999999996E-3</v>
      </c>
      <c r="G31" s="570">
        <v>0</v>
      </c>
      <c r="H31" s="570">
        <v>40</v>
      </c>
      <c r="I31" s="567"/>
      <c r="J31" s="567"/>
      <c r="K31" s="567"/>
      <c r="L31" s="568">
        <v>0</v>
      </c>
      <c r="M31" s="568">
        <v>0</v>
      </c>
      <c r="N31" s="567">
        <v>1</v>
      </c>
      <c r="O31" s="567">
        <v>59.080721000000004</v>
      </c>
      <c r="P31" s="567">
        <v>18.287033000000001</v>
      </c>
      <c r="Q31" s="567">
        <v>-3.0464000000000002</v>
      </c>
      <c r="R31" s="570">
        <v>0</v>
      </c>
      <c r="S31" s="570">
        <v>40</v>
      </c>
      <c r="T31" s="567"/>
      <c r="U31" s="567"/>
      <c r="V31" s="567"/>
      <c r="W31" s="568">
        <v>0</v>
      </c>
      <c r="X31" s="568">
        <v>0</v>
      </c>
      <c r="Y31" s="567">
        <v>1</v>
      </c>
    </row>
    <row r="32" spans="1:25" x14ac:dyDescent="0.25">
      <c r="A32" s="570">
        <v>28</v>
      </c>
      <c r="B32" s="570">
        <v>1</v>
      </c>
      <c r="C32" s="570">
        <v>2</v>
      </c>
      <c r="D32" s="567">
        <v>59.080721000000004</v>
      </c>
      <c r="E32" s="567">
        <v>17.672771999999998</v>
      </c>
      <c r="F32" s="567">
        <v>4.7999999999999996E-3</v>
      </c>
      <c r="G32" s="570">
        <v>1</v>
      </c>
      <c r="H32" s="570">
        <v>40</v>
      </c>
      <c r="I32" s="567">
        <v>59.040923000000006</v>
      </c>
      <c r="J32" s="567">
        <v>17.672370999999998</v>
      </c>
      <c r="K32" s="567">
        <v>4.7999999999999996E-3</v>
      </c>
      <c r="L32" s="568">
        <v>0</v>
      </c>
      <c r="M32" s="568">
        <v>0</v>
      </c>
      <c r="N32" s="567">
        <v>-1</v>
      </c>
      <c r="O32" s="567">
        <v>59.080721000000004</v>
      </c>
      <c r="P32" s="567">
        <v>18.236074000000002</v>
      </c>
      <c r="Q32" s="567">
        <v>-3.0464000000000002</v>
      </c>
      <c r="R32" s="570">
        <v>1</v>
      </c>
      <c r="S32" s="570">
        <v>40</v>
      </c>
      <c r="T32" s="567">
        <v>59.040923000000006</v>
      </c>
      <c r="U32" s="567">
        <v>18.235673000000002</v>
      </c>
      <c r="V32" s="567">
        <v>-3.0464000000000002</v>
      </c>
      <c r="W32" s="568">
        <v>0</v>
      </c>
      <c r="X32" s="568">
        <v>0</v>
      </c>
      <c r="Y32" s="567">
        <v>-1</v>
      </c>
    </row>
    <row r="33" spans="1:25" x14ac:dyDescent="0.25">
      <c r="A33" s="570">
        <v>29</v>
      </c>
      <c r="B33" s="570">
        <v>1</v>
      </c>
      <c r="C33" s="570">
        <v>2</v>
      </c>
      <c r="D33" s="567">
        <v>59.041418</v>
      </c>
      <c r="E33" s="567">
        <v>17.632671999999999</v>
      </c>
      <c r="F33" s="567">
        <v>4.7999999999999996E-3</v>
      </c>
      <c r="G33" s="570">
        <v>0</v>
      </c>
      <c r="H33" s="570">
        <v>40</v>
      </c>
      <c r="I33" s="567"/>
      <c r="J33" s="567"/>
      <c r="K33" s="567"/>
      <c r="L33" s="568">
        <v>0</v>
      </c>
      <c r="M33" s="568">
        <v>0</v>
      </c>
      <c r="N33" s="567">
        <v>1</v>
      </c>
      <c r="O33" s="567">
        <v>59.040818999999999</v>
      </c>
      <c r="P33" s="567">
        <v>18.196072999999998</v>
      </c>
      <c r="Q33" s="567">
        <v>-3.0464000000000002</v>
      </c>
      <c r="R33" s="570">
        <v>0</v>
      </c>
      <c r="S33" s="570">
        <v>40</v>
      </c>
      <c r="T33" s="567"/>
      <c r="U33" s="567"/>
      <c r="V33" s="567"/>
      <c r="W33" s="568">
        <v>0</v>
      </c>
      <c r="X33" s="568">
        <v>0</v>
      </c>
      <c r="Y33" s="567">
        <v>1</v>
      </c>
    </row>
    <row r="34" spans="1:25" x14ac:dyDescent="0.25">
      <c r="A34" s="570">
        <v>30</v>
      </c>
      <c r="B34" s="570">
        <v>1</v>
      </c>
      <c r="C34" s="570">
        <v>2</v>
      </c>
      <c r="D34" s="567">
        <v>58.565020000000004</v>
      </c>
      <c r="E34" s="567">
        <v>17.632773</v>
      </c>
      <c r="F34" s="567">
        <v>4.7999999999999996E-3</v>
      </c>
      <c r="G34" s="570">
        <v>0</v>
      </c>
      <c r="H34" s="570">
        <v>75</v>
      </c>
      <c r="I34" s="567"/>
      <c r="J34" s="567"/>
      <c r="K34" s="567"/>
      <c r="L34" s="568">
        <v>0</v>
      </c>
      <c r="M34" s="568">
        <v>0</v>
      </c>
      <c r="N34" s="567">
        <v>1</v>
      </c>
      <c r="O34" s="567">
        <v>58.564921000000005</v>
      </c>
      <c r="P34" s="567">
        <v>18.203272999999999</v>
      </c>
      <c r="Q34" s="567">
        <v>-3.0464000000000002</v>
      </c>
      <c r="R34" s="570">
        <v>0</v>
      </c>
      <c r="S34" s="570">
        <v>75</v>
      </c>
      <c r="T34" s="567"/>
      <c r="U34" s="567"/>
      <c r="V34" s="567"/>
      <c r="W34" s="568">
        <v>0</v>
      </c>
      <c r="X34" s="568">
        <v>0</v>
      </c>
      <c r="Y34" s="567">
        <v>1</v>
      </c>
    </row>
    <row r="35" spans="1:25" x14ac:dyDescent="0.25">
      <c r="A35" s="570">
        <v>31</v>
      </c>
      <c r="B35" s="570">
        <v>1</v>
      </c>
      <c r="C35" s="570">
        <v>2</v>
      </c>
      <c r="D35" s="567">
        <v>53.765822</v>
      </c>
      <c r="E35" s="567">
        <v>17.237362000000001</v>
      </c>
      <c r="F35" s="567">
        <v>4.7999999999999996E-3</v>
      </c>
      <c r="G35" s="570">
        <v>0</v>
      </c>
      <c r="H35" s="570">
        <v>40</v>
      </c>
      <c r="I35" s="567"/>
      <c r="J35" s="567"/>
      <c r="K35" s="567"/>
      <c r="L35" s="568">
        <v>0</v>
      </c>
      <c r="M35" s="568">
        <v>0</v>
      </c>
      <c r="N35" s="567">
        <v>1</v>
      </c>
      <c r="O35" s="567">
        <v>53.765718999999997</v>
      </c>
      <c r="P35" s="567">
        <v>18.265699999999999</v>
      </c>
      <c r="Q35" s="567">
        <v>-3.0464000000000002</v>
      </c>
      <c r="R35" s="570">
        <v>0</v>
      </c>
      <c r="S35" s="570">
        <v>40</v>
      </c>
      <c r="T35" s="567"/>
      <c r="U35" s="567"/>
      <c r="V35" s="567"/>
      <c r="W35" s="568">
        <v>0</v>
      </c>
      <c r="X35" s="568">
        <v>0</v>
      </c>
      <c r="Y35" s="567">
        <v>1</v>
      </c>
    </row>
    <row r="36" spans="1:25" x14ac:dyDescent="0.25">
      <c r="A36" s="570">
        <v>32</v>
      </c>
      <c r="B36" s="570">
        <v>1</v>
      </c>
      <c r="C36" s="570">
        <v>2</v>
      </c>
      <c r="D36" s="567">
        <v>52.983708999999998</v>
      </c>
      <c r="E36" s="567">
        <v>17.237362000000001</v>
      </c>
      <c r="F36" s="567">
        <v>4.7999999999999996E-3</v>
      </c>
      <c r="G36" s="570">
        <v>1</v>
      </c>
      <c r="H36" s="570">
        <v>40</v>
      </c>
      <c r="I36" s="567">
        <v>52.984907</v>
      </c>
      <c r="J36" s="567">
        <v>17.277863</v>
      </c>
      <c r="K36" s="567">
        <v>4.7999999999999996E-3</v>
      </c>
      <c r="L36" s="568">
        <v>0</v>
      </c>
      <c r="M36" s="568">
        <v>0</v>
      </c>
      <c r="N36" s="567">
        <v>-1</v>
      </c>
      <c r="O36" s="567">
        <v>52.972049999999996</v>
      </c>
      <c r="P36" s="567">
        <v>18.258098999999998</v>
      </c>
      <c r="Q36" s="567">
        <v>-3.0464000000000002</v>
      </c>
      <c r="R36" s="570">
        <v>1</v>
      </c>
      <c r="S36" s="570">
        <v>40</v>
      </c>
      <c r="T36" s="567">
        <v>52.973247999999998</v>
      </c>
      <c r="U36" s="567">
        <v>18.298698999999999</v>
      </c>
      <c r="V36" s="567">
        <v>-3.0464000000000002</v>
      </c>
      <c r="W36" s="568">
        <v>0</v>
      </c>
      <c r="X36" s="568">
        <v>0</v>
      </c>
      <c r="Y36" s="567">
        <v>-1</v>
      </c>
    </row>
    <row r="37" spans="1:25" x14ac:dyDescent="0.25">
      <c r="A37" s="570">
        <v>33</v>
      </c>
      <c r="B37" s="570">
        <v>1</v>
      </c>
      <c r="C37" s="570">
        <v>2</v>
      </c>
      <c r="D37" s="567">
        <v>52.944409999999998</v>
      </c>
      <c r="E37" s="567">
        <v>17.278862</v>
      </c>
      <c r="F37" s="567">
        <v>4.7999999999999996E-3</v>
      </c>
      <c r="G37" s="570">
        <v>0</v>
      </c>
      <c r="H37" s="570">
        <v>40</v>
      </c>
      <c r="I37" s="567"/>
      <c r="J37" s="567"/>
      <c r="K37" s="567"/>
      <c r="L37" s="568">
        <v>0</v>
      </c>
      <c r="M37" s="568">
        <v>0</v>
      </c>
      <c r="N37" s="567">
        <v>1</v>
      </c>
      <c r="O37" s="567">
        <v>52.932448999999998</v>
      </c>
      <c r="P37" s="567">
        <v>18.299697999999999</v>
      </c>
      <c r="Q37" s="567">
        <v>-3.0464000000000002</v>
      </c>
      <c r="R37" s="570">
        <v>0</v>
      </c>
      <c r="S37" s="570">
        <v>40</v>
      </c>
      <c r="T37" s="567"/>
      <c r="U37" s="567"/>
      <c r="V37" s="567"/>
      <c r="W37" s="568">
        <v>0</v>
      </c>
      <c r="X37" s="568">
        <v>0</v>
      </c>
      <c r="Y37" s="567">
        <v>1</v>
      </c>
    </row>
    <row r="38" spans="1:25" x14ac:dyDescent="0.25">
      <c r="A38" s="570">
        <v>34</v>
      </c>
      <c r="B38" s="570">
        <v>1</v>
      </c>
      <c r="C38" s="570">
        <v>1</v>
      </c>
      <c r="D38" s="567">
        <v>52.946908000000001</v>
      </c>
      <c r="E38" s="567">
        <v>18.397431000000001</v>
      </c>
      <c r="F38" s="567">
        <v>4.7999999999999996E-3</v>
      </c>
      <c r="G38" s="570">
        <v>0</v>
      </c>
      <c r="H38" s="570">
        <v>60</v>
      </c>
      <c r="I38" s="567"/>
      <c r="J38" s="567"/>
      <c r="K38" s="567"/>
      <c r="L38" s="568">
        <v>0</v>
      </c>
      <c r="M38" s="568">
        <v>0</v>
      </c>
      <c r="N38" s="567">
        <v>1</v>
      </c>
      <c r="O38" s="567">
        <v>52.934952000000003</v>
      </c>
      <c r="P38" s="567">
        <v>19.425732</v>
      </c>
      <c r="Q38" s="567">
        <v>-3.0464000000000002</v>
      </c>
      <c r="R38" s="570">
        <v>0</v>
      </c>
      <c r="S38" s="570">
        <v>60</v>
      </c>
      <c r="T38" s="567"/>
      <c r="U38" s="567"/>
      <c r="V38" s="567"/>
      <c r="W38" s="568">
        <v>0</v>
      </c>
      <c r="X38" s="568">
        <v>0</v>
      </c>
      <c r="Y38" s="567">
        <v>1</v>
      </c>
    </row>
    <row r="39" spans="1:25" x14ac:dyDescent="0.25">
      <c r="A39" s="570">
        <v>35</v>
      </c>
      <c r="B39" s="570">
        <v>0</v>
      </c>
      <c r="C39" s="570">
        <v>1</v>
      </c>
      <c r="D39" s="567">
        <v>52.946908000000001</v>
      </c>
      <c r="E39" s="567">
        <v>18.401432999999997</v>
      </c>
      <c r="F39" s="567">
        <v>4.7999999999999996E-3</v>
      </c>
      <c r="G39" s="570">
        <v>0</v>
      </c>
      <c r="H39" s="570">
        <v>0</v>
      </c>
      <c r="I39" s="567"/>
      <c r="J39" s="567"/>
      <c r="K39" s="567"/>
      <c r="L39" s="568">
        <v>0</v>
      </c>
      <c r="M39" s="568">
        <v>0</v>
      </c>
      <c r="N39" s="567">
        <v>1</v>
      </c>
      <c r="O39" s="567">
        <v>52.934952000000003</v>
      </c>
      <c r="P39" s="567">
        <v>19.429633000000003</v>
      </c>
      <c r="Q39" s="567">
        <v>-3.0464000000000002</v>
      </c>
      <c r="R39" s="570">
        <v>0</v>
      </c>
      <c r="S39" s="570">
        <v>0</v>
      </c>
      <c r="T39" s="567"/>
      <c r="U39" s="567"/>
      <c r="V39" s="567"/>
      <c r="W39" s="568">
        <v>0</v>
      </c>
      <c r="X39" s="568">
        <v>0</v>
      </c>
      <c r="Y39" s="567">
        <v>1</v>
      </c>
    </row>
    <row r="40" spans="1:25" x14ac:dyDescent="0.25">
      <c r="A40" s="570">
        <v>36</v>
      </c>
      <c r="B40" s="570">
        <v>0</v>
      </c>
      <c r="C40" s="570">
        <v>0</v>
      </c>
      <c r="D40" s="567">
        <v>52.946908000000001</v>
      </c>
      <c r="E40" s="567">
        <v>18.401432999999997</v>
      </c>
      <c r="F40" s="567">
        <v>0.51659999999999995</v>
      </c>
      <c r="G40" s="570">
        <v>0</v>
      </c>
      <c r="H40" s="570">
        <v>0</v>
      </c>
      <c r="I40" s="567"/>
      <c r="J40" s="567"/>
      <c r="K40" s="567"/>
      <c r="L40" s="568">
        <v>0</v>
      </c>
      <c r="M40" s="568">
        <v>0</v>
      </c>
      <c r="N40" s="567">
        <v>1</v>
      </c>
      <c r="O40" s="567">
        <v>52.934952000000003</v>
      </c>
      <c r="P40" s="567">
        <v>19.429633000000003</v>
      </c>
      <c r="Q40" s="567">
        <v>-2.5346000000000002</v>
      </c>
      <c r="R40" s="570">
        <v>0</v>
      </c>
      <c r="S40" s="570">
        <v>0</v>
      </c>
      <c r="T40" s="567"/>
      <c r="U40" s="567"/>
      <c r="V40" s="567"/>
      <c r="W40" s="568">
        <v>0</v>
      </c>
      <c r="X40" s="568">
        <v>0</v>
      </c>
      <c r="Y40" s="567">
        <v>1</v>
      </c>
    </row>
    <row r="41" spans="1:25" x14ac:dyDescent="0.25">
      <c r="A41" s="570">
        <v>37</v>
      </c>
      <c r="B41" s="570">
        <v>0</v>
      </c>
      <c r="C41" s="570">
        <v>0</v>
      </c>
      <c r="D41" s="567">
        <v>54.080720999999997</v>
      </c>
      <c r="E41" s="567">
        <v>16.099232000000001</v>
      </c>
      <c r="F41" s="567">
        <v>0.51659999999999995</v>
      </c>
      <c r="G41" s="570">
        <v>0</v>
      </c>
      <c r="H41" s="570">
        <v>0</v>
      </c>
      <c r="I41" s="567"/>
      <c r="J41" s="567"/>
      <c r="K41" s="567"/>
      <c r="L41" s="568">
        <v>0</v>
      </c>
      <c r="M41" s="568">
        <v>0</v>
      </c>
      <c r="N41" s="567">
        <v>1</v>
      </c>
      <c r="O41" s="567">
        <v>54.096319000000001</v>
      </c>
      <c r="P41" s="567">
        <v>17.127531999999999</v>
      </c>
      <c r="Q41" s="567">
        <v>-2.5346000000000002</v>
      </c>
      <c r="R41" s="570">
        <v>0</v>
      </c>
      <c r="S41" s="570">
        <v>0</v>
      </c>
      <c r="T41" s="567"/>
      <c r="U41" s="567"/>
      <c r="V41" s="567"/>
      <c r="W41" s="568">
        <v>0</v>
      </c>
      <c r="X41" s="568">
        <v>0</v>
      </c>
      <c r="Y41" s="567">
        <v>1</v>
      </c>
    </row>
    <row r="42" spans="1:25" x14ac:dyDescent="0.25">
      <c r="A42" s="570">
        <v>38</v>
      </c>
      <c r="B42" s="570">
        <v>0</v>
      </c>
      <c r="C42" s="570">
        <v>0</v>
      </c>
      <c r="D42" s="567">
        <v>52.360318999999997</v>
      </c>
      <c r="E42" s="567">
        <v>16.418233000000001</v>
      </c>
      <c r="F42" s="567">
        <v>0.51659999999999995</v>
      </c>
      <c r="G42" s="570">
        <v>0</v>
      </c>
      <c r="H42" s="570">
        <v>0</v>
      </c>
      <c r="I42" s="567"/>
      <c r="J42" s="567"/>
      <c r="K42" s="567"/>
      <c r="L42" s="568">
        <v>0</v>
      </c>
      <c r="M42" s="568">
        <v>0</v>
      </c>
      <c r="N42" s="567">
        <v>1</v>
      </c>
      <c r="O42" s="567">
        <v>52.360318999999997</v>
      </c>
      <c r="P42" s="567">
        <v>16.402605999999999</v>
      </c>
      <c r="Q42" s="567">
        <v>-2.5346000000000002</v>
      </c>
      <c r="R42" s="570">
        <v>0</v>
      </c>
      <c r="S42" s="570">
        <v>0</v>
      </c>
      <c r="T42" s="567"/>
      <c r="U42" s="567"/>
      <c r="V42" s="567"/>
      <c r="W42" s="568">
        <v>0</v>
      </c>
      <c r="X42" s="568">
        <v>0</v>
      </c>
      <c r="Y42" s="567">
        <v>1</v>
      </c>
    </row>
    <row r="43" spans="1:25" x14ac:dyDescent="0.25">
      <c r="A43" s="570">
        <v>39</v>
      </c>
      <c r="B43" s="570">
        <v>1</v>
      </c>
      <c r="C43" s="570">
        <v>-1</v>
      </c>
      <c r="D43" s="567">
        <v>52.360318999999997</v>
      </c>
      <c r="E43" s="567">
        <v>16.418233000000001</v>
      </c>
      <c r="F43" s="567">
        <v>4.7999999999999996E-3</v>
      </c>
      <c r="G43" s="570">
        <v>0</v>
      </c>
      <c r="H43" s="570">
        <v>60</v>
      </c>
      <c r="I43" s="567"/>
      <c r="J43" s="567"/>
      <c r="K43" s="567"/>
      <c r="L43" s="568">
        <v>0</v>
      </c>
      <c r="M43" s="568">
        <v>0</v>
      </c>
      <c r="N43" s="567">
        <v>1</v>
      </c>
      <c r="O43" s="567">
        <v>52.360318999999997</v>
      </c>
      <c r="P43" s="567">
        <v>16.402605999999999</v>
      </c>
      <c r="Q43" s="567">
        <v>-3.0464000000000002</v>
      </c>
      <c r="R43" s="570">
        <v>0</v>
      </c>
      <c r="S43" s="570">
        <v>60</v>
      </c>
      <c r="T43" s="567"/>
      <c r="U43" s="567"/>
      <c r="V43" s="567"/>
      <c r="W43" s="568">
        <v>0</v>
      </c>
      <c r="X43" s="568">
        <v>0</v>
      </c>
      <c r="Y43" s="567">
        <v>1</v>
      </c>
    </row>
    <row r="44" spans="1:25" x14ac:dyDescent="0.25">
      <c r="A44" s="570">
        <v>40</v>
      </c>
      <c r="B44" s="570">
        <v>1</v>
      </c>
      <c r="C44" s="570">
        <v>2</v>
      </c>
      <c r="D44" s="567">
        <v>52.439019999999999</v>
      </c>
      <c r="E44" s="567">
        <v>16.418233000000001</v>
      </c>
      <c r="F44" s="567">
        <v>4.7999999999999996E-3</v>
      </c>
      <c r="G44" s="570">
        <v>0</v>
      </c>
      <c r="H44" s="570">
        <v>30</v>
      </c>
      <c r="I44" s="567"/>
      <c r="J44" s="567"/>
      <c r="K44" s="567"/>
      <c r="L44" s="568">
        <v>0</v>
      </c>
      <c r="M44" s="568">
        <v>0</v>
      </c>
      <c r="N44" s="567">
        <v>1</v>
      </c>
      <c r="O44" s="567">
        <v>52.439019999999999</v>
      </c>
      <c r="P44" s="567">
        <v>16.402605999999999</v>
      </c>
      <c r="Q44" s="567">
        <v>-3.0464000000000002</v>
      </c>
      <c r="R44" s="570">
        <v>0</v>
      </c>
      <c r="S44" s="570">
        <v>30</v>
      </c>
      <c r="T44" s="567"/>
      <c r="U44" s="567"/>
      <c r="V44" s="567"/>
      <c r="W44" s="568">
        <v>0</v>
      </c>
      <c r="X44" s="568">
        <v>0</v>
      </c>
      <c r="Y44" s="567">
        <v>1</v>
      </c>
    </row>
    <row r="45" spans="1:25" x14ac:dyDescent="0.25">
      <c r="A45" s="570">
        <v>41</v>
      </c>
      <c r="B45" s="570">
        <v>1</v>
      </c>
      <c r="C45" s="570">
        <v>2</v>
      </c>
      <c r="D45" s="567">
        <v>52.868257999999997</v>
      </c>
      <c r="E45" s="567">
        <v>16.418233000000001</v>
      </c>
      <c r="F45" s="567">
        <v>4.7999999999999996E-3</v>
      </c>
      <c r="G45" s="570">
        <v>1</v>
      </c>
      <c r="H45" s="570">
        <v>40</v>
      </c>
      <c r="I45" s="567">
        <v>52.868257999999997</v>
      </c>
      <c r="J45" s="567">
        <v>16.497033000000002</v>
      </c>
      <c r="K45" s="567">
        <v>4.7999999999999996E-3</v>
      </c>
      <c r="L45" s="568">
        <v>0</v>
      </c>
      <c r="M45" s="568">
        <v>0</v>
      </c>
      <c r="N45" s="567">
        <v>1</v>
      </c>
      <c r="O45" s="567">
        <v>52.876047</v>
      </c>
      <c r="P45" s="567">
        <v>16.402605999999999</v>
      </c>
      <c r="Q45" s="567">
        <v>-3.0464000000000002</v>
      </c>
      <c r="R45" s="570">
        <v>1</v>
      </c>
      <c r="S45" s="570">
        <v>40</v>
      </c>
      <c r="T45" s="567">
        <v>52.876047</v>
      </c>
      <c r="U45" s="567">
        <v>16.481406</v>
      </c>
      <c r="V45" s="567">
        <v>-3.0464000000000002</v>
      </c>
      <c r="W45" s="568">
        <v>0</v>
      </c>
      <c r="X45" s="568">
        <v>0</v>
      </c>
      <c r="Y45" s="567">
        <v>1</v>
      </c>
    </row>
    <row r="46" spans="1:25" x14ac:dyDescent="0.25">
      <c r="A46" s="570">
        <v>42</v>
      </c>
      <c r="B46" s="570">
        <v>1</v>
      </c>
      <c r="C46" s="570">
        <v>2</v>
      </c>
      <c r="D46" s="567">
        <v>52.946955000000003</v>
      </c>
      <c r="E46" s="567">
        <v>16.496932000000001</v>
      </c>
      <c r="F46" s="567">
        <v>4.7999999999999996E-3</v>
      </c>
      <c r="G46" s="570">
        <v>0</v>
      </c>
      <c r="H46" s="570">
        <v>40</v>
      </c>
      <c r="I46" s="567"/>
      <c r="J46" s="567"/>
      <c r="K46" s="567"/>
      <c r="L46" s="568">
        <v>0</v>
      </c>
      <c r="M46" s="568">
        <v>0</v>
      </c>
      <c r="N46" s="567">
        <v>1</v>
      </c>
      <c r="O46" s="567">
        <v>52.954743999999998</v>
      </c>
      <c r="P46" s="567">
        <v>16.481305000000003</v>
      </c>
      <c r="Q46" s="567">
        <v>-3.0464000000000002</v>
      </c>
      <c r="R46" s="570">
        <v>0</v>
      </c>
      <c r="S46" s="570">
        <v>40</v>
      </c>
      <c r="T46" s="567"/>
      <c r="U46" s="567"/>
      <c r="V46" s="567"/>
      <c r="W46" s="568">
        <v>0</v>
      </c>
      <c r="X46" s="568">
        <v>0</v>
      </c>
      <c r="Y46" s="567">
        <v>1</v>
      </c>
    </row>
    <row r="47" spans="1:25" x14ac:dyDescent="0.25">
      <c r="A47" s="570">
        <v>43</v>
      </c>
      <c r="B47" s="570">
        <v>1</v>
      </c>
      <c r="C47" s="570">
        <v>2</v>
      </c>
      <c r="D47" s="567">
        <v>52.946955000000003</v>
      </c>
      <c r="E47" s="567">
        <v>17.018732999999997</v>
      </c>
      <c r="F47" s="567">
        <v>4.7999999999999996E-3</v>
      </c>
      <c r="G47" s="570">
        <v>1</v>
      </c>
      <c r="H47" s="570">
        <v>40</v>
      </c>
      <c r="I47" s="567">
        <v>53.025755000000004</v>
      </c>
      <c r="J47" s="567">
        <v>17.018732999999997</v>
      </c>
      <c r="K47" s="567">
        <v>4.7999999999999996E-3</v>
      </c>
      <c r="L47" s="568">
        <v>0</v>
      </c>
      <c r="M47" s="568">
        <v>0</v>
      </c>
      <c r="N47" s="567">
        <v>-1</v>
      </c>
      <c r="O47" s="567">
        <v>52.954743999999998</v>
      </c>
      <c r="P47" s="567">
        <v>17.018732999999997</v>
      </c>
      <c r="Q47" s="567">
        <v>-3.0464000000000002</v>
      </c>
      <c r="R47" s="570">
        <v>1</v>
      </c>
      <c r="S47" s="570">
        <v>40</v>
      </c>
      <c r="T47" s="567">
        <v>53.033543999999999</v>
      </c>
      <c r="U47" s="567">
        <v>17.018732999999997</v>
      </c>
      <c r="V47" s="567">
        <v>-3.0464000000000002</v>
      </c>
      <c r="W47" s="568">
        <v>0</v>
      </c>
      <c r="X47" s="568">
        <v>0</v>
      </c>
      <c r="Y47" s="567">
        <v>-1</v>
      </c>
    </row>
    <row r="48" spans="1:25" x14ac:dyDescent="0.25">
      <c r="A48" s="570">
        <v>44</v>
      </c>
      <c r="B48" s="570">
        <v>1</v>
      </c>
      <c r="C48" s="570">
        <v>2</v>
      </c>
      <c r="D48" s="567">
        <v>53.025755000000004</v>
      </c>
      <c r="E48" s="567">
        <v>17.097531</v>
      </c>
      <c r="F48" s="567">
        <v>4.7999999999999996E-3</v>
      </c>
      <c r="G48" s="570">
        <v>0</v>
      </c>
      <c r="H48" s="570">
        <v>70</v>
      </c>
      <c r="I48" s="567"/>
      <c r="J48" s="567"/>
      <c r="K48" s="567"/>
      <c r="L48" s="568">
        <v>0</v>
      </c>
      <c r="M48" s="568">
        <v>0</v>
      </c>
      <c r="N48" s="567">
        <v>1</v>
      </c>
      <c r="O48" s="567">
        <v>53.033543999999999</v>
      </c>
      <c r="P48" s="567">
        <v>17.097531</v>
      </c>
      <c r="Q48" s="567">
        <v>-3.0464000000000002</v>
      </c>
      <c r="R48" s="570">
        <v>0</v>
      </c>
      <c r="S48" s="570">
        <v>70</v>
      </c>
      <c r="T48" s="567"/>
      <c r="U48" s="567"/>
      <c r="V48" s="567"/>
      <c r="W48" s="568">
        <v>0</v>
      </c>
      <c r="X48" s="568">
        <v>0</v>
      </c>
      <c r="Y48" s="567">
        <v>1</v>
      </c>
    </row>
    <row r="49" spans="1:25" x14ac:dyDescent="0.25">
      <c r="A49" s="570">
        <v>45</v>
      </c>
      <c r="B49" s="570">
        <v>1</v>
      </c>
      <c r="C49" s="570">
        <v>2</v>
      </c>
      <c r="D49" s="567">
        <v>60.080756000000001</v>
      </c>
      <c r="E49" s="567">
        <v>17.097531</v>
      </c>
      <c r="F49" s="567">
        <v>4.7999999999999996E-3</v>
      </c>
      <c r="G49" s="570">
        <v>1</v>
      </c>
      <c r="H49" s="570">
        <v>40</v>
      </c>
      <c r="I49" s="567">
        <v>60.080756000000001</v>
      </c>
      <c r="J49" s="567">
        <v>17.176231999999999</v>
      </c>
      <c r="K49" s="567">
        <v>4.7999999999999996E-3</v>
      </c>
      <c r="L49" s="568">
        <v>0</v>
      </c>
      <c r="M49" s="568">
        <v>0</v>
      </c>
      <c r="N49" s="567">
        <v>1</v>
      </c>
      <c r="O49" s="567">
        <v>60.080708999999999</v>
      </c>
      <c r="P49" s="567">
        <v>17.097531</v>
      </c>
      <c r="Q49" s="567">
        <v>-3.0464000000000002</v>
      </c>
      <c r="R49" s="570">
        <v>1</v>
      </c>
      <c r="S49" s="570">
        <v>40</v>
      </c>
      <c r="T49" s="567">
        <v>60.080708999999999</v>
      </c>
      <c r="U49" s="567">
        <v>17.176231999999999</v>
      </c>
      <c r="V49" s="567">
        <v>-3.0464000000000002</v>
      </c>
      <c r="W49" s="568">
        <v>0</v>
      </c>
      <c r="X49" s="568">
        <v>0</v>
      </c>
      <c r="Y49" s="567">
        <v>1</v>
      </c>
    </row>
    <row r="50" spans="1:25" x14ac:dyDescent="0.25">
      <c r="A50" s="570">
        <v>46</v>
      </c>
      <c r="B50" s="570">
        <v>1</v>
      </c>
      <c r="C50" s="570">
        <v>2</v>
      </c>
      <c r="D50" s="567">
        <v>60.159556000000002</v>
      </c>
      <c r="E50" s="567">
        <v>17.176231999999999</v>
      </c>
      <c r="F50" s="567">
        <v>4.7999999999999996E-3</v>
      </c>
      <c r="G50" s="570">
        <v>0</v>
      </c>
      <c r="H50" s="570">
        <v>40</v>
      </c>
      <c r="I50" s="567"/>
      <c r="J50" s="567"/>
      <c r="K50" s="567"/>
      <c r="L50" s="568">
        <v>0</v>
      </c>
      <c r="M50" s="568">
        <v>0</v>
      </c>
      <c r="N50" s="567">
        <v>1</v>
      </c>
      <c r="O50" s="567">
        <v>60.159509</v>
      </c>
      <c r="P50" s="567">
        <v>17.176231999999999</v>
      </c>
      <c r="Q50" s="567">
        <v>-3.0464000000000002</v>
      </c>
      <c r="R50" s="570">
        <v>0</v>
      </c>
      <c r="S50" s="570">
        <v>40</v>
      </c>
      <c r="T50" s="567"/>
      <c r="U50" s="567"/>
      <c r="V50" s="567"/>
      <c r="W50" s="568">
        <v>0</v>
      </c>
      <c r="X50" s="568">
        <v>0</v>
      </c>
      <c r="Y50" s="567">
        <v>1</v>
      </c>
    </row>
    <row r="51" spans="1:25" x14ac:dyDescent="0.25">
      <c r="A51" s="570">
        <v>47</v>
      </c>
      <c r="B51" s="570">
        <v>1</v>
      </c>
      <c r="C51" s="570">
        <v>2</v>
      </c>
      <c r="D51" s="567">
        <v>60.159556000000002</v>
      </c>
      <c r="E51" s="567">
        <v>17.701905</v>
      </c>
      <c r="F51" s="567">
        <v>4.7999999999999996E-3</v>
      </c>
      <c r="G51" s="570">
        <v>1</v>
      </c>
      <c r="H51" s="570">
        <v>40</v>
      </c>
      <c r="I51" s="567">
        <v>60.238357000000001</v>
      </c>
      <c r="J51" s="567">
        <v>17.701905</v>
      </c>
      <c r="K51" s="567">
        <v>4.7999999999999996E-3</v>
      </c>
      <c r="L51" s="568">
        <v>0</v>
      </c>
      <c r="M51" s="568">
        <v>0</v>
      </c>
      <c r="N51" s="567">
        <v>-1</v>
      </c>
      <c r="O51" s="567">
        <v>60.159509</v>
      </c>
      <c r="P51" s="567">
        <v>17.705805999999999</v>
      </c>
      <c r="Q51" s="567">
        <v>-3.0464000000000002</v>
      </c>
      <c r="R51" s="570">
        <v>1</v>
      </c>
      <c r="S51" s="570">
        <v>40</v>
      </c>
      <c r="T51" s="567">
        <v>60.238309999999998</v>
      </c>
      <c r="U51" s="567">
        <v>17.705805999999999</v>
      </c>
      <c r="V51" s="567">
        <v>-3.0464000000000002</v>
      </c>
      <c r="W51" s="568">
        <v>0</v>
      </c>
      <c r="X51" s="568">
        <v>0</v>
      </c>
      <c r="Y51" s="567">
        <v>-1</v>
      </c>
    </row>
    <row r="52" spans="1:25" x14ac:dyDescent="0.25">
      <c r="A52" s="570">
        <v>48</v>
      </c>
      <c r="B52" s="570">
        <v>1</v>
      </c>
      <c r="C52" s="570">
        <v>2</v>
      </c>
      <c r="D52" s="567">
        <v>60.238257000000004</v>
      </c>
      <c r="E52" s="567">
        <v>17.780607</v>
      </c>
      <c r="F52" s="567">
        <v>4.7999999999999996E-3</v>
      </c>
      <c r="G52" s="570">
        <v>0</v>
      </c>
      <c r="H52" s="570">
        <v>30</v>
      </c>
      <c r="I52" s="567"/>
      <c r="J52" s="567"/>
      <c r="K52" s="567"/>
      <c r="L52" s="568">
        <v>0</v>
      </c>
      <c r="M52" s="568">
        <v>0</v>
      </c>
      <c r="N52" s="567">
        <v>1</v>
      </c>
      <c r="O52" s="567">
        <v>60.238210000000002</v>
      </c>
      <c r="P52" s="567">
        <v>17.784504999999999</v>
      </c>
      <c r="Q52" s="567">
        <v>-3.0464000000000002</v>
      </c>
      <c r="R52" s="570">
        <v>0</v>
      </c>
      <c r="S52" s="570">
        <v>30</v>
      </c>
      <c r="T52" s="567"/>
      <c r="U52" s="567"/>
      <c r="V52" s="567"/>
      <c r="W52" s="568">
        <v>0</v>
      </c>
      <c r="X52" s="568">
        <v>0</v>
      </c>
      <c r="Y52" s="567">
        <v>1</v>
      </c>
    </row>
    <row r="53" spans="1:25" x14ac:dyDescent="0.25">
      <c r="A53" s="570">
        <v>49</v>
      </c>
      <c r="B53" s="570">
        <v>1</v>
      </c>
      <c r="C53" s="570">
        <v>1</v>
      </c>
      <c r="D53" s="567">
        <v>60.708719000000002</v>
      </c>
      <c r="E53" s="567">
        <v>17.780607</v>
      </c>
      <c r="F53" s="567">
        <v>4.7999999999999996E-3</v>
      </c>
      <c r="G53" s="570">
        <v>0</v>
      </c>
      <c r="H53" s="570">
        <v>60</v>
      </c>
      <c r="I53" s="567"/>
      <c r="J53" s="567"/>
      <c r="K53" s="567"/>
      <c r="L53" s="568">
        <v>0</v>
      </c>
      <c r="M53" s="568">
        <v>0</v>
      </c>
      <c r="N53" s="567">
        <v>1</v>
      </c>
      <c r="O53" s="567">
        <v>61.021718999999997</v>
      </c>
      <c r="P53" s="567">
        <v>17.784504999999999</v>
      </c>
      <c r="Q53" s="567">
        <v>-3.0464000000000002</v>
      </c>
      <c r="R53" s="570">
        <v>0</v>
      </c>
      <c r="S53" s="570">
        <v>60</v>
      </c>
      <c r="T53" s="567"/>
      <c r="U53" s="567"/>
      <c r="V53" s="567"/>
      <c r="W53" s="568">
        <v>0</v>
      </c>
      <c r="X53" s="568">
        <v>0</v>
      </c>
      <c r="Y53" s="567">
        <v>1</v>
      </c>
    </row>
    <row r="54" spans="1:25" x14ac:dyDescent="0.25">
      <c r="A54" s="570">
        <v>50</v>
      </c>
      <c r="B54" s="570">
        <v>1</v>
      </c>
      <c r="C54" s="570">
        <v>1</v>
      </c>
      <c r="D54" s="567">
        <v>60.712721000000002</v>
      </c>
      <c r="E54" s="567">
        <v>17.780607</v>
      </c>
      <c r="F54" s="567">
        <v>4.7999999999999996E-3</v>
      </c>
      <c r="G54" s="570">
        <v>0</v>
      </c>
      <c r="H54" s="570">
        <v>60</v>
      </c>
      <c r="I54" s="567"/>
      <c r="J54" s="567"/>
      <c r="K54" s="567"/>
      <c r="L54" s="568">
        <v>0</v>
      </c>
      <c r="M54" s="568">
        <v>0</v>
      </c>
      <c r="N54" s="567">
        <v>1</v>
      </c>
      <c r="O54" s="567">
        <v>61.025622000000006</v>
      </c>
      <c r="P54" s="567">
        <v>17.784504999999999</v>
      </c>
      <c r="Q54" s="567">
        <v>-3.0464000000000002</v>
      </c>
      <c r="R54" s="570">
        <v>0</v>
      </c>
      <c r="S54" s="570">
        <v>60</v>
      </c>
      <c r="T54" s="567"/>
      <c r="U54" s="567"/>
      <c r="V54" s="567"/>
      <c r="W54" s="568">
        <v>0</v>
      </c>
      <c r="X54" s="568">
        <v>0</v>
      </c>
      <c r="Y54" s="567">
        <v>1</v>
      </c>
    </row>
    <row r="55" spans="1:25" x14ac:dyDescent="0.25">
      <c r="A55" s="570">
        <v>51</v>
      </c>
      <c r="B55" s="570">
        <v>0</v>
      </c>
      <c r="C55" s="570">
        <v>1</v>
      </c>
      <c r="D55" s="567">
        <v>61.025622000000006</v>
      </c>
      <c r="E55" s="567">
        <v>17.784504999999999</v>
      </c>
      <c r="F55" s="567">
        <v>4.7999999999999996E-3</v>
      </c>
      <c r="G55" s="570">
        <v>0</v>
      </c>
      <c r="H55" s="570">
        <v>0</v>
      </c>
      <c r="I55" s="567"/>
      <c r="J55" s="567"/>
      <c r="K55" s="567"/>
      <c r="L55" s="568">
        <v>0</v>
      </c>
      <c r="M55" s="568">
        <v>0</v>
      </c>
      <c r="N55" s="567">
        <v>1</v>
      </c>
      <c r="O55" s="567">
        <v>61.025622000000006</v>
      </c>
      <c r="P55" s="567">
        <v>17.784504999999999</v>
      </c>
      <c r="Q55" s="567">
        <v>-3.0464000000000002</v>
      </c>
      <c r="R55" s="570">
        <v>0</v>
      </c>
      <c r="S55" s="570">
        <v>0</v>
      </c>
      <c r="T55" s="567"/>
      <c r="U55" s="567"/>
      <c r="V55" s="567"/>
      <c r="W55" s="568">
        <v>0</v>
      </c>
      <c r="X55" s="568">
        <v>0</v>
      </c>
      <c r="Y55" s="567">
        <v>1</v>
      </c>
    </row>
    <row r="56" spans="1:25" x14ac:dyDescent="0.25">
      <c r="A56" s="570">
        <v>52</v>
      </c>
      <c r="B56" s="570">
        <v>0</v>
      </c>
      <c r="C56" s="570">
        <v>0</v>
      </c>
      <c r="D56" s="567">
        <v>61.025622000000006</v>
      </c>
      <c r="E56" s="567">
        <v>17.784504999999999</v>
      </c>
      <c r="F56" s="567">
        <v>0.51659999999999995</v>
      </c>
      <c r="G56" s="570">
        <v>0</v>
      </c>
      <c r="H56" s="570">
        <v>0</v>
      </c>
      <c r="I56" s="567"/>
      <c r="J56" s="567"/>
      <c r="K56" s="567"/>
      <c r="L56" s="568">
        <v>0</v>
      </c>
      <c r="M56" s="568">
        <v>0</v>
      </c>
      <c r="N56" s="567">
        <v>1</v>
      </c>
      <c r="O56" s="567">
        <v>61.025622000000006</v>
      </c>
      <c r="P56" s="567">
        <v>17.784504999999999</v>
      </c>
      <c r="Q56" s="567">
        <v>-2.5346000000000002</v>
      </c>
      <c r="R56" s="570">
        <v>0</v>
      </c>
      <c r="S56" s="570">
        <v>0</v>
      </c>
      <c r="T56" s="567"/>
      <c r="U56" s="567"/>
      <c r="V56" s="567"/>
      <c r="W56" s="568">
        <v>0</v>
      </c>
      <c r="X56" s="568">
        <v>0</v>
      </c>
      <c r="Y56" s="567">
        <v>1</v>
      </c>
    </row>
    <row r="57" spans="1:25" x14ac:dyDescent="0.25">
      <c r="A57" s="570">
        <v>53</v>
      </c>
      <c r="B57" s="570">
        <v>0</v>
      </c>
      <c r="C57" s="570">
        <v>0</v>
      </c>
      <c r="D57" s="567">
        <v>60.964818999999999</v>
      </c>
      <c r="E57" s="567">
        <v>37.903331999999999</v>
      </c>
      <c r="F57" s="567">
        <v>0.51659999999999995</v>
      </c>
      <c r="G57" s="570">
        <v>0</v>
      </c>
      <c r="H57" s="570">
        <v>0</v>
      </c>
      <c r="I57" s="567"/>
      <c r="J57" s="567"/>
      <c r="K57" s="567"/>
      <c r="L57" s="568">
        <v>0</v>
      </c>
      <c r="M57" s="568">
        <v>0</v>
      </c>
      <c r="N57" s="567">
        <v>1</v>
      </c>
      <c r="O57" s="567">
        <v>60.964818999999999</v>
      </c>
      <c r="P57" s="567">
        <v>37.903331999999999</v>
      </c>
      <c r="Q57" s="567">
        <v>-2.5346000000000002</v>
      </c>
      <c r="R57" s="570">
        <v>0</v>
      </c>
      <c r="S57" s="570">
        <v>0</v>
      </c>
      <c r="T57" s="567"/>
      <c r="U57" s="567"/>
      <c r="V57" s="567"/>
      <c r="W57" s="568">
        <v>0</v>
      </c>
      <c r="X57" s="568">
        <v>0</v>
      </c>
      <c r="Y57" s="567">
        <v>1</v>
      </c>
    </row>
    <row r="58" spans="1:25" x14ac:dyDescent="0.25">
      <c r="A58" s="570">
        <v>54</v>
      </c>
      <c r="B58" s="570">
        <v>0</v>
      </c>
      <c r="C58" s="570">
        <v>0</v>
      </c>
      <c r="D58" s="567">
        <v>32.807499</v>
      </c>
      <c r="E58" s="567">
        <v>39.261600000000001</v>
      </c>
      <c r="F58" s="567">
        <v>0.51659999999999995</v>
      </c>
      <c r="G58" s="570">
        <v>0</v>
      </c>
      <c r="H58" s="570">
        <v>0</v>
      </c>
      <c r="I58" s="567"/>
      <c r="J58" s="567"/>
      <c r="K58" s="567"/>
      <c r="L58" s="568">
        <v>0</v>
      </c>
      <c r="M58" s="568">
        <v>0</v>
      </c>
      <c r="N58" s="567">
        <v>1</v>
      </c>
      <c r="O58" s="567">
        <v>32.807499</v>
      </c>
      <c r="P58" s="567">
        <v>39.261600000000001</v>
      </c>
      <c r="Q58" s="567">
        <v>-2.5346000000000002</v>
      </c>
      <c r="R58" s="570">
        <v>0</v>
      </c>
      <c r="S58" s="570">
        <v>0</v>
      </c>
      <c r="T58" s="567"/>
      <c r="U58" s="567"/>
      <c r="V58" s="567"/>
      <c r="W58" s="568">
        <v>0</v>
      </c>
      <c r="X58" s="568">
        <v>0</v>
      </c>
      <c r="Y58" s="567">
        <v>1</v>
      </c>
    </row>
    <row r="59" spans="1:25" x14ac:dyDescent="0.25">
      <c r="A59" s="570">
        <v>55</v>
      </c>
      <c r="B59" s="570">
        <v>0</v>
      </c>
      <c r="C59" s="570">
        <v>0</v>
      </c>
      <c r="D59" s="567">
        <v>17.7209</v>
      </c>
      <c r="E59" s="567">
        <v>39.261600000000001</v>
      </c>
      <c r="F59" s="567">
        <v>0.51659999999999995</v>
      </c>
      <c r="G59" s="570">
        <v>0</v>
      </c>
      <c r="H59" s="570">
        <v>0</v>
      </c>
      <c r="I59" s="567"/>
      <c r="J59" s="567"/>
      <c r="K59" s="567"/>
      <c r="L59" s="568">
        <v>0</v>
      </c>
      <c r="M59" s="568">
        <v>0</v>
      </c>
      <c r="N59" s="567">
        <v>1</v>
      </c>
      <c r="O59" s="567">
        <v>17.7209</v>
      </c>
      <c r="P59" s="567">
        <v>39.261600000000001</v>
      </c>
      <c r="Q59" s="567">
        <v>-2.5346000000000002</v>
      </c>
      <c r="R59" s="570">
        <v>0</v>
      </c>
      <c r="S59" s="570">
        <v>0</v>
      </c>
      <c r="T59" s="567"/>
      <c r="U59" s="567"/>
      <c r="V59" s="567"/>
      <c r="W59" s="568">
        <v>0</v>
      </c>
      <c r="X59" s="568">
        <v>0</v>
      </c>
      <c r="Y59" s="567">
        <v>1</v>
      </c>
    </row>
    <row r="60" spans="1:25" x14ac:dyDescent="0.25">
      <c r="A60" s="570">
        <v>56</v>
      </c>
      <c r="B60" s="570">
        <v>0</v>
      </c>
      <c r="C60" s="570">
        <v>0</v>
      </c>
      <c r="D60" s="567">
        <v>0.93969999999999998</v>
      </c>
      <c r="E60" s="567">
        <v>39.261600000000001</v>
      </c>
      <c r="F60" s="567">
        <v>0.51659999999999995</v>
      </c>
      <c r="G60" s="570">
        <v>0</v>
      </c>
      <c r="H60" s="570">
        <v>0</v>
      </c>
      <c r="I60" s="567"/>
      <c r="J60" s="567"/>
      <c r="K60" s="567"/>
      <c r="L60" s="568">
        <v>0</v>
      </c>
      <c r="M60" s="568">
        <v>0</v>
      </c>
      <c r="N60" s="567">
        <v>1</v>
      </c>
      <c r="O60" s="567">
        <v>0.93969999999999998</v>
      </c>
      <c r="P60" s="567">
        <v>39.261600000000001</v>
      </c>
      <c r="Q60" s="567">
        <v>-2.5346000000000002</v>
      </c>
      <c r="R60" s="570">
        <v>0</v>
      </c>
      <c r="S60" s="570">
        <v>0</v>
      </c>
      <c r="T60" s="567"/>
      <c r="U60" s="567"/>
      <c r="V60" s="567"/>
      <c r="W60" s="568">
        <v>0</v>
      </c>
      <c r="X60" s="568">
        <v>0</v>
      </c>
      <c r="Y60" s="567">
        <v>1</v>
      </c>
    </row>
    <row r="61" spans="1:25" x14ac:dyDescent="0.25">
      <c r="A61" s="570">
        <v>57</v>
      </c>
      <c r="B61" s="570">
        <v>0</v>
      </c>
      <c r="C61" s="570">
        <v>0</v>
      </c>
      <c r="D61" s="567">
        <v>5.2699999999999997E-2</v>
      </c>
      <c r="E61" s="567">
        <v>2.2700000000000001E-2</v>
      </c>
      <c r="F61" s="567">
        <v>9.5500000000000002E-2</v>
      </c>
      <c r="G61" s="570">
        <v>0</v>
      </c>
      <c r="H61" s="570">
        <v>0</v>
      </c>
      <c r="I61" s="567"/>
      <c r="J61" s="567"/>
      <c r="K61" s="567"/>
      <c r="L61" s="568">
        <v>0</v>
      </c>
      <c r="M61" s="568">
        <v>0</v>
      </c>
      <c r="N61" s="567">
        <v>1</v>
      </c>
      <c r="O61" s="567">
        <v>5.2699999999999997E-2</v>
      </c>
      <c r="P61" s="567">
        <v>2.2700000000000001E-2</v>
      </c>
      <c r="Q61" s="567">
        <v>-2.9557000000000002</v>
      </c>
      <c r="R61" s="570">
        <v>0</v>
      </c>
      <c r="S61" s="570">
        <v>0</v>
      </c>
      <c r="T61" s="567"/>
      <c r="U61" s="567"/>
      <c r="V61" s="567"/>
      <c r="W61" s="568">
        <v>0</v>
      </c>
      <c r="X61" s="568">
        <v>0</v>
      </c>
      <c r="Y61" s="567">
        <v>1</v>
      </c>
    </row>
    <row r="62" spans="1:25" x14ac:dyDescent="0.25">
      <c r="A62" s="570"/>
      <c r="B62" s="570"/>
      <c r="C62" s="570"/>
      <c r="D62" s="567"/>
      <c r="E62" s="567"/>
      <c r="F62" s="567"/>
      <c r="G62" s="570"/>
      <c r="H62" s="570"/>
      <c r="I62" s="567"/>
      <c r="J62" s="567"/>
      <c r="K62" s="567"/>
      <c r="L62" s="568"/>
      <c r="M62" s="568"/>
      <c r="N62" s="567"/>
      <c r="O62" s="567"/>
      <c r="P62" s="567"/>
      <c r="Q62" s="567"/>
      <c r="R62" s="570"/>
      <c r="S62" s="570"/>
      <c r="T62" s="567"/>
      <c r="U62" s="567"/>
      <c r="V62" s="567"/>
      <c r="W62" s="568"/>
      <c r="X62" s="568"/>
      <c r="Y62" s="567"/>
    </row>
    <row r="63" spans="1:25" x14ac:dyDescent="0.25">
      <c r="A63" s="570"/>
      <c r="B63" s="570"/>
      <c r="C63" s="570"/>
      <c r="D63" s="567"/>
      <c r="E63" s="567"/>
      <c r="F63" s="567"/>
      <c r="G63" s="570"/>
      <c r="H63" s="570"/>
      <c r="I63" s="567"/>
      <c r="J63" s="567"/>
      <c r="K63" s="567"/>
      <c r="L63" s="568"/>
      <c r="M63" s="568"/>
      <c r="N63" s="567"/>
      <c r="O63" s="567"/>
      <c r="P63" s="567"/>
      <c r="Q63" s="567"/>
      <c r="R63" s="570"/>
      <c r="S63" s="570"/>
      <c r="T63" s="567"/>
      <c r="U63" s="567"/>
      <c r="V63" s="567"/>
      <c r="W63" s="568"/>
      <c r="X63" s="568"/>
      <c r="Y63" s="567"/>
    </row>
    <row r="64" spans="1:25" x14ac:dyDescent="0.25">
      <c r="A64" s="570"/>
      <c r="B64" s="570"/>
      <c r="C64" s="570"/>
      <c r="D64" s="567"/>
      <c r="E64" s="567"/>
      <c r="F64" s="567"/>
      <c r="G64" s="570"/>
      <c r="H64" s="570"/>
      <c r="I64" s="567"/>
      <c r="J64" s="567"/>
      <c r="K64" s="567"/>
      <c r="L64" s="568"/>
      <c r="M64" s="568"/>
      <c r="N64" s="567"/>
      <c r="O64" s="567"/>
      <c r="P64" s="567"/>
      <c r="Q64" s="567"/>
      <c r="R64" s="570"/>
      <c r="S64" s="570"/>
      <c r="T64" s="567"/>
      <c r="U64" s="567"/>
      <c r="V64" s="567"/>
      <c r="W64" s="568"/>
      <c r="X64" s="568"/>
      <c r="Y64" s="567"/>
    </row>
    <row r="65" spans="1:25" x14ac:dyDescent="0.25">
      <c r="A65" s="570"/>
      <c r="B65" s="570"/>
      <c r="C65" s="570"/>
      <c r="D65" s="567"/>
      <c r="E65" s="567"/>
      <c r="F65" s="567"/>
      <c r="G65" s="570"/>
      <c r="H65" s="570"/>
      <c r="I65" s="567"/>
      <c r="J65" s="567"/>
      <c r="K65" s="567"/>
      <c r="L65" s="568"/>
      <c r="M65" s="568"/>
      <c r="N65" s="567"/>
      <c r="O65" s="567"/>
      <c r="P65" s="567"/>
      <c r="Q65" s="567"/>
      <c r="R65" s="570"/>
      <c r="S65" s="570"/>
      <c r="T65" s="567"/>
      <c r="U65" s="567"/>
      <c r="V65" s="567"/>
      <c r="W65" s="568"/>
      <c r="X65" s="568"/>
      <c r="Y65" s="567"/>
    </row>
    <row r="66" spans="1:25" x14ac:dyDescent="0.25">
      <c r="A66" s="570"/>
      <c r="B66" s="570"/>
      <c r="C66" s="570"/>
      <c r="D66" s="567"/>
      <c r="E66" s="567"/>
      <c r="F66" s="567"/>
      <c r="G66" s="570"/>
      <c r="H66" s="570"/>
      <c r="I66" s="567"/>
      <c r="J66" s="567"/>
      <c r="K66" s="567"/>
      <c r="L66" s="568"/>
      <c r="M66" s="568"/>
      <c r="N66" s="567"/>
      <c r="O66" s="567"/>
      <c r="P66" s="567"/>
      <c r="Q66" s="567"/>
      <c r="R66" s="570"/>
      <c r="S66" s="570"/>
      <c r="T66" s="567"/>
      <c r="U66" s="567"/>
      <c r="V66" s="567"/>
      <c r="W66" s="568"/>
      <c r="X66" s="568"/>
      <c r="Y66" s="567"/>
    </row>
    <row r="67" spans="1:25" x14ac:dyDescent="0.25">
      <c r="A67" s="570"/>
      <c r="B67" s="570"/>
      <c r="C67" s="570"/>
      <c r="D67" s="567"/>
      <c r="E67" s="567"/>
      <c r="F67" s="567"/>
      <c r="G67" s="570"/>
      <c r="H67" s="570"/>
      <c r="I67" s="567"/>
      <c r="J67" s="567"/>
      <c r="K67" s="567"/>
      <c r="L67" s="568"/>
      <c r="M67" s="568"/>
      <c r="N67" s="567"/>
      <c r="O67" s="567"/>
      <c r="P67" s="567"/>
      <c r="Q67" s="567"/>
      <c r="R67" s="570"/>
      <c r="S67" s="570"/>
      <c r="T67" s="567"/>
      <c r="U67" s="567"/>
      <c r="V67" s="567"/>
      <c r="W67" s="568"/>
      <c r="X67" s="568"/>
      <c r="Y67" s="567"/>
    </row>
    <row r="68" spans="1:25" x14ac:dyDescent="0.25">
      <c r="A68" s="570"/>
      <c r="B68" s="570"/>
      <c r="C68" s="570"/>
      <c r="D68" s="567"/>
      <c r="E68" s="567"/>
      <c r="F68" s="567"/>
      <c r="G68" s="570"/>
      <c r="H68" s="570"/>
      <c r="I68" s="567"/>
      <c r="J68" s="567"/>
      <c r="K68" s="567"/>
      <c r="L68" s="568"/>
      <c r="M68" s="568"/>
      <c r="N68" s="567"/>
      <c r="O68" s="567"/>
      <c r="P68" s="567"/>
      <c r="Q68" s="567"/>
      <c r="R68" s="570"/>
      <c r="S68" s="570"/>
      <c r="T68" s="567"/>
      <c r="U68" s="567"/>
      <c r="V68" s="567"/>
      <c r="W68" s="568"/>
      <c r="X68" s="568"/>
      <c r="Y68" s="567"/>
    </row>
    <row r="69" spans="1:25" x14ac:dyDescent="0.25">
      <c r="A69" s="570"/>
      <c r="B69" s="570"/>
      <c r="C69" s="570"/>
      <c r="D69" s="567"/>
      <c r="E69" s="567"/>
      <c r="F69" s="567"/>
      <c r="G69" s="570"/>
      <c r="H69" s="570"/>
      <c r="I69" s="567"/>
      <c r="J69" s="567"/>
      <c r="K69" s="567"/>
      <c r="L69" s="568"/>
      <c r="M69" s="568"/>
      <c r="N69" s="567"/>
      <c r="O69" s="567"/>
      <c r="P69" s="567"/>
      <c r="Q69" s="567"/>
      <c r="R69" s="570"/>
      <c r="S69" s="570"/>
      <c r="T69" s="567"/>
      <c r="U69" s="567"/>
      <c r="V69" s="567"/>
      <c r="W69" s="568"/>
      <c r="X69" s="568"/>
      <c r="Y69" s="567"/>
    </row>
    <row r="70" spans="1:25" x14ac:dyDescent="0.25">
      <c r="A70" s="570"/>
      <c r="B70" s="570"/>
      <c r="C70" s="570"/>
      <c r="D70" s="567"/>
      <c r="E70" s="567"/>
      <c r="F70" s="567"/>
      <c r="G70" s="570"/>
      <c r="H70" s="570"/>
      <c r="I70" s="567"/>
      <c r="J70" s="567"/>
      <c r="K70" s="567"/>
      <c r="L70" s="568"/>
      <c r="M70" s="568"/>
      <c r="N70" s="567"/>
      <c r="O70" s="567"/>
      <c r="P70" s="567"/>
      <c r="Q70" s="567"/>
      <c r="R70" s="570"/>
      <c r="S70" s="570"/>
      <c r="T70" s="567"/>
      <c r="U70" s="567"/>
      <c r="V70" s="567"/>
      <c r="W70" s="568"/>
      <c r="X70" s="568"/>
      <c r="Y70" s="567"/>
    </row>
    <row r="71" spans="1:25" x14ac:dyDescent="0.25">
      <c r="A71" s="570"/>
      <c r="B71" s="570"/>
      <c r="C71" s="570"/>
      <c r="D71" s="567"/>
      <c r="E71" s="567"/>
      <c r="F71" s="567"/>
      <c r="G71" s="570"/>
      <c r="H71" s="570"/>
      <c r="I71" s="567"/>
      <c r="J71" s="567"/>
      <c r="K71" s="567"/>
      <c r="L71" s="568"/>
      <c r="M71" s="568"/>
      <c r="N71" s="567"/>
      <c r="O71" s="567"/>
      <c r="P71" s="567"/>
      <c r="Q71" s="567"/>
      <c r="R71" s="570"/>
      <c r="S71" s="570"/>
      <c r="T71" s="567"/>
      <c r="U71" s="567"/>
      <c r="V71" s="567"/>
      <c r="W71" s="568"/>
      <c r="X71" s="568"/>
      <c r="Y71" s="567"/>
    </row>
    <row r="72" spans="1:25" x14ac:dyDescent="0.25">
      <c r="A72" s="570"/>
      <c r="B72" s="570"/>
      <c r="C72" s="570"/>
      <c r="D72" s="567"/>
      <c r="E72" s="567"/>
      <c r="F72" s="567"/>
      <c r="G72" s="570"/>
      <c r="H72" s="570"/>
      <c r="I72" s="567"/>
      <c r="J72" s="567"/>
      <c r="K72" s="567"/>
      <c r="L72" s="568"/>
      <c r="M72" s="568"/>
      <c r="N72" s="567"/>
      <c r="O72" s="567"/>
      <c r="P72" s="567"/>
      <c r="Q72" s="567"/>
      <c r="R72" s="570"/>
      <c r="S72" s="570"/>
      <c r="T72" s="567"/>
      <c r="U72" s="567"/>
      <c r="V72" s="567"/>
      <c r="W72" s="568"/>
      <c r="X72" s="568"/>
      <c r="Y72" s="567"/>
    </row>
    <row r="73" spans="1:25" x14ac:dyDescent="0.25">
      <c r="A73" s="570"/>
      <c r="B73" s="570"/>
      <c r="C73" s="570"/>
      <c r="D73" s="567"/>
      <c r="E73" s="567"/>
      <c r="F73" s="567"/>
      <c r="G73" s="570"/>
      <c r="H73" s="570"/>
      <c r="I73" s="567"/>
      <c r="J73" s="567"/>
      <c r="K73" s="567"/>
      <c r="L73" s="568"/>
      <c r="M73" s="568"/>
      <c r="N73" s="567"/>
      <c r="O73" s="567"/>
      <c r="P73" s="567"/>
      <c r="Q73" s="567"/>
      <c r="R73" s="570"/>
      <c r="S73" s="570"/>
      <c r="T73" s="567"/>
      <c r="U73" s="567"/>
      <c r="V73" s="567"/>
      <c r="W73" s="568"/>
      <c r="X73" s="568"/>
      <c r="Y73" s="567"/>
    </row>
    <row r="74" spans="1:25" x14ac:dyDescent="0.25">
      <c r="A74" s="570"/>
      <c r="B74" s="570"/>
      <c r="C74" s="570"/>
      <c r="D74" s="567"/>
      <c r="E74" s="567"/>
      <c r="F74" s="567"/>
      <c r="G74" s="570"/>
      <c r="H74" s="570"/>
      <c r="I74" s="567"/>
      <c r="J74" s="567"/>
      <c r="K74" s="567"/>
      <c r="L74" s="568"/>
      <c r="M74" s="568"/>
      <c r="N74" s="567"/>
      <c r="O74" s="567"/>
      <c r="P74" s="567"/>
      <c r="Q74" s="567"/>
      <c r="R74" s="570"/>
      <c r="S74" s="570"/>
      <c r="T74" s="567"/>
      <c r="U74" s="567"/>
      <c r="V74" s="567"/>
      <c r="W74" s="568"/>
      <c r="X74" s="568"/>
      <c r="Y74" s="567"/>
    </row>
    <row r="75" spans="1:25" x14ac:dyDescent="0.25">
      <c r="A75" s="570"/>
      <c r="B75" s="570"/>
      <c r="C75" s="570"/>
      <c r="D75" s="567"/>
      <c r="E75" s="567"/>
      <c r="F75" s="567"/>
      <c r="G75" s="570"/>
      <c r="H75" s="570"/>
      <c r="I75" s="567"/>
      <c r="J75" s="567"/>
      <c r="K75" s="567"/>
      <c r="L75" s="568"/>
      <c r="M75" s="568"/>
      <c r="N75" s="567"/>
      <c r="O75" s="567"/>
      <c r="P75" s="567"/>
      <c r="Q75" s="567"/>
      <c r="R75" s="570"/>
      <c r="S75" s="570"/>
      <c r="T75" s="567"/>
      <c r="U75" s="567"/>
      <c r="V75" s="567"/>
      <c r="W75" s="568"/>
      <c r="X75" s="568"/>
      <c r="Y75" s="567"/>
    </row>
    <row r="76" spans="1:25" x14ac:dyDescent="0.25">
      <c r="A76" s="570"/>
      <c r="B76" s="570"/>
      <c r="C76" s="570"/>
      <c r="D76" s="567"/>
      <c r="E76" s="567"/>
      <c r="F76" s="567"/>
      <c r="G76" s="570"/>
      <c r="H76" s="570"/>
      <c r="I76" s="567"/>
      <c r="J76" s="567"/>
      <c r="K76" s="567"/>
      <c r="L76" s="568"/>
      <c r="M76" s="568"/>
      <c r="N76" s="567"/>
      <c r="O76" s="567"/>
      <c r="P76" s="567"/>
      <c r="Q76" s="567"/>
      <c r="R76" s="570"/>
      <c r="S76" s="570"/>
      <c r="T76" s="567"/>
      <c r="U76" s="567"/>
      <c r="V76" s="567"/>
      <c r="W76" s="568"/>
      <c r="X76" s="568"/>
      <c r="Y76" s="567"/>
    </row>
    <row r="77" spans="1:25" x14ac:dyDescent="0.25">
      <c r="A77" s="570"/>
      <c r="B77" s="570"/>
      <c r="C77" s="570"/>
      <c r="D77" s="567"/>
      <c r="E77" s="567"/>
      <c r="F77" s="567"/>
      <c r="G77" s="570"/>
      <c r="H77" s="570"/>
      <c r="I77" s="567"/>
      <c r="J77" s="567"/>
      <c r="K77" s="567"/>
      <c r="L77" s="568"/>
      <c r="M77" s="568"/>
      <c r="N77" s="567"/>
      <c r="O77" s="567"/>
      <c r="P77" s="567"/>
      <c r="Q77" s="567"/>
      <c r="R77" s="570"/>
      <c r="S77" s="570"/>
      <c r="T77" s="567"/>
      <c r="U77" s="567"/>
      <c r="V77" s="567"/>
      <c r="W77" s="568"/>
      <c r="X77" s="568"/>
      <c r="Y77" s="567"/>
    </row>
    <row r="78" spans="1:25" x14ac:dyDescent="0.25">
      <c r="A78" s="570"/>
      <c r="B78" s="570"/>
      <c r="C78" s="570"/>
      <c r="D78" s="567"/>
      <c r="E78" s="567"/>
      <c r="F78" s="567"/>
      <c r="G78" s="570"/>
      <c r="H78" s="570"/>
      <c r="I78" s="567"/>
      <c r="J78" s="567"/>
      <c r="K78" s="567"/>
      <c r="L78" s="568"/>
      <c r="M78" s="568"/>
      <c r="N78" s="567"/>
      <c r="O78" s="567"/>
      <c r="P78" s="567"/>
      <c r="Q78" s="567"/>
      <c r="R78" s="570"/>
      <c r="S78" s="570"/>
      <c r="T78" s="567"/>
      <c r="U78" s="567"/>
      <c r="V78" s="567"/>
      <c r="W78" s="568"/>
      <c r="X78" s="568"/>
      <c r="Y78" s="567"/>
    </row>
    <row r="79" spans="1:25" x14ac:dyDescent="0.25">
      <c r="A79" s="570"/>
      <c r="B79" s="570"/>
      <c r="C79" s="570"/>
      <c r="D79" s="567"/>
      <c r="E79" s="567"/>
      <c r="F79" s="567"/>
      <c r="G79" s="570"/>
      <c r="H79" s="570"/>
      <c r="I79" s="567"/>
      <c r="J79" s="567"/>
      <c r="K79" s="567"/>
      <c r="L79" s="568"/>
      <c r="M79" s="568"/>
      <c r="N79" s="567"/>
      <c r="O79" s="567"/>
      <c r="P79" s="567"/>
      <c r="Q79" s="567"/>
      <c r="R79" s="570"/>
      <c r="S79" s="570"/>
      <c r="T79" s="567"/>
      <c r="U79" s="567"/>
      <c r="V79" s="567"/>
      <c r="W79" s="568"/>
      <c r="X79" s="568"/>
      <c r="Y79" s="567"/>
    </row>
    <row r="80" spans="1:25" x14ac:dyDescent="0.25">
      <c r="A80" s="570"/>
      <c r="B80" s="570"/>
      <c r="C80" s="570"/>
      <c r="D80" s="567"/>
      <c r="E80" s="567"/>
      <c r="F80" s="567"/>
      <c r="G80" s="570"/>
      <c r="H80" s="570"/>
      <c r="I80" s="567"/>
      <c r="J80" s="567"/>
      <c r="K80" s="567"/>
      <c r="L80" s="568"/>
      <c r="M80" s="568"/>
      <c r="N80" s="567"/>
      <c r="O80" s="567"/>
      <c r="P80" s="567"/>
      <c r="Q80" s="567"/>
      <c r="R80" s="570"/>
      <c r="S80" s="570"/>
      <c r="T80" s="567"/>
      <c r="U80" s="567"/>
      <c r="V80" s="567"/>
      <c r="W80" s="568"/>
      <c r="X80" s="568"/>
      <c r="Y80" s="567"/>
    </row>
    <row r="81" spans="1:25" x14ac:dyDescent="0.25">
      <c r="A81" s="570"/>
      <c r="B81" s="570"/>
      <c r="C81" s="570"/>
      <c r="D81" s="567"/>
      <c r="E81" s="567"/>
      <c r="F81" s="567"/>
      <c r="G81" s="570"/>
      <c r="H81" s="570"/>
      <c r="I81" s="567"/>
      <c r="J81" s="567"/>
      <c r="K81" s="567"/>
      <c r="L81" s="568"/>
      <c r="M81" s="568"/>
      <c r="N81" s="567"/>
      <c r="O81" s="567"/>
      <c r="P81" s="567"/>
      <c r="Q81" s="567"/>
      <c r="R81" s="570"/>
      <c r="S81" s="570"/>
      <c r="T81" s="567"/>
      <c r="U81" s="567"/>
      <c r="V81" s="567"/>
      <c r="W81" s="568"/>
      <c r="X81" s="568"/>
      <c r="Y81" s="567"/>
    </row>
    <row r="82" spans="1:25" x14ac:dyDescent="0.25">
      <c r="A82" s="570"/>
      <c r="B82" s="570"/>
      <c r="C82" s="570"/>
      <c r="D82" s="567"/>
      <c r="E82" s="567"/>
      <c r="F82" s="567"/>
      <c r="G82" s="570"/>
      <c r="H82" s="570"/>
      <c r="I82" s="567"/>
      <c r="J82" s="567"/>
      <c r="K82" s="567"/>
      <c r="L82" s="568"/>
      <c r="M82" s="568"/>
      <c r="N82" s="567"/>
      <c r="O82" s="567"/>
      <c r="P82" s="567"/>
      <c r="Q82" s="567"/>
      <c r="R82" s="570"/>
      <c r="S82" s="570"/>
      <c r="T82" s="567"/>
      <c r="U82" s="567"/>
      <c r="V82" s="567"/>
      <c r="W82" s="568"/>
      <c r="X82" s="568"/>
      <c r="Y82" s="567"/>
    </row>
    <row r="83" spans="1:25" x14ac:dyDescent="0.25">
      <c r="A83" s="570"/>
      <c r="B83" s="570"/>
      <c r="C83" s="570"/>
      <c r="D83" s="567"/>
      <c r="E83" s="567"/>
      <c r="F83" s="567"/>
      <c r="G83" s="570"/>
      <c r="H83" s="570"/>
      <c r="I83" s="567"/>
      <c r="J83" s="567"/>
      <c r="K83" s="567"/>
      <c r="L83" s="568"/>
      <c r="M83" s="568"/>
      <c r="N83" s="567"/>
      <c r="O83" s="567"/>
      <c r="P83" s="567"/>
      <c r="Q83" s="567"/>
      <c r="R83" s="570"/>
      <c r="S83" s="570"/>
      <c r="T83" s="567"/>
      <c r="U83" s="567"/>
      <c r="V83" s="567"/>
      <c r="W83" s="568"/>
      <c r="X83" s="568"/>
      <c r="Y83" s="567"/>
    </row>
    <row r="84" spans="1:25" x14ac:dyDescent="0.25">
      <c r="A84" s="570"/>
      <c r="B84" s="570"/>
      <c r="C84" s="570"/>
      <c r="D84" s="567"/>
      <c r="E84" s="567"/>
      <c r="F84" s="567"/>
      <c r="G84" s="570"/>
      <c r="H84" s="570"/>
      <c r="I84" s="567"/>
      <c r="J84" s="567"/>
      <c r="K84" s="567"/>
      <c r="L84" s="568"/>
      <c r="M84" s="568"/>
      <c r="N84" s="567"/>
      <c r="O84" s="567"/>
      <c r="P84" s="567"/>
      <c r="Q84" s="567"/>
      <c r="R84" s="570"/>
      <c r="S84" s="570"/>
      <c r="T84" s="567"/>
      <c r="U84" s="567"/>
      <c r="V84" s="567"/>
      <c r="W84" s="568"/>
      <c r="X84" s="568"/>
      <c r="Y84" s="567"/>
    </row>
    <row r="85" spans="1:25" x14ac:dyDescent="0.25">
      <c r="A85" s="570"/>
      <c r="B85" s="570"/>
      <c r="C85" s="570"/>
      <c r="D85" s="567"/>
      <c r="E85" s="567"/>
      <c r="F85" s="567"/>
      <c r="G85" s="570"/>
      <c r="H85" s="570"/>
      <c r="I85" s="567"/>
      <c r="J85" s="567"/>
      <c r="K85" s="567"/>
      <c r="L85" s="568"/>
      <c r="M85" s="568"/>
      <c r="N85" s="567"/>
      <c r="O85" s="567"/>
      <c r="P85" s="567"/>
      <c r="Q85" s="567"/>
      <c r="R85" s="570"/>
      <c r="S85" s="570"/>
      <c r="T85" s="567"/>
      <c r="U85" s="567"/>
      <c r="V85" s="567"/>
      <c r="W85" s="568"/>
      <c r="X85" s="568"/>
      <c r="Y85" s="567"/>
    </row>
    <row r="86" spans="1:25" x14ac:dyDescent="0.25">
      <c r="A86" s="570"/>
      <c r="B86" s="570"/>
      <c r="C86" s="570"/>
      <c r="D86" s="567"/>
      <c r="E86" s="567"/>
      <c r="F86" s="567"/>
      <c r="G86" s="570"/>
      <c r="H86" s="570"/>
      <c r="I86" s="567"/>
      <c r="J86" s="567"/>
      <c r="K86" s="567"/>
      <c r="L86" s="568"/>
      <c r="M86" s="568"/>
      <c r="N86" s="567"/>
      <c r="O86" s="567"/>
      <c r="P86" s="567"/>
      <c r="Q86" s="567"/>
      <c r="R86" s="570"/>
      <c r="S86" s="570"/>
      <c r="T86" s="567"/>
      <c r="U86" s="567"/>
      <c r="V86" s="567"/>
      <c r="W86" s="568"/>
      <c r="X86" s="568"/>
      <c r="Y86" s="567"/>
    </row>
    <row r="87" spans="1:25" x14ac:dyDescent="0.25">
      <c r="A87" s="570"/>
      <c r="B87" s="570"/>
      <c r="C87" s="570"/>
      <c r="D87" s="567"/>
      <c r="E87" s="567"/>
      <c r="F87" s="567"/>
      <c r="G87" s="570"/>
      <c r="H87" s="570"/>
      <c r="I87" s="567"/>
      <c r="J87" s="567"/>
      <c r="K87" s="567"/>
      <c r="L87" s="568"/>
      <c r="M87" s="568"/>
      <c r="N87" s="567"/>
      <c r="O87" s="567"/>
      <c r="P87" s="567"/>
      <c r="Q87" s="567"/>
      <c r="R87" s="570"/>
      <c r="S87" s="570"/>
      <c r="T87" s="567"/>
      <c r="U87" s="567"/>
      <c r="V87" s="567"/>
      <c r="W87" s="568"/>
      <c r="X87" s="568"/>
      <c r="Y87" s="567"/>
    </row>
    <row r="88" spans="1:25" x14ac:dyDescent="0.25">
      <c r="A88" s="570"/>
      <c r="B88" s="570"/>
      <c r="C88" s="570"/>
      <c r="D88" s="567"/>
      <c r="E88" s="567"/>
      <c r="F88" s="567"/>
      <c r="G88" s="570"/>
      <c r="H88" s="570"/>
      <c r="I88" s="567"/>
      <c r="J88" s="567"/>
      <c r="K88" s="567"/>
      <c r="L88" s="568"/>
      <c r="M88" s="568"/>
      <c r="N88" s="567"/>
      <c r="O88" s="567"/>
      <c r="P88" s="567"/>
      <c r="Q88" s="567"/>
      <c r="R88" s="570"/>
      <c r="S88" s="570"/>
      <c r="T88" s="567"/>
      <c r="U88" s="567"/>
      <c r="V88" s="567"/>
      <c r="W88" s="568"/>
      <c r="X88" s="568"/>
      <c r="Y88" s="567"/>
    </row>
    <row r="89" spans="1:25" x14ac:dyDescent="0.25">
      <c r="A89" s="570"/>
      <c r="B89" s="570"/>
      <c r="C89" s="570"/>
      <c r="D89" s="567"/>
      <c r="E89" s="567"/>
      <c r="F89" s="567"/>
      <c r="G89" s="570"/>
      <c r="H89" s="570"/>
      <c r="I89" s="567"/>
      <c r="J89" s="567"/>
      <c r="K89" s="567"/>
      <c r="L89" s="568"/>
      <c r="M89" s="568"/>
      <c r="N89" s="567"/>
      <c r="O89" s="567"/>
      <c r="P89" s="567"/>
      <c r="Q89" s="567"/>
      <c r="R89" s="570"/>
      <c r="S89" s="570"/>
      <c r="T89" s="567"/>
      <c r="U89" s="567"/>
      <c r="V89" s="567"/>
      <c r="W89" s="568"/>
      <c r="X89" s="568"/>
      <c r="Y89" s="567"/>
    </row>
    <row r="90" spans="1:25" x14ac:dyDescent="0.25">
      <c r="A90" s="570"/>
      <c r="B90" s="570"/>
      <c r="C90" s="570"/>
      <c r="D90" s="567"/>
      <c r="E90" s="567"/>
      <c r="F90" s="567"/>
      <c r="G90" s="570"/>
      <c r="H90" s="570"/>
      <c r="I90" s="567"/>
      <c r="J90" s="567"/>
      <c r="K90" s="567"/>
      <c r="L90" s="568"/>
      <c r="M90" s="568"/>
      <c r="N90" s="567"/>
      <c r="O90" s="567"/>
      <c r="P90" s="567"/>
      <c r="Q90" s="567"/>
      <c r="R90" s="570"/>
      <c r="S90" s="570"/>
      <c r="T90" s="567"/>
      <c r="U90" s="567"/>
      <c r="V90" s="567"/>
      <c r="W90" s="568"/>
      <c r="X90" s="568"/>
      <c r="Y90" s="567"/>
    </row>
    <row r="91" spans="1:25" x14ac:dyDescent="0.25">
      <c r="A91" s="570"/>
      <c r="B91" s="570"/>
      <c r="C91" s="570"/>
      <c r="D91" s="567"/>
      <c r="E91" s="567"/>
      <c r="F91" s="567"/>
      <c r="G91" s="570"/>
      <c r="H91" s="570"/>
      <c r="I91" s="567"/>
      <c r="J91" s="567"/>
      <c r="K91" s="567"/>
      <c r="L91" s="568"/>
      <c r="M91" s="568"/>
      <c r="N91" s="567"/>
      <c r="O91" s="567"/>
      <c r="P91" s="567"/>
      <c r="Q91" s="567"/>
      <c r="R91" s="570"/>
      <c r="S91" s="570"/>
      <c r="T91" s="567"/>
      <c r="U91" s="567"/>
      <c r="V91" s="567"/>
      <c r="W91" s="568"/>
      <c r="X91" s="568"/>
      <c r="Y91" s="567"/>
    </row>
    <row r="92" spans="1:25" x14ac:dyDescent="0.25">
      <c r="A92" s="570"/>
      <c r="B92" s="570"/>
      <c r="C92" s="570"/>
      <c r="D92" s="567"/>
      <c r="E92" s="567"/>
      <c r="F92" s="567"/>
      <c r="G92" s="570"/>
      <c r="H92" s="570"/>
      <c r="I92" s="567"/>
      <c r="J92" s="567"/>
      <c r="K92" s="567"/>
      <c r="L92" s="568"/>
      <c r="M92" s="568"/>
      <c r="N92" s="567"/>
      <c r="O92" s="567"/>
      <c r="P92" s="567"/>
      <c r="Q92" s="567"/>
      <c r="R92" s="570"/>
      <c r="S92" s="570"/>
      <c r="T92" s="567"/>
      <c r="U92" s="567"/>
      <c r="V92" s="567"/>
      <c r="W92" s="568"/>
      <c r="X92" s="568"/>
      <c r="Y92" s="567"/>
    </row>
    <row r="93" spans="1:25" x14ac:dyDescent="0.25">
      <c r="A93" s="570"/>
      <c r="B93" s="570"/>
      <c r="C93" s="570"/>
      <c r="D93" s="567"/>
      <c r="E93" s="567"/>
      <c r="F93" s="567"/>
      <c r="G93" s="570"/>
      <c r="H93" s="570"/>
      <c r="I93" s="567"/>
      <c r="J93" s="567"/>
      <c r="K93" s="567"/>
      <c r="L93" s="568"/>
      <c r="M93" s="568"/>
      <c r="N93" s="567"/>
      <c r="O93" s="567"/>
      <c r="P93" s="567"/>
      <c r="Q93" s="567"/>
      <c r="R93" s="570"/>
      <c r="S93" s="570"/>
      <c r="T93" s="567"/>
      <c r="U93" s="567"/>
      <c r="V93" s="567"/>
      <c r="W93" s="568"/>
      <c r="X93" s="568"/>
      <c r="Y93" s="567"/>
    </row>
    <row r="94" spans="1:25" x14ac:dyDescent="0.25">
      <c r="A94" s="570"/>
      <c r="B94" s="570"/>
      <c r="C94" s="570"/>
      <c r="D94" s="567"/>
      <c r="E94" s="567"/>
      <c r="F94" s="567"/>
      <c r="G94" s="570"/>
      <c r="H94" s="570"/>
      <c r="I94" s="567"/>
      <c r="J94" s="567"/>
      <c r="K94" s="567"/>
      <c r="L94" s="568"/>
      <c r="M94" s="568"/>
      <c r="N94" s="567"/>
      <c r="O94" s="567"/>
      <c r="P94" s="567"/>
      <c r="Q94" s="567"/>
      <c r="R94" s="570"/>
      <c r="S94" s="570"/>
      <c r="T94" s="567"/>
      <c r="U94" s="567"/>
      <c r="V94" s="567"/>
      <c r="W94" s="568"/>
      <c r="X94" s="568"/>
      <c r="Y94" s="567"/>
    </row>
    <row r="95" spans="1:25" x14ac:dyDescent="0.25">
      <c r="A95" s="570"/>
      <c r="B95" s="570"/>
      <c r="C95" s="570"/>
      <c r="D95" s="567"/>
      <c r="E95" s="567"/>
      <c r="F95" s="567"/>
      <c r="G95" s="570"/>
      <c r="H95" s="570"/>
      <c r="I95" s="567"/>
      <c r="J95" s="567"/>
      <c r="K95" s="567"/>
      <c r="L95" s="568"/>
      <c r="M95" s="568"/>
      <c r="N95" s="567"/>
      <c r="O95" s="567"/>
      <c r="P95" s="567"/>
      <c r="Q95" s="567"/>
      <c r="R95" s="570"/>
      <c r="S95" s="570"/>
      <c r="T95" s="567"/>
      <c r="U95" s="567"/>
      <c r="V95" s="567"/>
      <c r="W95" s="568"/>
      <c r="X95" s="568"/>
      <c r="Y95" s="567"/>
    </row>
    <row r="96" spans="1:25" x14ac:dyDescent="0.25">
      <c r="A96" s="570"/>
      <c r="B96" s="570"/>
      <c r="C96" s="570"/>
      <c r="D96" s="567"/>
      <c r="E96" s="567"/>
      <c r="F96" s="567"/>
      <c r="G96" s="570"/>
      <c r="H96" s="570"/>
      <c r="I96" s="567"/>
      <c r="J96" s="567"/>
      <c r="K96" s="567"/>
      <c r="L96" s="568"/>
      <c r="M96" s="568"/>
      <c r="N96" s="567"/>
      <c r="O96" s="567"/>
      <c r="P96" s="567"/>
      <c r="Q96" s="567"/>
      <c r="R96" s="570"/>
      <c r="S96" s="570"/>
      <c r="T96" s="567"/>
      <c r="U96" s="567"/>
      <c r="V96" s="567"/>
      <c r="W96" s="568"/>
      <c r="X96" s="568"/>
      <c r="Y96" s="567"/>
    </row>
    <row r="97" spans="1:25" x14ac:dyDescent="0.25">
      <c r="A97" s="570"/>
      <c r="B97" s="570"/>
      <c r="C97" s="570"/>
      <c r="D97" s="567"/>
      <c r="E97" s="567"/>
      <c r="F97" s="567"/>
      <c r="G97" s="570"/>
      <c r="H97" s="570"/>
      <c r="I97" s="567"/>
      <c r="J97" s="567"/>
      <c r="K97" s="567"/>
      <c r="L97" s="568"/>
      <c r="M97" s="568"/>
      <c r="N97" s="567"/>
      <c r="O97" s="567"/>
      <c r="P97" s="567"/>
      <c r="Q97" s="567"/>
      <c r="R97" s="570"/>
      <c r="S97" s="570"/>
      <c r="T97" s="567"/>
      <c r="U97" s="567"/>
      <c r="V97" s="567"/>
      <c r="W97" s="568"/>
      <c r="X97" s="568"/>
      <c r="Y97" s="567"/>
    </row>
    <row r="98" spans="1:25" x14ac:dyDescent="0.25">
      <c r="A98" s="570"/>
      <c r="B98" s="570"/>
      <c r="C98" s="570"/>
      <c r="D98" s="567"/>
      <c r="E98" s="567"/>
      <c r="F98" s="567"/>
      <c r="G98" s="570"/>
      <c r="H98" s="570"/>
      <c r="I98" s="567"/>
      <c r="J98" s="567"/>
      <c r="K98" s="567"/>
      <c r="L98" s="568"/>
      <c r="M98" s="568"/>
      <c r="N98" s="567"/>
      <c r="O98" s="567"/>
      <c r="P98" s="567"/>
      <c r="Q98" s="567"/>
      <c r="R98" s="570"/>
      <c r="S98" s="570"/>
      <c r="T98" s="567"/>
      <c r="U98" s="567"/>
      <c r="V98" s="567"/>
      <c r="W98" s="568"/>
      <c r="X98" s="568"/>
      <c r="Y98" s="567"/>
    </row>
    <row r="99" spans="1:25" x14ac:dyDescent="0.25">
      <c r="A99" s="570"/>
      <c r="B99" s="570"/>
      <c r="C99" s="570"/>
      <c r="D99" s="567"/>
      <c r="E99" s="567"/>
      <c r="F99" s="567"/>
      <c r="G99" s="570"/>
      <c r="H99" s="570"/>
      <c r="I99" s="567"/>
      <c r="J99" s="567"/>
      <c r="K99" s="567"/>
      <c r="L99" s="568"/>
      <c r="M99" s="568"/>
      <c r="N99" s="567"/>
      <c r="O99" s="567"/>
      <c r="P99" s="567"/>
      <c r="Q99" s="567"/>
      <c r="R99" s="570"/>
      <c r="S99" s="570"/>
      <c r="T99" s="567"/>
      <c r="U99" s="567"/>
      <c r="V99" s="567"/>
      <c r="W99" s="568"/>
      <c r="X99" s="568"/>
      <c r="Y99" s="567"/>
    </row>
    <row r="100" spans="1:25" x14ac:dyDescent="0.25">
      <c r="A100" s="570"/>
      <c r="B100" s="570"/>
      <c r="C100" s="570"/>
      <c r="D100" s="567"/>
      <c r="E100" s="567"/>
      <c r="F100" s="567"/>
      <c r="G100" s="570"/>
      <c r="H100" s="570"/>
      <c r="I100" s="567"/>
      <c r="J100" s="567"/>
      <c r="K100" s="567"/>
      <c r="L100" s="568"/>
      <c r="M100" s="568"/>
      <c r="N100" s="567"/>
      <c r="O100" s="567"/>
      <c r="P100" s="567"/>
      <c r="Q100" s="567"/>
      <c r="R100" s="570"/>
      <c r="S100" s="570"/>
      <c r="T100" s="567"/>
      <c r="U100" s="567"/>
      <c r="V100" s="567"/>
      <c r="W100" s="568"/>
      <c r="X100" s="568"/>
      <c r="Y100" s="567"/>
    </row>
    <row r="101" spans="1:25" x14ac:dyDescent="0.25">
      <c r="A101" s="570"/>
      <c r="B101" s="570"/>
      <c r="C101" s="570"/>
      <c r="D101" s="567"/>
      <c r="E101" s="567"/>
      <c r="F101" s="567"/>
      <c r="G101" s="570"/>
      <c r="H101" s="570"/>
      <c r="I101" s="567"/>
      <c r="J101" s="567"/>
      <c r="K101" s="567"/>
      <c r="L101" s="568"/>
      <c r="M101" s="568"/>
      <c r="N101" s="567"/>
      <c r="O101" s="567"/>
      <c r="P101" s="567"/>
      <c r="Q101" s="567"/>
      <c r="R101" s="570"/>
      <c r="S101" s="570"/>
      <c r="T101" s="567"/>
      <c r="U101" s="567"/>
      <c r="V101" s="567"/>
      <c r="W101" s="568"/>
      <c r="X101" s="568"/>
      <c r="Y101" s="567"/>
    </row>
    <row r="102" spans="1:25" x14ac:dyDescent="0.25">
      <c r="A102" s="570"/>
      <c r="B102" s="570"/>
      <c r="C102" s="570"/>
      <c r="D102" s="567"/>
      <c r="E102" s="567"/>
      <c r="F102" s="567"/>
      <c r="G102" s="570"/>
      <c r="H102" s="570"/>
      <c r="I102" s="567"/>
      <c r="J102" s="567"/>
      <c r="K102" s="567"/>
      <c r="L102" s="568"/>
      <c r="M102" s="568"/>
      <c r="N102" s="567"/>
      <c r="O102" s="567"/>
      <c r="P102" s="567"/>
      <c r="Q102" s="567"/>
      <c r="R102" s="570"/>
      <c r="S102" s="570"/>
      <c r="T102" s="567"/>
      <c r="U102" s="567"/>
      <c r="V102" s="567"/>
      <c r="W102" s="568"/>
      <c r="X102" s="568"/>
      <c r="Y102" s="567"/>
    </row>
    <row r="103" spans="1:25" x14ac:dyDescent="0.25">
      <c r="A103" s="570"/>
      <c r="B103" s="570"/>
      <c r="C103" s="570"/>
      <c r="D103" s="567"/>
      <c r="E103" s="567"/>
      <c r="F103" s="567"/>
      <c r="G103" s="570"/>
      <c r="H103" s="570"/>
      <c r="I103" s="567"/>
      <c r="J103" s="567"/>
      <c r="K103" s="567"/>
      <c r="L103" s="568"/>
      <c r="M103" s="568"/>
      <c r="N103" s="567"/>
      <c r="O103" s="567"/>
      <c r="P103" s="567"/>
      <c r="Q103" s="567"/>
      <c r="R103" s="570"/>
      <c r="S103" s="570"/>
      <c r="T103" s="567"/>
      <c r="U103" s="567"/>
      <c r="V103" s="567"/>
      <c r="W103" s="568"/>
      <c r="X103" s="568"/>
      <c r="Y103" s="567"/>
    </row>
    <row r="104" spans="1:25" x14ac:dyDescent="0.25">
      <c r="A104" s="570"/>
      <c r="B104" s="570"/>
      <c r="C104" s="570"/>
      <c r="D104" s="567"/>
      <c r="E104" s="567"/>
      <c r="F104" s="567"/>
      <c r="G104" s="570"/>
      <c r="H104" s="570"/>
      <c r="I104" s="567"/>
      <c r="J104" s="567"/>
      <c r="K104" s="567"/>
      <c r="L104" s="568"/>
      <c r="M104" s="568"/>
      <c r="N104" s="567"/>
      <c r="O104" s="567"/>
      <c r="P104" s="567"/>
      <c r="Q104" s="567"/>
      <c r="R104" s="570"/>
      <c r="S104" s="570"/>
      <c r="T104" s="567"/>
      <c r="U104" s="567"/>
      <c r="V104" s="567"/>
      <c r="W104" s="568"/>
      <c r="X104" s="568"/>
      <c r="Y104" s="567"/>
    </row>
    <row r="105" spans="1:25" x14ac:dyDescent="0.25">
      <c r="A105" s="570"/>
      <c r="B105" s="570"/>
      <c r="C105" s="570"/>
      <c r="D105" s="567"/>
      <c r="E105" s="567"/>
      <c r="F105" s="567"/>
      <c r="G105" s="570"/>
      <c r="H105" s="570"/>
      <c r="I105" s="567"/>
      <c r="J105" s="567"/>
      <c r="K105" s="567"/>
      <c r="L105" s="568"/>
      <c r="M105" s="568"/>
      <c r="N105" s="567"/>
      <c r="O105" s="567"/>
      <c r="P105" s="567"/>
      <c r="Q105" s="567"/>
      <c r="R105" s="570"/>
      <c r="S105" s="570"/>
      <c r="T105" s="567"/>
      <c r="U105" s="567"/>
      <c r="V105" s="567"/>
      <c r="W105" s="568"/>
      <c r="X105" s="568"/>
      <c r="Y105" s="567"/>
    </row>
    <row r="106" spans="1:25" x14ac:dyDescent="0.25">
      <c r="A106" s="570"/>
      <c r="B106" s="570"/>
      <c r="C106" s="570"/>
      <c r="D106" s="567"/>
      <c r="E106" s="567"/>
      <c r="F106" s="567"/>
      <c r="G106" s="570"/>
      <c r="H106" s="570"/>
      <c r="I106" s="567"/>
      <c r="J106" s="567"/>
      <c r="K106" s="567"/>
      <c r="L106" s="568"/>
      <c r="M106" s="568"/>
      <c r="N106" s="567"/>
      <c r="O106" s="567"/>
      <c r="P106" s="567"/>
      <c r="Q106" s="567"/>
      <c r="R106" s="570"/>
      <c r="S106" s="570"/>
      <c r="T106" s="567"/>
      <c r="U106" s="567"/>
      <c r="V106" s="567"/>
      <c r="W106" s="568"/>
      <c r="X106" s="568"/>
      <c r="Y106" s="567"/>
    </row>
    <row r="107" spans="1:25" x14ac:dyDescent="0.25">
      <c r="A107" s="570"/>
      <c r="B107" s="570"/>
      <c r="C107" s="570"/>
      <c r="D107" s="567"/>
      <c r="E107" s="567"/>
      <c r="F107" s="567"/>
      <c r="G107" s="570"/>
      <c r="H107" s="570"/>
      <c r="I107" s="567"/>
      <c r="J107" s="567"/>
      <c r="K107" s="567"/>
      <c r="L107" s="568"/>
      <c r="M107" s="568"/>
      <c r="N107" s="567"/>
      <c r="O107" s="567"/>
      <c r="P107" s="567"/>
      <c r="Q107" s="567"/>
      <c r="R107" s="570"/>
      <c r="S107" s="570"/>
      <c r="T107" s="567"/>
      <c r="U107" s="567"/>
      <c r="V107" s="567"/>
      <c r="W107" s="568"/>
      <c r="X107" s="568"/>
      <c r="Y107" s="567"/>
    </row>
    <row r="108" spans="1:25" x14ac:dyDescent="0.25">
      <c r="A108" s="570"/>
      <c r="B108" s="570"/>
      <c r="C108" s="570"/>
      <c r="D108" s="567"/>
      <c r="E108" s="567"/>
      <c r="F108" s="567"/>
      <c r="G108" s="570"/>
      <c r="H108" s="570"/>
      <c r="I108" s="567"/>
      <c r="J108" s="567"/>
      <c r="K108" s="567"/>
      <c r="L108" s="568"/>
      <c r="M108" s="568"/>
      <c r="N108" s="567"/>
      <c r="O108" s="567"/>
      <c r="P108" s="567"/>
      <c r="Q108" s="567"/>
      <c r="R108" s="570"/>
      <c r="S108" s="570"/>
      <c r="T108" s="567"/>
      <c r="U108" s="567"/>
      <c r="V108" s="567"/>
      <c r="W108" s="568"/>
      <c r="X108" s="568"/>
      <c r="Y108" s="567"/>
    </row>
    <row r="109" spans="1:25" x14ac:dyDescent="0.25">
      <c r="A109" s="570"/>
      <c r="B109" s="570"/>
      <c r="C109" s="570"/>
      <c r="D109" s="567"/>
      <c r="E109" s="567"/>
      <c r="F109" s="567"/>
      <c r="G109" s="570"/>
      <c r="H109" s="570"/>
      <c r="I109" s="567"/>
      <c r="J109" s="567"/>
      <c r="K109" s="567"/>
      <c r="L109" s="568"/>
      <c r="M109" s="568"/>
      <c r="N109" s="567"/>
      <c r="O109" s="567"/>
      <c r="P109" s="567"/>
      <c r="Q109" s="567"/>
      <c r="R109" s="570"/>
      <c r="S109" s="570"/>
      <c r="T109" s="567"/>
      <c r="U109" s="567"/>
      <c r="V109" s="567"/>
      <c r="W109" s="568"/>
      <c r="X109" s="568"/>
      <c r="Y109" s="567"/>
    </row>
    <row r="110" spans="1:25" x14ac:dyDescent="0.25">
      <c r="A110" s="570"/>
      <c r="B110" s="570"/>
      <c r="C110" s="570"/>
      <c r="D110" s="567"/>
      <c r="E110" s="567"/>
      <c r="F110" s="567"/>
      <c r="G110" s="570"/>
      <c r="H110" s="570"/>
      <c r="I110" s="567"/>
      <c r="J110" s="567"/>
      <c r="K110" s="567"/>
      <c r="L110" s="568"/>
      <c r="M110" s="568"/>
      <c r="N110" s="567"/>
      <c r="O110" s="567"/>
      <c r="P110" s="567"/>
      <c r="Q110" s="567"/>
      <c r="R110" s="570"/>
      <c r="S110" s="570"/>
      <c r="T110" s="567"/>
      <c r="U110" s="567"/>
      <c r="V110" s="567"/>
      <c r="W110" s="568"/>
      <c r="X110" s="568"/>
      <c r="Y110" s="567"/>
    </row>
    <row r="111" spans="1:25" x14ac:dyDescent="0.25">
      <c r="A111" s="570"/>
      <c r="B111" s="570"/>
      <c r="C111" s="570"/>
      <c r="D111" s="567"/>
      <c r="E111" s="567"/>
      <c r="F111" s="567"/>
      <c r="G111" s="570"/>
      <c r="H111" s="570"/>
      <c r="I111" s="567"/>
      <c r="J111" s="567"/>
      <c r="K111" s="567"/>
      <c r="L111" s="568"/>
      <c r="M111" s="568"/>
      <c r="N111" s="567"/>
      <c r="O111" s="567"/>
      <c r="P111" s="567"/>
      <c r="Q111" s="567"/>
      <c r="R111" s="570"/>
      <c r="S111" s="570"/>
      <c r="T111" s="567"/>
      <c r="U111" s="567"/>
      <c r="V111" s="567"/>
      <c r="W111" s="568"/>
      <c r="X111" s="568"/>
      <c r="Y111" s="567"/>
    </row>
    <row r="112" spans="1:25" x14ac:dyDescent="0.25">
      <c r="A112" s="570"/>
      <c r="B112" s="570"/>
      <c r="C112" s="570"/>
      <c r="D112" s="567"/>
      <c r="E112" s="567"/>
      <c r="F112" s="567"/>
      <c r="G112" s="570"/>
      <c r="H112" s="570"/>
      <c r="I112" s="567"/>
      <c r="J112" s="567"/>
      <c r="K112" s="567"/>
      <c r="L112" s="568"/>
      <c r="M112" s="568"/>
      <c r="N112" s="567"/>
      <c r="O112" s="567"/>
      <c r="P112" s="567"/>
      <c r="Q112" s="567"/>
      <c r="R112" s="570"/>
      <c r="S112" s="570"/>
      <c r="T112" s="567"/>
      <c r="U112" s="567"/>
      <c r="V112" s="567"/>
      <c r="W112" s="568"/>
      <c r="X112" s="568"/>
      <c r="Y112" s="567"/>
    </row>
    <row r="113" spans="1:25" x14ac:dyDescent="0.25">
      <c r="A113" s="570"/>
      <c r="B113" s="570"/>
      <c r="C113" s="570"/>
      <c r="D113" s="567"/>
      <c r="E113" s="567"/>
      <c r="F113" s="567"/>
      <c r="G113" s="570"/>
      <c r="H113" s="570"/>
      <c r="I113" s="567"/>
      <c r="J113" s="567"/>
      <c r="K113" s="567"/>
      <c r="L113" s="568"/>
      <c r="M113" s="568"/>
      <c r="N113" s="567"/>
      <c r="O113" s="567"/>
      <c r="P113" s="567"/>
      <c r="Q113" s="567"/>
      <c r="R113" s="570"/>
      <c r="S113" s="570"/>
      <c r="T113" s="567"/>
      <c r="U113" s="567"/>
      <c r="V113" s="567"/>
      <c r="W113" s="568"/>
      <c r="X113" s="568"/>
      <c r="Y113" s="567"/>
    </row>
    <row r="114" spans="1:25" x14ac:dyDescent="0.25">
      <c r="A114" s="570"/>
      <c r="B114" s="570"/>
      <c r="C114" s="570"/>
      <c r="D114" s="567"/>
      <c r="E114" s="567"/>
      <c r="F114" s="567"/>
      <c r="G114" s="570"/>
      <c r="H114" s="570"/>
      <c r="I114" s="567"/>
      <c r="J114" s="567"/>
      <c r="K114" s="567"/>
      <c r="L114" s="568"/>
      <c r="M114" s="568"/>
      <c r="N114" s="567"/>
      <c r="O114" s="567"/>
      <c r="P114" s="567"/>
      <c r="Q114" s="567"/>
      <c r="R114" s="570"/>
      <c r="S114" s="570"/>
      <c r="T114" s="567"/>
      <c r="U114" s="567"/>
      <c r="V114" s="567"/>
      <c r="W114" s="568"/>
      <c r="X114" s="568"/>
      <c r="Y114" s="567"/>
    </row>
    <row r="115" spans="1:25" x14ac:dyDescent="0.25">
      <c r="A115" s="570"/>
      <c r="B115" s="570"/>
      <c r="C115" s="570"/>
      <c r="D115" s="567"/>
      <c r="E115" s="567"/>
      <c r="F115" s="567"/>
      <c r="G115" s="570"/>
      <c r="H115" s="570"/>
      <c r="I115" s="567"/>
      <c r="J115" s="567"/>
      <c r="K115" s="567"/>
      <c r="L115" s="568"/>
      <c r="M115" s="568"/>
      <c r="N115" s="567"/>
      <c r="O115" s="567"/>
      <c r="P115" s="567"/>
      <c r="Q115" s="567"/>
      <c r="R115" s="570"/>
      <c r="S115" s="570"/>
      <c r="T115" s="567"/>
      <c r="U115" s="567"/>
      <c r="V115" s="567"/>
      <c r="W115" s="568"/>
      <c r="X115" s="568"/>
      <c r="Y115" s="567"/>
    </row>
    <row r="116" spans="1:25" x14ac:dyDescent="0.25">
      <c r="A116" s="570"/>
      <c r="B116" s="570"/>
      <c r="C116" s="570"/>
      <c r="D116" s="567"/>
      <c r="E116" s="567"/>
      <c r="F116" s="567"/>
      <c r="G116" s="570"/>
      <c r="H116" s="570"/>
      <c r="I116" s="567"/>
      <c r="J116" s="567"/>
      <c r="K116" s="567"/>
      <c r="L116" s="568"/>
      <c r="M116" s="568"/>
      <c r="N116" s="567"/>
      <c r="O116" s="567"/>
      <c r="P116" s="567"/>
      <c r="Q116" s="567"/>
      <c r="R116" s="570"/>
      <c r="S116" s="570"/>
      <c r="T116" s="567"/>
      <c r="U116" s="567"/>
      <c r="V116" s="567"/>
      <c r="W116" s="568"/>
      <c r="X116" s="568"/>
      <c r="Y116" s="567"/>
    </row>
    <row r="117" spans="1:25" x14ac:dyDescent="0.25">
      <c r="A117" s="570"/>
      <c r="B117" s="570"/>
      <c r="C117" s="570"/>
      <c r="D117" s="567"/>
      <c r="E117" s="567"/>
      <c r="F117" s="567"/>
      <c r="G117" s="570"/>
      <c r="H117" s="570"/>
      <c r="I117" s="567"/>
      <c r="J117" s="567"/>
      <c r="K117" s="567"/>
      <c r="L117" s="568"/>
      <c r="M117" s="568"/>
      <c r="N117" s="567"/>
      <c r="O117" s="567"/>
      <c r="P117" s="567"/>
      <c r="Q117" s="567"/>
      <c r="R117" s="570"/>
      <c r="S117" s="570"/>
      <c r="T117" s="567"/>
      <c r="U117" s="567"/>
      <c r="V117" s="567"/>
      <c r="W117" s="568"/>
      <c r="X117" s="568"/>
      <c r="Y117" s="567"/>
    </row>
    <row r="118" spans="1:25" x14ac:dyDescent="0.25">
      <c r="A118" s="570"/>
      <c r="B118" s="570"/>
      <c r="C118" s="570"/>
      <c r="D118" s="567"/>
      <c r="E118" s="567"/>
      <c r="F118" s="567"/>
      <c r="G118" s="570"/>
      <c r="H118" s="570"/>
      <c r="I118" s="567"/>
      <c r="J118" s="567"/>
      <c r="K118" s="567"/>
      <c r="L118" s="568"/>
      <c r="M118" s="568"/>
      <c r="N118" s="567"/>
      <c r="O118" s="567"/>
      <c r="P118" s="567"/>
      <c r="Q118" s="567"/>
      <c r="R118" s="570"/>
      <c r="S118" s="570"/>
      <c r="T118" s="567"/>
      <c r="U118" s="567"/>
      <c r="V118" s="567"/>
      <c r="W118" s="568"/>
      <c r="X118" s="568"/>
      <c r="Y118" s="567"/>
    </row>
    <row r="119" spans="1:25" x14ac:dyDescent="0.25">
      <c r="A119" s="570"/>
      <c r="B119" s="570"/>
      <c r="C119" s="570"/>
      <c r="D119" s="567"/>
      <c r="E119" s="567"/>
      <c r="F119" s="567"/>
      <c r="G119" s="570"/>
      <c r="H119" s="570"/>
      <c r="I119" s="567"/>
      <c r="J119" s="567"/>
      <c r="K119" s="567"/>
      <c r="L119" s="568"/>
      <c r="M119" s="568"/>
      <c r="N119" s="567"/>
      <c r="O119" s="567"/>
      <c r="P119" s="567"/>
      <c r="Q119" s="567"/>
      <c r="R119" s="570"/>
      <c r="S119" s="570"/>
      <c r="T119" s="567"/>
      <c r="U119" s="567"/>
      <c r="V119" s="567"/>
      <c r="W119" s="568"/>
      <c r="X119" s="568"/>
      <c r="Y119" s="567"/>
    </row>
    <row r="120" spans="1:25" x14ac:dyDescent="0.25">
      <c r="A120" s="570"/>
      <c r="B120" s="570"/>
      <c r="C120" s="570"/>
      <c r="D120" s="567"/>
      <c r="E120" s="567"/>
      <c r="F120" s="567"/>
      <c r="G120" s="570"/>
      <c r="H120" s="570"/>
      <c r="I120" s="567"/>
      <c r="J120" s="567"/>
      <c r="K120" s="567"/>
      <c r="L120" s="568"/>
      <c r="M120" s="568"/>
      <c r="N120" s="567"/>
      <c r="O120" s="567"/>
      <c r="P120" s="567"/>
      <c r="Q120" s="567"/>
      <c r="R120" s="570"/>
      <c r="S120" s="570"/>
      <c r="T120" s="567"/>
      <c r="U120" s="567"/>
      <c r="V120" s="567"/>
      <c r="W120" s="568"/>
      <c r="X120" s="568"/>
      <c r="Y120" s="567"/>
    </row>
    <row r="121" spans="1:25" x14ac:dyDescent="0.25">
      <c r="A121" s="570"/>
      <c r="B121" s="570"/>
      <c r="C121" s="570"/>
      <c r="D121" s="567"/>
      <c r="E121" s="567"/>
      <c r="F121" s="567"/>
      <c r="G121" s="570"/>
      <c r="H121" s="570"/>
      <c r="I121" s="567"/>
      <c r="J121" s="567"/>
      <c r="K121" s="567"/>
      <c r="L121" s="568"/>
      <c r="M121" s="568"/>
      <c r="N121" s="567"/>
      <c r="O121" s="567"/>
      <c r="P121" s="567"/>
      <c r="Q121" s="567"/>
      <c r="R121" s="570"/>
      <c r="S121" s="570"/>
      <c r="T121" s="567"/>
      <c r="U121" s="567"/>
      <c r="V121" s="567"/>
      <c r="W121" s="568"/>
      <c r="X121" s="568"/>
      <c r="Y121" s="567"/>
    </row>
    <row r="122" spans="1:25" x14ac:dyDescent="0.25">
      <c r="A122" s="570"/>
      <c r="B122" s="570"/>
      <c r="C122" s="570"/>
      <c r="D122" s="567"/>
      <c r="E122" s="567"/>
      <c r="F122" s="567"/>
      <c r="G122" s="570"/>
      <c r="H122" s="570"/>
      <c r="I122" s="567"/>
      <c r="J122" s="567"/>
      <c r="K122" s="567"/>
      <c r="L122" s="568"/>
      <c r="M122" s="568"/>
      <c r="N122" s="567"/>
      <c r="O122" s="567"/>
      <c r="P122" s="567"/>
      <c r="Q122" s="567"/>
      <c r="R122" s="570"/>
      <c r="S122" s="570"/>
      <c r="T122" s="567"/>
      <c r="U122" s="567"/>
      <c r="V122" s="567"/>
      <c r="W122" s="568"/>
      <c r="X122" s="568"/>
      <c r="Y122" s="567"/>
    </row>
    <row r="123" spans="1:25" x14ac:dyDescent="0.25">
      <c r="A123" s="570"/>
      <c r="B123" s="570"/>
      <c r="C123" s="570"/>
      <c r="D123" s="567"/>
      <c r="E123" s="567"/>
      <c r="F123" s="567"/>
      <c r="G123" s="570"/>
      <c r="H123" s="570"/>
      <c r="I123" s="567"/>
      <c r="J123" s="567"/>
      <c r="K123" s="567"/>
      <c r="L123" s="568"/>
      <c r="M123" s="568"/>
      <c r="N123" s="567"/>
      <c r="O123" s="567"/>
      <c r="P123" s="567"/>
      <c r="Q123" s="567"/>
      <c r="R123" s="570"/>
      <c r="S123" s="570"/>
      <c r="T123" s="567"/>
      <c r="U123" s="567"/>
      <c r="V123" s="567"/>
      <c r="W123" s="568"/>
      <c r="X123" s="568"/>
      <c r="Y123" s="567"/>
    </row>
    <row r="124" spans="1:25" x14ac:dyDescent="0.25">
      <c r="A124" s="570"/>
      <c r="B124" s="570"/>
      <c r="C124" s="570"/>
      <c r="D124" s="567"/>
      <c r="E124" s="567"/>
      <c r="F124" s="567"/>
      <c r="G124" s="570"/>
      <c r="H124" s="570"/>
      <c r="I124" s="567"/>
      <c r="J124" s="567"/>
      <c r="K124" s="567"/>
      <c r="L124" s="568"/>
      <c r="M124" s="568"/>
      <c r="N124" s="567"/>
      <c r="O124" s="567"/>
      <c r="P124" s="567"/>
      <c r="Q124" s="567"/>
      <c r="R124" s="570"/>
      <c r="S124" s="570"/>
      <c r="T124" s="567"/>
      <c r="U124" s="567"/>
      <c r="V124" s="567"/>
      <c r="W124" s="568"/>
      <c r="X124" s="568"/>
      <c r="Y124" s="567"/>
    </row>
    <row r="125" spans="1:25" x14ac:dyDescent="0.25">
      <c r="A125" s="570"/>
      <c r="B125" s="570"/>
      <c r="C125" s="570"/>
      <c r="D125" s="567"/>
      <c r="E125" s="567"/>
      <c r="F125" s="567"/>
      <c r="G125" s="570"/>
      <c r="H125" s="570"/>
      <c r="I125" s="567"/>
      <c r="J125" s="567"/>
      <c r="K125" s="567"/>
      <c r="L125" s="568"/>
      <c r="M125" s="568"/>
      <c r="N125" s="567"/>
      <c r="O125" s="567"/>
      <c r="P125" s="567"/>
      <c r="Q125" s="567"/>
      <c r="R125" s="570"/>
      <c r="S125" s="570"/>
      <c r="T125" s="567"/>
      <c r="U125" s="567"/>
      <c r="V125" s="567"/>
      <c r="W125" s="568"/>
      <c r="X125" s="568"/>
      <c r="Y125" s="567"/>
    </row>
    <row r="126" spans="1:25" x14ac:dyDescent="0.25">
      <c r="A126" s="570"/>
      <c r="B126" s="570"/>
      <c r="C126" s="570"/>
      <c r="D126" s="567"/>
      <c r="E126" s="567"/>
      <c r="F126" s="567"/>
      <c r="G126" s="570"/>
      <c r="H126" s="570"/>
      <c r="I126" s="567"/>
      <c r="J126" s="567"/>
      <c r="K126" s="567"/>
      <c r="L126" s="568"/>
      <c r="M126" s="568"/>
      <c r="N126" s="567"/>
      <c r="O126" s="567"/>
      <c r="P126" s="567"/>
      <c r="Q126" s="567"/>
      <c r="R126" s="570"/>
      <c r="S126" s="570"/>
      <c r="T126" s="567"/>
      <c r="U126" s="567"/>
      <c r="V126" s="567"/>
      <c r="W126" s="568"/>
      <c r="X126" s="568"/>
      <c r="Y126" s="567"/>
    </row>
    <row r="127" spans="1:25" x14ac:dyDescent="0.25">
      <c r="A127" s="570"/>
      <c r="B127" s="570"/>
      <c r="C127" s="570"/>
      <c r="D127" s="567"/>
      <c r="E127" s="567"/>
      <c r="F127" s="567"/>
      <c r="G127" s="570"/>
      <c r="H127" s="570"/>
      <c r="I127" s="567"/>
      <c r="J127" s="567"/>
      <c r="K127" s="567"/>
      <c r="L127" s="568"/>
      <c r="M127" s="568"/>
      <c r="N127" s="567"/>
      <c r="O127" s="567"/>
      <c r="P127" s="567"/>
      <c r="Q127" s="567"/>
      <c r="R127" s="570"/>
      <c r="S127" s="570"/>
      <c r="T127" s="567"/>
      <c r="U127" s="567"/>
      <c r="V127" s="567"/>
      <c r="W127" s="568"/>
      <c r="X127" s="568"/>
      <c r="Y127" s="567"/>
    </row>
    <row r="128" spans="1:25" x14ac:dyDescent="0.25">
      <c r="A128" s="570"/>
      <c r="B128" s="570"/>
      <c r="C128" s="570"/>
      <c r="D128" s="567"/>
      <c r="E128" s="567"/>
      <c r="F128" s="567"/>
      <c r="G128" s="570"/>
      <c r="H128" s="570"/>
      <c r="I128" s="567"/>
      <c r="J128" s="567"/>
      <c r="K128" s="567"/>
      <c r="L128" s="568"/>
      <c r="M128" s="568"/>
      <c r="N128" s="567"/>
      <c r="O128" s="567"/>
      <c r="P128" s="567"/>
      <c r="Q128" s="567"/>
      <c r="R128" s="570"/>
      <c r="S128" s="570"/>
      <c r="T128" s="567"/>
      <c r="U128" s="567"/>
      <c r="V128" s="567"/>
      <c r="W128" s="568"/>
      <c r="X128" s="568"/>
      <c r="Y128" s="567"/>
    </row>
    <row r="129" spans="1:25" x14ac:dyDescent="0.25">
      <c r="A129" s="570"/>
      <c r="B129" s="570"/>
      <c r="C129" s="570"/>
      <c r="D129" s="567"/>
      <c r="E129" s="567"/>
      <c r="F129" s="567"/>
      <c r="G129" s="570"/>
      <c r="H129" s="570"/>
      <c r="I129" s="567"/>
      <c r="J129" s="567"/>
      <c r="K129" s="567"/>
      <c r="L129" s="568"/>
      <c r="M129" s="568"/>
      <c r="N129" s="567"/>
      <c r="O129" s="567"/>
      <c r="P129" s="567"/>
      <c r="Q129" s="567"/>
      <c r="R129" s="570"/>
      <c r="S129" s="570"/>
      <c r="T129" s="567"/>
      <c r="U129" s="567"/>
      <c r="V129" s="567"/>
      <c r="W129" s="568"/>
      <c r="X129" s="568"/>
      <c r="Y129" s="567"/>
    </row>
    <row r="130" spans="1:25" x14ac:dyDescent="0.25">
      <c r="A130" s="570"/>
      <c r="B130" s="570"/>
      <c r="C130" s="570"/>
      <c r="D130" s="567"/>
      <c r="E130" s="567"/>
      <c r="F130" s="567"/>
      <c r="G130" s="570"/>
      <c r="H130" s="570"/>
      <c r="I130" s="567"/>
      <c r="J130" s="567"/>
      <c r="K130" s="567"/>
      <c r="L130" s="568"/>
      <c r="M130" s="568"/>
      <c r="N130" s="567"/>
      <c r="O130" s="567"/>
      <c r="P130" s="567"/>
      <c r="Q130" s="567"/>
      <c r="R130" s="570"/>
      <c r="S130" s="570"/>
      <c r="T130" s="567"/>
      <c r="U130" s="567"/>
      <c r="V130" s="567"/>
      <c r="W130" s="568"/>
      <c r="X130" s="568"/>
      <c r="Y130" s="567"/>
    </row>
    <row r="131" spans="1:25" x14ac:dyDescent="0.25">
      <c r="A131" s="570"/>
      <c r="B131" s="570"/>
      <c r="C131" s="570"/>
      <c r="D131" s="567"/>
      <c r="E131" s="567"/>
      <c r="F131" s="567"/>
      <c r="G131" s="570"/>
      <c r="H131" s="570"/>
      <c r="I131" s="567"/>
      <c r="J131" s="567"/>
      <c r="K131" s="567"/>
      <c r="L131" s="568"/>
      <c r="M131" s="568"/>
      <c r="N131" s="567"/>
      <c r="O131" s="567"/>
      <c r="P131" s="567"/>
      <c r="Q131" s="567"/>
      <c r="R131" s="570"/>
      <c r="S131" s="570"/>
      <c r="T131" s="567"/>
      <c r="U131" s="567"/>
      <c r="V131" s="567"/>
      <c r="W131" s="568"/>
      <c r="X131" s="568"/>
      <c r="Y131" s="567"/>
    </row>
    <row r="132" spans="1:25" x14ac:dyDescent="0.25">
      <c r="A132" s="570"/>
      <c r="B132" s="570"/>
      <c r="C132" s="570"/>
      <c r="D132" s="567"/>
      <c r="E132" s="567"/>
      <c r="F132" s="567"/>
      <c r="G132" s="570"/>
      <c r="H132" s="570"/>
      <c r="I132" s="567"/>
      <c r="J132" s="567"/>
      <c r="K132" s="567"/>
      <c r="L132" s="568"/>
      <c r="M132" s="568"/>
      <c r="N132" s="567"/>
      <c r="O132" s="567"/>
      <c r="P132" s="567"/>
      <c r="Q132" s="567"/>
      <c r="R132" s="570"/>
      <c r="S132" s="570"/>
      <c r="T132" s="567"/>
      <c r="U132" s="567"/>
      <c r="V132" s="567"/>
      <c r="W132" s="568"/>
      <c r="X132" s="568"/>
      <c r="Y132" s="567"/>
    </row>
    <row r="133" spans="1:25" x14ac:dyDescent="0.25">
      <c r="A133" s="570"/>
      <c r="B133" s="570"/>
      <c r="C133" s="570"/>
      <c r="D133" s="567"/>
      <c r="E133" s="567"/>
      <c r="F133" s="567"/>
      <c r="G133" s="570"/>
      <c r="H133" s="570"/>
      <c r="I133" s="567"/>
      <c r="J133" s="567"/>
      <c r="K133" s="567"/>
      <c r="L133" s="568"/>
      <c r="M133" s="568"/>
      <c r="N133" s="567"/>
      <c r="O133" s="567"/>
      <c r="P133" s="567"/>
      <c r="Q133" s="567"/>
      <c r="R133" s="570"/>
      <c r="S133" s="570"/>
      <c r="T133" s="567"/>
      <c r="U133" s="567"/>
      <c r="V133" s="567"/>
      <c r="W133" s="568"/>
      <c r="X133" s="568"/>
      <c r="Y133" s="567"/>
    </row>
    <row r="134" spans="1:25" x14ac:dyDescent="0.25">
      <c r="A134" s="570"/>
      <c r="B134" s="570"/>
      <c r="C134" s="570"/>
      <c r="D134" s="567"/>
      <c r="E134" s="567"/>
      <c r="F134" s="567"/>
      <c r="G134" s="570"/>
      <c r="H134" s="570"/>
      <c r="I134" s="567"/>
      <c r="J134" s="567"/>
      <c r="K134" s="567"/>
      <c r="L134" s="568"/>
      <c r="M134" s="568"/>
      <c r="N134" s="567"/>
      <c r="O134" s="567"/>
      <c r="P134" s="567"/>
      <c r="Q134" s="567"/>
      <c r="R134" s="570"/>
      <c r="S134" s="570"/>
      <c r="T134" s="567"/>
      <c r="U134" s="567"/>
      <c r="V134" s="567"/>
      <c r="W134" s="568"/>
      <c r="X134" s="568"/>
      <c r="Y134" s="567"/>
    </row>
    <row r="135" spans="1:25" x14ac:dyDescent="0.25">
      <c r="A135" s="570"/>
      <c r="B135" s="570"/>
      <c r="C135" s="570"/>
      <c r="D135" s="567"/>
      <c r="E135" s="567"/>
      <c r="F135" s="567"/>
      <c r="G135" s="570"/>
      <c r="H135" s="570"/>
      <c r="I135" s="567"/>
      <c r="J135" s="567"/>
      <c r="K135" s="567"/>
      <c r="L135" s="568"/>
      <c r="M135" s="568"/>
      <c r="N135" s="567"/>
      <c r="O135" s="567"/>
      <c r="P135" s="567"/>
      <c r="Q135" s="567"/>
      <c r="R135" s="570"/>
      <c r="S135" s="570"/>
      <c r="T135" s="567"/>
      <c r="U135" s="567"/>
      <c r="V135" s="567"/>
      <c r="W135" s="568"/>
      <c r="X135" s="568"/>
      <c r="Y135" s="567"/>
    </row>
    <row r="136" spans="1:25" x14ac:dyDescent="0.25">
      <c r="A136" s="570"/>
      <c r="B136" s="570"/>
      <c r="C136" s="570"/>
      <c r="D136" s="567"/>
      <c r="E136" s="567"/>
      <c r="F136" s="567"/>
      <c r="G136" s="570"/>
      <c r="H136" s="570"/>
      <c r="I136" s="567"/>
      <c r="J136" s="567"/>
      <c r="K136" s="567"/>
      <c r="L136" s="568"/>
      <c r="M136" s="568"/>
      <c r="N136" s="567"/>
      <c r="O136" s="567"/>
      <c r="P136" s="567"/>
      <c r="Q136" s="567"/>
      <c r="R136" s="570"/>
      <c r="S136" s="570"/>
      <c r="T136" s="567"/>
      <c r="U136" s="567"/>
      <c r="V136" s="567"/>
      <c r="W136" s="568"/>
      <c r="X136" s="568"/>
      <c r="Y136" s="567"/>
    </row>
    <row r="137" spans="1:25" x14ac:dyDescent="0.25">
      <c r="A137" s="570"/>
      <c r="B137" s="570"/>
      <c r="C137" s="570"/>
      <c r="D137" s="567"/>
      <c r="E137" s="567"/>
      <c r="F137" s="567"/>
      <c r="G137" s="570"/>
      <c r="H137" s="570"/>
      <c r="I137" s="567"/>
      <c r="J137" s="567"/>
      <c r="K137" s="567"/>
      <c r="L137" s="568"/>
      <c r="M137" s="568"/>
      <c r="N137" s="567"/>
      <c r="O137" s="567"/>
      <c r="P137" s="567"/>
      <c r="Q137" s="567"/>
      <c r="R137" s="570"/>
      <c r="S137" s="570"/>
      <c r="T137" s="567"/>
      <c r="U137" s="567"/>
      <c r="V137" s="567"/>
      <c r="W137" s="568"/>
      <c r="X137" s="568"/>
      <c r="Y137" s="567"/>
    </row>
    <row r="138" spans="1:25" x14ac:dyDescent="0.25">
      <c r="A138" s="570"/>
      <c r="B138" s="570"/>
      <c r="C138" s="570"/>
      <c r="D138" s="567"/>
      <c r="E138" s="567"/>
      <c r="F138" s="567"/>
      <c r="G138" s="570"/>
      <c r="H138" s="570"/>
      <c r="I138" s="567"/>
      <c r="J138" s="567"/>
      <c r="K138" s="567"/>
      <c r="L138" s="568"/>
      <c r="M138" s="568"/>
      <c r="N138" s="567"/>
      <c r="O138" s="567"/>
      <c r="P138" s="567"/>
      <c r="Q138" s="567"/>
      <c r="R138" s="570"/>
      <c r="S138" s="570"/>
      <c r="T138" s="567"/>
      <c r="U138" s="567"/>
      <c r="V138" s="567"/>
      <c r="W138" s="568"/>
      <c r="X138" s="568"/>
      <c r="Y138" s="567"/>
    </row>
    <row r="139" spans="1:25" x14ac:dyDescent="0.25">
      <c r="A139" s="570"/>
      <c r="B139" s="570"/>
      <c r="C139" s="570"/>
      <c r="D139" s="567"/>
      <c r="E139" s="567"/>
      <c r="F139" s="567"/>
      <c r="G139" s="570"/>
      <c r="H139" s="570"/>
      <c r="I139" s="567"/>
      <c r="J139" s="567"/>
      <c r="K139" s="567"/>
      <c r="L139" s="568"/>
      <c r="M139" s="568"/>
      <c r="N139" s="567"/>
      <c r="O139" s="567"/>
      <c r="P139" s="567"/>
      <c r="Q139" s="567"/>
      <c r="R139" s="570"/>
      <c r="S139" s="570"/>
      <c r="T139" s="567"/>
      <c r="U139" s="567"/>
      <c r="V139" s="567"/>
      <c r="W139" s="568"/>
      <c r="X139" s="568"/>
      <c r="Y139" s="567"/>
    </row>
    <row r="140" spans="1:25" x14ac:dyDescent="0.25">
      <c r="A140" s="570"/>
      <c r="B140" s="570"/>
      <c r="C140" s="570"/>
      <c r="D140" s="567"/>
      <c r="E140" s="567"/>
      <c r="F140" s="567"/>
      <c r="G140" s="570"/>
      <c r="H140" s="570"/>
      <c r="I140" s="567"/>
      <c r="J140" s="567"/>
      <c r="K140" s="567"/>
      <c r="L140" s="568"/>
      <c r="M140" s="568"/>
      <c r="N140" s="567"/>
      <c r="O140" s="567"/>
      <c r="P140" s="567"/>
      <c r="Q140" s="567"/>
      <c r="R140" s="570"/>
      <c r="S140" s="570"/>
      <c r="T140" s="567"/>
      <c r="U140" s="567"/>
      <c r="V140" s="567"/>
      <c r="W140" s="568"/>
      <c r="X140" s="568"/>
      <c r="Y140" s="567"/>
    </row>
    <row r="141" spans="1:25" x14ac:dyDescent="0.25">
      <c r="A141" s="570"/>
      <c r="B141" s="570"/>
      <c r="C141" s="570"/>
      <c r="D141" s="567"/>
      <c r="E141" s="567"/>
      <c r="F141" s="567"/>
      <c r="G141" s="570"/>
      <c r="H141" s="570"/>
      <c r="I141" s="567"/>
      <c r="J141" s="567"/>
      <c r="K141" s="567"/>
      <c r="L141" s="568"/>
      <c r="M141" s="568"/>
      <c r="N141" s="567"/>
      <c r="O141" s="567"/>
      <c r="P141" s="567"/>
      <c r="Q141" s="567"/>
      <c r="R141" s="570"/>
      <c r="S141" s="570"/>
      <c r="T141" s="567"/>
      <c r="U141" s="567"/>
      <c r="V141" s="567"/>
      <c r="W141" s="568"/>
      <c r="X141" s="568"/>
      <c r="Y141" s="567"/>
    </row>
    <row r="142" spans="1:25" x14ac:dyDescent="0.25">
      <c r="A142" s="570"/>
      <c r="B142" s="570"/>
      <c r="C142" s="570"/>
      <c r="D142" s="567"/>
      <c r="E142" s="567"/>
      <c r="F142" s="567"/>
      <c r="G142" s="570"/>
      <c r="H142" s="570"/>
      <c r="I142" s="567"/>
      <c r="J142" s="567"/>
      <c r="K142" s="567"/>
      <c r="L142" s="568"/>
      <c r="M142" s="568"/>
      <c r="N142" s="567"/>
      <c r="O142" s="567"/>
      <c r="P142" s="567"/>
      <c r="Q142" s="567"/>
      <c r="R142" s="570"/>
      <c r="S142" s="570"/>
      <c r="T142" s="567"/>
      <c r="U142" s="567"/>
      <c r="V142" s="567"/>
      <c r="W142" s="568"/>
      <c r="X142" s="568"/>
      <c r="Y142" s="567"/>
    </row>
    <row r="143" spans="1:25" x14ac:dyDescent="0.25">
      <c r="A143" s="570"/>
      <c r="B143" s="570"/>
      <c r="C143" s="570"/>
      <c r="D143" s="567"/>
      <c r="E143" s="567"/>
      <c r="F143" s="567"/>
      <c r="G143" s="570"/>
      <c r="H143" s="570"/>
      <c r="I143" s="567"/>
      <c r="J143" s="567"/>
      <c r="K143" s="567"/>
      <c r="L143" s="568"/>
      <c r="M143" s="568"/>
      <c r="N143" s="567"/>
      <c r="O143" s="567"/>
      <c r="P143" s="567"/>
      <c r="Q143" s="567"/>
      <c r="R143" s="570"/>
      <c r="S143" s="570"/>
      <c r="T143" s="567"/>
      <c r="U143" s="567"/>
      <c r="V143" s="567"/>
      <c r="W143" s="568"/>
      <c r="X143" s="568"/>
      <c r="Y143" s="567"/>
    </row>
    <row r="144" spans="1:25" x14ac:dyDescent="0.25">
      <c r="A144" s="570"/>
      <c r="B144" s="570"/>
      <c r="C144" s="570"/>
      <c r="D144" s="567"/>
      <c r="E144" s="567"/>
      <c r="F144" s="567"/>
      <c r="G144" s="570"/>
      <c r="H144" s="570"/>
      <c r="I144" s="567"/>
      <c r="J144" s="567"/>
      <c r="K144" s="567"/>
      <c r="L144" s="568"/>
      <c r="M144" s="568"/>
      <c r="N144" s="567"/>
      <c r="O144" s="567"/>
      <c r="P144" s="567"/>
      <c r="Q144" s="567"/>
      <c r="R144" s="570"/>
      <c r="S144" s="570"/>
      <c r="T144" s="567"/>
      <c r="U144" s="567"/>
      <c r="V144" s="567"/>
      <c r="W144" s="568"/>
      <c r="X144" s="568"/>
      <c r="Y144" s="567"/>
    </row>
    <row r="145" spans="1:25" x14ac:dyDescent="0.25">
      <c r="A145" s="570"/>
      <c r="B145" s="570"/>
      <c r="C145" s="570"/>
      <c r="D145" s="567"/>
      <c r="E145" s="567"/>
      <c r="F145" s="567"/>
      <c r="G145" s="570"/>
      <c r="H145" s="570"/>
      <c r="I145" s="567"/>
      <c r="J145" s="567"/>
      <c r="K145" s="567"/>
      <c r="L145" s="568"/>
      <c r="M145" s="568"/>
      <c r="N145" s="567"/>
      <c r="O145" s="567"/>
      <c r="P145" s="567"/>
      <c r="Q145" s="567"/>
      <c r="R145" s="570"/>
      <c r="S145" s="570"/>
      <c r="T145" s="567"/>
      <c r="U145" s="567"/>
      <c r="V145" s="567"/>
      <c r="W145" s="568"/>
      <c r="X145" s="568"/>
      <c r="Y145" s="567"/>
    </row>
    <row r="146" spans="1:25" x14ac:dyDescent="0.25">
      <c r="A146" s="570"/>
      <c r="B146" s="570"/>
      <c r="C146" s="570"/>
      <c r="D146" s="567"/>
      <c r="E146" s="567"/>
      <c r="F146" s="567"/>
      <c r="G146" s="570"/>
      <c r="H146" s="570"/>
      <c r="I146" s="567"/>
      <c r="J146" s="567"/>
      <c r="K146" s="567"/>
      <c r="L146" s="568"/>
      <c r="M146" s="568"/>
      <c r="N146" s="567"/>
      <c r="O146" s="567"/>
      <c r="P146" s="567"/>
      <c r="Q146" s="567"/>
      <c r="R146" s="570"/>
      <c r="S146" s="570"/>
      <c r="T146" s="567"/>
      <c r="U146" s="567"/>
      <c r="V146" s="567"/>
      <c r="W146" s="568"/>
      <c r="X146" s="568"/>
      <c r="Y146" s="567"/>
    </row>
    <row r="147" spans="1:25" x14ac:dyDescent="0.25">
      <c r="A147" s="570"/>
      <c r="B147" s="570"/>
      <c r="C147" s="570"/>
      <c r="D147" s="567"/>
      <c r="E147" s="567"/>
      <c r="F147" s="567"/>
      <c r="G147" s="570"/>
      <c r="H147" s="570"/>
      <c r="I147" s="567"/>
      <c r="J147" s="567"/>
      <c r="K147" s="567"/>
      <c r="L147" s="568"/>
      <c r="M147" s="568"/>
      <c r="N147" s="567"/>
      <c r="O147" s="567"/>
      <c r="P147" s="567"/>
      <c r="Q147" s="567"/>
      <c r="R147" s="570"/>
      <c r="S147" s="570"/>
      <c r="T147" s="567"/>
      <c r="U147" s="567"/>
      <c r="V147" s="567"/>
      <c r="W147" s="568"/>
      <c r="X147" s="568"/>
      <c r="Y147" s="567"/>
    </row>
    <row r="148" spans="1:25" x14ac:dyDescent="0.25">
      <c r="A148" s="570"/>
      <c r="B148" s="570"/>
      <c r="C148" s="570"/>
      <c r="D148" s="567"/>
      <c r="E148" s="567"/>
      <c r="F148" s="567"/>
      <c r="G148" s="570"/>
      <c r="H148" s="570"/>
      <c r="I148" s="567"/>
      <c r="J148" s="567"/>
      <c r="K148" s="567"/>
      <c r="L148" s="568"/>
      <c r="M148" s="568"/>
      <c r="N148" s="567"/>
      <c r="O148" s="567"/>
      <c r="P148" s="567"/>
      <c r="Q148" s="567"/>
      <c r="R148" s="570"/>
      <c r="S148" s="570"/>
      <c r="T148" s="567"/>
      <c r="U148" s="567"/>
      <c r="V148" s="567"/>
      <c r="W148" s="568"/>
      <c r="X148" s="568"/>
      <c r="Y148" s="567"/>
    </row>
    <row r="149" spans="1:25" x14ac:dyDescent="0.25">
      <c r="A149" s="570"/>
      <c r="B149" s="570"/>
      <c r="C149" s="570"/>
      <c r="D149" s="567"/>
      <c r="E149" s="567"/>
      <c r="F149" s="567"/>
      <c r="G149" s="570"/>
      <c r="H149" s="570"/>
      <c r="I149" s="567"/>
      <c r="J149" s="567"/>
      <c r="K149" s="567"/>
      <c r="L149" s="568"/>
      <c r="M149" s="568"/>
      <c r="N149" s="567"/>
      <c r="O149" s="567"/>
      <c r="P149" s="567"/>
      <c r="Q149" s="567"/>
      <c r="R149" s="570"/>
      <c r="S149" s="570"/>
      <c r="T149" s="567"/>
      <c r="U149" s="567"/>
      <c r="V149" s="567"/>
      <c r="W149" s="568"/>
      <c r="X149" s="568"/>
      <c r="Y149" s="567"/>
    </row>
    <row r="150" spans="1:25" x14ac:dyDescent="0.25">
      <c r="A150" s="570"/>
      <c r="B150" s="570"/>
      <c r="C150" s="570"/>
      <c r="D150" s="567"/>
      <c r="E150" s="567"/>
      <c r="F150" s="567"/>
      <c r="G150" s="570"/>
      <c r="H150" s="570"/>
      <c r="I150" s="567"/>
      <c r="J150" s="567"/>
      <c r="K150" s="567"/>
      <c r="L150" s="568"/>
      <c r="M150" s="568"/>
      <c r="N150" s="567"/>
      <c r="O150" s="567"/>
      <c r="P150" s="567"/>
      <c r="Q150" s="567"/>
      <c r="R150" s="570"/>
      <c r="S150" s="570"/>
      <c r="T150" s="567"/>
      <c r="U150" s="567"/>
      <c r="V150" s="567"/>
      <c r="W150" s="568"/>
      <c r="X150" s="568"/>
      <c r="Y150" s="567"/>
    </row>
    <row r="151" spans="1:25" x14ac:dyDescent="0.25">
      <c r="A151" s="570"/>
      <c r="B151" s="570"/>
      <c r="C151" s="570"/>
      <c r="D151" s="567"/>
      <c r="E151" s="567"/>
      <c r="F151" s="567"/>
      <c r="G151" s="570"/>
      <c r="H151" s="570"/>
      <c r="I151" s="567"/>
      <c r="J151" s="567"/>
      <c r="K151" s="567"/>
      <c r="L151" s="568"/>
      <c r="M151" s="568"/>
      <c r="N151" s="567"/>
      <c r="O151" s="567"/>
      <c r="P151" s="567"/>
      <c r="Q151" s="567"/>
      <c r="R151" s="570"/>
      <c r="S151" s="570"/>
      <c r="T151" s="567"/>
      <c r="U151" s="567"/>
      <c r="V151" s="567"/>
      <c r="W151" s="568"/>
      <c r="X151" s="568"/>
      <c r="Y151" s="567"/>
    </row>
    <row r="152" spans="1:25" x14ac:dyDescent="0.25">
      <c r="A152" s="570"/>
      <c r="B152" s="570"/>
      <c r="C152" s="570"/>
      <c r="D152" s="567"/>
      <c r="E152" s="567"/>
      <c r="F152" s="567"/>
      <c r="G152" s="570"/>
      <c r="H152" s="570"/>
      <c r="I152" s="567"/>
      <c r="J152" s="567"/>
      <c r="K152" s="567"/>
      <c r="L152" s="568"/>
      <c r="M152" s="568"/>
      <c r="N152" s="567"/>
      <c r="O152" s="567"/>
      <c r="P152" s="567"/>
      <c r="Q152" s="567"/>
      <c r="R152" s="570"/>
      <c r="S152" s="570"/>
      <c r="T152" s="567"/>
      <c r="U152" s="567"/>
      <c r="V152" s="567"/>
      <c r="W152" s="568"/>
      <c r="X152" s="568"/>
      <c r="Y152" s="567"/>
    </row>
    <row r="153" spans="1:25" x14ac:dyDescent="0.25">
      <c r="A153" s="570"/>
      <c r="B153" s="570"/>
      <c r="C153" s="570"/>
      <c r="D153" s="567"/>
      <c r="E153" s="567"/>
      <c r="F153" s="567"/>
      <c r="G153" s="570"/>
      <c r="H153" s="570"/>
      <c r="I153" s="567"/>
      <c r="J153" s="567"/>
      <c r="K153" s="567"/>
      <c r="L153" s="568"/>
      <c r="M153" s="568"/>
      <c r="N153" s="567"/>
      <c r="O153" s="567"/>
      <c r="P153" s="567"/>
      <c r="Q153" s="567"/>
      <c r="R153" s="570"/>
      <c r="S153" s="570"/>
      <c r="T153" s="567"/>
      <c r="U153" s="567"/>
      <c r="V153" s="567"/>
      <c r="W153" s="568"/>
      <c r="X153" s="568"/>
      <c r="Y153" s="567"/>
    </row>
    <row r="154" spans="1:25" x14ac:dyDescent="0.25">
      <c r="A154" s="570"/>
      <c r="B154" s="570"/>
      <c r="C154" s="570"/>
      <c r="D154" s="567"/>
      <c r="E154" s="567"/>
      <c r="F154" s="567"/>
      <c r="G154" s="570"/>
      <c r="H154" s="570"/>
      <c r="I154" s="567"/>
      <c r="J154" s="567"/>
      <c r="K154" s="567"/>
      <c r="L154" s="568"/>
      <c r="M154" s="568"/>
      <c r="N154" s="567"/>
      <c r="O154" s="567"/>
      <c r="P154" s="567"/>
      <c r="Q154" s="567"/>
      <c r="R154" s="570"/>
      <c r="S154" s="570"/>
      <c r="T154" s="567"/>
      <c r="U154" s="567"/>
      <c r="V154" s="567"/>
      <c r="W154" s="568"/>
      <c r="X154" s="568"/>
      <c r="Y154" s="567"/>
    </row>
    <row r="155" spans="1:25" x14ac:dyDescent="0.25">
      <c r="A155" s="570"/>
      <c r="B155" s="570"/>
      <c r="C155" s="570"/>
      <c r="D155" s="567"/>
      <c r="E155" s="567"/>
      <c r="F155" s="567"/>
      <c r="G155" s="570"/>
      <c r="H155" s="570"/>
      <c r="I155" s="567"/>
      <c r="J155" s="567"/>
      <c r="K155" s="567"/>
      <c r="L155" s="568"/>
      <c r="M155" s="568"/>
      <c r="N155" s="567"/>
      <c r="O155" s="567"/>
      <c r="P155" s="567"/>
      <c r="Q155" s="567"/>
      <c r="R155" s="570"/>
      <c r="S155" s="570"/>
      <c r="T155" s="567"/>
      <c r="U155" s="567"/>
      <c r="V155" s="567"/>
      <c r="W155" s="568"/>
      <c r="X155" s="568"/>
      <c r="Y155" s="567"/>
    </row>
    <row r="156" spans="1:25" x14ac:dyDescent="0.25">
      <c r="A156" s="570"/>
      <c r="B156" s="570"/>
      <c r="C156" s="570"/>
      <c r="D156" s="567"/>
      <c r="E156" s="567"/>
      <c r="F156" s="567"/>
      <c r="G156" s="570"/>
      <c r="H156" s="570"/>
      <c r="I156" s="567"/>
      <c r="J156" s="567"/>
      <c r="K156" s="567"/>
      <c r="L156" s="568"/>
      <c r="M156" s="568"/>
      <c r="N156" s="567"/>
      <c r="O156" s="567"/>
      <c r="P156" s="567"/>
      <c r="Q156" s="567"/>
      <c r="R156" s="570"/>
      <c r="S156" s="570"/>
      <c r="T156" s="567"/>
      <c r="U156" s="567"/>
      <c r="V156" s="567"/>
      <c r="W156" s="568"/>
      <c r="X156" s="568"/>
      <c r="Y156" s="567"/>
    </row>
    <row r="157" spans="1:25" x14ac:dyDescent="0.25">
      <c r="A157" s="570"/>
      <c r="B157" s="570"/>
      <c r="C157" s="570"/>
      <c r="D157" s="567"/>
      <c r="E157" s="567"/>
      <c r="F157" s="567"/>
      <c r="G157" s="570"/>
      <c r="H157" s="570"/>
      <c r="I157" s="567"/>
      <c r="J157" s="567"/>
      <c r="K157" s="567"/>
      <c r="L157" s="568"/>
      <c r="M157" s="568"/>
      <c r="N157" s="567"/>
      <c r="O157" s="567"/>
      <c r="P157" s="567"/>
      <c r="Q157" s="567"/>
      <c r="R157" s="570"/>
      <c r="S157" s="570"/>
      <c r="T157" s="567"/>
      <c r="U157" s="567"/>
      <c r="V157" s="567"/>
      <c r="W157" s="568"/>
      <c r="X157" s="568"/>
      <c r="Y157" s="567"/>
    </row>
    <row r="158" spans="1:25" x14ac:dyDescent="0.25">
      <c r="A158" s="570"/>
      <c r="B158" s="570"/>
      <c r="C158" s="570"/>
      <c r="D158" s="567"/>
      <c r="E158" s="567"/>
      <c r="F158" s="567"/>
      <c r="G158" s="570"/>
      <c r="H158" s="570"/>
      <c r="I158" s="567"/>
      <c r="J158" s="567"/>
      <c r="K158" s="567"/>
      <c r="L158" s="568"/>
      <c r="M158" s="568"/>
      <c r="N158" s="567"/>
      <c r="O158" s="567"/>
      <c r="P158" s="567"/>
      <c r="Q158" s="567"/>
      <c r="R158" s="570"/>
      <c r="S158" s="570"/>
      <c r="T158" s="567"/>
      <c r="U158" s="567"/>
      <c r="V158" s="567"/>
      <c r="W158" s="568"/>
      <c r="X158" s="568"/>
      <c r="Y158" s="567"/>
    </row>
    <row r="159" spans="1:25" x14ac:dyDescent="0.25">
      <c r="A159" s="570"/>
      <c r="B159" s="570"/>
      <c r="C159" s="570"/>
      <c r="D159" s="567"/>
      <c r="E159" s="567"/>
      <c r="F159" s="567"/>
      <c r="G159" s="570"/>
      <c r="H159" s="570"/>
      <c r="I159" s="567"/>
      <c r="J159" s="567"/>
      <c r="K159" s="567"/>
      <c r="L159" s="568"/>
      <c r="M159" s="568"/>
      <c r="N159" s="567"/>
      <c r="O159" s="567"/>
      <c r="P159" s="567"/>
      <c r="Q159" s="567"/>
      <c r="R159" s="570"/>
      <c r="S159" s="570"/>
      <c r="T159" s="567"/>
      <c r="U159" s="567"/>
      <c r="V159" s="567"/>
      <c r="W159" s="568"/>
      <c r="X159" s="568"/>
      <c r="Y159" s="567"/>
    </row>
    <row r="160" spans="1:25" x14ac:dyDescent="0.25">
      <c r="A160" s="570"/>
      <c r="B160" s="570"/>
      <c r="C160" s="570"/>
      <c r="D160" s="567"/>
      <c r="E160" s="567"/>
      <c r="F160" s="567"/>
      <c r="G160" s="570"/>
      <c r="H160" s="570"/>
      <c r="I160" s="567"/>
      <c r="J160" s="567"/>
      <c r="K160" s="567"/>
      <c r="L160" s="568"/>
      <c r="M160" s="568"/>
      <c r="N160" s="567"/>
      <c r="O160" s="567"/>
      <c r="P160" s="567"/>
      <c r="Q160" s="567"/>
      <c r="R160" s="570"/>
      <c r="S160" s="570"/>
      <c r="T160" s="567"/>
      <c r="U160" s="567"/>
      <c r="V160" s="567"/>
      <c r="W160" s="568"/>
      <c r="X160" s="568"/>
      <c r="Y160" s="567"/>
    </row>
    <row r="161" spans="1:25" x14ac:dyDescent="0.25">
      <c r="A161" s="570"/>
      <c r="B161" s="570"/>
      <c r="C161" s="570"/>
      <c r="D161" s="567"/>
      <c r="E161" s="567"/>
      <c r="F161" s="567"/>
      <c r="G161" s="570"/>
      <c r="H161" s="570"/>
      <c r="I161" s="567"/>
      <c r="J161" s="567"/>
      <c r="K161" s="567"/>
      <c r="L161" s="568"/>
      <c r="M161" s="568"/>
      <c r="N161" s="567"/>
      <c r="O161" s="567"/>
      <c r="P161" s="567"/>
      <c r="Q161" s="567"/>
      <c r="R161" s="570"/>
      <c r="S161" s="570"/>
      <c r="T161" s="567"/>
      <c r="U161" s="567"/>
      <c r="V161" s="567"/>
      <c r="W161" s="568"/>
      <c r="X161" s="568"/>
      <c r="Y161" s="567"/>
    </row>
    <row r="162" spans="1:25" x14ac:dyDescent="0.25">
      <c r="A162" s="570"/>
      <c r="B162" s="570"/>
      <c r="C162" s="570"/>
      <c r="D162" s="567"/>
      <c r="E162" s="567"/>
      <c r="F162" s="567"/>
      <c r="G162" s="570"/>
      <c r="H162" s="570"/>
      <c r="I162" s="567"/>
      <c r="J162" s="567"/>
      <c r="K162" s="567"/>
      <c r="L162" s="568"/>
      <c r="M162" s="568"/>
      <c r="N162" s="567"/>
      <c r="O162" s="567"/>
      <c r="P162" s="567"/>
      <c r="Q162" s="567"/>
      <c r="R162" s="570"/>
      <c r="S162" s="570"/>
      <c r="T162" s="567"/>
      <c r="U162" s="567"/>
      <c r="V162" s="567"/>
      <c r="W162" s="568"/>
      <c r="X162" s="568"/>
      <c r="Y162" s="567"/>
    </row>
    <row r="163" spans="1:25" x14ac:dyDescent="0.25">
      <c r="A163" s="570"/>
      <c r="B163" s="570"/>
      <c r="C163" s="570"/>
      <c r="D163" s="567"/>
      <c r="E163" s="567"/>
      <c r="F163" s="567"/>
      <c r="G163" s="570"/>
      <c r="H163" s="570"/>
      <c r="I163" s="567"/>
      <c r="J163" s="567"/>
      <c r="K163" s="567"/>
      <c r="L163" s="568"/>
      <c r="M163" s="568"/>
      <c r="N163" s="567"/>
      <c r="O163" s="567"/>
      <c r="P163" s="567"/>
      <c r="Q163" s="567"/>
      <c r="R163" s="570"/>
      <c r="S163" s="570"/>
      <c r="T163" s="567"/>
      <c r="U163" s="567"/>
      <c r="V163" s="567"/>
      <c r="W163" s="568"/>
      <c r="X163" s="568"/>
      <c r="Y163" s="567"/>
    </row>
    <row r="164" spans="1:25" x14ac:dyDescent="0.25">
      <c r="A164" s="570"/>
      <c r="B164" s="570"/>
      <c r="C164" s="570"/>
      <c r="D164" s="567"/>
      <c r="E164" s="567"/>
      <c r="F164" s="567"/>
      <c r="G164" s="570"/>
      <c r="H164" s="570"/>
      <c r="I164" s="567"/>
      <c r="J164" s="567"/>
      <c r="K164" s="567"/>
      <c r="L164" s="568"/>
      <c r="M164" s="568"/>
      <c r="N164" s="567"/>
      <c r="O164" s="567"/>
      <c r="P164" s="567"/>
      <c r="Q164" s="567"/>
      <c r="R164" s="570"/>
      <c r="S164" s="570"/>
      <c r="T164" s="567"/>
      <c r="U164" s="567"/>
      <c r="V164" s="567"/>
      <c r="W164" s="568"/>
      <c r="X164" s="568"/>
      <c r="Y164" s="567"/>
    </row>
    <row r="165" spans="1:25" x14ac:dyDescent="0.25">
      <c r="A165" s="570"/>
      <c r="B165" s="570"/>
      <c r="C165" s="570"/>
      <c r="D165" s="567"/>
      <c r="E165" s="567"/>
      <c r="F165" s="567"/>
      <c r="G165" s="570"/>
      <c r="H165" s="570"/>
      <c r="I165" s="567"/>
      <c r="J165" s="567"/>
      <c r="K165" s="567"/>
      <c r="L165" s="568"/>
      <c r="M165" s="568"/>
      <c r="N165" s="567"/>
      <c r="O165" s="567"/>
      <c r="P165" s="567"/>
      <c r="Q165" s="567"/>
      <c r="R165" s="570"/>
      <c r="S165" s="570"/>
      <c r="T165" s="567"/>
      <c r="U165" s="567"/>
      <c r="V165" s="567"/>
      <c r="W165" s="568"/>
      <c r="X165" s="568"/>
      <c r="Y165" s="567"/>
    </row>
    <row r="166" spans="1:25" x14ac:dyDescent="0.25">
      <c r="A166" s="570"/>
      <c r="B166" s="570"/>
      <c r="C166" s="570"/>
      <c r="D166" s="567"/>
      <c r="E166" s="567"/>
      <c r="F166" s="567"/>
      <c r="G166" s="570"/>
      <c r="H166" s="570"/>
      <c r="I166" s="567"/>
      <c r="J166" s="567"/>
      <c r="K166" s="567"/>
      <c r="L166" s="568"/>
      <c r="M166" s="568"/>
      <c r="N166" s="567"/>
      <c r="O166" s="567"/>
      <c r="P166" s="567"/>
      <c r="Q166" s="567"/>
      <c r="R166" s="570"/>
      <c r="S166" s="570"/>
      <c r="T166" s="567"/>
      <c r="U166" s="567"/>
      <c r="V166" s="567"/>
      <c r="W166" s="568"/>
      <c r="X166" s="568"/>
      <c r="Y166" s="567"/>
    </row>
    <row r="167" spans="1:25" x14ac:dyDescent="0.25">
      <c r="A167" s="570"/>
      <c r="B167" s="570"/>
      <c r="C167" s="570"/>
      <c r="D167" s="567"/>
      <c r="E167" s="567"/>
      <c r="F167" s="567"/>
      <c r="G167" s="570"/>
      <c r="H167" s="570"/>
      <c r="I167" s="567"/>
      <c r="J167" s="567"/>
      <c r="K167" s="567"/>
      <c r="L167" s="568"/>
      <c r="M167" s="568"/>
      <c r="N167" s="567"/>
      <c r="O167" s="567"/>
      <c r="P167" s="567"/>
      <c r="Q167" s="567"/>
      <c r="R167" s="570"/>
      <c r="S167" s="570"/>
      <c r="T167" s="567"/>
      <c r="U167" s="567"/>
      <c r="V167" s="567"/>
      <c r="W167" s="568"/>
      <c r="X167" s="568"/>
      <c r="Y167" s="567"/>
    </row>
    <row r="168" spans="1:25" x14ac:dyDescent="0.25">
      <c r="A168" s="570"/>
      <c r="B168" s="570"/>
      <c r="C168" s="570"/>
      <c r="D168" s="567"/>
      <c r="E168" s="567"/>
      <c r="F168" s="567"/>
      <c r="G168" s="570"/>
      <c r="H168" s="570"/>
      <c r="I168" s="567"/>
      <c r="J168" s="567"/>
      <c r="K168" s="567"/>
      <c r="L168" s="568"/>
      <c r="M168" s="568"/>
      <c r="N168" s="567"/>
      <c r="O168" s="567"/>
      <c r="P168" s="567"/>
      <c r="Q168" s="567"/>
      <c r="R168" s="570"/>
      <c r="S168" s="570"/>
      <c r="T168" s="567"/>
      <c r="U168" s="567"/>
      <c r="V168" s="567"/>
      <c r="W168" s="568"/>
      <c r="X168" s="568"/>
      <c r="Y168" s="567"/>
    </row>
    <row r="169" spans="1:25" x14ac:dyDescent="0.25">
      <c r="A169" s="570"/>
      <c r="B169" s="570"/>
      <c r="C169" s="570"/>
      <c r="D169" s="567"/>
      <c r="E169" s="567"/>
      <c r="F169" s="567"/>
      <c r="G169" s="570"/>
      <c r="H169" s="570"/>
      <c r="I169" s="567"/>
      <c r="J169" s="567"/>
      <c r="K169" s="567"/>
      <c r="L169" s="568"/>
      <c r="M169" s="568"/>
      <c r="N169" s="567"/>
      <c r="O169" s="567"/>
      <c r="P169" s="567"/>
      <c r="Q169" s="567"/>
      <c r="R169" s="570"/>
      <c r="S169" s="570"/>
      <c r="T169" s="567"/>
      <c r="U169" s="567"/>
      <c r="V169" s="567"/>
      <c r="W169" s="568"/>
      <c r="X169" s="568"/>
      <c r="Y169" s="567"/>
    </row>
    <row r="170" spans="1:25" x14ac:dyDescent="0.25">
      <c r="A170" s="570"/>
      <c r="B170" s="570"/>
      <c r="C170" s="570"/>
      <c r="D170" s="567"/>
      <c r="E170" s="567"/>
      <c r="F170" s="567"/>
      <c r="G170" s="570"/>
      <c r="H170" s="570"/>
      <c r="I170" s="567"/>
      <c r="J170" s="567"/>
      <c r="K170" s="567"/>
      <c r="L170" s="568"/>
      <c r="M170" s="568"/>
      <c r="N170" s="567"/>
      <c r="O170" s="567"/>
      <c r="P170" s="567"/>
      <c r="Q170" s="567"/>
      <c r="R170" s="570"/>
      <c r="S170" s="570"/>
      <c r="T170" s="567"/>
      <c r="U170" s="567"/>
      <c r="V170" s="567"/>
      <c r="W170" s="568"/>
      <c r="X170" s="568"/>
      <c r="Y170" s="567"/>
    </row>
    <row r="171" spans="1:25" x14ac:dyDescent="0.25">
      <c r="A171" s="570"/>
      <c r="B171" s="570"/>
      <c r="C171" s="570"/>
      <c r="D171" s="567"/>
      <c r="E171" s="567"/>
      <c r="F171" s="567"/>
      <c r="G171" s="570"/>
      <c r="H171" s="570"/>
      <c r="I171" s="567"/>
      <c r="J171" s="567"/>
      <c r="K171" s="567"/>
      <c r="L171" s="568"/>
      <c r="M171" s="568"/>
      <c r="N171" s="567"/>
      <c r="O171" s="567"/>
      <c r="P171" s="567"/>
      <c r="Q171" s="567"/>
      <c r="R171" s="570"/>
      <c r="S171" s="570"/>
      <c r="T171" s="567"/>
      <c r="U171" s="567"/>
      <c r="V171" s="567"/>
      <c r="W171" s="568"/>
      <c r="X171" s="568"/>
      <c r="Y171" s="567"/>
    </row>
    <row r="172" spans="1:25" x14ac:dyDescent="0.25">
      <c r="A172" s="570"/>
      <c r="B172" s="570"/>
      <c r="C172" s="570"/>
      <c r="D172" s="567"/>
      <c r="E172" s="567"/>
      <c r="F172" s="567"/>
      <c r="G172" s="570"/>
      <c r="H172" s="570"/>
      <c r="I172" s="567"/>
      <c r="J172" s="567"/>
      <c r="K172" s="567"/>
      <c r="L172" s="568"/>
      <c r="M172" s="568"/>
      <c r="N172" s="567"/>
      <c r="O172" s="567"/>
      <c r="P172" s="567"/>
      <c r="Q172" s="567"/>
      <c r="R172" s="570"/>
      <c r="S172" s="570"/>
      <c r="T172" s="567"/>
      <c r="U172" s="567"/>
      <c r="V172" s="567"/>
      <c r="W172" s="568"/>
      <c r="X172" s="568"/>
      <c r="Y172" s="567"/>
    </row>
    <row r="173" spans="1:25" x14ac:dyDescent="0.25">
      <c r="A173" s="570"/>
      <c r="B173" s="570"/>
      <c r="C173" s="570"/>
      <c r="D173" s="567"/>
      <c r="E173" s="567"/>
      <c r="F173" s="567"/>
      <c r="G173" s="570"/>
      <c r="H173" s="570"/>
      <c r="I173" s="567"/>
      <c r="J173" s="567"/>
      <c r="K173" s="567"/>
      <c r="L173" s="568"/>
      <c r="M173" s="568"/>
      <c r="N173" s="567"/>
      <c r="O173" s="567"/>
      <c r="P173" s="567"/>
      <c r="Q173" s="567"/>
      <c r="R173" s="570"/>
      <c r="S173" s="570"/>
      <c r="T173" s="567"/>
      <c r="U173" s="567"/>
      <c r="V173" s="567"/>
      <c r="W173" s="568"/>
      <c r="X173" s="568"/>
      <c r="Y173" s="567"/>
    </row>
    <row r="174" spans="1:25" x14ac:dyDescent="0.25">
      <c r="A174" s="570"/>
      <c r="B174" s="570"/>
      <c r="C174" s="570"/>
      <c r="D174" s="567"/>
      <c r="E174" s="567"/>
      <c r="F174" s="567"/>
      <c r="G174" s="570"/>
      <c r="H174" s="570"/>
      <c r="I174" s="567"/>
      <c r="J174" s="567"/>
      <c r="K174" s="567"/>
      <c r="L174" s="568"/>
      <c r="M174" s="568"/>
      <c r="N174" s="567"/>
      <c r="O174" s="567"/>
      <c r="P174" s="567"/>
      <c r="Q174" s="567"/>
      <c r="R174" s="570"/>
      <c r="S174" s="570"/>
      <c r="T174" s="567"/>
      <c r="U174" s="567"/>
      <c r="V174" s="567"/>
      <c r="W174" s="568"/>
      <c r="X174" s="568"/>
      <c r="Y174" s="567"/>
    </row>
    <row r="175" spans="1:25" x14ac:dyDescent="0.25">
      <c r="A175" s="570"/>
      <c r="B175" s="570"/>
      <c r="C175" s="570"/>
      <c r="D175" s="567"/>
      <c r="E175" s="567"/>
      <c r="F175" s="567"/>
      <c r="G175" s="570"/>
      <c r="H175" s="570"/>
      <c r="I175" s="567"/>
      <c r="J175" s="567"/>
      <c r="K175" s="567"/>
      <c r="L175" s="568"/>
      <c r="M175" s="568"/>
      <c r="N175" s="567"/>
      <c r="O175" s="567"/>
      <c r="P175" s="567"/>
      <c r="Q175" s="567"/>
      <c r="R175" s="570"/>
      <c r="S175" s="570"/>
      <c r="T175" s="567"/>
      <c r="U175" s="567"/>
      <c r="V175" s="567"/>
      <c r="W175" s="568"/>
      <c r="X175" s="568"/>
      <c r="Y175" s="567"/>
    </row>
    <row r="176" spans="1:25" x14ac:dyDescent="0.25">
      <c r="A176" s="570"/>
      <c r="B176" s="570"/>
      <c r="C176" s="570"/>
      <c r="D176" s="567"/>
      <c r="E176" s="567"/>
      <c r="F176" s="567"/>
      <c r="G176" s="570"/>
      <c r="H176" s="570"/>
      <c r="I176" s="567"/>
      <c r="J176" s="567"/>
      <c r="K176" s="567"/>
      <c r="L176" s="568"/>
      <c r="M176" s="568"/>
      <c r="N176" s="567"/>
      <c r="O176" s="567"/>
      <c r="P176" s="567"/>
      <c r="Q176" s="567"/>
      <c r="R176" s="570"/>
      <c r="S176" s="570"/>
      <c r="T176" s="567"/>
      <c r="U176" s="567"/>
      <c r="V176" s="567"/>
      <c r="W176" s="568"/>
      <c r="X176" s="568"/>
      <c r="Y176" s="567"/>
    </row>
    <row r="177" spans="1:25" x14ac:dyDescent="0.25">
      <c r="A177" s="570"/>
      <c r="B177" s="570"/>
      <c r="C177" s="570"/>
      <c r="D177" s="567"/>
      <c r="E177" s="567"/>
      <c r="F177" s="567"/>
      <c r="G177" s="570"/>
      <c r="H177" s="570"/>
      <c r="I177" s="567"/>
      <c r="J177" s="567"/>
      <c r="K177" s="567"/>
      <c r="L177" s="568"/>
      <c r="M177" s="568"/>
      <c r="N177" s="567"/>
      <c r="O177" s="567"/>
      <c r="P177" s="567"/>
      <c r="Q177" s="567"/>
      <c r="R177" s="570"/>
      <c r="S177" s="570"/>
      <c r="T177" s="567"/>
      <c r="U177" s="567"/>
      <c r="V177" s="567"/>
      <c r="W177" s="568"/>
      <c r="X177" s="568"/>
      <c r="Y177" s="567"/>
    </row>
    <row r="178" spans="1:25" x14ac:dyDescent="0.25">
      <c r="A178" s="570"/>
      <c r="B178" s="570"/>
      <c r="C178" s="570"/>
      <c r="D178" s="567"/>
      <c r="E178" s="567"/>
      <c r="F178" s="567"/>
      <c r="G178" s="570"/>
      <c r="H178" s="570"/>
      <c r="I178" s="567"/>
      <c r="J178" s="567"/>
      <c r="K178" s="567"/>
      <c r="L178" s="568"/>
      <c r="M178" s="568"/>
      <c r="N178" s="567"/>
      <c r="O178" s="567"/>
      <c r="P178" s="567"/>
      <c r="Q178" s="567"/>
      <c r="R178" s="570"/>
      <c r="S178" s="570"/>
      <c r="T178" s="567"/>
      <c r="U178" s="567"/>
      <c r="V178" s="567"/>
      <c r="W178" s="568"/>
      <c r="X178" s="568"/>
      <c r="Y178" s="567"/>
    </row>
    <row r="179" spans="1:25" x14ac:dyDescent="0.25">
      <c r="A179" s="570"/>
      <c r="B179" s="570"/>
      <c r="C179" s="570"/>
      <c r="D179" s="567"/>
      <c r="E179" s="567"/>
      <c r="F179" s="567"/>
      <c r="G179" s="570"/>
      <c r="H179" s="570"/>
      <c r="I179" s="567"/>
      <c r="J179" s="567"/>
      <c r="K179" s="567"/>
      <c r="L179" s="568"/>
      <c r="M179" s="568"/>
      <c r="N179" s="567"/>
      <c r="O179" s="567"/>
      <c r="P179" s="567"/>
      <c r="Q179" s="567"/>
      <c r="R179" s="570"/>
      <c r="S179" s="570"/>
      <c r="T179" s="567"/>
      <c r="U179" s="567"/>
      <c r="V179" s="567"/>
      <c r="W179" s="568"/>
      <c r="X179" s="568"/>
      <c r="Y179" s="567"/>
    </row>
    <row r="180" spans="1:25" x14ac:dyDescent="0.25">
      <c r="A180" s="570"/>
      <c r="B180" s="570"/>
      <c r="C180" s="570"/>
      <c r="D180" s="567"/>
      <c r="E180" s="567"/>
      <c r="F180" s="567"/>
      <c r="G180" s="570"/>
      <c r="H180" s="570"/>
      <c r="I180" s="567"/>
      <c r="J180" s="567"/>
      <c r="K180" s="567"/>
      <c r="L180" s="568"/>
      <c r="M180" s="568"/>
      <c r="N180" s="567"/>
      <c r="O180" s="567"/>
      <c r="P180" s="567"/>
      <c r="Q180" s="567"/>
      <c r="R180" s="570"/>
      <c r="S180" s="570"/>
      <c r="T180" s="567"/>
      <c r="U180" s="567"/>
      <c r="V180" s="567"/>
      <c r="W180" s="568"/>
      <c r="X180" s="568"/>
      <c r="Y180" s="567"/>
    </row>
    <row r="181" spans="1:25" x14ac:dyDescent="0.25">
      <c r="A181" s="570"/>
      <c r="B181" s="570"/>
      <c r="C181" s="570"/>
      <c r="D181" s="567"/>
      <c r="E181" s="567"/>
      <c r="F181" s="567"/>
      <c r="G181" s="570"/>
      <c r="H181" s="570"/>
      <c r="I181" s="567"/>
      <c r="J181" s="567"/>
      <c r="K181" s="567"/>
      <c r="L181" s="568"/>
      <c r="M181" s="568"/>
      <c r="N181" s="567"/>
      <c r="O181" s="567"/>
      <c r="P181" s="567"/>
      <c r="Q181" s="567"/>
      <c r="R181" s="570"/>
      <c r="S181" s="570"/>
      <c r="T181" s="567"/>
      <c r="U181" s="567"/>
      <c r="V181" s="567"/>
      <c r="W181" s="568"/>
      <c r="X181" s="568"/>
      <c r="Y181" s="567"/>
    </row>
    <row r="182" spans="1:25" x14ac:dyDescent="0.25">
      <c r="A182" s="570"/>
      <c r="B182" s="570"/>
      <c r="C182" s="570"/>
      <c r="D182" s="567"/>
      <c r="E182" s="567"/>
      <c r="F182" s="567"/>
      <c r="G182" s="570"/>
      <c r="H182" s="570"/>
      <c r="I182" s="567"/>
      <c r="J182" s="567"/>
      <c r="K182" s="567"/>
      <c r="L182" s="568"/>
      <c r="M182" s="568"/>
      <c r="N182" s="567"/>
      <c r="O182" s="567"/>
      <c r="P182" s="567"/>
      <c r="Q182" s="567"/>
      <c r="R182" s="570"/>
      <c r="S182" s="570"/>
      <c r="T182" s="567"/>
      <c r="U182" s="567"/>
      <c r="V182" s="567"/>
      <c r="W182" s="568"/>
      <c r="X182" s="568"/>
      <c r="Y182" s="567"/>
    </row>
    <row r="183" spans="1:25" x14ac:dyDescent="0.25">
      <c r="A183" s="570"/>
      <c r="B183" s="570"/>
      <c r="C183" s="570"/>
      <c r="D183" s="567"/>
      <c r="E183" s="567"/>
      <c r="F183" s="567"/>
      <c r="G183" s="570"/>
      <c r="H183" s="570"/>
      <c r="I183" s="567"/>
      <c r="J183" s="567"/>
      <c r="K183" s="567"/>
      <c r="L183" s="568"/>
      <c r="M183" s="568"/>
      <c r="N183" s="567"/>
      <c r="O183" s="567"/>
      <c r="P183" s="567"/>
      <c r="Q183" s="567"/>
      <c r="R183" s="570"/>
      <c r="S183" s="570"/>
      <c r="T183" s="567"/>
      <c r="U183" s="567"/>
      <c r="V183" s="567"/>
      <c r="W183" s="568"/>
      <c r="X183" s="568"/>
      <c r="Y183" s="567"/>
    </row>
    <row r="184" spans="1:25" x14ac:dyDescent="0.25">
      <c r="A184" s="570"/>
      <c r="B184" s="570"/>
      <c r="C184" s="570"/>
      <c r="D184" s="567"/>
      <c r="E184" s="567"/>
      <c r="F184" s="567"/>
      <c r="G184" s="570"/>
      <c r="H184" s="570"/>
      <c r="I184" s="567"/>
      <c r="J184" s="567"/>
      <c r="K184" s="567"/>
      <c r="L184" s="568"/>
      <c r="M184" s="568"/>
      <c r="N184" s="567"/>
      <c r="O184" s="567"/>
      <c r="P184" s="567"/>
      <c r="Q184" s="567"/>
      <c r="R184" s="570"/>
      <c r="S184" s="570"/>
      <c r="T184" s="567"/>
      <c r="U184" s="567"/>
      <c r="V184" s="567"/>
      <c r="W184" s="568"/>
      <c r="X184" s="568"/>
      <c r="Y184" s="567"/>
    </row>
    <row r="185" spans="1:25" x14ac:dyDescent="0.25">
      <c r="A185" s="570"/>
      <c r="B185" s="570"/>
      <c r="C185" s="570"/>
      <c r="D185" s="567"/>
      <c r="E185" s="567"/>
      <c r="F185" s="567"/>
      <c r="G185" s="570"/>
      <c r="H185" s="570"/>
      <c r="I185" s="567"/>
      <c r="J185" s="567"/>
      <c r="K185" s="567"/>
      <c r="L185" s="568"/>
      <c r="M185" s="568"/>
      <c r="N185" s="567"/>
      <c r="O185" s="567"/>
      <c r="P185" s="567"/>
      <c r="Q185" s="567"/>
      <c r="R185" s="570"/>
      <c r="S185" s="570"/>
      <c r="T185" s="567"/>
      <c r="U185" s="567"/>
      <c r="V185" s="567"/>
      <c r="W185" s="568"/>
      <c r="X185" s="568"/>
      <c r="Y185" s="567"/>
    </row>
    <row r="186" spans="1:25" x14ac:dyDescent="0.25">
      <c r="A186" s="570"/>
      <c r="B186" s="570"/>
      <c r="C186" s="570"/>
      <c r="D186" s="567"/>
      <c r="E186" s="567"/>
      <c r="F186" s="567"/>
      <c r="G186" s="570"/>
      <c r="H186" s="570"/>
      <c r="I186" s="567"/>
      <c r="J186" s="567"/>
      <c r="K186" s="567"/>
      <c r="L186" s="568"/>
      <c r="M186" s="568"/>
      <c r="N186" s="567"/>
      <c r="O186" s="567"/>
      <c r="P186" s="567"/>
      <c r="Q186" s="567"/>
      <c r="R186" s="570"/>
      <c r="S186" s="570"/>
      <c r="T186" s="567"/>
      <c r="U186" s="567"/>
      <c r="V186" s="567"/>
      <c r="W186" s="568"/>
      <c r="X186" s="568"/>
      <c r="Y186" s="567"/>
    </row>
    <row r="187" spans="1:25" x14ac:dyDescent="0.25">
      <c r="A187" s="570"/>
      <c r="B187" s="570"/>
      <c r="C187" s="570"/>
      <c r="D187" s="567"/>
      <c r="E187" s="567"/>
      <c r="F187" s="567"/>
      <c r="G187" s="570"/>
      <c r="H187" s="570"/>
      <c r="I187" s="567"/>
      <c r="J187" s="567"/>
      <c r="K187" s="567"/>
      <c r="L187" s="568"/>
      <c r="M187" s="568"/>
      <c r="N187" s="567"/>
      <c r="O187" s="567"/>
      <c r="P187" s="567"/>
      <c r="Q187" s="567"/>
      <c r="R187" s="570"/>
      <c r="S187" s="570"/>
      <c r="T187" s="567"/>
      <c r="U187" s="567"/>
      <c r="V187" s="567"/>
      <c r="W187" s="568"/>
      <c r="X187" s="568"/>
      <c r="Y187" s="567"/>
    </row>
    <row r="188" spans="1:25" x14ac:dyDescent="0.25">
      <c r="A188" s="570"/>
      <c r="B188" s="570"/>
      <c r="C188" s="570"/>
      <c r="D188" s="567"/>
      <c r="E188" s="567"/>
      <c r="F188" s="567"/>
      <c r="G188" s="570"/>
      <c r="H188" s="570"/>
      <c r="I188" s="567"/>
      <c r="J188" s="567"/>
      <c r="K188" s="567"/>
      <c r="L188" s="568"/>
      <c r="M188" s="568"/>
      <c r="N188" s="567"/>
      <c r="O188" s="567"/>
      <c r="P188" s="567"/>
      <c r="Q188" s="567"/>
      <c r="R188" s="570"/>
      <c r="S188" s="570"/>
      <c r="T188" s="567"/>
      <c r="U188" s="567"/>
      <c r="V188" s="567"/>
      <c r="W188" s="568"/>
      <c r="X188" s="568"/>
      <c r="Y188" s="567"/>
    </row>
    <row r="189" spans="1:25" x14ac:dyDescent="0.25">
      <c r="A189" s="570"/>
      <c r="B189" s="570"/>
      <c r="C189" s="570"/>
      <c r="D189" s="567"/>
      <c r="E189" s="567"/>
      <c r="F189" s="567"/>
      <c r="G189" s="570"/>
      <c r="H189" s="570"/>
      <c r="I189" s="567"/>
      <c r="J189" s="567"/>
      <c r="K189" s="567"/>
      <c r="L189" s="568"/>
      <c r="M189" s="568"/>
      <c r="N189" s="567"/>
      <c r="O189" s="567"/>
      <c r="P189" s="567"/>
      <c r="Q189" s="567"/>
      <c r="R189" s="570"/>
      <c r="S189" s="570"/>
      <c r="T189" s="567"/>
      <c r="U189" s="567"/>
      <c r="V189" s="567"/>
      <c r="W189" s="568"/>
      <c r="X189" s="568"/>
      <c r="Y189" s="567"/>
    </row>
    <row r="190" spans="1:25" x14ac:dyDescent="0.25">
      <c r="A190" s="570"/>
      <c r="B190" s="570"/>
      <c r="C190" s="570"/>
      <c r="D190" s="567"/>
      <c r="E190" s="567"/>
      <c r="F190" s="567"/>
      <c r="G190" s="570"/>
      <c r="H190" s="570"/>
      <c r="I190" s="567"/>
      <c r="J190" s="567"/>
      <c r="K190" s="567"/>
      <c r="L190" s="568"/>
      <c r="M190" s="568"/>
      <c r="N190" s="567"/>
      <c r="O190" s="567"/>
      <c r="P190" s="567"/>
      <c r="Q190" s="567"/>
      <c r="R190" s="570"/>
      <c r="S190" s="570"/>
      <c r="T190" s="567"/>
      <c r="U190" s="567"/>
      <c r="V190" s="567"/>
      <c r="W190" s="568"/>
      <c r="X190" s="568"/>
      <c r="Y190" s="567"/>
    </row>
    <row r="191" spans="1:25" x14ac:dyDescent="0.25">
      <c r="A191" s="570"/>
      <c r="B191" s="570"/>
      <c r="C191" s="570"/>
      <c r="D191" s="567"/>
      <c r="E191" s="567"/>
      <c r="F191" s="567"/>
      <c r="G191" s="570"/>
      <c r="H191" s="570"/>
      <c r="I191" s="567"/>
      <c r="J191" s="567"/>
      <c r="K191" s="567"/>
      <c r="L191" s="568"/>
      <c r="M191" s="568"/>
      <c r="N191" s="567"/>
      <c r="O191" s="567"/>
      <c r="P191" s="567"/>
      <c r="Q191" s="567"/>
      <c r="R191" s="570"/>
      <c r="S191" s="570"/>
      <c r="T191" s="567"/>
      <c r="U191" s="567"/>
      <c r="V191" s="567"/>
      <c r="W191" s="568"/>
      <c r="X191" s="568"/>
      <c r="Y191" s="567"/>
    </row>
    <row r="192" spans="1:25" x14ac:dyDescent="0.25">
      <c r="A192" s="570"/>
      <c r="B192" s="570"/>
      <c r="C192" s="570"/>
      <c r="D192" s="567"/>
      <c r="E192" s="567"/>
      <c r="F192" s="567"/>
      <c r="G192" s="570"/>
      <c r="H192" s="570"/>
      <c r="I192" s="567"/>
      <c r="J192" s="567"/>
      <c r="K192" s="567"/>
      <c r="L192" s="568"/>
      <c r="M192" s="568"/>
      <c r="N192" s="567"/>
      <c r="O192" s="567"/>
      <c r="P192" s="567"/>
      <c r="Q192" s="567"/>
      <c r="R192" s="570"/>
      <c r="S192" s="570"/>
      <c r="T192" s="567"/>
      <c r="U192" s="567"/>
      <c r="V192" s="567"/>
      <c r="W192" s="568"/>
      <c r="X192" s="568"/>
      <c r="Y192" s="567"/>
    </row>
    <row r="193" spans="1:25" x14ac:dyDescent="0.25">
      <c r="A193" s="570"/>
      <c r="B193" s="570"/>
      <c r="C193" s="570"/>
      <c r="D193" s="567"/>
      <c r="E193" s="567"/>
      <c r="F193" s="567"/>
      <c r="G193" s="570"/>
      <c r="H193" s="570"/>
      <c r="I193" s="567"/>
      <c r="J193" s="567"/>
      <c r="K193" s="567"/>
      <c r="L193" s="568"/>
      <c r="M193" s="568"/>
      <c r="N193" s="567"/>
      <c r="O193" s="567"/>
      <c r="P193" s="567"/>
      <c r="Q193" s="567"/>
      <c r="R193" s="570"/>
      <c r="S193" s="570"/>
      <c r="T193" s="567"/>
      <c r="U193" s="567"/>
      <c r="V193" s="567"/>
      <c r="W193" s="568"/>
      <c r="X193" s="568"/>
      <c r="Y193" s="567"/>
    </row>
    <row r="194" spans="1:25" x14ac:dyDescent="0.25">
      <c r="A194" s="570"/>
      <c r="B194" s="570"/>
      <c r="C194" s="570"/>
      <c r="D194" s="567"/>
      <c r="E194" s="567"/>
      <c r="F194" s="567"/>
      <c r="G194" s="570"/>
      <c r="H194" s="570"/>
      <c r="I194" s="567"/>
      <c r="J194" s="567"/>
      <c r="K194" s="567"/>
      <c r="L194" s="568"/>
      <c r="M194" s="568"/>
      <c r="N194" s="567"/>
      <c r="O194" s="567"/>
      <c r="P194" s="567"/>
      <c r="Q194" s="567"/>
      <c r="R194" s="570"/>
      <c r="S194" s="570"/>
      <c r="T194" s="567"/>
      <c r="U194" s="567"/>
      <c r="V194" s="567"/>
      <c r="W194" s="568"/>
      <c r="X194" s="568"/>
      <c r="Y194" s="567"/>
    </row>
    <row r="195" spans="1:25" x14ac:dyDescent="0.25">
      <c r="A195" s="570"/>
      <c r="B195" s="570"/>
      <c r="C195" s="570"/>
      <c r="D195" s="567"/>
      <c r="E195" s="567"/>
      <c r="F195" s="567"/>
      <c r="G195" s="570"/>
      <c r="H195" s="570"/>
      <c r="I195" s="567"/>
      <c r="J195" s="567"/>
      <c r="K195" s="567"/>
      <c r="L195" s="568"/>
      <c r="M195" s="568"/>
      <c r="N195" s="567"/>
      <c r="O195" s="567"/>
      <c r="P195" s="567"/>
      <c r="Q195" s="567"/>
      <c r="R195" s="570"/>
      <c r="S195" s="570"/>
      <c r="T195" s="567"/>
      <c r="U195" s="567"/>
      <c r="V195" s="567"/>
      <c r="W195" s="568"/>
      <c r="X195" s="568"/>
      <c r="Y195" s="567"/>
    </row>
    <row r="196" spans="1:25" x14ac:dyDescent="0.25">
      <c r="A196" s="570"/>
      <c r="B196" s="570"/>
      <c r="C196" s="570"/>
      <c r="D196" s="567"/>
      <c r="E196" s="567"/>
      <c r="F196" s="567"/>
      <c r="G196" s="570"/>
      <c r="H196" s="570"/>
      <c r="I196" s="567"/>
      <c r="J196" s="567"/>
      <c r="K196" s="567"/>
      <c r="L196" s="568"/>
      <c r="M196" s="568"/>
      <c r="N196" s="567"/>
      <c r="O196" s="567"/>
      <c r="P196" s="567"/>
      <c r="Q196" s="567"/>
      <c r="R196" s="570"/>
      <c r="S196" s="570"/>
      <c r="T196" s="567"/>
      <c r="U196" s="567"/>
      <c r="V196" s="567"/>
      <c r="W196" s="568"/>
      <c r="X196" s="568"/>
      <c r="Y196" s="567"/>
    </row>
    <row r="197" spans="1:25" x14ac:dyDescent="0.25">
      <c r="A197" s="570"/>
      <c r="B197" s="570"/>
      <c r="C197" s="570"/>
      <c r="D197" s="567"/>
      <c r="E197" s="567"/>
      <c r="F197" s="567"/>
      <c r="G197" s="570"/>
      <c r="H197" s="570"/>
      <c r="I197" s="567"/>
      <c r="J197" s="567"/>
      <c r="K197" s="567"/>
      <c r="L197" s="568"/>
      <c r="M197" s="568"/>
      <c r="N197" s="567"/>
      <c r="O197" s="567"/>
      <c r="P197" s="567"/>
      <c r="Q197" s="567"/>
      <c r="R197" s="570"/>
      <c r="S197" s="570"/>
      <c r="T197" s="567"/>
      <c r="U197" s="567"/>
      <c r="V197" s="567"/>
      <c r="W197" s="568"/>
      <c r="X197" s="568"/>
      <c r="Y197" s="567"/>
    </row>
    <row r="198" spans="1:25" x14ac:dyDescent="0.25">
      <c r="A198" s="570"/>
      <c r="B198" s="570"/>
      <c r="C198" s="570"/>
      <c r="D198" s="567"/>
      <c r="E198" s="567"/>
      <c r="F198" s="567"/>
      <c r="G198" s="570"/>
      <c r="H198" s="570"/>
      <c r="I198" s="567"/>
      <c r="J198" s="567"/>
      <c r="K198" s="567"/>
      <c r="L198" s="568"/>
      <c r="M198" s="568"/>
      <c r="N198" s="567"/>
      <c r="O198" s="567"/>
      <c r="P198" s="567"/>
      <c r="Q198" s="567"/>
      <c r="R198" s="570"/>
      <c r="S198" s="570"/>
      <c r="T198" s="567"/>
      <c r="U198" s="567"/>
      <c r="V198" s="567"/>
      <c r="W198" s="568"/>
      <c r="X198" s="568"/>
      <c r="Y198" s="567"/>
    </row>
    <row r="199" spans="1:25" x14ac:dyDescent="0.25">
      <c r="A199" s="570"/>
      <c r="B199" s="570"/>
      <c r="C199" s="570"/>
      <c r="D199" s="567"/>
      <c r="E199" s="567"/>
      <c r="F199" s="567"/>
      <c r="G199" s="570"/>
      <c r="H199" s="570"/>
      <c r="I199" s="567"/>
      <c r="J199" s="567"/>
      <c r="K199" s="567"/>
      <c r="L199" s="568"/>
      <c r="M199" s="568"/>
      <c r="N199" s="567"/>
      <c r="O199" s="567"/>
      <c r="P199" s="567"/>
      <c r="Q199" s="567"/>
      <c r="R199" s="570"/>
      <c r="S199" s="570"/>
      <c r="T199" s="567"/>
      <c r="U199" s="567"/>
      <c r="V199" s="567"/>
      <c r="W199" s="568"/>
      <c r="X199" s="568"/>
      <c r="Y199" s="567"/>
    </row>
    <row r="200" spans="1:25" x14ac:dyDescent="0.25">
      <c r="A200" s="570"/>
      <c r="B200" s="570"/>
      <c r="C200" s="570"/>
      <c r="D200" s="567"/>
      <c r="E200" s="567"/>
      <c r="F200" s="567"/>
      <c r="G200" s="570"/>
      <c r="H200" s="570"/>
      <c r="I200" s="567"/>
      <c r="J200" s="567"/>
      <c r="K200" s="567"/>
      <c r="L200" s="568"/>
      <c r="M200" s="568"/>
      <c r="N200" s="567"/>
      <c r="O200" s="567"/>
      <c r="P200" s="567"/>
      <c r="Q200" s="567"/>
      <c r="R200" s="570"/>
      <c r="S200" s="570"/>
      <c r="T200" s="567"/>
      <c r="U200" s="567"/>
      <c r="V200" s="567"/>
      <c r="W200" s="568"/>
      <c r="X200" s="568"/>
      <c r="Y200" s="567"/>
    </row>
    <row r="201" spans="1:25" x14ac:dyDescent="0.25">
      <c r="A201" s="570"/>
      <c r="B201" s="570"/>
      <c r="C201" s="570"/>
      <c r="D201" s="567"/>
      <c r="E201" s="567"/>
      <c r="F201" s="567"/>
      <c r="G201" s="570"/>
      <c r="H201" s="570"/>
      <c r="I201" s="567"/>
      <c r="J201" s="567"/>
      <c r="K201" s="567"/>
      <c r="L201" s="568"/>
      <c r="M201" s="568"/>
      <c r="N201" s="567"/>
      <c r="O201" s="567"/>
      <c r="P201" s="567"/>
      <c r="Q201" s="567"/>
      <c r="R201" s="570"/>
      <c r="S201" s="570"/>
      <c r="T201" s="567"/>
      <c r="U201" s="567"/>
      <c r="V201" s="567"/>
      <c r="W201" s="568"/>
      <c r="X201" s="568"/>
      <c r="Y201" s="567"/>
    </row>
    <row r="202" spans="1:25" x14ac:dyDescent="0.25">
      <c r="A202" s="570"/>
      <c r="B202" s="570"/>
      <c r="C202" s="570"/>
      <c r="D202" s="567"/>
      <c r="E202" s="567"/>
      <c r="F202" s="567"/>
      <c r="G202" s="570"/>
      <c r="H202" s="570"/>
      <c r="I202" s="567"/>
      <c r="J202" s="567"/>
      <c r="K202" s="567"/>
      <c r="L202" s="568"/>
      <c r="M202" s="568"/>
      <c r="N202" s="567"/>
      <c r="O202" s="567"/>
      <c r="P202" s="567"/>
      <c r="Q202" s="567"/>
      <c r="R202" s="570"/>
      <c r="S202" s="570"/>
      <c r="T202" s="567"/>
      <c r="U202" s="567"/>
      <c r="V202" s="567"/>
      <c r="W202" s="568"/>
      <c r="X202" s="568"/>
      <c r="Y202" s="567"/>
    </row>
    <row r="203" spans="1:25" x14ac:dyDescent="0.25">
      <c r="A203" s="570"/>
      <c r="B203" s="570"/>
      <c r="C203" s="570"/>
      <c r="D203" s="567"/>
      <c r="E203" s="567"/>
      <c r="F203" s="567"/>
      <c r="G203" s="570"/>
      <c r="H203" s="570"/>
      <c r="I203" s="567"/>
      <c r="J203" s="567"/>
      <c r="K203" s="567"/>
      <c r="L203" s="568"/>
      <c r="M203" s="568"/>
      <c r="N203" s="567"/>
      <c r="O203" s="567"/>
      <c r="P203" s="567"/>
      <c r="Q203" s="567"/>
      <c r="R203" s="570"/>
      <c r="S203" s="570"/>
      <c r="T203" s="567"/>
      <c r="U203" s="567"/>
      <c r="V203" s="567"/>
      <c r="W203" s="568"/>
      <c r="X203" s="568"/>
      <c r="Y203" s="567"/>
    </row>
    <row r="204" spans="1:25" x14ac:dyDescent="0.25">
      <c r="A204" s="570"/>
      <c r="B204" s="570"/>
      <c r="C204" s="570"/>
      <c r="D204" s="567"/>
      <c r="E204" s="567"/>
      <c r="F204" s="567"/>
      <c r="G204" s="570"/>
      <c r="H204" s="570"/>
      <c r="I204" s="567"/>
      <c r="J204" s="567"/>
      <c r="K204" s="567"/>
      <c r="L204" s="568"/>
      <c r="M204" s="568"/>
      <c r="N204" s="567"/>
      <c r="O204" s="567"/>
      <c r="P204" s="567"/>
      <c r="Q204" s="567"/>
      <c r="R204" s="570"/>
      <c r="S204" s="570"/>
      <c r="T204" s="567"/>
      <c r="U204" s="567"/>
      <c r="V204" s="567"/>
      <c r="W204" s="568"/>
      <c r="X204" s="568"/>
      <c r="Y204" s="567"/>
    </row>
    <row r="205" spans="1:25" x14ac:dyDescent="0.25">
      <c r="A205" s="570"/>
      <c r="B205" s="570"/>
      <c r="C205" s="570"/>
      <c r="D205" s="567"/>
      <c r="E205" s="567"/>
      <c r="F205" s="567"/>
      <c r="G205" s="570"/>
      <c r="H205" s="570"/>
      <c r="I205" s="567"/>
      <c r="J205" s="567"/>
      <c r="K205" s="567"/>
      <c r="L205" s="568"/>
      <c r="M205" s="568"/>
      <c r="N205" s="567"/>
      <c r="O205" s="567"/>
      <c r="P205" s="567"/>
      <c r="Q205" s="567"/>
      <c r="R205" s="570"/>
      <c r="S205" s="570"/>
      <c r="T205" s="567"/>
      <c r="U205" s="567"/>
      <c r="V205" s="567"/>
      <c r="W205" s="568"/>
      <c r="X205" s="568"/>
      <c r="Y205" s="567"/>
    </row>
    <row r="206" spans="1:25" x14ac:dyDescent="0.25">
      <c r="A206" s="570"/>
      <c r="B206" s="570"/>
      <c r="C206" s="570"/>
      <c r="D206" s="567"/>
      <c r="E206" s="567"/>
      <c r="F206" s="567"/>
      <c r="G206" s="570"/>
      <c r="H206" s="570"/>
      <c r="I206" s="567"/>
      <c r="J206" s="567"/>
      <c r="K206" s="567"/>
      <c r="L206" s="568"/>
      <c r="M206" s="568"/>
      <c r="N206" s="567"/>
      <c r="O206" s="567"/>
      <c r="P206" s="567"/>
      <c r="Q206" s="567"/>
      <c r="R206" s="570"/>
      <c r="S206" s="570"/>
      <c r="T206" s="567"/>
      <c r="U206" s="567"/>
      <c r="V206" s="567"/>
      <c r="W206" s="568"/>
      <c r="X206" s="568"/>
      <c r="Y206" s="567"/>
    </row>
    <row r="207" spans="1:25" x14ac:dyDescent="0.25">
      <c r="A207" s="570"/>
      <c r="B207" s="570"/>
      <c r="C207" s="570"/>
      <c r="D207" s="567"/>
      <c r="E207" s="567"/>
      <c r="F207" s="567"/>
      <c r="G207" s="570"/>
      <c r="H207" s="570"/>
      <c r="I207" s="567"/>
      <c r="J207" s="567"/>
      <c r="K207" s="567"/>
      <c r="L207" s="568"/>
      <c r="M207" s="568"/>
      <c r="N207" s="567"/>
      <c r="O207" s="567"/>
      <c r="P207" s="567"/>
      <c r="Q207" s="567"/>
      <c r="R207" s="570"/>
      <c r="S207" s="570"/>
      <c r="T207" s="567"/>
      <c r="U207" s="567"/>
      <c r="V207" s="567"/>
      <c r="W207" s="568"/>
      <c r="X207" s="568"/>
      <c r="Y207" s="567"/>
    </row>
    <row r="208" spans="1:25" x14ac:dyDescent="0.25">
      <c r="A208" s="570"/>
      <c r="B208" s="570"/>
      <c r="C208" s="570"/>
      <c r="D208" s="567"/>
      <c r="E208" s="567"/>
      <c r="F208" s="567"/>
      <c r="G208" s="570"/>
      <c r="H208" s="570"/>
      <c r="I208" s="567"/>
      <c r="J208" s="567"/>
      <c r="K208" s="567"/>
      <c r="L208" s="568"/>
      <c r="M208" s="568"/>
      <c r="N208" s="567"/>
      <c r="O208" s="567"/>
      <c r="P208" s="567"/>
      <c r="Q208" s="567"/>
      <c r="R208" s="570"/>
      <c r="S208" s="570"/>
      <c r="T208" s="567"/>
      <c r="U208" s="567"/>
      <c r="V208" s="567"/>
      <c r="W208" s="568"/>
      <c r="X208" s="568"/>
      <c r="Y208" s="567"/>
    </row>
    <row r="209" spans="1:25" x14ac:dyDescent="0.25">
      <c r="A209" s="570"/>
      <c r="B209" s="570"/>
      <c r="C209" s="570"/>
      <c r="D209" s="567"/>
      <c r="E209" s="567"/>
      <c r="F209" s="567"/>
      <c r="G209" s="570"/>
      <c r="H209" s="570"/>
      <c r="I209" s="567"/>
      <c r="J209" s="567"/>
      <c r="K209" s="567"/>
      <c r="L209" s="568"/>
      <c r="M209" s="568"/>
      <c r="N209" s="567"/>
      <c r="O209" s="567"/>
      <c r="P209" s="567"/>
      <c r="Q209" s="567"/>
      <c r="R209" s="570"/>
      <c r="S209" s="570"/>
      <c r="T209" s="567"/>
      <c r="U209" s="567"/>
      <c r="V209" s="567"/>
      <c r="W209" s="568"/>
      <c r="X209" s="568"/>
      <c r="Y209" s="567"/>
    </row>
    <row r="210" spans="1:25" x14ac:dyDescent="0.25">
      <c r="A210" s="570"/>
      <c r="B210" s="570"/>
      <c r="C210" s="570"/>
      <c r="D210" s="567"/>
      <c r="E210" s="567"/>
      <c r="F210" s="567"/>
      <c r="G210" s="570"/>
      <c r="H210" s="570"/>
      <c r="I210" s="567"/>
      <c r="J210" s="567"/>
      <c r="K210" s="567"/>
      <c r="L210" s="568"/>
      <c r="M210" s="568"/>
      <c r="N210" s="567"/>
      <c r="O210" s="567"/>
      <c r="P210" s="567"/>
      <c r="Q210" s="567"/>
      <c r="R210" s="570"/>
      <c r="S210" s="570"/>
      <c r="T210" s="567"/>
      <c r="U210" s="567"/>
      <c r="V210" s="567"/>
      <c r="W210" s="568"/>
      <c r="X210" s="568"/>
      <c r="Y210" s="567"/>
    </row>
    <row r="211" spans="1:25" x14ac:dyDescent="0.25">
      <c r="A211" s="570"/>
      <c r="B211" s="570"/>
      <c r="C211" s="570"/>
      <c r="D211" s="567"/>
      <c r="E211" s="567"/>
      <c r="F211" s="567"/>
      <c r="G211" s="570"/>
      <c r="H211" s="570"/>
      <c r="I211" s="567"/>
      <c r="J211" s="567"/>
      <c r="K211" s="567"/>
      <c r="L211" s="568"/>
      <c r="M211" s="568"/>
      <c r="N211" s="567"/>
      <c r="O211" s="567"/>
      <c r="P211" s="567"/>
      <c r="Q211" s="567"/>
      <c r="R211" s="570"/>
      <c r="S211" s="570"/>
      <c r="T211" s="567"/>
      <c r="U211" s="567"/>
      <c r="V211" s="567"/>
      <c r="W211" s="568"/>
      <c r="X211" s="568"/>
      <c r="Y211" s="567"/>
    </row>
    <row r="212" spans="1:25" x14ac:dyDescent="0.25">
      <c r="A212" s="570"/>
      <c r="B212" s="570"/>
      <c r="C212" s="570"/>
      <c r="D212" s="567"/>
      <c r="E212" s="567"/>
      <c r="F212" s="567"/>
      <c r="G212" s="570"/>
      <c r="H212" s="570"/>
      <c r="I212" s="567"/>
      <c r="J212" s="567"/>
      <c r="K212" s="567"/>
      <c r="L212" s="568"/>
      <c r="M212" s="568"/>
      <c r="N212" s="567"/>
      <c r="O212" s="567"/>
      <c r="P212" s="567"/>
      <c r="Q212" s="567"/>
      <c r="R212" s="570"/>
      <c r="S212" s="570"/>
      <c r="T212" s="567"/>
      <c r="U212" s="567"/>
      <c r="V212" s="567"/>
      <c r="W212" s="568"/>
      <c r="X212" s="568"/>
      <c r="Y212" s="567"/>
    </row>
    <row r="213" spans="1:25" x14ac:dyDescent="0.25">
      <c r="A213" s="570"/>
      <c r="B213" s="570"/>
      <c r="C213" s="570"/>
      <c r="D213" s="567"/>
      <c r="E213" s="567"/>
      <c r="F213" s="567"/>
      <c r="G213" s="570"/>
      <c r="H213" s="570"/>
      <c r="I213" s="567"/>
      <c r="J213" s="567"/>
      <c r="K213" s="567"/>
      <c r="L213" s="568"/>
      <c r="M213" s="568"/>
      <c r="N213" s="567"/>
      <c r="O213" s="567"/>
      <c r="P213" s="567"/>
      <c r="Q213" s="567"/>
      <c r="R213" s="570"/>
      <c r="S213" s="570"/>
      <c r="T213" s="567"/>
      <c r="U213" s="567"/>
      <c r="V213" s="567"/>
      <c r="W213" s="568"/>
      <c r="X213" s="568"/>
      <c r="Y213" s="567"/>
    </row>
    <row r="214" spans="1:25" x14ac:dyDescent="0.25">
      <c r="A214" s="570"/>
      <c r="B214" s="570"/>
      <c r="C214" s="570"/>
      <c r="D214" s="567"/>
      <c r="E214" s="567"/>
      <c r="F214" s="567"/>
      <c r="G214" s="570"/>
      <c r="H214" s="570"/>
      <c r="I214" s="567"/>
      <c r="J214" s="567"/>
      <c r="K214" s="567"/>
      <c r="L214" s="568"/>
      <c r="M214" s="568"/>
      <c r="N214" s="567"/>
      <c r="O214" s="567"/>
      <c r="P214" s="567"/>
      <c r="Q214" s="567"/>
      <c r="R214" s="570"/>
      <c r="S214" s="570"/>
      <c r="T214" s="567"/>
      <c r="U214" s="567"/>
      <c r="V214" s="567"/>
      <c r="W214" s="568"/>
      <c r="X214" s="568"/>
      <c r="Y214" s="567"/>
    </row>
    <row r="215" spans="1:25" x14ac:dyDescent="0.25">
      <c r="A215" s="570"/>
      <c r="B215" s="570"/>
      <c r="C215" s="570"/>
      <c r="D215" s="567"/>
      <c r="E215" s="567"/>
      <c r="F215" s="567"/>
      <c r="G215" s="570"/>
      <c r="H215" s="570"/>
      <c r="I215" s="567"/>
      <c r="J215" s="567"/>
      <c r="K215" s="567"/>
      <c r="L215" s="568"/>
      <c r="M215" s="568"/>
      <c r="N215" s="567"/>
      <c r="O215" s="567"/>
      <c r="P215" s="567"/>
      <c r="Q215" s="567"/>
      <c r="R215" s="570"/>
      <c r="S215" s="570"/>
      <c r="T215" s="567"/>
      <c r="U215" s="567"/>
      <c r="V215" s="567"/>
      <c r="W215" s="568"/>
      <c r="X215" s="568"/>
      <c r="Y215" s="567"/>
    </row>
    <row r="216" spans="1:25" x14ac:dyDescent="0.25">
      <c r="A216" s="570"/>
      <c r="B216" s="570"/>
      <c r="C216" s="570"/>
      <c r="D216" s="567"/>
      <c r="E216" s="567"/>
      <c r="F216" s="567"/>
      <c r="G216" s="570"/>
      <c r="H216" s="570"/>
      <c r="I216" s="567"/>
      <c r="J216" s="567"/>
      <c r="K216" s="567"/>
      <c r="L216" s="568"/>
      <c r="M216" s="568"/>
      <c r="N216" s="567"/>
      <c r="O216" s="567"/>
      <c r="P216" s="567"/>
      <c r="Q216" s="567"/>
      <c r="R216" s="570"/>
      <c r="S216" s="570"/>
      <c r="T216" s="567"/>
      <c r="U216" s="567"/>
      <c r="V216" s="567"/>
      <c r="W216" s="568"/>
      <c r="X216" s="568"/>
      <c r="Y216" s="567"/>
    </row>
    <row r="217" spans="1:25" x14ac:dyDescent="0.25">
      <c r="A217" s="570"/>
      <c r="B217" s="570"/>
      <c r="C217" s="570"/>
      <c r="D217" s="567"/>
      <c r="E217" s="567"/>
      <c r="F217" s="567"/>
      <c r="G217" s="570"/>
      <c r="H217" s="570"/>
      <c r="I217" s="567"/>
      <c r="J217" s="567"/>
      <c r="K217" s="567"/>
      <c r="L217" s="568"/>
      <c r="M217" s="568"/>
      <c r="N217" s="567"/>
      <c r="O217" s="567"/>
      <c r="P217" s="567"/>
      <c r="Q217" s="567"/>
      <c r="R217" s="570"/>
      <c r="S217" s="570"/>
      <c r="T217" s="567"/>
      <c r="U217" s="567"/>
      <c r="V217" s="567"/>
      <c r="W217" s="568"/>
      <c r="X217" s="568"/>
      <c r="Y217" s="567"/>
    </row>
    <row r="218" spans="1:25" x14ac:dyDescent="0.25">
      <c r="A218" s="570"/>
      <c r="B218" s="570"/>
      <c r="C218" s="570"/>
      <c r="D218" s="567"/>
      <c r="E218" s="567"/>
      <c r="F218" s="567"/>
      <c r="G218" s="570"/>
      <c r="H218" s="570"/>
      <c r="I218" s="567"/>
      <c r="J218" s="567"/>
      <c r="K218" s="567"/>
      <c r="L218" s="568"/>
      <c r="M218" s="568"/>
      <c r="N218" s="567"/>
      <c r="O218" s="567"/>
      <c r="P218" s="567"/>
      <c r="Q218" s="567"/>
      <c r="R218" s="570"/>
      <c r="S218" s="570"/>
      <c r="T218" s="567"/>
      <c r="U218" s="567"/>
      <c r="V218" s="567"/>
      <c r="W218" s="568"/>
      <c r="X218" s="568"/>
      <c r="Y218" s="567"/>
    </row>
    <row r="219" spans="1:25" x14ac:dyDescent="0.25">
      <c r="A219" s="570"/>
      <c r="B219" s="570"/>
      <c r="C219" s="570"/>
      <c r="D219" s="567"/>
      <c r="E219" s="567"/>
      <c r="F219" s="567"/>
      <c r="G219" s="570"/>
      <c r="H219" s="570"/>
      <c r="I219" s="567"/>
      <c r="J219" s="567"/>
      <c r="K219" s="567"/>
      <c r="L219" s="568"/>
      <c r="M219" s="568"/>
      <c r="N219" s="567"/>
      <c r="O219" s="567"/>
      <c r="P219" s="567"/>
      <c r="Q219" s="567"/>
      <c r="R219" s="570"/>
      <c r="S219" s="570"/>
      <c r="T219" s="567"/>
      <c r="U219" s="567"/>
      <c r="V219" s="567"/>
      <c r="W219" s="568"/>
      <c r="X219" s="568"/>
      <c r="Y219" s="567"/>
    </row>
    <row r="220" spans="1:25" x14ac:dyDescent="0.25">
      <c r="A220" s="570"/>
      <c r="B220" s="570"/>
      <c r="C220" s="570"/>
      <c r="D220" s="567"/>
      <c r="E220" s="567"/>
      <c r="F220" s="567"/>
      <c r="G220" s="570"/>
      <c r="H220" s="570"/>
      <c r="I220" s="567"/>
      <c r="J220" s="567"/>
      <c r="K220" s="567"/>
      <c r="L220" s="568"/>
      <c r="M220" s="568"/>
      <c r="N220" s="567"/>
      <c r="O220" s="567"/>
      <c r="P220" s="567"/>
      <c r="Q220" s="567"/>
      <c r="R220" s="570"/>
      <c r="S220" s="570"/>
      <c r="T220" s="567"/>
      <c r="U220" s="567"/>
      <c r="V220" s="567"/>
      <c r="W220" s="568"/>
      <c r="X220" s="568"/>
      <c r="Y220" s="567"/>
    </row>
    <row r="221" spans="1:25" x14ac:dyDescent="0.25">
      <c r="A221" s="570"/>
      <c r="B221" s="570"/>
      <c r="C221" s="570"/>
      <c r="D221" s="567"/>
      <c r="E221" s="567"/>
      <c r="F221" s="567"/>
      <c r="G221" s="570"/>
      <c r="H221" s="570"/>
      <c r="I221" s="567"/>
      <c r="J221" s="567"/>
      <c r="K221" s="567"/>
      <c r="L221" s="568"/>
      <c r="M221" s="568"/>
      <c r="N221" s="567"/>
      <c r="O221" s="567"/>
      <c r="P221" s="567"/>
      <c r="Q221" s="567"/>
      <c r="R221" s="570"/>
      <c r="S221" s="570"/>
      <c r="T221" s="567"/>
      <c r="U221" s="567"/>
      <c r="V221" s="567"/>
      <c r="W221" s="568"/>
      <c r="X221" s="568"/>
      <c r="Y221" s="567"/>
    </row>
    <row r="222" spans="1:25" x14ac:dyDescent="0.25">
      <c r="A222" s="570"/>
      <c r="B222" s="570"/>
      <c r="C222" s="570"/>
      <c r="D222" s="567"/>
      <c r="E222" s="567"/>
      <c r="F222" s="567"/>
      <c r="G222" s="570"/>
      <c r="H222" s="570"/>
      <c r="I222" s="567"/>
      <c r="J222" s="567"/>
      <c r="K222" s="567"/>
      <c r="L222" s="568"/>
      <c r="M222" s="568"/>
      <c r="N222" s="567"/>
      <c r="O222" s="567"/>
      <c r="P222" s="567"/>
      <c r="Q222" s="567"/>
      <c r="R222" s="570"/>
      <c r="S222" s="570"/>
      <c r="T222" s="567"/>
      <c r="U222" s="569"/>
      <c r="V222" s="567"/>
      <c r="W222" s="568"/>
      <c r="X222" s="568"/>
      <c r="Y222" s="567"/>
    </row>
    <row r="223" spans="1:25" x14ac:dyDescent="0.25">
      <c r="A223" s="570"/>
      <c r="B223" s="570"/>
      <c r="C223" s="570"/>
      <c r="D223" s="567"/>
      <c r="E223" s="567"/>
      <c r="F223" s="567"/>
      <c r="G223" s="570"/>
      <c r="H223" s="570"/>
      <c r="I223" s="567"/>
      <c r="J223" s="567"/>
      <c r="K223" s="567"/>
      <c r="L223" s="568"/>
      <c r="M223" s="568"/>
      <c r="N223" s="567"/>
      <c r="O223" s="567"/>
      <c r="P223" s="567"/>
      <c r="Q223" s="567"/>
      <c r="R223" s="570"/>
      <c r="S223" s="570"/>
      <c r="T223" s="567"/>
      <c r="U223" s="569"/>
      <c r="V223" s="567"/>
      <c r="W223" s="568"/>
      <c r="X223" s="568"/>
      <c r="Y223" s="567"/>
    </row>
    <row r="224" spans="1:25" x14ac:dyDescent="0.25">
      <c r="A224" s="570"/>
      <c r="B224" s="570"/>
      <c r="C224" s="570"/>
      <c r="D224" s="567"/>
      <c r="E224" s="567"/>
      <c r="F224" s="567"/>
      <c r="G224" s="570"/>
      <c r="H224" s="570"/>
      <c r="I224" s="567"/>
      <c r="J224" s="567"/>
      <c r="K224" s="567"/>
      <c r="L224" s="568"/>
      <c r="M224" s="568"/>
      <c r="N224" s="567"/>
      <c r="O224" s="567"/>
      <c r="P224" s="567"/>
      <c r="Q224" s="567"/>
      <c r="R224" s="570"/>
      <c r="S224" s="570"/>
      <c r="T224" s="567"/>
      <c r="U224" s="569"/>
      <c r="V224" s="567"/>
      <c r="W224" s="568"/>
      <c r="X224" s="568"/>
      <c r="Y224" s="567"/>
    </row>
    <row r="225" spans="1:25" x14ac:dyDescent="0.25">
      <c r="A225" s="570"/>
      <c r="B225" s="570"/>
      <c r="C225" s="570"/>
      <c r="D225" s="567"/>
      <c r="E225" s="567"/>
      <c r="F225" s="567"/>
      <c r="G225" s="570"/>
      <c r="H225" s="570"/>
      <c r="I225" s="567"/>
      <c r="J225" s="567"/>
      <c r="K225" s="567"/>
      <c r="L225" s="568"/>
      <c r="M225" s="568"/>
      <c r="N225" s="567"/>
      <c r="O225" s="567"/>
      <c r="P225" s="567"/>
      <c r="Q225" s="567"/>
      <c r="R225" s="570"/>
      <c r="S225" s="570"/>
      <c r="T225" s="567"/>
      <c r="U225" s="569"/>
      <c r="V225" s="567"/>
      <c r="W225" s="568"/>
      <c r="X225" s="568"/>
      <c r="Y225" s="567"/>
    </row>
    <row r="226" spans="1:25" x14ac:dyDescent="0.25">
      <c r="A226" s="570"/>
      <c r="B226" s="570"/>
      <c r="C226" s="570"/>
      <c r="D226" s="567"/>
      <c r="E226" s="567"/>
      <c r="F226" s="567"/>
      <c r="G226" s="570"/>
      <c r="H226" s="570"/>
      <c r="I226" s="567"/>
      <c r="J226" s="567"/>
      <c r="K226" s="567"/>
      <c r="L226" s="568"/>
      <c r="M226" s="568"/>
      <c r="N226" s="567"/>
      <c r="O226" s="567"/>
      <c r="P226" s="567"/>
      <c r="Q226" s="567"/>
      <c r="R226" s="570"/>
      <c r="S226" s="570"/>
      <c r="T226" s="567"/>
      <c r="U226" s="569"/>
      <c r="V226" s="567"/>
      <c r="W226" s="568"/>
      <c r="X226" s="568"/>
      <c r="Y226" s="567"/>
    </row>
    <row r="227" spans="1:25" x14ac:dyDescent="0.25">
      <c r="A227" s="570"/>
      <c r="B227" s="570"/>
      <c r="C227" s="570"/>
      <c r="D227" s="567"/>
      <c r="E227" s="567"/>
      <c r="F227" s="567"/>
      <c r="G227" s="570"/>
      <c r="H227" s="570"/>
      <c r="I227" s="567"/>
      <c r="J227" s="567"/>
      <c r="K227" s="567"/>
      <c r="L227" s="568"/>
      <c r="M227" s="568"/>
      <c r="N227" s="567"/>
      <c r="O227" s="567"/>
      <c r="P227" s="567"/>
      <c r="Q227" s="567"/>
      <c r="R227" s="570"/>
      <c r="S227" s="570"/>
      <c r="T227" s="567"/>
      <c r="U227" s="569"/>
      <c r="V227" s="567"/>
      <c r="W227" s="568"/>
      <c r="X227" s="568"/>
      <c r="Y227" s="567"/>
    </row>
    <row r="228" spans="1:25" x14ac:dyDescent="0.25">
      <c r="A228" s="570"/>
      <c r="B228" s="570"/>
      <c r="C228" s="570"/>
      <c r="D228" s="567"/>
      <c r="E228" s="567"/>
      <c r="F228" s="567"/>
      <c r="G228" s="570"/>
      <c r="H228" s="570"/>
      <c r="I228" s="567"/>
      <c r="J228" s="567"/>
      <c r="K228" s="567"/>
      <c r="L228" s="568"/>
      <c r="M228" s="568"/>
      <c r="N228" s="567"/>
      <c r="O228" s="567"/>
      <c r="P228" s="567"/>
      <c r="Q228" s="567"/>
      <c r="R228" s="570"/>
      <c r="S228" s="570"/>
      <c r="T228" s="567"/>
      <c r="U228" s="569"/>
      <c r="V228" s="567"/>
      <c r="W228" s="568"/>
      <c r="X228" s="568"/>
      <c r="Y228" s="567"/>
    </row>
    <row r="229" spans="1:25" x14ac:dyDescent="0.25">
      <c r="A229" s="570"/>
      <c r="B229" s="570"/>
      <c r="C229" s="570"/>
      <c r="D229" s="567"/>
      <c r="E229" s="567"/>
      <c r="F229" s="567"/>
      <c r="G229" s="570"/>
      <c r="H229" s="570"/>
      <c r="I229" s="567"/>
      <c r="J229" s="567"/>
      <c r="K229" s="567"/>
      <c r="L229" s="568"/>
      <c r="M229" s="568"/>
      <c r="N229" s="567"/>
      <c r="O229" s="567"/>
      <c r="P229" s="567"/>
      <c r="Q229" s="567"/>
      <c r="R229" s="570"/>
      <c r="S229" s="570"/>
      <c r="T229" s="567"/>
      <c r="U229" s="569"/>
      <c r="V229" s="567"/>
      <c r="W229" s="568"/>
      <c r="X229" s="568"/>
      <c r="Y229" s="567"/>
    </row>
    <row r="230" spans="1:25" x14ac:dyDescent="0.25">
      <c r="A230" s="570"/>
      <c r="B230" s="570"/>
      <c r="C230" s="570"/>
      <c r="D230" s="567"/>
      <c r="E230" s="567"/>
      <c r="F230" s="567"/>
      <c r="G230" s="570"/>
      <c r="H230" s="570"/>
      <c r="I230" s="567"/>
      <c r="J230" s="567"/>
      <c r="K230" s="567"/>
      <c r="L230" s="568"/>
      <c r="M230" s="568"/>
      <c r="N230" s="567"/>
      <c r="O230" s="567"/>
      <c r="P230" s="567"/>
      <c r="Q230" s="567"/>
      <c r="R230" s="570"/>
      <c r="S230" s="570"/>
      <c r="T230" s="567"/>
      <c r="U230" s="569"/>
      <c r="V230" s="567"/>
      <c r="W230" s="568"/>
      <c r="X230" s="568"/>
      <c r="Y230" s="567"/>
    </row>
    <row r="231" spans="1:25" x14ac:dyDescent="0.25">
      <c r="A231" s="570"/>
      <c r="B231" s="570"/>
      <c r="C231" s="570"/>
      <c r="D231" s="567"/>
      <c r="E231" s="567"/>
      <c r="F231" s="567"/>
      <c r="G231" s="570"/>
      <c r="H231" s="570"/>
      <c r="I231" s="567"/>
      <c r="J231" s="567"/>
      <c r="K231" s="567"/>
      <c r="L231" s="568"/>
      <c r="M231" s="568"/>
      <c r="N231" s="567"/>
      <c r="O231" s="567"/>
      <c r="P231" s="567"/>
      <c r="Q231" s="567"/>
      <c r="R231" s="570"/>
      <c r="S231" s="570"/>
      <c r="T231" s="567"/>
      <c r="U231" s="569"/>
      <c r="V231" s="567"/>
      <c r="W231" s="568"/>
      <c r="X231" s="568"/>
      <c r="Y231" s="567"/>
    </row>
    <row r="232" spans="1:25" x14ac:dyDescent="0.25">
      <c r="A232" s="570"/>
      <c r="B232" s="570"/>
      <c r="C232" s="570"/>
      <c r="D232" s="567"/>
      <c r="E232" s="567"/>
      <c r="F232" s="567"/>
      <c r="G232" s="570"/>
      <c r="H232" s="570"/>
      <c r="I232" s="567"/>
      <c r="J232" s="567"/>
      <c r="K232" s="567"/>
      <c r="L232" s="568"/>
      <c r="M232" s="568"/>
      <c r="N232" s="567"/>
      <c r="O232" s="567"/>
      <c r="P232" s="567"/>
      <c r="Q232" s="567"/>
      <c r="R232" s="570"/>
      <c r="S232" s="570"/>
      <c r="T232" s="567"/>
      <c r="U232" s="569"/>
      <c r="V232" s="567"/>
      <c r="W232" s="568"/>
      <c r="X232" s="568"/>
      <c r="Y232" s="567"/>
    </row>
    <row r="233" spans="1:25" x14ac:dyDescent="0.25">
      <c r="A233" s="570"/>
      <c r="B233" s="570"/>
      <c r="C233" s="570"/>
      <c r="D233" s="567"/>
      <c r="E233" s="567"/>
      <c r="F233" s="567"/>
      <c r="G233" s="570"/>
      <c r="H233" s="570"/>
      <c r="I233" s="567"/>
      <c r="J233" s="567"/>
      <c r="K233" s="567"/>
      <c r="L233" s="568"/>
      <c r="M233" s="568"/>
      <c r="N233" s="567"/>
      <c r="O233" s="567"/>
      <c r="P233" s="567"/>
      <c r="Q233" s="567"/>
      <c r="R233" s="570"/>
      <c r="S233" s="570"/>
      <c r="T233" s="567"/>
      <c r="U233" s="569"/>
      <c r="V233" s="567"/>
      <c r="W233" s="568"/>
      <c r="X233" s="568"/>
      <c r="Y233" s="567"/>
    </row>
    <row r="234" spans="1:25" x14ac:dyDescent="0.25">
      <c r="A234" s="570"/>
      <c r="B234" s="570"/>
      <c r="C234" s="570"/>
      <c r="D234" s="567"/>
      <c r="E234" s="567"/>
      <c r="F234" s="567"/>
      <c r="G234" s="570"/>
      <c r="H234" s="570"/>
      <c r="I234" s="567"/>
      <c r="J234" s="567"/>
      <c r="K234" s="567"/>
      <c r="L234" s="568"/>
      <c r="M234" s="568"/>
      <c r="N234" s="567"/>
      <c r="O234" s="567"/>
      <c r="P234" s="567"/>
      <c r="Q234" s="567"/>
      <c r="R234" s="570"/>
      <c r="S234" s="570"/>
      <c r="T234" s="567"/>
      <c r="U234" s="569"/>
      <c r="V234" s="567"/>
      <c r="W234" s="568"/>
      <c r="X234" s="568"/>
      <c r="Y234" s="567"/>
    </row>
    <row r="235" spans="1:25" x14ac:dyDescent="0.25">
      <c r="A235" s="570"/>
      <c r="B235" s="570"/>
      <c r="C235" s="570"/>
      <c r="D235" s="567"/>
      <c r="E235" s="567"/>
      <c r="F235" s="567"/>
      <c r="G235" s="570"/>
      <c r="H235" s="570"/>
      <c r="I235" s="567"/>
      <c r="J235" s="567"/>
      <c r="K235" s="567"/>
      <c r="L235" s="568"/>
      <c r="M235" s="568"/>
      <c r="N235" s="567"/>
      <c r="O235" s="567"/>
      <c r="P235" s="567"/>
      <c r="Q235" s="567"/>
      <c r="R235" s="570"/>
      <c r="S235" s="570"/>
      <c r="T235" s="567"/>
      <c r="U235" s="569"/>
      <c r="V235" s="567"/>
      <c r="W235" s="568"/>
      <c r="X235" s="568"/>
      <c r="Y235" s="567"/>
    </row>
    <row r="236" spans="1:25" x14ac:dyDescent="0.25">
      <c r="A236" s="570"/>
      <c r="B236" s="570"/>
      <c r="C236" s="570"/>
      <c r="D236" s="567"/>
      <c r="E236" s="567"/>
      <c r="F236" s="567"/>
      <c r="G236" s="570"/>
      <c r="H236" s="570"/>
      <c r="I236" s="567"/>
      <c r="J236" s="567"/>
      <c r="K236" s="567"/>
      <c r="L236" s="568"/>
      <c r="M236" s="568"/>
      <c r="N236" s="567"/>
      <c r="O236" s="567"/>
      <c r="P236" s="567"/>
      <c r="Q236" s="567"/>
      <c r="R236" s="570"/>
      <c r="S236" s="570"/>
      <c r="T236" s="567"/>
      <c r="U236" s="569"/>
      <c r="V236" s="567"/>
      <c r="W236" s="568"/>
      <c r="X236" s="568"/>
      <c r="Y236" s="567"/>
    </row>
    <row r="237" spans="1:25" x14ac:dyDescent="0.25">
      <c r="A237" s="570"/>
      <c r="B237" s="570"/>
      <c r="C237" s="570"/>
      <c r="D237" s="567"/>
      <c r="E237" s="567"/>
      <c r="F237" s="567"/>
      <c r="G237" s="570"/>
      <c r="H237" s="570"/>
      <c r="I237" s="567"/>
      <c r="J237" s="567"/>
      <c r="K237" s="567"/>
      <c r="L237" s="568"/>
      <c r="M237" s="568"/>
      <c r="N237" s="567"/>
      <c r="O237" s="567"/>
      <c r="P237" s="567"/>
      <c r="Q237" s="567"/>
      <c r="R237" s="570"/>
      <c r="S237" s="570"/>
      <c r="T237" s="567"/>
      <c r="U237" s="569"/>
      <c r="V237" s="567"/>
      <c r="W237" s="568"/>
      <c r="X237" s="568"/>
      <c r="Y237" s="567"/>
    </row>
    <row r="238" spans="1:25" x14ac:dyDescent="0.25">
      <c r="A238" s="570"/>
      <c r="B238" s="570"/>
      <c r="C238" s="570"/>
      <c r="D238" s="567"/>
      <c r="E238" s="567"/>
      <c r="F238" s="567"/>
      <c r="G238" s="570"/>
      <c r="H238" s="570"/>
      <c r="I238" s="567"/>
      <c r="J238" s="567"/>
      <c r="K238" s="567"/>
      <c r="L238" s="568"/>
      <c r="M238" s="568"/>
      <c r="N238" s="567"/>
      <c r="O238" s="567"/>
      <c r="P238" s="567"/>
      <c r="Q238" s="567"/>
      <c r="R238" s="570"/>
      <c r="S238" s="570"/>
      <c r="T238" s="567"/>
      <c r="U238" s="569"/>
      <c r="V238" s="567"/>
      <c r="W238" s="568"/>
      <c r="X238" s="568"/>
      <c r="Y238" s="567"/>
    </row>
    <row r="239" spans="1:25" x14ac:dyDescent="0.25">
      <c r="A239" s="570"/>
      <c r="B239" s="570"/>
      <c r="C239" s="570"/>
      <c r="D239" s="567"/>
      <c r="E239" s="567"/>
      <c r="F239" s="567"/>
      <c r="G239" s="570"/>
      <c r="H239" s="570"/>
      <c r="I239" s="567"/>
      <c r="J239" s="567"/>
      <c r="K239" s="567"/>
      <c r="L239" s="568"/>
      <c r="M239" s="568"/>
      <c r="N239" s="567"/>
      <c r="O239" s="567"/>
      <c r="P239" s="567"/>
      <c r="Q239" s="567"/>
      <c r="R239" s="570"/>
      <c r="S239" s="570"/>
      <c r="T239" s="567"/>
      <c r="U239" s="569"/>
      <c r="V239" s="567"/>
      <c r="W239" s="568"/>
      <c r="X239" s="568"/>
      <c r="Y239" s="567"/>
    </row>
    <row r="240" spans="1:25" x14ac:dyDescent="0.25">
      <c r="A240" s="570"/>
      <c r="B240" s="570"/>
      <c r="C240" s="570"/>
      <c r="D240" s="567"/>
      <c r="E240" s="567"/>
      <c r="F240" s="567"/>
      <c r="G240" s="570"/>
      <c r="H240" s="570"/>
      <c r="I240" s="567"/>
      <c r="J240" s="567"/>
      <c r="K240" s="567"/>
      <c r="L240" s="568"/>
      <c r="M240" s="568"/>
      <c r="N240" s="567"/>
      <c r="O240" s="567"/>
      <c r="P240" s="567"/>
      <c r="Q240" s="567"/>
      <c r="R240" s="570"/>
      <c r="S240" s="570"/>
      <c r="T240" s="567"/>
      <c r="U240" s="569"/>
      <c r="V240" s="567"/>
      <c r="W240" s="568"/>
      <c r="X240" s="568"/>
      <c r="Y240" s="567"/>
    </row>
    <row r="241" spans="1:25" x14ac:dyDescent="0.25">
      <c r="A241" s="570"/>
      <c r="B241" s="570"/>
      <c r="C241" s="570"/>
      <c r="D241" s="567"/>
      <c r="E241" s="567"/>
      <c r="F241" s="567"/>
      <c r="G241" s="570"/>
      <c r="H241" s="570"/>
      <c r="I241" s="567"/>
      <c r="J241" s="567"/>
      <c r="K241" s="567"/>
      <c r="L241" s="568"/>
      <c r="M241" s="568"/>
      <c r="N241" s="567"/>
      <c r="O241" s="567"/>
      <c r="P241" s="567"/>
      <c r="Q241" s="567"/>
      <c r="R241" s="570"/>
      <c r="S241" s="570"/>
      <c r="T241" s="567"/>
      <c r="U241" s="569"/>
      <c r="V241" s="567"/>
      <c r="W241" s="568"/>
      <c r="X241" s="568"/>
      <c r="Y241" s="567"/>
    </row>
    <row r="242" spans="1:25" x14ac:dyDescent="0.25">
      <c r="A242" s="570"/>
      <c r="B242" s="570"/>
      <c r="C242" s="570"/>
      <c r="D242" s="567"/>
      <c r="E242" s="567"/>
      <c r="F242" s="567"/>
      <c r="G242" s="570"/>
      <c r="H242" s="570"/>
      <c r="I242" s="567"/>
      <c r="J242" s="567"/>
      <c r="K242" s="567"/>
      <c r="L242" s="568"/>
      <c r="M242" s="568"/>
      <c r="N242" s="567"/>
      <c r="O242" s="567"/>
      <c r="P242" s="567"/>
      <c r="Q242" s="567"/>
      <c r="R242" s="570"/>
      <c r="S242" s="570"/>
      <c r="T242" s="567"/>
      <c r="U242" s="569"/>
      <c r="V242" s="567"/>
      <c r="W242" s="568"/>
      <c r="X242" s="568"/>
      <c r="Y242" s="567"/>
    </row>
    <row r="243" spans="1:25" x14ac:dyDescent="0.25">
      <c r="A243" s="570"/>
      <c r="B243" s="570"/>
      <c r="C243" s="570"/>
      <c r="D243" s="567"/>
      <c r="E243" s="567"/>
      <c r="F243" s="567"/>
      <c r="G243" s="570"/>
      <c r="H243" s="570"/>
      <c r="I243" s="567"/>
      <c r="J243" s="567"/>
      <c r="K243" s="567"/>
      <c r="L243" s="568"/>
      <c r="M243" s="568"/>
      <c r="N243" s="567"/>
      <c r="O243" s="567"/>
      <c r="P243" s="567"/>
      <c r="Q243" s="567"/>
      <c r="R243" s="570"/>
      <c r="S243" s="570"/>
      <c r="T243" s="567"/>
      <c r="U243" s="569"/>
      <c r="V243" s="567"/>
      <c r="W243" s="568"/>
      <c r="X243" s="568"/>
      <c r="Y243" s="567"/>
    </row>
    <row r="244" spans="1:25" x14ac:dyDescent="0.25">
      <c r="A244" s="570"/>
      <c r="B244" s="570"/>
      <c r="C244" s="570"/>
      <c r="D244" s="567"/>
      <c r="E244" s="567"/>
      <c r="F244" s="567"/>
      <c r="G244" s="570"/>
      <c r="H244" s="570"/>
      <c r="I244" s="567"/>
      <c r="J244" s="567"/>
      <c r="K244" s="567"/>
      <c r="L244" s="568"/>
      <c r="M244" s="568"/>
      <c r="N244" s="567"/>
      <c r="O244" s="567"/>
      <c r="P244" s="567"/>
      <c r="Q244" s="567"/>
      <c r="R244" s="570"/>
      <c r="S244" s="570"/>
      <c r="T244" s="567"/>
      <c r="U244" s="569"/>
      <c r="V244" s="567"/>
      <c r="W244" s="568"/>
      <c r="X244" s="568"/>
      <c r="Y244" s="567"/>
    </row>
    <row r="245" spans="1:25" x14ac:dyDescent="0.25">
      <c r="A245" s="570"/>
      <c r="B245" s="570"/>
      <c r="C245" s="570"/>
      <c r="D245" s="567"/>
      <c r="E245" s="567"/>
      <c r="F245" s="567"/>
      <c r="G245" s="570"/>
      <c r="H245" s="570"/>
      <c r="I245" s="567"/>
      <c r="J245" s="567"/>
      <c r="K245" s="567"/>
      <c r="L245" s="568"/>
      <c r="M245" s="568"/>
      <c r="N245" s="567"/>
      <c r="O245" s="567"/>
      <c r="P245" s="567"/>
      <c r="Q245" s="567"/>
      <c r="R245" s="570"/>
      <c r="S245" s="570"/>
      <c r="T245" s="567"/>
      <c r="U245" s="569"/>
      <c r="V245" s="567"/>
      <c r="W245" s="568"/>
      <c r="X245" s="568"/>
      <c r="Y245" s="567"/>
    </row>
    <row r="246" spans="1:25" x14ac:dyDescent="0.25">
      <c r="A246" s="570"/>
      <c r="B246" s="570"/>
      <c r="C246" s="570"/>
      <c r="D246" s="567"/>
      <c r="E246" s="567"/>
      <c r="F246" s="567"/>
      <c r="G246" s="570"/>
      <c r="H246" s="570"/>
      <c r="I246" s="567"/>
      <c r="J246" s="567"/>
      <c r="K246" s="567"/>
      <c r="L246" s="568"/>
      <c r="M246" s="568"/>
      <c r="N246" s="567"/>
      <c r="O246" s="567"/>
      <c r="P246" s="567"/>
      <c r="Q246" s="567"/>
      <c r="R246" s="570"/>
      <c r="S246" s="570"/>
      <c r="T246" s="567"/>
      <c r="U246" s="569"/>
      <c r="V246" s="567"/>
      <c r="W246" s="568"/>
      <c r="X246" s="568"/>
      <c r="Y246" s="567"/>
    </row>
    <row r="247" spans="1:25" x14ac:dyDescent="0.25">
      <c r="A247" s="570"/>
      <c r="B247" s="570"/>
      <c r="C247" s="570"/>
      <c r="D247" s="567"/>
      <c r="E247" s="567"/>
      <c r="F247" s="567"/>
      <c r="G247" s="570"/>
      <c r="H247" s="570"/>
      <c r="I247" s="567"/>
      <c r="J247" s="567"/>
      <c r="K247" s="567"/>
      <c r="L247" s="568"/>
      <c r="M247" s="568"/>
      <c r="N247" s="567"/>
      <c r="O247" s="567"/>
      <c r="P247" s="567"/>
      <c r="Q247" s="567"/>
      <c r="R247" s="570"/>
      <c r="S247" s="570"/>
      <c r="T247" s="567"/>
      <c r="U247" s="569"/>
      <c r="V247" s="567"/>
      <c r="W247" s="568"/>
      <c r="X247" s="568"/>
      <c r="Y247" s="567"/>
    </row>
    <row r="248" spans="1:25" x14ac:dyDescent="0.25">
      <c r="A248" s="570"/>
      <c r="B248" s="570"/>
      <c r="C248" s="570"/>
      <c r="D248" s="567"/>
      <c r="E248" s="567"/>
      <c r="F248" s="567"/>
      <c r="G248" s="570"/>
      <c r="H248" s="570"/>
      <c r="I248" s="567"/>
      <c r="J248" s="567"/>
      <c r="K248" s="567"/>
      <c r="L248" s="568"/>
      <c r="M248" s="568"/>
      <c r="N248" s="567"/>
      <c r="O248" s="567"/>
      <c r="P248" s="567"/>
      <c r="Q248" s="567"/>
      <c r="R248" s="570"/>
      <c r="S248" s="570"/>
      <c r="T248" s="567"/>
      <c r="U248" s="569"/>
      <c r="V248" s="567"/>
      <c r="W248" s="568"/>
      <c r="X248" s="568"/>
      <c r="Y248" s="567"/>
    </row>
    <row r="249" spans="1:25" x14ac:dyDescent="0.25">
      <c r="A249" s="570"/>
      <c r="B249" s="570"/>
      <c r="C249" s="570"/>
      <c r="D249" s="567"/>
      <c r="E249" s="567"/>
      <c r="F249" s="567"/>
      <c r="G249" s="570"/>
      <c r="H249" s="570"/>
      <c r="I249" s="567"/>
      <c r="J249" s="567"/>
      <c r="K249" s="567"/>
      <c r="L249" s="568"/>
      <c r="M249" s="568"/>
      <c r="N249" s="567"/>
      <c r="O249" s="567"/>
      <c r="P249" s="567"/>
      <c r="Q249" s="567"/>
      <c r="R249" s="570"/>
      <c r="S249" s="570"/>
      <c r="T249" s="567"/>
      <c r="U249" s="569"/>
      <c r="V249" s="567"/>
      <c r="W249" s="568"/>
      <c r="X249" s="568"/>
      <c r="Y249" s="567"/>
    </row>
    <row r="250" spans="1:25" x14ac:dyDescent="0.25">
      <c r="A250" s="570"/>
      <c r="B250" s="570"/>
      <c r="C250" s="570"/>
      <c r="D250" s="567"/>
      <c r="E250" s="567"/>
      <c r="F250" s="567"/>
      <c r="G250" s="570"/>
      <c r="H250" s="570"/>
      <c r="I250" s="567"/>
      <c r="J250" s="567"/>
      <c r="K250" s="567"/>
      <c r="L250" s="568"/>
      <c r="M250" s="568"/>
      <c r="N250" s="567"/>
      <c r="O250" s="567"/>
      <c r="P250" s="567"/>
      <c r="Q250" s="567"/>
      <c r="R250" s="570"/>
      <c r="S250" s="570"/>
      <c r="T250" s="567"/>
      <c r="U250" s="569"/>
      <c r="V250" s="567"/>
      <c r="W250" s="568"/>
      <c r="X250" s="568"/>
      <c r="Y250" s="567"/>
    </row>
    <row r="251" spans="1:25" x14ac:dyDescent="0.25">
      <c r="A251" s="570"/>
      <c r="B251" s="570"/>
      <c r="C251" s="570"/>
      <c r="D251" s="567"/>
      <c r="E251" s="567"/>
      <c r="F251" s="567"/>
      <c r="G251" s="570"/>
      <c r="H251" s="570"/>
      <c r="I251" s="567"/>
      <c r="J251" s="567"/>
      <c r="K251" s="567"/>
      <c r="L251" s="568"/>
      <c r="M251" s="568"/>
      <c r="N251" s="567"/>
      <c r="O251" s="567"/>
      <c r="P251" s="567"/>
      <c r="Q251" s="567"/>
      <c r="R251" s="570"/>
      <c r="S251" s="570"/>
      <c r="T251" s="567"/>
      <c r="U251" s="569"/>
      <c r="V251" s="567"/>
      <c r="W251" s="568"/>
      <c r="X251" s="568"/>
      <c r="Y251" s="567"/>
    </row>
    <row r="252" spans="1:25" x14ac:dyDescent="0.25">
      <c r="A252" s="570"/>
      <c r="B252" s="570"/>
      <c r="C252" s="570"/>
      <c r="D252" s="567"/>
      <c r="E252" s="567"/>
      <c r="F252" s="567"/>
      <c r="G252" s="570"/>
      <c r="H252" s="570"/>
      <c r="I252" s="567"/>
      <c r="J252" s="567"/>
      <c r="K252" s="567"/>
      <c r="L252" s="568"/>
      <c r="M252" s="568"/>
      <c r="N252" s="567"/>
      <c r="O252" s="567"/>
      <c r="P252" s="567"/>
      <c r="Q252" s="567"/>
      <c r="R252" s="570"/>
      <c r="S252" s="570"/>
      <c r="T252" s="567"/>
      <c r="U252" s="569"/>
      <c r="V252" s="567"/>
      <c r="W252" s="568"/>
      <c r="X252" s="568"/>
      <c r="Y252" s="567"/>
    </row>
    <row r="253" spans="1:25" x14ac:dyDescent="0.25">
      <c r="A253" s="570"/>
      <c r="B253" s="570"/>
      <c r="C253" s="570"/>
      <c r="D253" s="567"/>
      <c r="E253" s="567"/>
      <c r="F253" s="567"/>
      <c r="G253" s="570"/>
      <c r="H253" s="570"/>
      <c r="I253" s="567"/>
      <c r="J253" s="567"/>
      <c r="K253" s="567"/>
      <c r="L253" s="568"/>
      <c r="M253" s="568"/>
      <c r="N253" s="567"/>
      <c r="O253" s="567"/>
      <c r="P253" s="567"/>
      <c r="Q253" s="567"/>
      <c r="R253" s="570"/>
      <c r="S253" s="570"/>
      <c r="T253" s="567"/>
      <c r="U253" s="569"/>
      <c r="V253" s="567"/>
      <c r="W253" s="568"/>
      <c r="X253" s="568"/>
      <c r="Y253" s="567"/>
    </row>
    <row r="254" spans="1:25" x14ac:dyDescent="0.25">
      <c r="A254" s="570"/>
      <c r="B254" s="570"/>
      <c r="C254" s="570"/>
      <c r="D254" s="567"/>
      <c r="E254" s="567"/>
      <c r="F254" s="567"/>
      <c r="G254" s="570"/>
      <c r="H254" s="570"/>
      <c r="I254" s="567"/>
      <c r="J254" s="567"/>
      <c r="K254" s="567"/>
      <c r="L254" s="568"/>
      <c r="M254" s="568"/>
      <c r="N254" s="567"/>
      <c r="O254" s="567"/>
      <c r="P254" s="567"/>
      <c r="Q254" s="567"/>
      <c r="R254" s="570"/>
      <c r="S254" s="570"/>
      <c r="T254" s="567"/>
      <c r="U254" s="569"/>
      <c r="V254" s="567"/>
      <c r="W254" s="568"/>
      <c r="X254" s="568"/>
      <c r="Y254" s="567"/>
    </row>
    <row r="255" spans="1:25" x14ac:dyDescent="0.25">
      <c r="A255" s="570"/>
      <c r="B255" s="570"/>
      <c r="C255" s="570"/>
      <c r="D255" s="567"/>
      <c r="E255" s="567"/>
      <c r="F255" s="567"/>
      <c r="G255" s="570"/>
      <c r="H255" s="570"/>
      <c r="I255" s="567"/>
      <c r="J255" s="567"/>
      <c r="K255" s="567"/>
      <c r="L255" s="568"/>
      <c r="M255" s="568"/>
      <c r="N255" s="567"/>
      <c r="O255" s="567"/>
      <c r="P255" s="567"/>
      <c r="Q255" s="567"/>
      <c r="R255" s="570"/>
      <c r="S255" s="570"/>
      <c r="T255" s="567"/>
      <c r="U255" s="569"/>
      <c r="V255" s="567"/>
      <c r="W255" s="568"/>
      <c r="X255" s="568"/>
      <c r="Y255" s="567"/>
    </row>
    <row r="256" spans="1:25" x14ac:dyDescent="0.25">
      <c r="A256" s="570"/>
      <c r="B256" s="570"/>
      <c r="C256" s="570"/>
      <c r="D256" s="567"/>
      <c r="E256" s="567"/>
      <c r="F256" s="567"/>
      <c r="G256" s="570"/>
      <c r="H256" s="570"/>
      <c r="I256" s="567"/>
      <c r="J256" s="567"/>
      <c r="K256" s="567"/>
      <c r="L256" s="568"/>
      <c r="M256" s="568"/>
      <c r="N256" s="567"/>
      <c r="O256" s="567"/>
      <c r="P256" s="567"/>
      <c r="Q256" s="567"/>
      <c r="R256" s="570"/>
      <c r="S256" s="570"/>
      <c r="T256" s="567"/>
      <c r="U256" s="569"/>
      <c r="V256" s="567"/>
      <c r="W256" s="568"/>
      <c r="X256" s="568"/>
      <c r="Y256" s="567"/>
    </row>
    <row r="257" spans="1:25" x14ac:dyDescent="0.25">
      <c r="A257" s="570"/>
      <c r="B257" s="570"/>
      <c r="C257" s="570"/>
      <c r="D257" s="567"/>
      <c r="E257" s="567"/>
      <c r="F257" s="567"/>
      <c r="G257" s="570"/>
      <c r="H257" s="570"/>
      <c r="I257" s="567"/>
      <c r="J257" s="567"/>
      <c r="K257" s="567"/>
      <c r="L257" s="568"/>
      <c r="M257" s="568"/>
      <c r="N257" s="567"/>
      <c r="O257" s="567"/>
      <c r="P257" s="567"/>
      <c r="Q257" s="567"/>
      <c r="R257" s="570"/>
      <c r="S257" s="570"/>
      <c r="T257" s="567"/>
      <c r="U257" s="569"/>
      <c r="V257" s="567"/>
      <c r="W257" s="568"/>
      <c r="X257" s="568"/>
      <c r="Y257" s="567"/>
    </row>
    <row r="258" spans="1:25" x14ac:dyDescent="0.25">
      <c r="A258" s="570"/>
      <c r="B258" s="570"/>
      <c r="C258" s="570"/>
      <c r="D258" s="567"/>
      <c r="E258" s="567"/>
      <c r="F258" s="567"/>
      <c r="G258" s="570"/>
      <c r="H258" s="570"/>
      <c r="I258" s="567"/>
      <c r="J258" s="567"/>
      <c r="K258" s="567"/>
      <c r="L258" s="568"/>
      <c r="M258" s="568"/>
      <c r="N258" s="567"/>
      <c r="O258" s="567"/>
      <c r="P258" s="567"/>
      <c r="Q258" s="567"/>
      <c r="R258" s="570"/>
      <c r="S258" s="570"/>
      <c r="T258" s="567"/>
      <c r="U258" s="569"/>
      <c r="V258" s="567"/>
      <c r="W258" s="568"/>
      <c r="X258" s="568"/>
      <c r="Y258" s="567"/>
    </row>
    <row r="259" spans="1:25" x14ac:dyDescent="0.25">
      <c r="A259" s="570"/>
      <c r="B259" s="570"/>
      <c r="C259" s="570"/>
      <c r="D259" s="567"/>
      <c r="E259" s="567"/>
      <c r="F259" s="567"/>
      <c r="G259" s="570"/>
      <c r="H259" s="570"/>
      <c r="I259" s="567"/>
      <c r="J259" s="567"/>
      <c r="K259" s="567"/>
      <c r="L259" s="568"/>
      <c r="M259" s="568"/>
      <c r="N259" s="567"/>
      <c r="O259" s="567"/>
      <c r="P259" s="567"/>
      <c r="Q259" s="567"/>
      <c r="R259" s="570"/>
      <c r="S259" s="570"/>
      <c r="T259" s="567"/>
      <c r="U259" s="569"/>
      <c r="V259" s="567"/>
      <c r="W259" s="568"/>
      <c r="X259" s="568"/>
      <c r="Y259" s="567"/>
    </row>
    <row r="260" spans="1:25" x14ac:dyDescent="0.25">
      <c r="A260" s="570"/>
      <c r="B260" s="570"/>
      <c r="C260" s="570"/>
      <c r="D260" s="567"/>
      <c r="E260" s="567"/>
      <c r="F260" s="567"/>
      <c r="G260" s="570"/>
      <c r="H260" s="570"/>
      <c r="I260" s="567"/>
      <c r="J260" s="567"/>
      <c r="K260" s="567"/>
      <c r="L260" s="568"/>
      <c r="M260" s="568"/>
      <c r="N260" s="567"/>
      <c r="O260" s="567"/>
      <c r="P260" s="567"/>
      <c r="Q260" s="567"/>
      <c r="R260" s="570"/>
      <c r="S260" s="570"/>
      <c r="T260" s="567"/>
      <c r="U260" s="569"/>
      <c r="V260" s="567"/>
      <c r="W260" s="568"/>
      <c r="X260" s="568"/>
      <c r="Y260" s="567"/>
    </row>
    <row r="261" spans="1:25" x14ac:dyDescent="0.25">
      <c r="A261" s="570"/>
      <c r="B261" s="570"/>
      <c r="C261" s="570"/>
      <c r="D261" s="567"/>
      <c r="E261" s="567"/>
      <c r="F261" s="567"/>
      <c r="G261" s="570"/>
      <c r="H261" s="570"/>
      <c r="I261" s="567"/>
      <c r="J261" s="567"/>
      <c r="K261" s="567"/>
      <c r="L261" s="568"/>
      <c r="M261" s="568"/>
      <c r="N261" s="567"/>
      <c r="O261" s="567"/>
      <c r="P261" s="567"/>
      <c r="Q261" s="567"/>
      <c r="R261" s="570"/>
      <c r="S261" s="570"/>
      <c r="T261" s="567"/>
      <c r="U261" s="569"/>
      <c r="V261" s="567"/>
      <c r="W261" s="568"/>
      <c r="X261" s="568"/>
      <c r="Y261" s="567"/>
    </row>
    <row r="262" spans="1:25" x14ac:dyDescent="0.25">
      <c r="A262" s="570"/>
      <c r="B262" s="570"/>
      <c r="C262" s="570"/>
      <c r="D262" s="567"/>
      <c r="E262" s="567"/>
      <c r="F262" s="567"/>
      <c r="G262" s="570"/>
      <c r="H262" s="570"/>
      <c r="I262" s="567"/>
      <c r="J262" s="567"/>
      <c r="K262" s="567"/>
      <c r="L262" s="568"/>
      <c r="M262" s="568"/>
      <c r="N262" s="567"/>
      <c r="O262" s="567"/>
      <c r="P262" s="567"/>
      <c r="Q262" s="567"/>
      <c r="R262" s="570"/>
      <c r="S262" s="570"/>
      <c r="T262" s="567"/>
      <c r="U262" s="569"/>
      <c r="V262" s="567"/>
      <c r="W262" s="568"/>
      <c r="X262" s="568"/>
      <c r="Y262" s="567"/>
    </row>
    <row r="263" spans="1:25" x14ac:dyDescent="0.25">
      <c r="A263" s="570"/>
      <c r="B263" s="570"/>
      <c r="C263" s="570"/>
      <c r="D263" s="567"/>
      <c r="E263" s="567"/>
      <c r="F263" s="567"/>
      <c r="G263" s="570"/>
      <c r="H263" s="570"/>
      <c r="I263" s="567"/>
      <c r="J263" s="567"/>
      <c r="K263" s="567"/>
      <c r="L263" s="568"/>
      <c r="M263" s="568"/>
      <c r="N263" s="567"/>
      <c r="O263" s="567"/>
      <c r="P263" s="567"/>
      <c r="Q263" s="567"/>
      <c r="R263" s="570"/>
      <c r="S263" s="570"/>
      <c r="T263" s="567"/>
      <c r="U263" s="569"/>
      <c r="V263" s="567"/>
      <c r="W263" s="568"/>
      <c r="X263" s="568"/>
      <c r="Y263" s="567"/>
    </row>
    <row r="264" spans="1:25" x14ac:dyDescent="0.25">
      <c r="A264" s="570"/>
      <c r="B264" s="570"/>
      <c r="C264" s="570"/>
      <c r="D264" s="567"/>
      <c r="E264" s="567"/>
      <c r="F264" s="567"/>
      <c r="G264" s="570"/>
      <c r="H264" s="570"/>
      <c r="I264" s="567"/>
      <c r="J264" s="567"/>
      <c r="K264" s="567"/>
      <c r="L264" s="568"/>
      <c r="M264" s="568"/>
      <c r="N264" s="567"/>
      <c r="O264" s="567"/>
      <c r="P264" s="567"/>
      <c r="Q264" s="567"/>
      <c r="R264" s="570"/>
      <c r="S264" s="570"/>
      <c r="T264" s="567"/>
      <c r="U264" s="569"/>
      <c r="V264" s="567"/>
      <c r="W264" s="568"/>
      <c r="X264" s="568"/>
      <c r="Y264" s="567"/>
    </row>
    <row r="265" spans="1:25" x14ac:dyDescent="0.25">
      <c r="A265" s="570"/>
      <c r="B265" s="570"/>
      <c r="C265" s="570"/>
      <c r="D265" s="567"/>
      <c r="E265" s="567"/>
      <c r="F265" s="567"/>
      <c r="G265" s="570"/>
      <c r="H265" s="570"/>
      <c r="I265" s="567"/>
      <c r="J265" s="567"/>
      <c r="K265" s="567"/>
      <c r="L265" s="568"/>
      <c r="M265" s="568"/>
      <c r="N265" s="567"/>
      <c r="O265" s="567"/>
      <c r="P265" s="567"/>
      <c r="Q265" s="567"/>
      <c r="R265" s="570"/>
      <c r="S265" s="570"/>
      <c r="T265" s="567"/>
      <c r="U265" s="569"/>
      <c r="V265" s="567"/>
      <c r="W265" s="568"/>
      <c r="X265" s="568"/>
      <c r="Y265" s="567"/>
    </row>
    <row r="266" spans="1:25" x14ac:dyDescent="0.25">
      <c r="A266" s="570"/>
      <c r="B266" s="570"/>
      <c r="C266" s="570"/>
      <c r="D266" s="567"/>
      <c r="E266" s="567"/>
      <c r="F266" s="567"/>
      <c r="G266" s="570"/>
      <c r="H266" s="570"/>
      <c r="I266" s="567"/>
      <c r="J266" s="567"/>
      <c r="K266" s="567"/>
      <c r="L266" s="568"/>
      <c r="M266" s="568"/>
      <c r="N266" s="567"/>
      <c r="O266" s="567"/>
      <c r="P266" s="567"/>
      <c r="Q266" s="567"/>
      <c r="R266" s="570"/>
      <c r="S266" s="570"/>
      <c r="T266" s="567"/>
      <c r="U266" s="569"/>
      <c r="V266" s="567"/>
      <c r="W266" s="568"/>
      <c r="X266" s="568"/>
      <c r="Y266" s="567"/>
    </row>
    <row r="267" spans="1:25" x14ac:dyDescent="0.25">
      <c r="A267" s="570"/>
      <c r="B267" s="570"/>
      <c r="C267" s="570"/>
      <c r="D267" s="567"/>
      <c r="E267" s="567"/>
      <c r="F267" s="567"/>
      <c r="G267" s="570"/>
      <c r="H267" s="570"/>
      <c r="I267" s="567"/>
      <c r="J267" s="567"/>
      <c r="K267" s="567"/>
      <c r="L267" s="568"/>
      <c r="M267" s="568"/>
      <c r="N267" s="567"/>
      <c r="O267" s="567"/>
      <c r="P267" s="567"/>
      <c r="Q267" s="567"/>
      <c r="R267" s="570"/>
      <c r="S267" s="570"/>
      <c r="T267" s="567"/>
      <c r="U267" s="569"/>
      <c r="V267" s="567"/>
      <c r="W267" s="568"/>
      <c r="X267" s="568"/>
      <c r="Y267" s="567"/>
    </row>
    <row r="268" spans="1:25" x14ac:dyDescent="0.25">
      <c r="A268" s="570"/>
      <c r="B268" s="570"/>
      <c r="C268" s="570"/>
      <c r="D268" s="567"/>
      <c r="E268" s="567"/>
      <c r="F268" s="567"/>
      <c r="G268" s="570"/>
      <c r="H268" s="570"/>
      <c r="I268" s="567"/>
      <c r="J268" s="567"/>
      <c r="K268" s="567"/>
      <c r="L268" s="568"/>
      <c r="M268" s="568"/>
      <c r="N268" s="567"/>
      <c r="O268" s="567"/>
      <c r="P268" s="567"/>
      <c r="Q268" s="567"/>
      <c r="R268" s="570"/>
      <c r="S268" s="570"/>
      <c r="T268" s="567"/>
      <c r="U268" s="569"/>
      <c r="V268" s="567"/>
      <c r="W268" s="568"/>
      <c r="X268" s="568"/>
      <c r="Y268" s="567"/>
    </row>
    <row r="269" spans="1:25" x14ac:dyDescent="0.25">
      <c r="A269" s="570"/>
      <c r="B269" s="570"/>
      <c r="C269" s="570"/>
      <c r="D269" s="567"/>
      <c r="E269" s="567"/>
      <c r="F269" s="567"/>
      <c r="G269" s="570"/>
      <c r="H269" s="570"/>
      <c r="I269" s="567"/>
      <c r="J269" s="567"/>
      <c r="K269" s="567"/>
      <c r="L269" s="568"/>
      <c r="M269" s="568"/>
      <c r="N269" s="567"/>
      <c r="O269" s="567"/>
      <c r="P269" s="567"/>
      <c r="Q269" s="567"/>
      <c r="R269" s="570"/>
      <c r="S269" s="570"/>
      <c r="T269" s="567"/>
      <c r="U269" s="569"/>
      <c r="V269" s="567"/>
      <c r="W269" s="568"/>
      <c r="X269" s="568"/>
      <c r="Y269" s="567"/>
    </row>
    <row r="270" spans="1:25" x14ac:dyDescent="0.25">
      <c r="A270" s="570"/>
      <c r="B270" s="570"/>
      <c r="C270" s="570"/>
      <c r="D270" s="567"/>
      <c r="E270" s="567"/>
      <c r="F270" s="567"/>
      <c r="G270" s="570"/>
      <c r="H270" s="570"/>
      <c r="I270" s="567"/>
      <c r="J270" s="567"/>
      <c r="K270" s="567"/>
      <c r="L270" s="568"/>
      <c r="M270" s="568"/>
      <c r="N270" s="567"/>
      <c r="O270" s="567"/>
      <c r="P270" s="567"/>
      <c r="Q270" s="567"/>
      <c r="R270" s="570"/>
      <c r="S270" s="570"/>
      <c r="T270" s="567"/>
      <c r="U270" s="569"/>
      <c r="V270" s="567"/>
      <c r="W270" s="568"/>
      <c r="X270" s="568"/>
      <c r="Y270" s="567"/>
    </row>
    <row r="271" spans="1:25" x14ac:dyDescent="0.25">
      <c r="A271" s="570"/>
      <c r="B271" s="570"/>
      <c r="C271" s="570"/>
      <c r="D271" s="567"/>
      <c r="E271" s="567"/>
      <c r="F271" s="567"/>
      <c r="G271" s="570"/>
      <c r="H271" s="570"/>
      <c r="I271" s="567"/>
      <c r="J271" s="567"/>
      <c r="K271" s="567"/>
      <c r="L271" s="568"/>
      <c r="M271" s="568"/>
      <c r="N271" s="567"/>
      <c r="O271" s="567"/>
      <c r="P271" s="567"/>
      <c r="Q271" s="567"/>
      <c r="R271" s="570"/>
      <c r="S271" s="570"/>
      <c r="T271" s="567"/>
      <c r="U271" s="569"/>
      <c r="V271" s="567"/>
      <c r="W271" s="568"/>
      <c r="X271" s="568"/>
      <c r="Y271" s="567"/>
    </row>
    <row r="272" spans="1:25" x14ac:dyDescent="0.25">
      <c r="A272" s="570"/>
      <c r="B272" s="570"/>
      <c r="C272" s="570"/>
      <c r="D272" s="567"/>
      <c r="E272" s="567"/>
      <c r="F272" s="567"/>
      <c r="G272" s="570"/>
      <c r="H272" s="570"/>
      <c r="I272" s="567"/>
      <c r="J272" s="567"/>
      <c r="K272" s="567"/>
      <c r="L272" s="568"/>
      <c r="M272" s="568"/>
      <c r="N272" s="567"/>
      <c r="O272" s="567"/>
      <c r="P272" s="567"/>
      <c r="Q272" s="567"/>
      <c r="R272" s="570"/>
      <c r="S272" s="570"/>
      <c r="T272" s="567"/>
      <c r="U272" s="569"/>
      <c r="V272" s="567"/>
      <c r="W272" s="568"/>
      <c r="X272" s="568"/>
      <c r="Y272" s="567"/>
    </row>
    <row r="273" spans="1:25" x14ac:dyDescent="0.25">
      <c r="A273" s="570"/>
      <c r="B273" s="570"/>
      <c r="C273" s="570"/>
      <c r="D273" s="567"/>
      <c r="E273" s="567"/>
      <c r="F273" s="567"/>
      <c r="G273" s="570"/>
      <c r="H273" s="570"/>
      <c r="I273" s="567"/>
      <c r="J273" s="567"/>
      <c r="K273" s="567"/>
      <c r="L273" s="568"/>
      <c r="M273" s="568"/>
      <c r="N273" s="567"/>
      <c r="O273" s="567"/>
      <c r="P273" s="567"/>
      <c r="Q273" s="567"/>
      <c r="R273" s="570"/>
      <c r="S273" s="570"/>
      <c r="T273" s="567"/>
      <c r="U273" s="569"/>
      <c r="V273" s="567"/>
      <c r="W273" s="568"/>
      <c r="X273" s="568"/>
      <c r="Y273" s="567"/>
    </row>
    <row r="274" spans="1:25" x14ac:dyDescent="0.25">
      <c r="A274" s="570"/>
      <c r="B274" s="570"/>
      <c r="C274" s="570"/>
      <c r="D274" s="567"/>
      <c r="E274" s="567"/>
      <c r="F274" s="567"/>
      <c r="G274" s="570"/>
      <c r="H274" s="570"/>
      <c r="I274" s="567"/>
      <c r="J274" s="567"/>
      <c r="K274" s="567"/>
      <c r="L274" s="568"/>
      <c r="M274" s="568"/>
      <c r="N274" s="567"/>
      <c r="O274" s="567"/>
      <c r="P274" s="567"/>
      <c r="Q274" s="567"/>
      <c r="R274" s="570"/>
      <c r="S274" s="570"/>
      <c r="T274" s="567"/>
      <c r="U274" s="569"/>
      <c r="V274" s="567"/>
      <c r="W274" s="568"/>
      <c r="X274" s="568"/>
      <c r="Y274" s="567"/>
    </row>
    <row r="275" spans="1:25" x14ac:dyDescent="0.25">
      <c r="A275" s="570"/>
      <c r="B275" s="570"/>
      <c r="C275" s="570"/>
      <c r="D275" s="567"/>
      <c r="E275" s="567"/>
      <c r="F275" s="567"/>
      <c r="G275" s="570"/>
      <c r="H275" s="570"/>
      <c r="I275" s="567"/>
      <c r="J275" s="567"/>
      <c r="K275" s="567"/>
      <c r="L275" s="568"/>
      <c r="M275" s="568"/>
      <c r="N275" s="567"/>
      <c r="O275" s="567"/>
      <c r="P275" s="567"/>
      <c r="Q275" s="567"/>
      <c r="R275" s="570"/>
      <c r="S275" s="570"/>
      <c r="T275" s="567"/>
      <c r="U275" s="569"/>
      <c r="V275" s="567"/>
      <c r="W275" s="568"/>
      <c r="X275" s="568"/>
      <c r="Y275" s="567"/>
    </row>
    <row r="276" spans="1:25" x14ac:dyDescent="0.25">
      <c r="A276" s="570"/>
      <c r="B276" s="570"/>
      <c r="C276" s="570"/>
      <c r="D276" s="567"/>
      <c r="E276" s="567"/>
      <c r="F276" s="567"/>
      <c r="G276" s="570"/>
      <c r="H276" s="570"/>
      <c r="I276" s="567"/>
      <c r="J276" s="567"/>
      <c r="K276" s="567"/>
      <c r="L276" s="568"/>
      <c r="M276" s="568"/>
      <c r="N276" s="567"/>
      <c r="O276" s="567"/>
      <c r="P276" s="567"/>
      <c r="Q276" s="567"/>
      <c r="R276" s="570"/>
      <c r="S276" s="570"/>
      <c r="T276" s="567"/>
      <c r="U276" s="569"/>
      <c r="V276" s="567"/>
      <c r="W276" s="568"/>
      <c r="X276" s="568"/>
      <c r="Y276" s="567"/>
    </row>
    <row r="277" spans="1:25" x14ac:dyDescent="0.25">
      <c r="A277" s="570"/>
      <c r="B277" s="570"/>
      <c r="C277" s="570"/>
      <c r="D277" s="567"/>
      <c r="E277" s="567"/>
      <c r="F277" s="567"/>
      <c r="G277" s="570"/>
      <c r="H277" s="570"/>
      <c r="I277" s="567"/>
      <c r="J277" s="567"/>
      <c r="K277" s="567"/>
      <c r="L277" s="568"/>
      <c r="M277" s="568"/>
      <c r="N277" s="567"/>
      <c r="O277" s="567"/>
      <c r="P277" s="567"/>
      <c r="Q277" s="567"/>
      <c r="R277" s="570"/>
      <c r="S277" s="570"/>
      <c r="T277" s="567"/>
      <c r="U277" s="569"/>
      <c r="V277" s="567"/>
      <c r="W277" s="568"/>
      <c r="X277" s="568"/>
      <c r="Y277" s="567"/>
    </row>
    <row r="278" spans="1:25" x14ac:dyDescent="0.25">
      <c r="A278" s="570"/>
      <c r="B278" s="570"/>
      <c r="C278" s="570"/>
      <c r="D278" s="567"/>
      <c r="E278" s="567"/>
      <c r="F278" s="567"/>
      <c r="G278" s="570"/>
      <c r="H278" s="570"/>
      <c r="I278" s="567"/>
      <c r="J278" s="567"/>
      <c r="K278" s="567"/>
      <c r="L278" s="568"/>
      <c r="M278" s="568"/>
      <c r="N278" s="567"/>
      <c r="O278" s="567"/>
      <c r="P278" s="567"/>
      <c r="Q278" s="567"/>
      <c r="R278" s="570"/>
      <c r="S278" s="570"/>
      <c r="T278" s="567"/>
      <c r="U278" s="569"/>
      <c r="V278" s="567"/>
      <c r="W278" s="568"/>
      <c r="X278" s="568"/>
      <c r="Y278" s="567"/>
    </row>
    <row r="279" spans="1:25" x14ac:dyDescent="0.25">
      <c r="A279" s="570"/>
      <c r="B279" s="570"/>
      <c r="C279" s="570"/>
      <c r="D279" s="567"/>
      <c r="E279" s="567"/>
      <c r="F279" s="567"/>
      <c r="G279" s="570"/>
      <c r="H279" s="570"/>
      <c r="I279" s="567"/>
      <c r="J279" s="567"/>
      <c r="K279" s="567"/>
      <c r="L279" s="568"/>
      <c r="M279" s="568"/>
      <c r="N279" s="567"/>
      <c r="O279" s="567"/>
      <c r="P279" s="567"/>
      <c r="Q279" s="567"/>
      <c r="R279" s="570"/>
      <c r="S279" s="570"/>
      <c r="T279" s="567"/>
      <c r="U279" s="569"/>
      <c r="V279" s="567"/>
      <c r="W279" s="568"/>
      <c r="X279" s="568"/>
      <c r="Y279" s="567"/>
    </row>
    <row r="280" spans="1:25" x14ac:dyDescent="0.25">
      <c r="A280" s="570"/>
      <c r="B280" s="570"/>
      <c r="C280" s="570"/>
      <c r="D280" s="567"/>
      <c r="E280" s="567"/>
      <c r="F280" s="567"/>
      <c r="G280" s="570"/>
      <c r="H280" s="570"/>
      <c r="I280" s="567"/>
      <c r="J280" s="567"/>
      <c r="K280" s="567"/>
      <c r="L280" s="568"/>
      <c r="M280" s="568"/>
      <c r="N280" s="567"/>
      <c r="O280" s="567"/>
      <c r="P280" s="567"/>
      <c r="Q280" s="567"/>
      <c r="R280" s="570"/>
      <c r="S280" s="570"/>
      <c r="T280" s="567"/>
      <c r="U280" s="569"/>
      <c r="V280" s="567"/>
      <c r="W280" s="568"/>
      <c r="X280" s="568"/>
      <c r="Y280" s="567"/>
    </row>
    <row r="281" spans="1:25" x14ac:dyDescent="0.25">
      <c r="A281" s="570"/>
      <c r="B281" s="570"/>
      <c r="C281" s="570"/>
      <c r="D281" s="567"/>
      <c r="E281" s="567"/>
      <c r="F281" s="567"/>
      <c r="G281" s="570"/>
      <c r="H281" s="570"/>
      <c r="I281" s="567"/>
      <c r="J281" s="567"/>
      <c r="K281" s="567"/>
      <c r="L281" s="568"/>
      <c r="M281" s="568"/>
      <c r="N281" s="567"/>
      <c r="O281" s="567"/>
      <c r="P281" s="567"/>
      <c r="Q281" s="567"/>
      <c r="R281" s="570"/>
      <c r="S281" s="570"/>
      <c r="T281" s="567"/>
      <c r="U281" s="569"/>
      <c r="V281" s="567"/>
      <c r="W281" s="568"/>
      <c r="X281" s="568"/>
      <c r="Y281" s="567"/>
    </row>
    <row r="282" spans="1:25" x14ac:dyDescent="0.25">
      <c r="A282" s="570"/>
      <c r="B282" s="570"/>
      <c r="C282" s="570"/>
      <c r="D282" s="567"/>
      <c r="E282" s="567"/>
      <c r="F282" s="567"/>
      <c r="G282" s="570"/>
      <c r="H282" s="570"/>
      <c r="I282" s="567"/>
      <c r="J282" s="567"/>
      <c r="K282" s="567"/>
      <c r="L282" s="568"/>
      <c r="M282" s="568"/>
      <c r="N282" s="567"/>
      <c r="O282" s="567"/>
      <c r="P282" s="567"/>
      <c r="Q282" s="567"/>
      <c r="R282" s="570"/>
      <c r="S282" s="570"/>
      <c r="T282" s="567"/>
      <c r="U282" s="569"/>
      <c r="V282" s="567"/>
      <c r="W282" s="568"/>
      <c r="X282" s="568"/>
      <c r="Y282" s="567"/>
    </row>
    <row r="283" spans="1:25" x14ac:dyDescent="0.25">
      <c r="A283" s="570"/>
      <c r="B283" s="570"/>
      <c r="C283" s="570"/>
      <c r="D283" s="567"/>
      <c r="E283" s="567"/>
      <c r="F283" s="567"/>
      <c r="G283" s="570"/>
      <c r="H283" s="570"/>
      <c r="I283" s="567"/>
      <c r="J283" s="567"/>
      <c r="K283" s="567"/>
      <c r="L283" s="568"/>
      <c r="M283" s="568"/>
      <c r="N283" s="567"/>
      <c r="O283" s="567"/>
      <c r="P283" s="567"/>
      <c r="Q283" s="567"/>
      <c r="R283" s="570"/>
      <c r="S283" s="570"/>
      <c r="T283" s="567"/>
      <c r="U283" s="569"/>
      <c r="V283" s="567"/>
      <c r="W283" s="568"/>
      <c r="X283" s="568"/>
      <c r="Y283" s="567"/>
    </row>
    <row r="284" spans="1:25" x14ac:dyDescent="0.25">
      <c r="A284" s="570"/>
      <c r="B284" s="570"/>
      <c r="C284" s="570"/>
      <c r="D284" s="567"/>
      <c r="E284" s="567"/>
      <c r="F284" s="567"/>
      <c r="G284" s="570"/>
      <c r="H284" s="570"/>
      <c r="I284" s="567"/>
      <c r="J284" s="567"/>
      <c r="K284" s="567"/>
      <c r="L284" s="568"/>
      <c r="M284" s="568"/>
      <c r="N284" s="567"/>
      <c r="O284" s="567"/>
      <c r="P284" s="567"/>
      <c r="Q284" s="567"/>
      <c r="R284" s="570"/>
      <c r="S284" s="570"/>
      <c r="T284" s="567"/>
      <c r="U284" s="569"/>
      <c r="V284" s="567"/>
      <c r="W284" s="568"/>
      <c r="X284" s="568"/>
      <c r="Y284" s="567"/>
    </row>
    <row r="285" spans="1:25" x14ac:dyDescent="0.25">
      <c r="A285" s="570"/>
      <c r="B285" s="570"/>
      <c r="C285" s="570"/>
      <c r="D285" s="567"/>
      <c r="E285" s="567"/>
      <c r="F285" s="567"/>
      <c r="G285" s="570"/>
      <c r="H285" s="570"/>
      <c r="I285" s="567"/>
      <c r="J285" s="567"/>
      <c r="K285" s="567"/>
      <c r="L285" s="568"/>
      <c r="M285" s="568"/>
      <c r="N285" s="567"/>
      <c r="O285" s="567"/>
      <c r="P285" s="567"/>
      <c r="Q285" s="567"/>
      <c r="R285" s="570"/>
      <c r="S285" s="570"/>
      <c r="T285" s="567"/>
      <c r="U285" s="569"/>
      <c r="V285" s="567"/>
      <c r="W285" s="568"/>
      <c r="X285" s="568"/>
      <c r="Y285" s="567"/>
    </row>
    <row r="286" spans="1:25" x14ac:dyDescent="0.25">
      <c r="A286" s="570"/>
      <c r="B286" s="570"/>
      <c r="C286" s="570"/>
      <c r="D286" s="567"/>
      <c r="E286" s="567"/>
      <c r="F286" s="567"/>
      <c r="G286" s="570"/>
      <c r="H286" s="570"/>
      <c r="I286" s="567"/>
      <c r="J286" s="567"/>
      <c r="K286" s="567"/>
      <c r="L286" s="568"/>
      <c r="M286" s="568"/>
      <c r="N286" s="567"/>
      <c r="O286" s="567"/>
      <c r="P286" s="567"/>
      <c r="Q286" s="567"/>
      <c r="R286" s="570"/>
      <c r="S286" s="570"/>
      <c r="T286" s="567"/>
      <c r="U286" s="569"/>
      <c r="V286" s="567"/>
      <c r="W286" s="568"/>
      <c r="X286" s="568"/>
      <c r="Y286" s="567"/>
    </row>
    <row r="287" spans="1:25" x14ac:dyDescent="0.25">
      <c r="A287" s="570"/>
      <c r="B287" s="570"/>
      <c r="C287" s="570"/>
      <c r="D287" s="567"/>
      <c r="E287" s="567"/>
      <c r="F287" s="567"/>
      <c r="G287" s="570"/>
      <c r="H287" s="570"/>
      <c r="I287" s="567"/>
      <c r="J287" s="567"/>
      <c r="K287" s="567"/>
      <c r="L287" s="568"/>
      <c r="M287" s="568"/>
      <c r="N287" s="567"/>
      <c r="O287" s="567"/>
      <c r="P287" s="567"/>
      <c r="Q287" s="567"/>
      <c r="R287" s="570"/>
      <c r="S287" s="570"/>
      <c r="T287" s="567"/>
      <c r="U287" s="569"/>
      <c r="V287" s="567"/>
      <c r="W287" s="568"/>
      <c r="X287" s="568"/>
      <c r="Y287" s="567"/>
    </row>
    <row r="288" spans="1:25" x14ac:dyDescent="0.25">
      <c r="A288" s="570"/>
      <c r="B288" s="570"/>
      <c r="C288" s="570"/>
      <c r="D288" s="567"/>
      <c r="E288" s="567"/>
      <c r="F288" s="567"/>
      <c r="G288" s="570"/>
      <c r="H288" s="570"/>
      <c r="I288" s="567"/>
      <c r="J288" s="567"/>
      <c r="K288" s="567"/>
      <c r="L288" s="568"/>
      <c r="M288" s="568"/>
      <c r="N288" s="567"/>
      <c r="O288" s="567"/>
      <c r="P288" s="567"/>
      <c r="Q288" s="567"/>
      <c r="R288" s="570"/>
      <c r="S288" s="570"/>
      <c r="T288" s="567"/>
      <c r="U288" s="569"/>
      <c r="V288" s="567"/>
      <c r="W288" s="568"/>
      <c r="X288" s="568"/>
      <c r="Y288" s="567"/>
    </row>
    <row r="289" spans="1:25" x14ac:dyDescent="0.25">
      <c r="A289" s="570"/>
      <c r="B289" s="570"/>
      <c r="C289" s="570"/>
      <c r="D289" s="567"/>
      <c r="E289" s="567"/>
      <c r="F289" s="567"/>
      <c r="G289" s="570"/>
      <c r="H289" s="570"/>
      <c r="I289" s="567"/>
      <c r="J289" s="567"/>
      <c r="K289" s="567"/>
      <c r="L289" s="568"/>
      <c r="M289" s="568"/>
      <c r="N289" s="567"/>
      <c r="O289" s="567"/>
      <c r="P289" s="567"/>
      <c r="Q289" s="567"/>
      <c r="R289" s="570"/>
      <c r="S289" s="570"/>
      <c r="T289" s="567"/>
      <c r="U289" s="569"/>
      <c r="V289" s="567"/>
      <c r="W289" s="568"/>
      <c r="X289" s="568"/>
      <c r="Y289" s="567"/>
    </row>
    <row r="290" spans="1:25" x14ac:dyDescent="0.25">
      <c r="A290" s="570"/>
      <c r="B290" s="570"/>
      <c r="C290" s="570"/>
      <c r="D290" s="567"/>
      <c r="E290" s="567"/>
      <c r="F290" s="567"/>
      <c r="G290" s="570"/>
      <c r="H290" s="570"/>
      <c r="I290" s="567"/>
      <c r="J290" s="567"/>
      <c r="K290" s="567"/>
      <c r="L290" s="568"/>
      <c r="M290" s="568"/>
      <c r="N290" s="567"/>
      <c r="O290" s="567"/>
      <c r="P290" s="567"/>
      <c r="Q290" s="567"/>
      <c r="R290" s="570"/>
      <c r="S290" s="570"/>
      <c r="T290" s="567"/>
      <c r="U290" s="569"/>
      <c r="V290" s="567"/>
      <c r="W290" s="568"/>
      <c r="X290" s="568"/>
      <c r="Y290" s="567"/>
    </row>
    <row r="291" spans="1:25" x14ac:dyDescent="0.25">
      <c r="A291" s="570"/>
      <c r="B291" s="570"/>
      <c r="C291" s="570"/>
      <c r="D291" s="567"/>
      <c r="E291" s="567"/>
      <c r="F291" s="567"/>
      <c r="G291" s="570"/>
      <c r="H291" s="570"/>
      <c r="I291" s="567"/>
      <c r="J291" s="567"/>
      <c r="K291" s="567"/>
      <c r="L291" s="568"/>
      <c r="M291" s="568"/>
      <c r="N291" s="567"/>
      <c r="O291" s="567"/>
      <c r="P291" s="567"/>
      <c r="Q291" s="567"/>
      <c r="R291" s="570"/>
      <c r="S291" s="570"/>
      <c r="T291" s="567"/>
      <c r="U291" s="569"/>
      <c r="V291" s="567"/>
      <c r="W291" s="568"/>
      <c r="X291" s="568"/>
      <c r="Y291" s="567"/>
    </row>
    <row r="292" spans="1:25" x14ac:dyDescent="0.25">
      <c r="A292" s="570"/>
      <c r="B292" s="570"/>
      <c r="C292" s="570"/>
      <c r="D292" s="567"/>
      <c r="E292" s="567"/>
      <c r="F292" s="567"/>
      <c r="G292" s="570"/>
      <c r="H292" s="570"/>
      <c r="I292" s="567"/>
      <c r="J292" s="567"/>
      <c r="K292" s="567"/>
      <c r="L292" s="568"/>
      <c r="M292" s="568"/>
      <c r="N292" s="567"/>
      <c r="O292" s="567"/>
      <c r="P292" s="567"/>
      <c r="Q292" s="567"/>
      <c r="R292" s="570"/>
      <c r="S292" s="570"/>
      <c r="T292" s="567"/>
      <c r="U292" s="569"/>
      <c r="V292" s="567"/>
      <c r="W292" s="568"/>
      <c r="X292" s="568"/>
      <c r="Y292" s="567"/>
    </row>
    <row r="293" spans="1:25" x14ac:dyDescent="0.25">
      <c r="A293" s="570"/>
      <c r="B293" s="570"/>
      <c r="C293" s="570"/>
      <c r="D293" s="567"/>
      <c r="E293" s="567"/>
      <c r="F293" s="567"/>
      <c r="G293" s="570"/>
      <c r="H293" s="570"/>
      <c r="I293" s="567"/>
      <c r="J293" s="567"/>
      <c r="K293" s="567"/>
      <c r="L293" s="568"/>
      <c r="M293" s="568"/>
      <c r="N293" s="567"/>
      <c r="O293" s="567"/>
      <c r="P293" s="567"/>
      <c r="Q293" s="567"/>
      <c r="R293" s="570"/>
      <c r="S293" s="570"/>
      <c r="T293" s="567"/>
      <c r="U293" s="569"/>
      <c r="V293" s="567"/>
      <c r="W293" s="568"/>
      <c r="X293" s="568"/>
      <c r="Y293" s="567"/>
    </row>
    <row r="294" spans="1:25" x14ac:dyDescent="0.25">
      <c r="A294" s="570"/>
      <c r="B294" s="570"/>
      <c r="C294" s="570"/>
      <c r="D294" s="567"/>
      <c r="E294" s="567"/>
      <c r="F294" s="567"/>
      <c r="G294" s="570"/>
      <c r="H294" s="570"/>
      <c r="I294" s="567"/>
      <c r="J294" s="567"/>
      <c r="K294" s="567"/>
      <c r="L294" s="568"/>
      <c r="M294" s="568"/>
      <c r="N294" s="567"/>
      <c r="O294" s="567"/>
      <c r="P294" s="567"/>
      <c r="Q294" s="567"/>
      <c r="R294" s="570"/>
      <c r="S294" s="570"/>
      <c r="T294" s="567"/>
      <c r="U294" s="569"/>
      <c r="V294" s="567"/>
      <c r="W294" s="568"/>
      <c r="X294" s="568"/>
      <c r="Y294" s="567"/>
    </row>
    <row r="295" spans="1:25" x14ac:dyDescent="0.25">
      <c r="A295" s="570"/>
      <c r="B295" s="570"/>
      <c r="C295" s="570"/>
      <c r="D295" s="567"/>
      <c r="E295" s="567"/>
      <c r="F295" s="567"/>
      <c r="G295" s="570"/>
      <c r="H295" s="570"/>
      <c r="I295" s="567"/>
      <c r="J295" s="567"/>
      <c r="K295" s="567"/>
      <c r="L295" s="568"/>
      <c r="M295" s="568"/>
      <c r="N295" s="567"/>
      <c r="O295" s="567"/>
      <c r="P295" s="567"/>
      <c r="Q295" s="567"/>
      <c r="R295" s="570"/>
      <c r="S295" s="570"/>
      <c r="T295" s="567"/>
      <c r="U295" s="569"/>
      <c r="V295" s="567"/>
      <c r="W295" s="568"/>
      <c r="X295" s="568"/>
      <c r="Y295" s="567"/>
    </row>
    <row r="296" spans="1:25" x14ac:dyDescent="0.25">
      <c r="A296" s="570"/>
      <c r="B296" s="570"/>
      <c r="C296" s="570"/>
      <c r="D296" s="567"/>
      <c r="E296" s="567"/>
      <c r="F296" s="567"/>
      <c r="G296" s="570"/>
      <c r="H296" s="570"/>
      <c r="I296" s="567"/>
      <c r="J296" s="567"/>
      <c r="K296" s="567"/>
      <c r="L296" s="568"/>
      <c r="M296" s="568"/>
      <c r="N296" s="567"/>
      <c r="O296" s="567"/>
      <c r="P296" s="567"/>
      <c r="Q296" s="567"/>
      <c r="R296" s="570"/>
      <c r="S296" s="570"/>
      <c r="T296" s="567"/>
      <c r="U296" s="569"/>
      <c r="V296" s="567"/>
      <c r="W296" s="568"/>
      <c r="X296" s="568"/>
      <c r="Y296" s="567"/>
    </row>
    <row r="297" spans="1:25" x14ac:dyDescent="0.25">
      <c r="A297" s="570"/>
      <c r="B297" s="570"/>
      <c r="C297" s="570"/>
      <c r="D297" s="567"/>
      <c r="E297" s="567"/>
      <c r="F297" s="567"/>
      <c r="G297" s="570"/>
      <c r="H297" s="570"/>
      <c r="I297" s="567"/>
      <c r="J297" s="567"/>
      <c r="K297" s="567"/>
      <c r="L297" s="568"/>
      <c r="M297" s="568"/>
      <c r="N297" s="567"/>
      <c r="O297" s="567"/>
      <c r="P297" s="567"/>
      <c r="Q297" s="567"/>
      <c r="R297" s="570"/>
      <c r="S297" s="570"/>
      <c r="T297" s="567"/>
      <c r="U297" s="569"/>
      <c r="V297" s="567"/>
      <c r="W297" s="568"/>
      <c r="X297" s="568"/>
      <c r="Y297" s="567"/>
    </row>
    <row r="298" spans="1:25" x14ac:dyDescent="0.25">
      <c r="A298" s="570"/>
      <c r="B298" s="570"/>
      <c r="C298" s="570"/>
      <c r="D298" s="567"/>
      <c r="E298" s="567"/>
      <c r="F298" s="567"/>
      <c r="G298" s="570"/>
      <c r="H298" s="570"/>
      <c r="I298" s="567"/>
      <c r="J298" s="567"/>
      <c r="K298" s="567"/>
      <c r="L298" s="568"/>
      <c r="M298" s="568"/>
      <c r="N298" s="567"/>
      <c r="O298" s="567"/>
      <c r="P298" s="567"/>
      <c r="Q298" s="567"/>
      <c r="R298" s="570"/>
      <c r="S298" s="570"/>
      <c r="T298" s="567"/>
      <c r="U298" s="569"/>
      <c r="V298" s="567"/>
      <c r="W298" s="568"/>
      <c r="X298" s="568"/>
      <c r="Y298" s="567"/>
    </row>
    <row r="299" spans="1:25" x14ac:dyDescent="0.25">
      <c r="A299" s="570"/>
      <c r="B299" s="570"/>
      <c r="C299" s="570"/>
      <c r="D299" s="567"/>
      <c r="E299" s="567"/>
      <c r="F299" s="567"/>
      <c r="G299" s="570"/>
      <c r="H299" s="570"/>
      <c r="I299" s="567"/>
      <c r="J299" s="567"/>
      <c r="K299" s="567"/>
      <c r="L299" s="568"/>
      <c r="M299" s="568"/>
      <c r="N299" s="567"/>
      <c r="O299" s="567"/>
      <c r="P299" s="567"/>
      <c r="Q299" s="567"/>
      <c r="R299" s="570"/>
      <c r="S299" s="570"/>
      <c r="T299" s="567"/>
      <c r="U299" s="569"/>
      <c r="V299" s="567"/>
      <c r="W299" s="568"/>
      <c r="X299" s="568"/>
      <c r="Y299" s="567"/>
    </row>
    <row r="300" spans="1:25" x14ac:dyDescent="0.25">
      <c r="A300" s="570"/>
      <c r="B300" s="570"/>
      <c r="C300" s="570"/>
      <c r="D300" s="567"/>
      <c r="E300" s="567"/>
      <c r="F300" s="567"/>
      <c r="G300" s="570"/>
      <c r="H300" s="570"/>
      <c r="I300" s="567"/>
      <c r="J300" s="567"/>
      <c r="K300" s="567"/>
      <c r="L300" s="568"/>
      <c r="M300" s="568"/>
      <c r="N300" s="567"/>
      <c r="O300" s="567"/>
      <c r="P300" s="567"/>
      <c r="Q300" s="567"/>
      <c r="R300" s="570"/>
      <c r="S300" s="570"/>
      <c r="T300" s="567"/>
      <c r="U300" s="569"/>
      <c r="V300" s="567"/>
      <c r="W300" s="568"/>
      <c r="X300" s="568"/>
      <c r="Y300" s="567"/>
    </row>
    <row r="301" spans="1:25" x14ac:dyDescent="0.25">
      <c r="A301" s="570"/>
      <c r="B301" s="570"/>
      <c r="C301" s="570"/>
      <c r="D301" s="567"/>
      <c r="E301" s="567"/>
      <c r="F301" s="567"/>
      <c r="G301" s="570"/>
      <c r="H301" s="570"/>
      <c r="I301" s="567"/>
      <c r="J301" s="567"/>
      <c r="K301" s="567"/>
      <c r="L301" s="568"/>
      <c r="M301" s="568"/>
      <c r="N301" s="567"/>
      <c r="O301" s="567"/>
      <c r="P301" s="567"/>
      <c r="Q301" s="567"/>
      <c r="R301" s="570"/>
      <c r="S301" s="570"/>
      <c r="T301" s="567"/>
      <c r="U301" s="569"/>
      <c r="V301" s="567"/>
      <c r="W301" s="568"/>
      <c r="X301" s="568"/>
      <c r="Y301" s="567"/>
    </row>
    <row r="302" spans="1:25" x14ac:dyDescent="0.25">
      <c r="A302" s="570"/>
      <c r="B302" s="570"/>
      <c r="C302" s="570"/>
      <c r="D302" s="567"/>
      <c r="E302" s="567"/>
      <c r="F302" s="567"/>
      <c r="G302" s="570"/>
      <c r="H302" s="570"/>
      <c r="I302" s="567"/>
      <c r="J302" s="567"/>
      <c r="K302" s="567"/>
      <c r="L302" s="568"/>
      <c r="M302" s="568"/>
      <c r="N302" s="567"/>
      <c r="O302" s="567"/>
      <c r="P302" s="567"/>
      <c r="Q302" s="567"/>
      <c r="R302" s="570"/>
      <c r="S302" s="570"/>
      <c r="T302" s="567"/>
      <c r="U302" s="569"/>
      <c r="V302" s="567"/>
      <c r="W302" s="568"/>
      <c r="X302" s="568"/>
      <c r="Y302" s="567"/>
    </row>
    <row r="303" spans="1:25" x14ac:dyDescent="0.25">
      <c r="A303" s="570"/>
      <c r="B303" s="570"/>
      <c r="C303" s="570"/>
      <c r="D303" s="567"/>
      <c r="E303" s="567"/>
      <c r="F303" s="567"/>
      <c r="G303" s="570"/>
      <c r="H303" s="570"/>
      <c r="I303" s="567"/>
      <c r="J303" s="567"/>
      <c r="K303" s="567"/>
      <c r="L303" s="568"/>
      <c r="M303" s="568"/>
      <c r="N303" s="567"/>
      <c r="O303" s="567"/>
      <c r="P303" s="567"/>
      <c r="Q303" s="567"/>
      <c r="R303" s="570"/>
      <c r="S303" s="570"/>
      <c r="T303" s="567"/>
      <c r="U303" s="569"/>
      <c r="V303" s="567"/>
      <c r="W303" s="568"/>
      <c r="X303" s="568"/>
      <c r="Y303" s="567"/>
    </row>
    <row r="304" spans="1:25" x14ac:dyDescent="0.25">
      <c r="A304" s="570"/>
      <c r="B304" s="570"/>
      <c r="C304" s="570"/>
      <c r="D304" s="567"/>
      <c r="E304" s="567"/>
      <c r="F304" s="567"/>
      <c r="G304" s="570"/>
      <c r="H304" s="570"/>
      <c r="I304" s="567"/>
      <c r="J304" s="567"/>
      <c r="K304" s="567"/>
      <c r="L304" s="568"/>
      <c r="M304" s="568"/>
      <c r="N304" s="567"/>
      <c r="O304" s="567"/>
      <c r="P304" s="567"/>
      <c r="Q304" s="567"/>
      <c r="R304" s="570"/>
      <c r="S304" s="570"/>
      <c r="T304" s="567"/>
      <c r="U304" s="569"/>
      <c r="V304" s="567"/>
      <c r="W304" s="568"/>
      <c r="X304" s="568"/>
      <c r="Y304" s="567"/>
    </row>
    <row r="305" spans="1:25" x14ac:dyDescent="0.25">
      <c r="A305" s="570"/>
      <c r="B305" s="570"/>
      <c r="C305" s="570"/>
      <c r="D305" s="567"/>
      <c r="E305" s="567"/>
      <c r="F305" s="567"/>
      <c r="G305" s="570"/>
      <c r="H305" s="570"/>
      <c r="I305" s="567"/>
      <c r="J305" s="567"/>
      <c r="K305" s="567"/>
      <c r="L305" s="568"/>
      <c r="M305" s="568"/>
      <c r="N305" s="567"/>
      <c r="O305" s="567"/>
      <c r="P305" s="567"/>
      <c r="Q305" s="567"/>
      <c r="R305" s="570"/>
      <c r="S305" s="570"/>
      <c r="T305" s="567"/>
      <c r="U305" s="569"/>
      <c r="V305" s="567"/>
      <c r="W305" s="568"/>
      <c r="X305" s="568"/>
      <c r="Y305" s="567"/>
    </row>
    <row r="306" spans="1:25" x14ac:dyDescent="0.25">
      <c r="A306" s="570"/>
      <c r="B306" s="570"/>
      <c r="C306" s="570"/>
      <c r="D306" s="567"/>
      <c r="E306" s="567"/>
      <c r="F306" s="567"/>
      <c r="G306" s="570"/>
      <c r="H306" s="570"/>
      <c r="I306" s="567"/>
      <c r="J306" s="567"/>
      <c r="K306" s="567"/>
      <c r="L306" s="568"/>
      <c r="M306" s="568"/>
      <c r="N306" s="567"/>
      <c r="O306" s="567"/>
      <c r="P306" s="567"/>
      <c r="Q306" s="567"/>
      <c r="R306" s="570"/>
      <c r="S306" s="570"/>
      <c r="T306" s="567"/>
      <c r="U306" s="569"/>
      <c r="V306" s="567"/>
      <c r="W306" s="568"/>
      <c r="X306" s="568"/>
      <c r="Y306" s="567"/>
    </row>
    <row r="307" spans="1:25" x14ac:dyDescent="0.25">
      <c r="A307" s="570"/>
      <c r="B307" s="570"/>
      <c r="C307" s="570"/>
      <c r="D307" s="567"/>
      <c r="E307" s="567"/>
      <c r="F307" s="567"/>
      <c r="G307" s="570"/>
      <c r="H307" s="570"/>
      <c r="I307" s="567"/>
      <c r="J307" s="567"/>
      <c r="K307" s="567"/>
      <c r="L307" s="568"/>
      <c r="M307" s="568"/>
      <c r="N307" s="567"/>
      <c r="O307" s="567"/>
      <c r="P307" s="567"/>
      <c r="Q307" s="567"/>
      <c r="R307" s="570"/>
      <c r="S307" s="570"/>
      <c r="T307" s="567"/>
      <c r="U307" s="569"/>
      <c r="V307" s="567"/>
      <c r="W307" s="568"/>
      <c r="X307" s="568"/>
      <c r="Y307" s="567"/>
    </row>
    <row r="308" spans="1:25" x14ac:dyDescent="0.25">
      <c r="A308" s="570"/>
      <c r="B308" s="570"/>
      <c r="C308" s="570"/>
      <c r="D308" s="567"/>
      <c r="E308" s="567"/>
      <c r="F308" s="567"/>
      <c r="G308" s="570"/>
      <c r="H308" s="570"/>
      <c r="I308" s="567"/>
      <c r="J308" s="567"/>
      <c r="K308" s="567"/>
      <c r="L308" s="568"/>
      <c r="M308" s="568"/>
      <c r="N308" s="567"/>
      <c r="O308" s="567"/>
      <c r="P308" s="567"/>
      <c r="Q308" s="567"/>
      <c r="R308" s="570"/>
      <c r="S308" s="570"/>
      <c r="T308" s="567"/>
      <c r="U308" s="569"/>
      <c r="V308" s="567"/>
      <c r="W308" s="568"/>
      <c r="X308" s="568"/>
      <c r="Y308" s="567"/>
    </row>
    <row r="309" spans="1:25" x14ac:dyDescent="0.25">
      <c r="A309" s="570"/>
      <c r="B309" s="570"/>
      <c r="C309" s="570"/>
      <c r="D309" s="567"/>
      <c r="E309" s="567"/>
      <c r="F309" s="567"/>
      <c r="G309" s="570"/>
      <c r="H309" s="570"/>
      <c r="I309" s="567"/>
      <c r="J309" s="567"/>
      <c r="K309" s="567"/>
      <c r="L309" s="568"/>
      <c r="M309" s="568"/>
      <c r="N309" s="567"/>
      <c r="O309" s="567"/>
      <c r="P309" s="567"/>
      <c r="Q309" s="567"/>
      <c r="R309" s="570"/>
      <c r="S309" s="570"/>
      <c r="T309" s="567"/>
      <c r="U309" s="569"/>
      <c r="V309" s="567"/>
      <c r="W309" s="568"/>
      <c r="X309" s="568"/>
      <c r="Y309" s="567"/>
    </row>
    <row r="310" spans="1:25" x14ac:dyDescent="0.25">
      <c r="A310" s="570"/>
      <c r="B310" s="570"/>
      <c r="C310" s="570"/>
      <c r="D310" s="567"/>
      <c r="E310" s="567"/>
      <c r="F310" s="567"/>
      <c r="G310" s="570"/>
      <c r="H310" s="570"/>
      <c r="I310" s="567"/>
      <c r="J310" s="567"/>
      <c r="K310" s="567"/>
      <c r="L310" s="568"/>
      <c r="M310" s="568"/>
      <c r="N310" s="567"/>
      <c r="O310" s="567"/>
      <c r="P310" s="567"/>
      <c r="Q310" s="567"/>
      <c r="R310" s="570"/>
      <c r="S310" s="570"/>
      <c r="T310" s="567"/>
      <c r="U310" s="569"/>
      <c r="V310" s="567"/>
      <c r="W310" s="568"/>
      <c r="X310" s="568"/>
      <c r="Y310" s="567"/>
    </row>
    <row r="311" spans="1:25" x14ac:dyDescent="0.25">
      <c r="A311" s="570"/>
      <c r="B311" s="570"/>
      <c r="C311" s="570"/>
      <c r="D311" s="567"/>
      <c r="E311" s="567"/>
      <c r="F311" s="567"/>
      <c r="G311" s="570"/>
      <c r="H311" s="570"/>
      <c r="I311" s="567"/>
      <c r="J311" s="567"/>
      <c r="K311" s="567"/>
      <c r="L311" s="568"/>
      <c r="M311" s="568"/>
      <c r="N311" s="567"/>
      <c r="O311" s="567"/>
      <c r="P311" s="567"/>
      <c r="Q311" s="567"/>
      <c r="R311" s="570"/>
      <c r="S311" s="570"/>
      <c r="T311" s="567"/>
      <c r="U311" s="569"/>
      <c r="V311" s="567"/>
      <c r="W311" s="568"/>
      <c r="X311" s="568"/>
      <c r="Y311" s="567"/>
    </row>
    <row r="312" spans="1:25" x14ac:dyDescent="0.25">
      <c r="A312" s="570"/>
      <c r="B312" s="570"/>
      <c r="C312" s="570"/>
      <c r="D312" s="567"/>
      <c r="E312" s="567"/>
      <c r="F312" s="567"/>
      <c r="G312" s="570"/>
      <c r="H312" s="570"/>
      <c r="I312" s="567"/>
      <c r="J312" s="567"/>
      <c r="K312" s="567"/>
      <c r="L312" s="568"/>
      <c r="M312" s="568"/>
      <c r="N312" s="567"/>
      <c r="O312" s="567"/>
      <c r="P312" s="567"/>
      <c r="Q312" s="567"/>
      <c r="R312" s="570"/>
      <c r="S312" s="570"/>
      <c r="T312" s="567"/>
      <c r="U312" s="569"/>
      <c r="V312" s="567"/>
      <c r="W312" s="568"/>
      <c r="X312" s="568"/>
      <c r="Y312" s="567"/>
    </row>
    <row r="313" spans="1:25" x14ac:dyDescent="0.25">
      <c r="A313" s="570"/>
      <c r="B313" s="570"/>
      <c r="C313" s="570"/>
      <c r="D313" s="567"/>
      <c r="E313" s="567"/>
      <c r="F313" s="567"/>
      <c r="G313" s="570"/>
      <c r="H313" s="570"/>
      <c r="I313" s="567"/>
      <c r="J313" s="567"/>
      <c r="K313" s="567"/>
      <c r="L313" s="568"/>
      <c r="M313" s="568"/>
      <c r="N313" s="567"/>
      <c r="O313" s="567"/>
      <c r="P313" s="567"/>
      <c r="Q313" s="567"/>
      <c r="R313" s="570"/>
      <c r="S313" s="570"/>
      <c r="T313" s="567"/>
      <c r="U313" s="569"/>
      <c r="V313" s="567"/>
      <c r="W313" s="568"/>
      <c r="X313" s="568"/>
      <c r="Y313" s="567"/>
    </row>
    <row r="314" spans="1:25" x14ac:dyDescent="0.25">
      <c r="A314" s="570"/>
      <c r="B314" s="570"/>
      <c r="C314" s="570"/>
      <c r="D314" s="567"/>
      <c r="E314" s="567"/>
      <c r="F314" s="567"/>
      <c r="G314" s="570"/>
      <c r="H314" s="570"/>
      <c r="I314" s="567"/>
      <c r="J314" s="567"/>
      <c r="K314" s="567"/>
      <c r="L314" s="568"/>
      <c r="M314" s="568"/>
      <c r="N314" s="567"/>
      <c r="O314" s="567"/>
      <c r="P314" s="567"/>
      <c r="Q314" s="567"/>
      <c r="R314" s="570"/>
      <c r="S314" s="570"/>
      <c r="T314" s="567"/>
      <c r="U314" s="569"/>
      <c r="V314" s="567"/>
      <c r="W314" s="568"/>
      <c r="X314" s="568"/>
      <c r="Y314" s="567"/>
    </row>
    <row r="315" spans="1:25" x14ac:dyDescent="0.25">
      <c r="A315" s="570"/>
      <c r="B315" s="570"/>
      <c r="C315" s="570"/>
      <c r="D315" s="567"/>
      <c r="E315" s="567"/>
      <c r="F315" s="567"/>
      <c r="G315" s="570"/>
      <c r="H315" s="570"/>
      <c r="I315" s="567"/>
      <c r="J315" s="567"/>
      <c r="K315" s="567"/>
      <c r="L315" s="568"/>
      <c r="M315" s="568"/>
      <c r="N315" s="567"/>
      <c r="O315" s="567"/>
      <c r="P315" s="567"/>
      <c r="Q315" s="567"/>
      <c r="R315" s="570"/>
      <c r="S315" s="570"/>
      <c r="T315" s="567"/>
      <c r="U315" s="569"/>
      <c r="V315" s="567"/>
      <c r="W315" s="568"/>
      <c r="X315" s="568"/>
      <c r="Y315" s="567"/>
    </row>
    <row r="316" spans="1:25" x14ac:dyDescent="0.25">
      <c r="A316" s="570"/>
      <c r="B316" s="570"/>
      <c r="C316" s="570"/>
      <c r="D316" s="567"/>
      <c r="E316" s="567"/>
      <c r="F316" s="567"/>
      <c r="G316" s="570"/>
      <c r="H316" s="570"/>
      <c r="I316" s="567"/>
      <c r="J316" s="567"/>
      <c r="K316" s="567"/>
      <c r="L316" s="568"/>
      <c r="M316" s="568"/>
      <c r="N316" s="567"/>
      <c r="O316" s="567"/>
      <c r="P316" s="567"/>
      <c r="Q316" s="567"/>
      <c r="R316" s="570"/>
      <c r="S316" s="570"/>
      <c r="T316" s="567"/>
      <c r="U316" s="569"/>
      <c r="V316" s="567"/>
      <c r="W316" s="568"/>
      <c r="X316" s="568"/>
      <c r="Y316" s="567"/>
    </row>
    <row r="317" spans="1:25" x14ac:dyDescent="0.25">
      <c r="A317" s="570"/>
      <c r="B317" s="570"/>
      <c r="C317" s="570"/>
      <c r="D317" s="567"/>
      <c r="E317" s="567"/>
      <c r="F317" s="567"/>
      <c r="G317" s="570"/>
      <c r="H317" s="570"/>
      <c r="I317" s="567"/>
      <c r="J317" s="567"/>
      <c r="K317" s="567"/>
      <c r="L317" s="568"/>
      <c r="M317" s="568"/>
      <c r="N317" s="567"/>
      <c r="O317" s="567"/>
      <c r="P317" s="567"/>
      <c r="Q317" s="567"/>
      <c r="R317" s="570"/>
      <c r="S317" s="570"/>
      <c r="T317" s="567"/>
      <c r="U317" s="569"/>
      <c r="V317" s="567"/>
      <c r="W317" s="568"/>
      <c r="X317" s="568"/>
      <c r="Y317" s="567"/>
    </row>
    <row r="318" spans="1:25" x14ac:dyDescent="0.25">
      <c r="A318" s="570"/>
      <c r="B318" s="570"/>
      <c r="C318" s="570"/>
      <c r="D318" s="567"/>
      <c r="E318" s="567"/>
      <c r="F318" s="567"/>
      <c r="G318" s="570"/>
      <c r="H318" s="570"/>
      <c r="I318" s="567"/>
      <c r="J318" s="567"/>
      <c r="K318" s="567"/>
      <c r="L318" s="568"/>
      <c r="M318" s="568"/>
      <c r="N318" s="567"/>
      <c r="O318" s="567"/>
      <c r="P318" s="567"/>
      <c r="Q318" s="567"/>
      <c r="R318" s="570"/>
      <c r="S318" s="570"/>
      <c r="T318" s="567"/>
      <c r="U318" s="569"/>
      <c r="V318" s="567"/>
      <c r="W318" s="568"/>
      <c r="X318" s="568"/>
      <c r="Y318" s="567"/>
    </row>
    <row r="319" spans="1:25" x14ac:dyDescent="0.25">
      <c r="A319" s="570"/>
      <c r="B319" s="570"/>
      <c r="C319" s="570"/>
      <c r="D319" s="567"/>
      <c r="E319" s="567"/>
      <c r="F319" s="567"/>
      <c r="G319" s="570"/>
      <c r="H319" s="570"/>
      <c r="I319" s="567"/>
      <c r="J319" s="567"/>
      <c r="K319" s="567"/>
      <c r="L319" s="568"/>
      <c r="M319" s="568"/>
      <c r="N319" s="567"/>
      <c r="O319" s="567"/>
      <c r="P319" s="567"/>
      <c r="Q319" s="567"/>
      <c r="R319" s="570"/>
      <c r="S319" s="570"/>
      <c r="T319" s="567"/>
      <c r="U319" s="569"/>
      <c r="V319" s="567"/>
      <c r="W319" s="568"/>
      <c r="X319" s="568"/>
      <c r="Y319" s="567"/>
    </row>
    <row r="320" spans="1:25" x14ac:dyDescent="0.25">
      <c r="A320" s="570"/>
      <c r="B320" s="570"/>
      <c r="C320" s="570"/>
      <c r="D320" s="567"/>
      <c r="E320" s="567"/>
      <c r="F320" s="567"/>
      <c r="G320" s="570"/>
      <c r="H320" s="570"/>
      <c r="I320" s="567"/>
      <c r="J320" s="567"/>
      <c r="K320" s="567"/>
      <c r="L320" s="568"/>
      <c r="M320" s="568"/>
      <c r="N320" s="567"/>
      <c r="O320" s="567"/>
      <c r="P320" s="567"/>
      <c r="Q320" s="567"/>
      <c r="R320" s="570"/>
      <c r="S320" s="570"/>
      <c r="T320" s="567"/>
      <c r="U320" s="569"/>
      <c r="V320" s="567"/>
      <c r="W320" s="568"/>
      <c r="X320" s="568"/>
      <c r="Y320" s="567"/>
    </row>
    <row r="321" spans="1:25" x14ac:dyDescent="0.25">
      <c r="A321" s="570"/>
      <c r="B321" s="570"/>
      <c r="C321" s="570"/>
      <c r="D321" s="567"/>
      <c r="E321" s="567"/>
      <c r="F321" s="567"/>
      <c r="G321" s="570"/>
      <c r="H321" s="570"/>
      <c r="I321" s="567"/>
      <c r="J321" s="567"/>
      <c r="K321" s="567"/>
      <c r="L321" s="568"/>
      <c r="M321" s="568"/>
      <c r="N321" s="567"/>
      <c r="O321" s="567"/>
      <c r="P321" s="567"/>
      <c r="Q321" s="567"/>
      <c r="R321" s="570"/>
      <c r="S321" s="570"/>
      <c r="T321" s="567"/>
      <c r="U321" s="569"/>
      <c r="V321" s="567"/>
      <c r="W321" s="568"/>
      <c r="X321" s="568"/>
      <c r="Y321" s="567"/>
    </row>
    <row r="322" spans="1:25" x14ac:dyDescent="0.25">
      <c r="A322" s="570"/>
      <c r="B322" s="570"/>
      <c r="C322" s="570"/>
      <c r="D322" s="567"/>
      <c r="E322" s="567"/>
      <c r="F322" s="567"/>
      <c r="G322" s="570"/>
      <c r="H322" s="570"/>
      <c r="I322" s="567"/>
      <c r="J322" s="567"/>
      <c r="K322" s="567"/>
      <c r="L322" s="568"/>
      <c r="M322" s="568"/>
      <c r="N322" s="567"/>
      <c r="O322" s="567"/>
      <c r="P322" s="567"/>
      <c r="Q322" s="567"/>
      <c r="R322" s="570"/>
      <c r="S322" s="570"/>
      <c r="T322" s="567"/>
      <c r="U322" s="569"/>
      <c r="V322" s="567"/>
      <c r="W322" s="568"/>
      <c r="X322" s="568"/>
      <c r="Y322" s="567"/>
    </row>
    <row r="323" spans="1:25" x14ac:dyDescent="0.25">
      <c r="A323" s="570"/>
      <c r="B323" s="570"/>
      <c r="C323" s="570"/>
      <c r="D323" s="567"/>
      <c r="E323" s="567"/>
      <c r="F323" s="567"/>
      <c r="G323" s="570"/>
      <c r="H323" s="570"/>
      <c r="I323" s="567"/>
      <c r="J323" s="567"/>
      <c r="K323" s="567"/>
      <c r="L323" s="568"/>
      <c r="M323" s="568"/>
      <c r="N323" s="567"/>
      <c r="O323" s="567"/>
      <c r="P323" s="567"/>
      <c r="Q323" s="567"/>
      <c r="R323" s="570"/>
      <c r="S323" s="570"/>
      <c r="T323" s="567"/>
      <c r="U323" s="569"/>
      <c r="V323" s="567"/>
      <c r="W323" s="568"/>
      <c r="X323" s="568"/>
      <c r="Y323" s="567"/>
    </row>
    <row r="324" spans="1:25" x14ac:dyDescent="0.25">
      <c r="A324" s="570"/>
      <c r="B324" s="570"/>
      <c r="C324" s="570"/>
      <c r="D324" s="567"/>
      <c r="E324" s="567"/>
      <c r="F324" s="567"/>
      <c r="G324" s="570"/>
      <c r="H324" s="570"/>
      <c r="I324" s="567"/>
      <c r="J324" s="567"/>
      <c r="K324" s="567"/>
      <c r="L324" s="568"/>
      <c r="M324" s="568"/>
      <c r="N324" s="567"/>
      <c r="O324" s="567"/>
      <c r="P324" s="567"/>
      <c r="Q324" s="567"/>
      <c r="R324" s="570"/>
      <c r="S324" s="570"/>
      <c r="T324" s="567"/>
      <c r="U324" s="569"/>
      <c r="V324" s="567"/>
      <c r="W324" s="568"/>
      <c r="X324" s="568"/>
      <c r="Y324" s="567"/>
    </row>
    <row r="325" spans="1:25" x14ac:dyDescent="0.25">
      <c r="A325" s="570"/>
      <c r="B325" s="570"/>
      <c r="C325" s="570"/>
      <c r="D325" s="567"/>
      <c r="E325" s="567"/>
      <c r="F325" s="567"/>
      <c r="G325" s="570"/>
      <c r="H325" s="570"/>
      <c r="I325" s="567"/>
      <c r="J325" s="567"/>
      <c r="K325" s="567"/>
      <c r="L325" s="568"/>
      <c r="M325" s="568"/>
      <c r="N325" s="567"/>
      <c r="O325" s="567"/>
      <c r="P325" s="567"/>
      <c r="Q325" s="567"/>
      <c r="R325" s="570"/>
      <c r="S325" s="570"/>
      <c r="T325" s="567"/>
      <c r="U325" s="569"/>
      <c r="V325" s="567"/>
      <c r="W325" s="568"/>
      <c r="X325" s="568"/>
      <c r="Y325" s="567"/>
    </row>
    <row r="326" spans="1:25" x14ac:dyDescent="0.25">
      <c r="A326" s="570"/>
      <c r="B326" s="570"/>
      <c r="C326" s="570"/>
      <c r="D326" s="567"/>
      <c r="E326" s="567"/>
      <c r="F326" s="567"/>
      <c r="G326" s="570"/>
      <c r="H326" s="570"/>
      <c r="I326" s="567"/>
      <c r="J326" s="567"/>
      <c r="K326" s="567"/>
      <c r="L326" s="568"/>
      <c r="M326" s="568"/>
      <c r="N326" s="567"/>
      <c r="O326" s="567"/>
      <c r="P326" s="567"/>
      <c r="Q326" s="567"/>
      <c r="R326" s="570"/>
      <c r="S326" s="570"/>
      <c r="T326" s="567"/>
      <c r="U326" s="569"/>
      <c r="V326" s="567"/>
      <c r="W326" s="568"/>
      <c r="X326" s="568"/>
      <c r="Y326" s="567"/>
    </row>
    <row r="327" spans="1:25" x14ac:dyDescent="0.25">
      <c r="A327" s="570"/>
      <c r="B327" s="570"/>
      <c r="C327" s="570"/>
      <c r="D327" s="567"/>
      <c r="E327" s="567"/>
      <c r="F327" s="567"/>
      <c r="G327" s="570"/>
      <c r="H327" s="570"/>
      <c r="I327" s="567"/>
      <c r="J327" s="567"/>
      <c r="K327" s="567"/>
      <c r="L327" s="568"/>
      <c r="M327" s="568"/>
      <c r="N327" s="567"/>
      <c r="O327" s="567"/>
      <c r="P327" s="567"/>
      <c r="Q327" s="567"/>
      <c r="R327" s="570"/>
      <c r="S327" s="570"/>
      <c r="T327" s="567"/>
      <c r="U327" s="569"/>
      <c r="V327" s="567"/>
      <c r="W327" s="568"/>
      <c r="X327" s="568"/>
      <c r="Y327" s="567"/>
    </row>
    <row r="328" spans="1:25" x14ac:dyDescent="0.25">
      <c r="A328" s="570"/>
      <c r="B328" s="570"/>
      <c r="C328" s="570"/>
      <c r="D328" s="567"/>
      <c r="E328" s="567"/>
      <c r="F328" s="567"/>
      <c r="G328" s="570"/>
      <c r="H328" s="570"/>
      <c r="I328" s="567"/>
      <c r="J328" s="567"/>
      <c r="K328" s="567"/>
      <c r="L328" s="568"/>
      <c r="M328" s="568"/>
      <c r="N328" s="567"/>
      <c r="O328" s="567"/>
      <c r="P328" s="567"/>
      <c r="Q328" s="567"/>
      <c r="R328" s="570"/>
      <c r="S328" s="570"/>
      <c r="T328" s="567"/>
      <c r="U328" s="569"/>
      <c r="V328" s="567"/>
      <c r="W328" s="568"/>
      <c r="X328" s="568"/>
      <c r="Y328" s="567"/>
    </row>
    <row r="329" spans="1:25" x14ac:dyDescent="0.25">
      <c r="A329" s="570"/>
      <c r="B329" s="570"/>
      <c r="C329" s="570"/>
      <c r="D329" s="567"/>
      <c r="E329" s="567"/>
      <c r="F329" s="567"/>
      <c r="G329" s="570"/>
      <c r="H329" s="570"/>
      <c r="I329" s="567"/>
      <c r="J329" s="567"/>
      <c r="K329" s="567"/>
      <c r="L329" s="568"/>
      <c r="M329" s="568"/>
      <c r="N329" s="567"/>
      <c r="O329" s="567"/>
      <c r="P329" s="567"/>
      <c r="Q329" s="567"/>
      <c r="R329" s="570"/>
      <c r="S329" s="570"/>
      <c r="T329" s="567"/>
      <c r="U329" s="569"/>
      <c r="V329" s="567"/>
      <c r="W329" s="568"/>
      <c r="X329" s="568"/>
      <c r="Y329" s="567"/>
    </row>
    <row r="330" spans="1:25" x14ac:dyDescent="0.25">
      <c r="A330" s="570"/>
      <c r="B330" s="570"/>
      <c r="C330" s="570"/>
      <c r="D330" s="567"/>
      <c r="E330" s="567"/>
      <c r="F330" s="567"/>
      <c r="G330" s="570"/>
      <c r="H330" s="570"/>
      <c r="I330" s="567"/>
      <c r="J330" s="567"/>
      <c r="K330" s="567"/>
      <c r="L330" s="568"/>
      <c r="M330" s="568"/>
      <c r="N330" s="567"/>
      <c r="O330" s="567"/>
      <c r="P330" s="567"/>
      <c r="Q330" s="567"/>
      <c r="R330" s="570"/>
      <c r="S330" s="570"/>
      <c r="T330" s="567"/>
      <c r="U330" s="569"/>
      <c r="V330" s="567"/>
      <c r="W330" s="568"/>
      <c r="X330" s="568"/>
      <c r="Y330" s="567"/>
    </row>
    <row r="331" spans="1:25" x14ac:dyDescent="0.25">
      <c r="A331" s="570"/>
      <c r="B331" s="570"/>
      <c r="C331" s="570"/>
      <c r="D331" s="567"/>
      <c r="E331" s="567"/>
      <c r="F331" s="567"/>
      <c r="G331" s="570"/>
      <c r="H331" s="570"/>
      <c r="I331" s="567"/>
      <c r="J331" s="567"/>
      <c r="K331" s="567"/>
      <c r="L331" s="568"/>
      <c r="M331" s="568"/>
      <c r="N331" s="567"/>
      <c r="O331" s="567"/>
      <c r="P331" s="567"/>
      <c r="Q331" s="567"/>
      <c r="R331" s="570"/>
      <c r="S331" s="570"/>
      <c r="T331" s="567"/>
      <c r="U331" s="569"/>
      <c r="V331" s="567"/>
      <c r="W331" s="568"/>
      <c r="X331" s="568"/>
      <c r="Y331" s="567"/>
    </row>
    <row r="332" spans="1:25" x14ac:dyDescent="0.25">
      <c r="A332" s="570"/>
      <c r="B332" s="570"/>
      <c r="C332" s="570"/>
      <c r="D332" s="567"/>
      <c r="E332" s="567"/>
      <c r="F332" s="567"/>
      <c r="G332" s="570"/>
      <c r="H332" s="570"/>
      <c r="I332" s="567"/>
      <c r="J332" s="567"/>
      <c r="K332" s="567"/>
      <c r="L332" s="568"/>
      <c r="M332" s="568"/>
      <c r="N332" s="567"/>
      <c r="O332" s="567"/>
      <c r="P332" s="567"/>
      <c r="Q332" s="567"/>
      <c r="R332" s="570"/>
      <c r="S332" s="570"/>
      <c r="T332" s="567"/>
      <c r="U332" s="569"/>
      <c r="V332" s="567"/>
      <c r="W332" s="568"/>
      <c r="X332" s="568"/>
      <c r="Y332" s="567"/>
    </row>
    <row r="333" spans="1:25" x14ac:dyDescent="0.25">
      <c r="A333" s="570"/>
      <c r="B333" s="570"/>
      <c r="C333" s="570"/>
      <c r="D333" s="567"/>
      <c r="E333" s="567"/>
      <c r="F333" s="567"/>
      <c r="G333" s="570"/>
      <c r="H333" s="570"/>
      <c r="I333" s="567"/>
      <c r="J333" s="567"/>
      <c r="K333" s="567"/>
      <c r="L333" s="568"/>
      <c r="M333" s="568"/>
      <c r="N333" s="567"/>
      <c r="O333" s="567"/>
      <c r="P333" s="567"/>
      <c r="Q333" s="567"/>
      <c r="R333" s="570"/>
      <c r="S333" s="570"/>
      <c r="T333" s="567"/>
      <c r="U333" s="569"/>
      <c r="V333" s="567"/>
      <c r="W333" s="568"/>
      <c r="X333" s="568"/>
      <c r="Y333" s="567"/>
    </row>
    <row r="334" spans="1:25" x14ac:dyDescent="0.25">
      <c r="A334" s="570"/>
      <c r="B334" s="570"/>
      <c r="C334" s="570"/>
      <c r="D334" s="567"/>
      <c r="E334" s="567"/>
      <c r="F334" s="567"/>
      <c r="G334" s="570"/>
      <c r="H334" s="570"/>
      <c r="I334" s="567"/>
      <c r="J334" s="567"/>
      <c r="K334" s="567"/>
      <c r="L334" s="568"/>
      <c r="M334" s="568"/>
      <c r="N334" s="567"/>
      <c r="O334" s="567"/>
      <c r="P334" s="567"/>
      <c r="Q334" s="567"/>
      <c r="R334" s="570"/>
      <c r="S334" s="570"/>
      <c r="T334" s="567"/>
      <c r="U334" s="569"/>
      <c r="V334" s="567"/>
      <c r="W334" s="568"/>
      <c r="X334" s="568"/>
      <c r="Y334" s="567"/>
    </row>
    <row r="335" spans="1:25" x14ac:dyDescent="0.25">
      <c r="A335" s="570"/>
      <c r="B335" s="570"/>
      <c r="C335" s="570"/>
      <c r="D335" s="567"/>
      <c r="E335" s="567"/>
      <c r="F335" s="567"/>
      <c r="G335" s="570"/>
      <c r="H335" s="570"/>
      <c r="I335" s="567"/>
      <c r="J335" s="567"/>
      <c r="K335" s="567"/>
      <c r="L335" s="568"/>
      <c r="M335" s="568"/>
      <c r="N335" s="567"/>
      <c r="O335" s="567"/>
      <c r="P335" s="567"/>
      <c r="Q335" s="567"/>
      <c r="R335" s="570"/>
      <c r="S335" s="570"/>
      <c r="T335" s="567"/>
      <c r="U335" s="569"/>
      <c r="V335" s="567"/>
      <c r="W335" s="568"/>
      <c r="X335" s="568"/>
      <c r="Y335" s="567"/>
    </row>
    <row r="336" spans="1:25" x14ac:dyDescent="0.25">
      <c r="A336" s="570"/>
      <c r="B336" s="570"/>
      <c r="C336" s="570"/>
      <c r="D336" s="567"/>
      <c r="E336" s="567"/>
      <c r="F336" s="567"/>
      <c r="G336" s="570"/>
      <c r="H336" s="570"/>
      <c r="I336" s="567"/>
      <c r="J336" s="567"/>
      <c r="K336" s="567"/>
      <c r="L336" s="568"/>
      <c r="M336" s="568"/>
      <c r="N336" s="567"/>
      <c r="O336" s="567"/>
      <c r="P336" s="567"/>
      <c r="Q336" s="567"/>
      <c r="R336" s="570"/>
      <c r="S336" s="570"/>
      <c r="T336" s="567"/>
      <c r="U336" s="569"/>
      <c r="V336" s="567"/>
      <c r="W336" s="568"/>
      <c r="X336" s="568"/>
      <c r="Y336" s="567"/>
    </row>
    <row r="337" spans="1:25" x14ac:dyDescent="0.25">
      <c r="A337" s="570"/>
      <c r="B337" s="570"/>
      <c r="C337" s="570"/>
      <c r="D337" s="567"/>
      <c r="E337" s="567"/>
      <c r="F337" s="567"/>
      <c r="G337" s="570"/>
      <c r="H337" s="570"/>
      <c r="I337" s="567"/>
      <c r="J337" s="567"/>
      <c r="K337" s="567"/>
      <c r="L337" s="568"/>
      <c r="M337" s="568"/>
      <c r="N337" s="567"/>
      <c r="O337" s="567"/>
      <c r="P337" s="567"/>
      <c r="Q337" s="567"/>
      <c r="R337" s="570"/>
      <c r="S337" s="570"/>
      <c r="T337" s="567"/>
      <c r="U337" s="569"/>
      <c r="V337" s="567"/>
      <c r="W337" s="568"/>
      <c r="X337" s="568"/>
      <c r="Y337" s="567"/>
    </row>
    <row r="338" spans="1:25" x14ac:dyDescent="0.25">
      <c r="A338" s="570"/>
      <c r="B338" s="570"/>
      <c r="C338" s="570"/>
      <c r="D338" s="567"/>
      <c r="E338" s="567"/>
      <c r="F338" s="567"/>
      <c r="G338" s="570"/>
      <c r="H338" s="570"/>
      <c r="I338" s="567"/>
      <c r="J338" s="567"/>
      <c r="K338" s="567"/>
      <c r="L338" s="568"/>
      <c r="M338" s="568"/>
      <c r="N338" s="567"/>
      <c r="O338" s="567"/>
      <c r="P338" s="567"/>
      <c r="Q338" s="567"/>
      <c r="R338" s="570"/>
      <c r="S338" s="570"/>
      <c r="T338" s="567"/>
      <c r="U338" s="569"/>
      <c r="V338" s="567"/>
      <c r="W338" s="568"/>
      <c r="X338" s="568"/>
      <c r="Y338" s="567"/>
    </row>
    <row r="339" spans="1:25" x14ac:dyDescent="0.25">
      <c r="A339" s="570"/>
      <c r="B339" s="570"/>
      <c r="C339" s="570"/>
      <c r="D339" s="567"/>
      <c r="E339" s="567"/>
      <c r="F339" s="567"/>
      <c r="G339" s="570"/>
      <c r="H339" s="570"/>
      <c r="I339" s="567"/>
      <c r="J339" s="567"/>
      <c r="K339" s="567"/>
      <c r="L339" s="568"/>
      <c r="M339" s="568"/>
      <c r="N339" s="567"/>
      <c r="O339" s="567"/>
      <c r="P339" s="567"/>
      <c r="Q339" s="567"/>
      <c r="R339" s="570"/>
      <c r="S339" s="570"/>
      <c r="T339" s="567"/>
      <c r="U339" s="569"/>
      <c r="V339" s="567"/>
      <c r="W339" s="568"/>
      <c r="X339" s="568"/>
      <c r="Y339" s="567"/>
    </row>
    <row r="340" spans="1:25" x14ac:dyDescent="0.25">
      <c r="A340" s="570"/>
      <c r="B340" s="570"/>
      <c r="C340" s="570"/>
      <c r="D340" s="567"/>
      <c r="E340" s="567"/>
      <c r="F340" s="567"/>
      <c r="G340" s="570"/>
      <c r="H340" s="570"/>
      <c r="I340" s="567"/>
      <c r="J340" s="567"/>
      <c r="K340" s="567"/>
      <c r="L340" s="568"/>
      <c r="M340" s="568"/>
      <c r="N340" s="567"/>
      <c r="O340" s="567"/>
      <c r="P340" s="567"/>
      <c r="Q340" s="567"/>
      <c r="R340" s="570"/>
      <c r="S340" s="570"/>
      <c r="T340" s="567"/>
      <c r="U340" s="569"/>
      <c r="V340" s="567"/>
      <c r="W340" s="568"/>
      <c r="X340" s="568"/>
      <c r="Y340" s="567"/>
    </row>
    <row r="341" spans="1:25" x14ac:dyDescent="0.25">
      <c r="A341" s="570"/>
      <c r="B341" s="570"/>
      <c r="C341" s="570"/>
      <c r="D341" s="567"/>
      <c r="E341" s="567"/>
      <c r="F341" s="567"/>
      <c r="G341" s="570"/>
      <c r="H341" s="570"/>
      <c r="I341" s="567"/>
      <c r="J341" s="567"/>
      <c r="K341" s="567"/>
      <c r="L341" s="568"/>
      <c r="M341" s="568"/>
      <c r="N341" s="567"/>
      <c r="O341" s="567"/>
      <c r="P341" s="567"/>
      <c r="Q341" s="567"/>
      <c r="R341" s="570"/>
      <c r="S341" s="570"/>
      <c r="T341" s="567"/>
      <c r="U341" s="569"/>
      <c r="V341" s="567"/>
      <c r="W341" s="568"/>
      <c r="X341" s="568"/>
      <c r="Y341" s="567"/>
    </row>
    <row r="342" spans="1:25" x14ac:dyDescent="0.25">
      <c r="A342" s="570"/>
      <c r="B342" s="570"/>
      <c r="C342" s="570"/>
      <c r="D342" s="567"/>
      <c r="E342" s="567"/>
      <c r="F342" s="567"/>
      <c r="G342" s="570"/>
      <c r="H342" s="570"/>
      <c r="I342" s="567"/>
      <c r="J342" s="567"/>
      <c r="K342" s="567"/>
      <c r="L342" s="568"/>
      <c r="M342" s="568"/>
      <c r="N342" s="567"/>
      <c r="O342" s="567"/>
      <c r="P342" s="567"/>
      <c r="Q342" s="567"/>
      <c r="R342" s="570"/>
      <c r="S342" s="570"/>
      <c r="T342" s="567"/>
      <c r="U342" s="569"/>
      <c r="V342" s="567"/>
      <c r="W342" s="568"/>
      <c r="X342" s="568"/>
      <c r="Y342" s="567"/>
    </row>
    <row r="343" spans="1:25" x14ac:dyDescent="0.25">
      <c r="A343" s="570"/>
      <c r="B343" s="570"/>
      <c r="C343" s="570"/>
      <c r="D343" s="567"/>
      <c r="E343" s="567"/>
      <c r="F343" s="567"/>
      <c r="G343" s="570"/>
      <c r="H343" s="570"/>
      <c r="I343" s="567"/>
      <c r="J343" s="567"/>
      <c r="K343" s="567"/>
      <c r="L343" s="568"/>
      <c r="M343" s="568"/>
      <c r="N343" s="567"/>
      <c r="O343" s="567"/>
      <c r="P343" s="567"/>
      <c r="Q343" s="567"/>
      <c r="R343" s="570"/>
      <c r="S343" s="570"/>
      <c r="T343" s="567"/>
      <c r="U343" s="569"/>
      <c r="V343" s="567"/>
      <c r="W343" s="568"/>
      <c r="X343" s="568"/>
      <c r="Y343" s="567"/>
    </row>
    <row r="344" spans="1:25" x14ac:dyDescent="0.25">
      <c r="A344" s="570"/>
      <c r="B344" s="570"/>
      <c r="C344" s="570"/>
      <c r="D344" s="567"/>
      <c r="E344" s="567"/>
      <c r="F344" s="567"/>
      <c r="G344" s="570"/>
      <c r="H344" s="570"/>
      <c r="I344" s="567"/>
      <c r="J344" s="567"/>
      <c r="K344" s="567"/>
      <c r="L344" s="568"/>
      <c r="M344" s="568"/>
      <c r="N344" s="567"/>
      <c r="O344" s="567"/>
      <c r="P344" s="567"/>
      <c r="Q344" s="567"/>
      <c r="R344" s="570"/>
      <c r="S344" s="570"/>
      <c r="T344" s="567"/>
      <c r="U344" s="569"/>
      <c r="V344" s="567"/>
      <c r="W344" s="568"/>
      <c r="X344" s="568"/>
      <c r="Y344" s="567"/>
    </row>
    <row r="345" spans="1:25" x14ac:dyDescent="0.25">
      <c r="A345" s="570"/>
      <c r="B345" s="570"/>
      <c r="C345" s="570"/>
      <c r="D345" s="567"/>
      <c r="E345" s="567"/>
      <c r="F345" s="567"/>
      <c r="G345" s="570"/>
      <c r="H345" s="570"/>
      <c r="I345" s="567"/>
      <c r="J345" s="567"/>
      <c r="K345" s="567"/>
      <c r="L345" s="568"/>
      <c r="M345" s="568"/>
      <c r="N345" s="567"/>
      <c r="O345" s="567"/>
      <c r="P345" s="567"/>
      <c r="Q345" s="567"/>
      <c r="R345" s="570"/>
      <c r="S345" s="570"/>
      <c r="T345" s="567"/>
      <c r="U345" s="569"/>
      <c r="V345" s="567"/>
      <c r="W345" s="568"/>
      <c r="X345" s="568"/>
      <c r="Y345" s="567"/>
    </row>
    <row r="346" spans="1:25" x14ac:dyDescent="0.25">
      <c r="A346" s="570"/>
      <c r="B346" s="570"/>
      <c r="C346" s="570"/>
      <c r="D346" s="567"/>
      <c r="E346" s="567"/>
      <c r="F346" s="567"/>
      <c r="G346" s="570"/>
      <c r="H346" s="570"/>
      <c r="I346" s="567"/>
      <c r="J346" s="567"/>
      <c r="K346" s="567"/>
      <c r="L346" s="568"/>
      <c r="M346" s="568"/>
      <c r="N346" s="567"/>
      <c r="O346" s="567"/>
      <c r="P346" s="567"/>
      <c r="Q346" s="567"/>
      <c r="R346" s="570"/>
      <c r="S346" s="570"/>
      <c r="T346" s="567"/>
      <c r="U346" s="569"/>
      <c r="V346" s="567"/>
      <c r="W346" s="568"/>
      <c r="X346" s="568"/>
      <c r="Y346" s="567"/>
    </row>
    <row r="347" spans="1:25" x14ac:dyDescent="0.25">
      <c r="A347" s="570"/>
      <c r="B347" s="570"/>
      <c r="C347" s="570"/>
      <c r="D347" s="567"/>
      <c r="E347" s="567"/>
      <c r="F347" s="567"/>
      <c r="G347" s="570"/>
      <c r="H347" s="570"/>
      <c r="I347" s="567"/>
      <c r="J347" s="567"/>
      <c r="K347" s="567"/>
      <c r="L347" s="568"/>
      <c r="M347" s="568"/>
      <c r="N347" s="567"/>
      <c r="O347" s="567"/>
      <c r="P347" s="567"/>
      <c r="Q347" s="567"/>
      <c r="R347" s="570"/>
      <c r="S347" s="570"/>
      <c r="T347" s="567"/>
      <c r="U347" s="569"/>
      <c r="V347" s="567"/>
      <c r="W347" s="568"/>
      <c r="X347" s="568"/>
      <c r="Y347" s="567"/>
    </row>
    <row r="348" spans="1:25" x14ac:dyDescent="0.25">
      <c r="A348" s="570"/>
      <c r="B348" s="570"/>
      <c r="C348" s="570"/>
      <c r="D348" s="567"/>
      <c r="E348" s="567"/>
      <c r="F348" s="567"/>
      <c r="G348" s="570"/>
      <c r="H348" s="570"/>
      <c r="I348" s="567"/>
      <c r="J348" s="567"/>
      <c r="K348" s="567"/>
      <c r="L348" s="568"/>
      <c r="M348" s="568"/>
      <c r="N348" s="567"/>
      <c r="O348" s="567"/>
      <c r="P348" s="567"/>
      <c r="Q348" s="567"/>
      <c r="R348" s="570"/>
      <c r="S348" s="570"/>
      <c r="T348" s="567"/>
      <c r="U348" s="569"/>
      <c r="V348" s="567"/>
      <c r="W348" s="568"/>
      <c r="X348" s="568"/>
      <c r="Y348" s="567"/>
    </row>
    <row r="349" spans="1:25" x14ac:dyDescent="0.25">
      <c r="A349" s="570"/>
      <c r="B349" s="570"/>
      <c r="C349" s="570"/>
      <c r="D349" s="567"/>
      <c r="E349" s="567"/>
      <c r="F349" s="567"/>
      <c r="G349" s="570"/>
      <c r="H349" s="570"/>
      <c r="I349" s="567"/>
      <c r="J349" s="567"/>
      <c r="K349" s="567"/>
      <c r="L349" s="568"/>
      <c r="M349" s="568"/>
      <c r="N349" s="567"/>
      <c r="O349" s="567"/>
      <c r="P349" s="567"/>
      <c r="Q349" s="567"/>
      <c r="R349" s="570"/>
      <c r="S349" s="570"/>
      <c r="T349" s="567"/>
      <c r="U349" s="569"/>
      <c r="V349" s="567"/>
      <c r="W349" s="568"/>
      <c r="X349" s="568"/>
      <c r="Y349" s="567"/>
    </row>
    <row r="350" spans="1:25" x14ac:dyDescent="0.25">
      <c r="A350" s="570"/>
      <c r="B350" s="570"/>
      <c r="C350" s="570"/>
      <c r="D350" s="567"/>
      <c r="E350" s="567"/>
      <c r="F350" s="567"/>
      <c r="G350" s="570"/>
      <c r="H350" s="570"/>
      <c r="I350" s="567"/>
      <c r="J350" s="567"/>
      <c r="K350" s="567"/>
      <c r="L350" s="568"/>
      <c r="M350" s="568"/>
      <c r="N350" s="567"/>
      <c r="O350" s="567"/>
      <c r="P350" s="567"/>
      <c r="Q350" s="567"/>
      <c r="R350" s="570"/>
      <c r="S350" s="570"/>
      <c r="T350" s="567"/>
      <c r="U350" s="569"/>
      <c r="V350" s="567"/>
      <c r="W350" s="568"/>
      <c r="X350" s="568"/>
      <c r="Y350" s="567"/>
    </row>
    <row r="351" spans="1:25" x14ac:dyDescent="0.25">
      <c r="A351" s="570"/>
      <c r="B351" s="570"/>
      <c r="C351" s="570"/>
      <c r="D351" s="567"/>
      <c r="E351" s="567"/>
      <c r="F351" s="567"/>
      <c r="G351" s="570"/>
      <c r="H351" s="570"/>
      <c r="I351" s="567"/>
      <c r="J351" s="567"/>
      <c r="K351" s="567"/>
      <c r="L351" s="568"/>
      <c r="M351" s="568"/>
      <c r="N351" s="567"/>
      <c r="O351" s="567"/>
      <c r="P351" s="567"/>
      <c r="Q351" s="567"/>
      <c r="R351" s="570"/>
      <c r="S351" s="570"/>
      <c r="T351" s="567"/>
      <c r="U351" s="569"/>
      <c r="V351" s="567"/>
      <c r="W351" s="568"/>
      <c r="X351" s="568"/>
      <c r="Y351" s="567"/>
    </row>
    <row r="352" spans="1:25" x14ac:dyDescent="0.25">
      <c r="A352" s="570"/>
      <c r="B352" s="570"/>
      <c r="C352" s="570"/>
      <c r="D352" s="567"/>
      <c r="E352" s="567"/>
      <c r="F352" s="567"/>
      <c r="G352" s="570"/>
      <c r="H352" s="570"/>
      <c r="I352" s="567"/>
      <c r="J352" s="567"/>
      <c r="K352" s="567"/>
      <c r="L352" s="568"/>
      <c r="M352" s="568"/>
      <c r="N352" s="567"/>
      <c r="O352" s="567"/>
      <c r="P352" s="567"/>
      <c r="Q352" s="567"/>
      <c r="R352" s="570"/>
      <c r="S352" s="570"/>
      <c r="T352" s="567"/>
      <c r="U352" s="569"/>
      <c r="V352" s="567"/>
      <c r="W352" s="568"/>
      <c r="X352" s="568"/>
      <c r="Y352" s="567"/>
    </row>
    <row r="353" spans="1:25" x14ac:dyDescent="0.25">
      <c r="A353" s="570"/>
      <c r="B353" s="570"/>
      <c r="C353" s="570"/>
      <c r="D353" s="567"/>
      <c r="E353" s="567"/>
      <c r="F353" s="567"/>
      <c r="G353" s="570"/>
      <c r="H353" s="570"/>
      <c r="I353" s="567"/>
      <c r="J353" s="567"/>
      <c r="K353" s="567"/>
      <c r="L353" s="568"/>
      <c r="M353" s="568"/>
      <c r="N353" s="567"/>
      <c r="O353" s="567"/>
      <c r="P353" s="567"/>
      <c r="Q353" s="567"/>
      <c r="R353" s="570"/>
      <c r="S353" s="570"/>
      <c r="T353" s="567"/>
      <c r="U353" s="569"/>
      <c r="V353" s="567"/>
      <c r="W353" s="568"/>
      <c r="X353" s="568"/>
      <c r="Y353" s="567"/>
    </row>
    <row r="354" spans="1:25" x14ac:dyDescent="0.25">
      <c r="A354" s="570"/>
      <c r="B354" s="570"/>
      <c r="C354" s="570"/>
      <c r="D354" s="567"/>
      <c r="E354" s="567"/>
      <c r="F354" s="567"/>
      <c r="G354" s="570"/>
      <c r="H354" s="570"/>
      <c r="I354" s="567"/>
      <c r="J354" s="567"/>
      <c r="K354" s="567"/>
      <c r="L354" s="568"/>
      <c r="M354" s="568"/>
      <c r="N354" s="567"/>
      <c r="O354" s="567"/>
      <c r="P354" s="567"/>
      <c r="Q354" s="567"/>
      <c r="R354" s="570"/>
      <c r="S354" s="570"/>
      <c r="T354" s="567"/>
      <c r="U354" s="569"/>
      <c r="V354" s="567"/>
      <c r="W354" s="568"/>
      <c r="X354" s="568"/>
      <c r="Y354" s="567"/>
    </row>
    <row r="355" spans="1:25" x14ac:dyDescent="0.25">
      <c r="A355" s="570"/>
      <c r="B355" s="570"/>
      <c r="C355" s="570"/>
      <c r="D355" s="567"/>
      <c r="E355" s="567"/>
      <c r="F355" s="567"/>
      <c r="G355" s="570"/>
      <c r="H355" s="570"/>
      <c r="I355" s="567"/>
      <c r="J355" s="567"/>
      <c r="K355" s="567"/>
      <c r="L355" s="568"/>
      <c r="M355" s="568"/>
      <c r="N355" s="567"/>
      <c r="O355" s="567"/>
      <c r="P355" s="567"/>
      <c r="Q355" s="567"/>
      <c r="R355" s="570"/>
      <c r="S355" s="570"/>
      <c r="T355" s="567"/>
      <c r="U355" s="569"/>
      <c r="V355" s="567"/>
      <c r="W355" s="568"/>
      <c r="X355" s="568"/>
      <c r="Y355" s="567"/>
    </row>
    <row r="356" spans="1:25" x14ac:dyDescent="0.25">
      <c r="A356" s="570"/>
      <c r="B356" s="570"/>
      <c r="C356" s="570"/>
      <c r="D356" s="567"/>
      <c r="E356" s="567"/>
      <c r="F356" s="567"/>
      <c r="G356" s="570"/>
      <c r="H356" s="570"/>
      <c r="I356" s="567"/>
      <c r="J356" s="567"/>
      <c r="K356" s="567"/>
      <c r="L356" s="568"/>
      <c r="M356" s="568"/>
      <c r="N356" s="567"/>
      <c r="O356" s="567"/>
      <c r="P356" s="567"/>
      <c r="Q356" s="567"/>
      <c r="R356" s="570"/>
      <c r="S356" s="570"/>
      <c r="T356" s="567"/>
      <c r="U356" s="569"/>
      <c r="V356" s="567"/>
      <c r="W356" s="568"/>
      <c r="X356" s="568"/>
      <c r="Y356" s="567"/>
    </row>
    <row r="357" spans="1:25" x14ac:dyDescent="0.25">
      <c r="A357" s="570"/>
      <c r="B357" s="570"/>
      <c r="C357" s="570"/>
      <c r="D357" s="567"/>
      <c r="E357" s="567"/>
      <c r="F357" s="567"/>
      <c r="G357" s="570"/>
      <c r="H357" s="570"/>
      <c r="I357" s="567"/>
      <c r="J357" s="567"/>
      <c r="K357" s="567"/>
      <c r="L357" s="568"/>
      <c r="M357" s="568"/>
      <c r="N357" s="567"/>
      <c r="O357" s="567"/>
      <c r="P357" s="567"/>
      <c r="Q357" s="567"/>
      <c r="R357" s="570"/>
      <c r="S357" s="570"/>
      <c r="T357" s="567"/>
      <c r="U357" s="569"/>
      <c r="V357" s="567"/>
      <c r="W357" s="568"/>
      <c r="X357" s="568"/>
      <c r="Y357" s="567"/>
    </row>
    <row r="358" spans="1:25" x14ac:dyDescent="0.25">
      <c r="A358" s="570"/>
      <c r="B358" s="570"/>
      <c r="C358" s="570"/>
      <c r="D358" s="567"/>
      <c r="E358" s="567"/>
      <c r="F358" s="567"/>
      <c r="G358" s="570"/>
      <c r="H358" s="570"/>
      <c r="I358" s="567"/>
      <c r="J358" s="567"/>
      <c r="K358" s="567"/>
      <c r="L358" s="568"/>
      <c r="M358" s="568"/>
      <c r="N358" s="567"/>
      <c r="O358" s="567"/>
      <c r="P358" s="567"/>
      <c r="Q358" s="567"/>
      <c r="R358" s="570"/>
      <c r="S358" s="570"/>
      <c r="T358" s="567"/>
      <c r="U358" s="569"/>
      <c r="V358" s="567"/>
      <c r="W358" s="568"/>
      <c r="X358" s="568"/>
      <c r="Y358" s="567"/>
    </row>
    <row r="359" spans="1:25" x14ac:dyDescent="0.25">
      <c r="A359" s="570"/>
      <c r="B359" s="570"/>
      <c r="C359" s="570"/>
      <c r="D359" s="567"/>
      <c r="E359" s="567"/>
      <c r="F359" s="567"/>
      <c r="G359" s="570"/>
      <c r="H359" s="570"/>
      <c r="I359" s="567"/>
      <c r="J359" s="567"/>
      <c r="K359" s="567"/>
      <c r="L359" s="568"/>
      <c r="M359" s="568"/>
      <c r="N359" s="567"/>
      <c r="O359" s="567"/>
      <c r="P359" s="567"/>
      <c r="Q359" s="567"/>
      <c r="R359" s="570"/>
      <c r="S359" s="570"/>
      <c r="T359" s="567"/>
      <c r="U359" s="569"/>
      <c r="V359" s="567"/>
      <c r="W359" s="568"/>
      <c r="X359" s="568"/>
      <c r="Y359" s="567"/>
    </row>
    <row r="360" spans="1:25" x14ac:dyDescent="0.25">
      <c r="A360" s="570"/>
      <c r="B360" s="570"/>
      <c r="C360" s="570"/>
      <c r="D360" s="567"/>
      <c r="E360" s="567"/>
      <c r="F360" s="567"/>
      <c r="G360" s="570"/>
      <c r="H360" s="570"/>
      <c r="I360" s="567"/>
      <c r="J360" s="567"/>
      <c r="K360" s="567"/>
      <c r="L360" s="568"/>
      <c r="M360" s="568"/>
      <c r="N360" s="567"/>
      <c r="O360" s="567"/>
      <c r="P360" s="567"/>
      <c r="Q360" s="567"/>
      <c r="R360" s="570"/>
      <c r="S360" s="570"/>
      <c r="T360" s="567"/>
      <c r="U360" s="569"/>
      <c r="V360" s="567"/>
      <c r="W360" s="568"/>
      <c r="X360" s="568"/>
      <c r="Y360" s="567"/>
    </row>
    <row r="361" spans="1:25" x14ac:dyDescent="0.25">
      <c r="A361" s="570"/>
      <c r="B361" s="570"/>
      <c r="C361" s="570"/>
      <c r="D361" s="567"/>
      <c r="E361" s="567"/>
      <c r="F361" s="567"/>
      <c r="G361" s="570"/>
      <c r="H361" s="570"/>
      <c r="I361" s="567"/>
      <c r="J361" s="567"/>
      <c r="K361" s="567"/>
      <c r="L361" s="568"/>
      <c r="M361" s="568"/>
      <c r="N361" s="567"/>
      <c r="O361" s="567"/>
      <c r="P361" s="567"/>
      <c r="Q361" s="567"/>
      <c r="R361" s="570"/>
      <c r="S361" s="570"/>
      <c r="T361" s="567"/>
      <c r="U361" s="569"/>
      <c r="V361" s="567"/>
      <c r="W361" s="568"/>
      <c r="X361" s="568"/>
      <c r="Y361" s="567"/>
    </row>
    <row r="362" spans="1:25" x14ac:dyDescent="0.25">
      <c r="A362" s="570"/>
      <c r="B362" s="570"/>
      <c r="C362" s="570"/>
      <c r="D362" s="567"/>
      <c r="E362" s="567"/>
      <c r="F362" s="567"/>
      <c r="G362" s="570"/>
      <c r="H362" s="570"/>
      <c r="I362" s="567"/>
      <c r="J362" s="567"/>
      <c r="K362" s="567"/>
      <c r="L362" s="568"/>
      <c r="M362" s="568"/>
      <c r="N362" s="567"/>
      <c r="O362" s="567"/>
      <c r="P362" s="567"/>
      <c r="Q362" s="567"/>
      <c r="R362" s="570"/>
      <c r="S362" s="570"/>
      <c r="T362" s="567"/>
      <c r="U362" s="569"/>
      <c r="V362" s="567"/>
      <c r="W362" s="568"/>
      <c r="X362" s="568"/>
      <c r="Y362" s="567"/>
    </row>
    <row r="363" spans="1:25" x14ac:dyDescent="0.25">
      <c r="A363" s="570"/>
      <c r="B363" s="570"/>
      <c r="C363" s="570"/>
      <c r="D363" s="567"/>
      <c r="E363" s="567"/>
      <c r="F363" s="567"/>
      <c r="G363" s="570"/>
      <c r="H363" s="570"/>
      <c r="I363" s="567"/>
      <c r="J363" s="567"/>
      <c r="K363" s="567"/>
      <c r="L363" s="568"/>
      <c r="M363" s="568"/>
      <c r="N363" s="567"/>
      <c r="O363" s="567"/>
      <c r="P363" s="567"/>
      <c r="Q363" s="567"/>
      <c r="R363" s="570"/>
      <c r="S363" s="570"/>
      <c r="T363" s="567"/>
      <c r="U363" s="569"/>
      <c r="V363" s="567"/>
      <c r="W363" s="568"/>
      <c r="X363" s="568"/>
      <c r="Y363" s="567"/>
    </row>
    <row r="364" spans="1:25" x14ac:dyDescent="0.25">
      <c r="A364" s="570"/>
      <c r="B364" s="570"/>
      <c r="C364" s="570"/>
      <c r="D364" s="567"/>
      <c r="E364" s="567"/>
      <c r="F364" s="567"/>
      <c r="G364" s="570"/>
      <c r="H364" s="570"/>
      <c r="I364" s="567"/>
      <c r="J364" s="567"/>
      <c r="K364" s="567"/>
      <c r="L364" s="568"/>
      <c r="M364" s="568"/>
      <c r="N364" s="567"/>
      <c r="O364" s="567"/>
      <c r="P364" s="567"/>
      <c r="Q364" s="567"/>
      <c r="R364" s="570"/>
      <c r="S364" s="570"/>
      <c r="T364" s="567"/>
      <c r="U364" s="569"/>
      <c r="V364" s="567"/>
      <c r="W364" s="568"/>
      <c r="X364" s="568"/>
      <c r="Y364" s="567"/>
    </row>
    <row r="365" spans="1:25" x14ac:dyDescent="0.25">
      <c r="A365" s="570"/>
      <c r="B365" s="570"/>
      <c r="C365" s="570"/>
      <c r="D365" s="567"/>
      <c r="E365" s="567"/>
      <c r="F365" s="567"/>
      <c r="G365" s="570"/>
      <c r="H365" s="570"/>
      <c r="I365" s="567"/>
      <c r="J365" s="567"/>
      <c r="K365" s="567"/>
      <c r="L365" s="568"/>
      <c r="M365" s="568"/>
      <c r="N365" s="567"/>
      <c r="O365" s="567"/>
      <c r="P365" s="567"/>
      <c r="Q365" s="567"/>
      <c r="R365" s="570"/>
      <c r="S365" s="570"/>
      <c r="T365" s="567"/>
      <c r="U365" s="569"/>
      <c r="V365" s="567"/>
      <c r="W365" s="568"/>
      <c r="X365" s="568"/>
      <c r="Y365" s="567"/>
    </row>
    <row r="366" spans="1:25" x14ac:dyDescent="0.25">
      <c r="A366" s="570"/>
      <c r="B366" s="570"/>
      <c r="C366" s="570"/>
      <c r="D366" s="567"/>
      <c r="E366" s="567"/>
      <c r="F366" s="567"/>
      <c r="G366" s="570"/>
      <c r="H366" s="570"/>
      <c r="I366" s="567"/>
      <c r="J366" s="567"/>
      <c r="K366" s="567"/>
      <c r="L366" s="568"/>
      <c r="M366" s="568"/>
      <c r="N366" s="567"/>
      <c r="O366" s="567"/>
      <c r="P366" s="567"/>
      <c r="Q366" s="567"/>
      <c r="R366" s="570"/>
      <c r="S366" s="570"/>
      <c r="T366" s="567"/>
      <c r="U366" s="569"/>
      <c r="V366" s="567"/>
      <c r="W366" s="568"/>
      <c r="X366" s="568"/>
      <c r="Y366" s="567"/>
    </row>
    <row r="367" spans="1:25" x14ac:dyDescent="0.25">
      <c r="A367" s="570"/>
      <c r="B367" s="570"/>
      <c r="C367" s="570"/>
      <c r="D367" s="567"/>
      <c r="E367" s="567"/>
      <c r="F367" s="567"/>
      <c r="G367" s="570"/>
      <c r="H367" s="570"/>
      <c r="I367" s="567"/>
      <c r="J367" s="567"/>
      <c r="K367" s="567"/>
      <c r="L367" s="568"/>
      <c r="M367" s="568"/>
      <c r="N367" s="567"/>
      <c r="O367" s="567"/>
      <c r="P367" s="567"/>
      <c r="Q367" s="567"/>
      <c r="R367" s="570"/>
      <c r="S367" s="570"/>
      <c r="T367" s="567"/>
      <c r="U367" s="569"/>
      <c r="V367" s="567"/>
      <c r="W367" s="568"/>
      <c r="X367" s="568"/>
      <c r="Y367" s="567"/>
    </row>
    <row r="368" spans="1:25" x14ac:dyDescent="0.25">
      <c r="A368" s="570"/>
      <c r="B368" s="570"/>
      <c r="C368" s="570"/>
      <c r="D368" s="567"/>
      <c r="E368" s="567"/>
      <c r="F368" s="567"/>
      <c r="G368" s="570"/>
      <c r="H368" s="570"/>
      <c r="I368" s="567"/>
      <c r="J368" s="567"/>
      <c r="K368" s="567"/>
      <c r="L368" s="568"/>
      <c r="M368" s="568"/>
      <c r="N368" s="567"/>
      <c r="O368" s="567"/>
      <c r="P368" s="567"/>
      <c r="Q368" s="567"/>
      <c r="R368" s="570"/>
      <c r="S368" s="570"/>
      <c r="T368" s="567"/>
      <c r="U368" s="569"/>
      <c r="V368" s="567"/>
      <c r="W368" s="568"/>
      <c r="X368" s="568"/>
      <c r="Y368" s="567"/>
    </row>
    <row r="369" spans="1:25" x14ac:dyDescent="0.25">
      <c r="A369" s="570"/>
      <c r="B369" s="570"/>
      <c r="C369" s="570"/>
      <c r="D369" s="567"/>
      <c r="E369" s="567"/>
      <c r="F369" s="567"/>
      <c r="G369" s="570"/>
      <c r="H369" s="570"/>
      <c r="I369" s="567"/>
      <c r="J369" s="567"/>
      <c r="K369" s="567"/>
      <c r="L369" s="568"/>
      <c r="M369" s="568"/>
      <c r="N369" s="567"/>
      <c r="O369" s="567"/>
      <c r="P369" s="567"/>
      <c r="Q369" s="567"/>
      <c r="R369" s="570"/>
      <c r="S369" s="570"/>
      <c r="T369" s="567"/>
      <c r="U369" s="569"/>
      <c r="V369" s="567"/>
      <c r="W369" s="568"/>
      <c r="X369" s="568"/>
      <c r="Y369" s="567"/>
    </row>
    <row r="370" spans="1:25" x14ac:dyDescent="0.25">
      <c r="A370" s="570"/>
      <c r="B370" s="570"/>
      <c r="C370" s="570"/>
      <c r="D370" s="567"/>
      <c r="E370" s="567"/>
      <c r="F370" s="567"/>
      <c r="G370" s="570"/>
      <c r="H370" s="570"/>
      <c r="I370" s="567"/>
      <c r="J370" s="567"/>
      <c r="K370" s="567"/>
      <c r="L370" s="568"/>
      <c r="M370" s="568"/>
      <c r="N370" s="567"/>
      <c r="O370" s="567"/>
      <c r="P370" s="567"/>
      <c r="Q370" s="567"/>
      <c r="R370" s="570"/>
      <c r="S370" s="570"/>
      <c r="T370" s="567"/>
      <c r="U370" s="569"/>
      <c r="V370" s="567"/>
      <c r="W370" s="568"/>
      <c r="X370" s="568"/>
      <c r="Y370" s="567"/>
    </row>
    <row r="371" spans="1:25" x14ac:dyDescent="0.25">
      <c r="A371" s="570"/>
      <c r="B371" s="570"/>
      <c r="C371" s="570"/>
      <c r="D371" s="567"/>
      <c r="E371" s="567"/>
      <c r="F371" s="567"/>
      <c r="G371" s="570"/>
      <c r="H371" s="570"/>
      <c r="I371" s="567"/>
      <c r="J371" s="567"/>
      <c r="K371" s="567"/>
      <c r="L371" s="568"/>
      <c r="M371" s="568"/>
      <c r="N371" s="567"/>
      <c r="O371" s="567"/>
      <c r="P371" s="567"/>
      <c r="Q371" s="567"/>
      <c r="R371" s="570"/>
      <c r="S371" s="570"/>
      <c r="T371" s="567"/>
      <c r="U371" s="569"/>
      <c r="V371" s="567"/>
      <c r="W371" s="568"/>
      <c r="X371" s="568"/>
      <c r="Y371" s="567"/>
    </row>
    <row r="372" spans="1:25" x14ac:dyDescent="0.25">
      <c r="A372" s="570"/>
      <c r="B372" s="570"/>
      <c r="C372" s="570"/>
      <c r="D372" s="567"/>
      <c r="E372" s="567"/>
      <c r="F372" s="567"/>
      <c r="G372" s="570"/>
      <c r="H372" s="570"/>
      <c r="I372" s="567"/>
      <c r="J372" s="567"/>
      <c r="K372" s="567"/>
      <c r="L372" s="568"/>
      <c r="M372" s="568"/>
      <c r="N372" s="567"/>
      <c r="O372" s="567"/>
      <c r="P372" s="567"/>
      <c r="Q372" s="567"/>
      <c r="R372" s="570"/>
      <c r="S372" s="570"/>
      <c r="T372" s="567"/>
      <c r="U372" s="569"/>
      <c r="V372" s="567"/>
      <c r="W372" s="568"/>
      <c r="X372" s="568"/>
      <c r="Y372" s="567"/>
    </row>
    <row r="373" spans="1:25" x14ac:dyDescent="0.25">
      <c r="A373" s="570"/>
      <c r="B373" s="570"/>
      <c r="C373" s="570"/>
      <c r="D373" s="567"/>
      <c r="E373" s="567"/>
      <c r="F373" s="567"/>
      <c r="G373" s="570"/>
      <c r="H373" s="570"/>
      <c r="I373" s="567"/>
      <c r="J373" s="567"/>
      <c r="K373" s="567"/>
      <c r="L373" s="568"/>
      <c r="M373" s="568"/>
      <c r="N373" s="567"/>
      <c r="O373" s="567"/>
      <c r="P373" s="567"/>
      <c r="Q373" s="567"/>
      <c r="R373" s="570"/>
      <c r="S373" s="570"/>
      <c r="T373" s="567"/>
      <c r="U373" s="569"/>
      <c r="V373" s="567"/>
      <c r="W373" s="568"/>
      <c r="X373" s="568"/>
      <c r="Y373" s="567"/>
    </row>
    <row r="374" spans="1:25" x14ac:dyDescent="0.25">
      <c r="A374" s="570"/>
      <c r="B374" s="570"/>
      <c r="C374" s="570"/>
      <c r="D374" s="567"/>
      <c r="E374" s="567"/>
      <c r="F374" s="567"/>
      <c r="G374" s="570"/>
      <c r="H374" s="570"/>
      <c r="I374" s="567"/>
      <c r="J374" s="567"/>
      <c r="K374" s="567"/>
      <c r="L374" s="568"/>
      <c r="M374" s="568"/>
      <c r="N374" s="567"/>
      <c r="O374" s="567"/>
      <c r="P374" s="567"/>
      <c r="Q374" s="567"/>
      <c r="R374" s="570"/>
      <c r="S374" s="570"/>
      <c r="T374" s="567"/>
      <c r="U374" s="569"/>
      <c r="V374" s="567"/>
      <c r="W374" s="568"/>
      <c r="X374" s="568"/>
      <c r="Y374" s="567"/>
    </row>
    <row r="375" spans="1:25" x14ac:dyDescent="0.25">
      <c r="A375" s="570"/>
      <c r="B375" s="570"/>
      <c r="C375" s="570"/>
      <c r="D375" s="567"/>
      <c r="E375" s="567"/>
      <c r="F375" s="567"/>
      <c r="G375" s="570"/>
      <c r="H375" s="570"/>
      <c r="I375" s="567"/>
      <c r="J375" s="567"/>
      <c r="K375" s="567"/>
      <c r="L375" s="568"/>
      <c r="M375" s="568"/>
      <c r="N375" s="567"/>
      <c r="O375" s="567"/>
      <c r="P375" s="567"/>
      <c r="Q375" s="567"/>
      <c r="R375" s="570"/>
      <c r="S375" s="570"/>
      <c r="T375" s="567"/>
      <c r="U375" s="569"/>
      <c r="V375" s="567"/>
      <c r="W375" s="568"/>
      <c r="X375" s="568"/>
      <c r="Y375" s="567"/>
    </row>
    <row r="376" spans="1:25" x14ac:dyDescent="0.25">
      <c r="A376" s="570"/>
      <c r="B376" s="570"/>
      <c r="C376" s="570"/>
      <c r="D376" s="567"/>
      <c r="E376" s="567"/>
      <c r="F376" s="567"/>
      <c r="G376" s="570"/>
      <c r="H376" s="570"/>
      <c r="I376" s="567"/>
      <c r="J376" s="567"/>
      <c r="K376" s="567"/>
      <c r="L376" s="568"/>
      <c r="M376" s="568"/>
      <c r="N376" s="567"/>
      <c r="O376" s="567"/>
      <c r="P376" s="567"/>
      <c r="Q376" s="567"/>
      <c r="R376" s="570"/>
      <c r="S376" s="570"/>
      <c r="T376" s="567"/>
      <c r="U376" s="569"/>
      <c r="V376" s="567"/>
      <c r="W376" s="568"/>
      <c r="X376" s="568"/>
      <c r="Y376" s="567"/>
    </row>
    <row r="377" spans="1:25" x14ac:dyDescent="0.25">
      <c r="A377" s="570"/>
      <c r="B377" s="570"/>
      <c r="C377" s="570"/>
      <c r="D377" s="567"/>
      <c r="E377" s="567"/>
      <c r="F377" s="567"/>
      <c r="G377" s="570"/>
      <c r="H377" s="570"/>
      <c r="I377" s="567"/>
      <c r="J377" s="567"/>
      <c r="K377" s="567"/>
      <c r="L377" s="568"/>
      <c r="M377" s="568"/>
      <c r="N377" s="567"/>
      <c r="O377" s="567"/>
      <c r="P377" s="567"/>
      <c r="Q377" s="567"/>
      <c r="R377" s="570"/>
      <c r="S377" s="570"/>
      <c r="T377" s="567"/>
      <c r="U377" s="569"/>
      <c r="V377" s="567"/>
      <c r="W377" s="568"/>
      <c r="X377" s="568"/>
      <c r="Y377" s="567"/>
    </row>
    <row r="378" spans="1:25" x14ac:dyDescent="0.25">
      <c r="A378" s="570"/>
      <c r="B378" s="570"/>
      <c r="C378" s="570"/>
      <c r="D378" s="567"/>
      <c r="E378" s="567"/>
      <c r="F378" s="567"/>
      <c r="G378" s="570"/>
      <c r="H378" s="570"/>
      <c r="I378" s="567"/>
      <c r="J378" s="567"/>
      <c r="K378" s="567"/>
      <c r="L378" s="568"/>
      <c r="M378" s="568"/>
      <c r="N378" s="567"/>
      <c r="O378" s="567"/>
      <c r="P378" s="567"/>
      <c r="Q378" s="567"/>
      <c r="R378" s="570"/>
      <c r="S378" s="570"/>
      <c r="T378" s="567"/>
      <c r="U378" s="569"/>
      <c r="V378" s="567"/>
      <c r="W378" s="568"/>
      <c r="X378" s="568"/>
      <c r="Y378" s="567"/>
    </row>
    <row r="379" spans="1:25" x14ac:dyDescent="0.25">
      <c r="A379" s="570"/>
      <c r="B379" s="570"/>
      <c r="C379" s="570"/>
      <c r="D379" s="567"/>
      <c r="E379" s="567"/>
      <c r="F379" s="567"/>
      <c r="G379" s="570"/>
      <c r="H379" s="570"/>
      <c r="I379" s="567"/>
      <c r="J379" s="567"/>
      <c r="K379" s="567"/>
      <c r="L379" s="568"/>
      <c r="M379" s="568"/>
      <c r="N379" s="567"/>
      <c r="O379" s="567"/>
      <c r="P379" s="567"/>
      <c r="Q379" s="567"/>
      <c r="R379" s="570"/>
      <c r="S379" s="570"/>
      <c r="T379" s="567"/>
      <c r="U379" s="569"/>
      <c r="V379" s="567"/>
      <c r="W379" s="568"/>
      <c r="X379" s="568"/>
      <c r="Y379" s="567"/>
    </row>
    <row r="380" spans="1:25" x14ac:dyDescent="0.25">
      <c r="A380" s="570"/>
      <c r="B380" s="570"/>
      <c r="C380" s="570"/>
      <c r="D380" s="567"/>
      <c r="E380" s="567"/>
      <c r="F380" s="567"/>
      <c r="G380" s="570"/>
      <c r="H380" s="570"/>
      <c r="I380" s="567"/>
      <c r="J380" s="567"/>
      <c r="K380" s="567"/>
      <c r="L380" s="568"/>
      <c r="M380" s="568"/>
      <c r="N380" s="567"/>
      <c r="O380" s="567"/>
      <c r="P380" s="567"/>
      <c r="Q380" s="567"/>
      <c r="R380" s="570"/>
      <c r="S380" s="570"/>
      <c r="T380" s="567"/>
      <c r="U380" s="569"/>
      <c r="V380" s="567"/>
      <c r="W380" s="568"/>
      <c r="X380" s="568"/>
      <c r="Y380" s="567"/>
    </row>
    <row r="381" spans="1:25" x14ac:dyDescent="0.25">
      <c r="A381" s="570"/>
      <c r="B381" s="570"/>
      <c r="C381" s="570"/>
      <c r="D381" s="567"/>
      <c r="E381" s="567"/>
      <c r="F381" s="567"/>
      <c r="G381" s="570"/>
      <c r="H381" s="570"/>
      <c r="I381" s="567"/>
      <c r="J381" s="567"/>
      <c r="K381" s="567"/>
      <c r="L381" s="568"/>
      <c r="M381" s="568"/>
      <c r="N381" s="567"/>
      <c r="O381" s="567"/>
      <c r="P381" s="567"/>
      <c r="Q381" s="567"/>
      <c r="R381" s="570"/>
      <c r="S381" s="570"/>
      <c r="T381" s="567"/>
      <c r="U381" s="569"/>
      <c r="V381" s="567"/>
      <c r="W381" s="568"/>
      <c r="X381" s="568"/>
      <c r="Y381" s="567"/>
    </row>
    <row r="382" spans="1:25" x14ac:dyDescent="0.25">
      <c r="A382" s="570"/>
      <c r="B382" s="570"/>
      <c r="C382" s="570"/>
      <c r="D382" s="567"/>
      <c r="E382" s="567"/>
      <c r="F382" s="567"/>
      <c r="G382" s="570"/>
      <c r="H382" s="570"/>
      <c r="I382" s="567"/>
      <c r="J382" s="567"/>
      <c r="K382" s="567"/>
      <c r="L382" s="568"/>
      <c r="M382" s="568"/>
      <c r="N382" s="567"/>
      <c r="O382" s="567"/>
      <c r="P382" s="567"/>
      <c r="Q382" s="567"/>
      <c r="R382" s="570"/>
      <c r="S382" s="570"/>
      <c r="T382" s="567"/>
      <c r="U382" s="569"/>
      <c r="V382" s="567"/>
      <c r="W382" s="568"/>
      <c r="X382" s="568"/>
      <c r="Y382" s="567"/>
    </row>
    <row r="383" spans="1:25" x14ac:dyDescent="0.25">
      <c r="A383" s="570"/>
      <c r="B383" s="570"/>
      <c r="C383" s="570"/>
      <c r="D383" s="567"/>
      <c r="E383" s="567"/>
      <c r="F383" s="567"/>
      <c r="G383" s="570"/>
      <c r="H383" s="570"/>
      <c r="I383" s="567"/>
      <c r="J383" s="567"/>
      <c r="K383" s="567"/>
      <c r="L383" s="568"/>
      <c r="M383" s="568"/>
      <c r="N383" s="567"/>
      <c r="O383" s="567"/>
      <c r="P383" s="567"/>
      <c r="Q383" s="567"/>
      <c r="R383" s="570"/>
      <c r="S383" s="570"/>
      <c r="T383" s="567"/>
      <c r="U383" s="569"/>
      <c r="V383" s="567"/>
      <c r="W383" s="568"/>
      <c r="X383" s="568"/>
      <c r="Y383" s="567"/>
    </row>
    <row r="384" spans="1:25" x14ac:dyDescent="0.25">
      <c r="A384" s="570"/>
      <c r="B384" s="570"/>
      <c r="C384" s="570"/>
      <c r="D384" s="567"/>
      <c r="E384" s="567"/>
      <c r="F384" s="567"/>
      <c r="G384" s="570"/>
      <c r="H384" s="570"/>
      <c r="I384" s="567"/>
      <c r="J384" s="567"/>
      <c r="K384" s="567"/>
      <c r="L384" s="568"/>
      <c r="M384" s="568"/>
      <c r="N384" s="567"/>
      <c r="O384" s="567"/>
      <c r="P384" s="567"/>
      <c r="Q384" s="567"/>
      <c r="R384" s="570"/>
      <c r="S384" s="570"/>
      <c r="T384" s="567"/>
      <c r="U384" s="569"/>
      <c r="V384" s="567"/>
      <c r="W384" s="568"/>
      <c r="X384" s="568"/>
      <c r="Y384" s="567"/>
    </row>
    <row r="385" spans="1:25" x14ac:dyDescent="0.25">
      <c r="A385" s="570"/>
      <c r="B385" s="570"/>
      <c r="C385" s="570"/>
      <c r="D385" s="567"/>
      <c r="E385" s="567"/>
      <c r="F385" s="567"/>
      <c r="G385" s="570"/>
      <c r="H385" s="570"/>
      <c r="I385" s="567"/>
      <c r="J385" s="567"/>
      <c r="K385" s="567"/>
      <c r="L385" s="568"/>
      <c r="M385" s="568"/>
      <c r="N385" s="567"/>
      <c r="O385" s="567"/>
      <c r="P385" s="567"/>
      <c r="Q385" s="567"/>
      <c r="R385" s="570"/>
      <c r="S385" s="570"/>
      <c r="T385" s="567"/>
      <c r="U385" s="569"/>
      <c r="V385" s="567"/>
      <c r="W385" s="568"/>
      <c r="X385" s="568"/>
      <c r="Y385" s="567"/>
    </row>
    <row r="386" spans="1:25" x14ac:dyDescent="0.25">
      <c r="A386" s="570"/>
      <c r="B386" s="570"/>
      <c r="C386" s="570"/>
      <c r="D386" s="567"/>
      <c r="E386" s="567"/>
      <c r="F386" s="567"/>
      <c r="G386" s="570"/>
      <c r="H386" s="570"/>
      <c r="I386" s="567"/>
      <c r="J386" s="567"/>
      <c r="K386" s="567"/>
      <c r="L386" s="568"/>
      <c r="M386" s="568"/>
      <c r="N386" s="567"/>
      <c r="O386" s="567"/>
      <c r="P386" s="567"/>
      <c r="Q386" s="567"/>
      <c r="R386" s="570"/>
      <c r="S386" s="570"/>
      <c r="T386" s="567"/>
      <c r="U386" s="569"/>
      <c r="V386" s="567"/>
      <c r="W386" s="568"/>
      <c r="X386" s="568"/>
      <c r="Y386" s="567"/>
    </row>
    <row r="387" spans="1:25" x14ac:dyDescent="0.25">
      <c r="A387" s="570"/>
      <c r="B387" s="570"/>
      <c r="C387" s="570"/>
      <c r="D387" s="567"/>
      <c r="E387" s="567"/>
      <c r="F387" s="567"/>
      <c r="G387" s="570"/>
      <c r="H387" s="570"/>
      <c r="I387" s="567"/>
      <c r="J387" s="567"/>
      <c r="K387" s="567"/>
      <c r="L387" s="568"/>
      <c r="M387" s="568"/>
      <c r="N387" s="567"/>
      <c r="O387" s="567"/>
      <c r="P387" s="567"/>
      <c r="Q387" s="567"/>
      <c r="R387" s="570"/>
      <c r="S387" s="570"/>
      <c r="T387" s="567"/>
      <c r="U387" s="569"/>
      <c r="V387" s="567"/>
      <c r="W387" s="568"/>
      <c r="X387" s="568"/>
      <c r="Y387" s="567"/>
    </row>
    <row r="388" spans="1:25" x14ac:dyDescent="0.25">
      <c r="A388" s="570"/>
      <c r="B388" s="570"/>
      <c r="C388" s="570"/>
      <c r="D388" s="567"/>
      <c r="E388" s="567"/>
      <c r="F388" s="567"/>
      <c r="G388" s="570"/>
      <c r="H388" s="570"/>
      <c r="I388" s="567"/>
      <c r="J388" s="567"/>
      <c r="K388" s="567"/>
      <c r="L388" s="568"/>
      <c r="M388" s="568"/>
      <c r="N388" s="567"/>
      <c r="O388" s="567"/>
      <c r="P388" s="567"/>
      <c r="Q388" s="567"/>
      <c r="R388" s="570"/>
      <c r="S388" s="570"/>
      <c r="T388" s="567"/>
      <c r="U388" s="569"/>
      <c r="V388" s="567"/>
      <c r="W388" s="568"/>
      <c r="X388" s="568"/>
      <c r="Y388" s="567"/>
    </row>
    <row r="389" spans="1:25" x14ac:dyDescent="0.25">
      <c r="A389" s="570"/>
      <c r="B389" s="570"/>
      <c r="C389" s="570"/>
      <c r="D389" s="567"/>
      <c r="E389" s="567"/>
      <c r="F389" s="567"/>
      <c r="G389" s="570"/>
      <c r="H389" s="570"/>
      <c r="I389" s="567"/>
      <c r="J389" s="567"/>
      <c r="K389" s="567"/>
      <c r="L389" s="568"/>
      <c r="M389" s="568"/>
      <c r="N389" s="567"/>
      <c r="O389" s="567"/>
      <c r="P389" s="567"/>
      <c r="Q389" s="567"/>
      <c r="R389" s="570"/>
      <c r="S389" s="570"/>
      <c r="T389" s="567"/>
      <c r="U389" s="569"/>
      <c r="V389" s="567"/>
      <c r="W389" s="568"/>
      <c r="X389" s="568"/>
      <c r="Y389" s="567"/>
    </row>
    <row r="390" spans="1:25" x14ac:dyDescent="0.25">
      <c r="A390" s="570"/>
      <c r="B390" s="570"/>
      <c r="C390" s="570"/>
      <c r="D390" s="567"/>
      <c r="E390" s="567"/>
      <c r="F390" s="567"/>
      <c r="G390" s="570"/>
      <c r="H390" s="570"/>
      <c r="I390" s="567"/>
      <c r="J390" s="567"/>
      <c r="K390" s="567"/>
      <c r="L390" s="568"/>
      <c r="M390" s="568"/>
      <c r="N390" s="567"/>
      <c r="O390" s="567"/>
      <c r="P390" s="567"/>
      <c r="Q390" s="567"/>
      <c r="R390" s="570"/>
      <c r="S390" s="570"/>
      <c r="T390" s="567"/>
      <c r="U390" s="569"/>
      <c r="V390" s="567"/>
      <c r="W390" s="568"/>
      <c r="X390" s="568"/>
      <c r="Y390" s="567"/>
    </row>
    <row r="391" spans="1:25" x14ac:dyDescent="0.25">
      <c r="A391" s="570"/>
      <c r="B391" s="570"/>
      <c r="C391" s="570"/>
      <c r="D391" s="567"/>
      <c r="E391" s="567"/>
      <c r="F391" s="567"/>
      <c r="G391" s="570"/>
      <c r="H391" s="570"/>
      <c r="I391" s="567"/>
      <c r="J391" s="567"/>
      <c r="K391" s="567"/>
      <c r="L391" s="568"/>
      <c r="M391" s="568"/>
      <c r="N391" s="567"/>
      <c r="O391" s="567"/>
      <c r="P391" s="567"/>
      <c r="Q391" s="567"/>
      <c r="R391" s="570"/>
      <c r="S391" s="570"/>
      <c r="T391" s="567"/>
      <c r="U391" s="569"/>
      <c r="V391" s="567"/>
      <c r="W391" s="568"/>
      <c r="X391" s="568"/>
      <c r="Y391" s="567"/>
    </row>
    <row r="392" spans="1:25" x14ac:dyDescent="0.25">
      <c r="A392" s="570"/>
      <c r="B392" s="570"/>
      <c r="C392" s="570"/>
      <c r="D392" s="567"/>
      <c r="E392" s="567"/>
      <c r="F392" s="567"/>
      <c r="G392" s="570"/>
      <c r="H392" s="570"/>
      <c r="I392" s="567"/>
      <c r="J392" s="567"/>
      <c r="K392" s="567"/>
      <c r="L392" s="568"/>
      <c r="M392" s="568"/>
      <c r="N392" s="567"/>
      <c r="O392" s="567"/>
      <c r="P392" s="567"/>
      <c r="Q392" s="567"/>
      <c r="R392" s="570"/>
      <c r="S392" s="570"/>
      <c r="T392" s="567"/>
      <c r="U392" s="569"/>
      <c r="V392" s="567"/>
      <c r="W392" s="568"/>
      <c r="X392" s="568"/>
      <c r="Y392" s="567"/>
    </row>
    <row r="393" spans="1:25" x14ac:dyDescent="0.25">
      <c r="A393" s="570"/>
      <c r="B393" s="570"/>
      <c r="C393" s="570"/>
      <c r="D393" s="567"/>
      <c r="E393" s="567"/>
      <c r="F393" s="567"/>
      <c r="G393" s="570"/>
      <c r="H393" s="570"/>
      <c r="I393" s="567"/>
      <c r="J393" s="567"/>
      <c r="K393" s="567"/>
      <c r="L393" s="568"/>
      <c r="M393" s="568"/>
      <c r="N393" s="567"/>
      <c r="O393" s="567"/>
      <c r="P393" s="567"/>
      <c r="Q393" s="567"/>
      <c r="R393" s="570"/>
      <c r="S393" s="570"/>
      <c r="T393" s="567"/>
      <c r="U393" s="569"/>
      <c r="V393" s="567"/>
      <c r="W393" s="568"/>
      <c r="X393" s="568"/>
      <c r="Y393" s="567"/>
    </row>
    <row r="394" spans="1:25" x14ac:dyDescent="0.25">
      <c r="A394" s="570"/>
      <c r="B394" s="570"/>
      <c r="C394" s="570"/>
      <c r="D394" s="567"/>
      <c r="E394" s="567"/>
      <c r="F394" s="567"/>
      <c r="G394" s="570"/>
      <c r="H394" s="570"/>
      <c r="I394" s="567"/>
      <c r="J394" s="567"/>
      <c r="K394" s="567"/>
      <c r="L394" s="568"/>
      <c r="M394" s="568"/>
      <c r="N394" s="567"/>
      <c r="O394" s="567"/>
      <c r="P394" s="567"/>
      <c r="Q394" s="567"/>
      <c r="R394" s="570"/>
      <c r="S394" s="570"/>
      <c r="T394" s="567"/>
      <c r="U394" s="569"/>
      <c r="V394" s="567"/>
      <c r="W394" s="568"/>
      <c r="X394" s="568"/>
      <c r="Y394" s="567"/>
    </row>
    <row r="395" spans="1:25" x14ac:dyDescent="0.25">
      <c r="A395" s="570"/>
      <c r="B395" s="570"/>
      <c r="C395" s="570"/>
      <c r="D395" s="567"/>
      <c r="E395" s="567"/>
      <c r="F395" s="567"/>
      <c r="G395" s="570"/>
      <c r="H395" s="570"/>
      <c r="I395" s="567"/>
      <c r="J395" s="567"/>
      <c r="K395" s="567"/>
      <c r="L395" s="568"/>
      <c r="M395" s="568"/>
      <c r="N395" s="567"/>
      <c r="O395" s="567"/>
      <c r="P395" s="567"/>
      <c r="Q395" s="567"/>
      <c r="R395" s="570"/>
      <c r="S395" s="570"/>
      <c r="T395" s="567"/>
      <c r="U395" s="569"/>
      <c r="V395" s="567"/>
      <c r="W395" s="568"/>
      <c r="X395" s="568"/>
      <c r="Y395" s="567"/>
    </row>
    <row r="396" spans="1:25" x14ac:dyDescent="0.25">
      <c r="A396" s="570"/>
      <c r="B396" s="570"/>
      <c r="C396" s="570"/>
      <c r="D396" s="567"/>
      <c r="E396" s="567"/>
      <c r="F396" s="567"/>
      <c r="G396" s="570"/>
      <c r="H396" s="570"/>
      <c r="I396" s="567"/>
      <c r="J396" s="567"/>
      <c r="K396" s="567"/>
      <c r="L396" s="568"/>
      <c r="M396" s="568"/>
      <c r="N396" s="567"/>
      <c r="O396" s="567"/>
      <c r="P396" s="567"/>
      <c r="Q396" s="567"/>
      <c r="R396" s="570"/>
      <c r="S396" s="570"/>
      <c r="T396" s="567"/>
      <c r="U396" s="569"/>
      <c r="V396" s="567"/>
      <c r="W396" s="568"/>
      <c r="X396" s="568"/>
      <c r="Y396" s="567"/>
    </row>
    <row r="397" spans="1:25" x14ac:dyDescent="0.25">
      <c r="A397" s="570"/>
      <c r="B397" s="570"/>
      <c r="C397" s="570"/>
      <c r="D397" s="567"/>
      <c r="E397" s="567"/>
      <c r="F397" s="567"/>
      <c r="G397" s="570"/>
      <c r="H397" s="570"/>
      <c r="I397" s="567"/>
      <c r="J397" s="567"/>
      <c r="K397" s="567"/>
      <c r="L397" s="568"/>
      <c r="M397" s="568"/>
      <c r="N397" s="567"/>
      <c r="O397" s="567"/>
      <c r="P397" s="567"/>
      <c r="Q397" s="567"/>
      <c r="R397" s="570"/>
      <c r="S397" s="570"/>
      <c r="T397" s="567"/>
      <c r="U397" s="569"/>
      <c r="V397" s="567"/>
      <c r="W397" s="568"/>
      <c r="X397" s="568"/>
      <c r="Y397" s="567"/>
    </row>
    <row r="398" spans="1:25" x14ac:dyDescent="0.25">
      <c r="A398" s="570"/>
      <c r="B398" s="570"/>
      <c r="C398" s="570"/>
      <c r="D398" s="567"/>
      <c r="E398" s="567"/>
      <c r="F398" s="567"/>
      <c r="G398" s="570"/>
      <c r="H398" s="570"/>
      <c r="I398" s="567"/>
      <c r="J398" s="567"/>
      <c r="K398" s="567"/>
      <c r="L398" s="568"/>
      <c r="M398" s="568"/>
      <c r="N398" s="567"/>
      <c r="O398" s="567"/>
      <c r="P398" s="567"/>
      <c r="Q398" s="567"/>
      <c r="R398" s="570"/>
      <c r="S398" s="570"/>
      <c r="T398" s="567"/>
      <c r="U398" s="569"/>
      <c r="V398" s="567"/>
      <c r="W398" s="568"/>
      <c r="X398" s="568"/>
      <c r="Y398" s="567"/>
    </row>
    <row r="399" spans="1:25" x14ac:dyDescent="0.25">
      <c r="A399" s="570"/>
      <c r="B399" s="570"/>
      <c r="C399" s="570"/>
      <c r="D399" s="567"/>
      <c r="E399" s="567"/>
      <c r="F399" s="567"/>
      <c r="G399" s="570"/>
      <c r="H399" s="570"/>
      <c r="I399" s="567"/>
      <c r="J399" s="567"/>
      <c r="K399" s="567"/>
      <c r="L399" s="568"/>
      <c r="M399" s="568"/>
      <c r="N399" s="567"/>
      <c r="O399" s="567"/>
      <c r="P399" s="567"/>
      <c r="Q399" s="567"/>
      <c r="R399" s="570"/>
      <c r="S399" s="570"/>
      <c r="T399" s="567"/>
      <c r="U399" s="569"/>
      <c r="V399" s="567"/>
      <c r="W399" s="568"/>
      <c r="X399" s="568"/>
      <c r="Y399" s="567"/>
    </row>
    <row r="400" spans="1:25" x14ac:dyDescent="0.25">
      <c r="A400" s="570"/>
      <c r="B400" s="570"/>
      <c r="C400" s="570"/>
      <c r="D400" s="567"/>
      <c r="E400" s="567"/>
      <c r="F400" s="567"/>
      <c r="G400" s="570"/>
      <c r="H400" s="570"/>
      <c r="I400" s="567"/>
      <c r="J400" s="567"/>
      <c r="K400" s="567"/>
      <c r="L400" s="568"/>
      <c r="M400" s="568"/>
      <c r="N400" s="567"/>
      <c r="O400" s="567"/>
      <c r="P400" s="567"/>
      <c r="Q400" s="567"/>
      <c r="R400" s="570"/>
      <c r="S400" s="570"/>
      <c r="T400" s="567"/>
      <c r="U400" s="569"/>
      <c r="V400" s="567"/>
      <c r="W400" s="568"/>
      <c r="X400" s="568"/>
      <c r="Y400" s="567"/>
    </row>
    <row r="401" spans="1:25" x14ac:dyDescent="0.25">
      <c r="A401" s="570"/>
      <c r="B401" s="570"/>
      <c r="C401" s="570"/>
      <c r="D401" s="567"/>
      <c r="E401" s="567"/>
      <c r="F401" s="567"/>
      <c r="G401" s="570"/>
      <c r="H401" s="570"/>
      <c r="I401" s="567"/>
      <c r="J401" s="567"/>
      <c r="K401" s="567"/>
      <c r="L401" s="568"/>
      <c r="M401" s="568"/>
      <c r="N401" s="567"/>
      <c r="O401" s="567"/>
      <c r="P401" s="567"/>
      <c r="Q401" s="567"/>
      <c r="R401" s="570"/>
      <c r="S401" s="570"/>
      <c r="T401" s="567"/>
      <c r="U401" s="569"/>
      <c r="V401" s="567"/>
      <c r="W401" s="568"/>
      <c r="X401" s="568"/>
      <c r="Y401" s="567"/>
    </row>
    <row r="402" spans="1:25" x14ac:dyDescent="0.25">
      <c r="A402" s="570"/>
      <c r="B402" s="570"/>
      <c r="C402" s="570"/>
      <c r="D402" s="567"/>
      <c r="E402" s="567"/>
      <c r="F402" s="567"/>
      <c r="G402" s="570"/>
      <c r="H402" s="570"/>
      <c r="I402" s="567"/>
      <c r="J402" s="567"/>
      <c r="K402" s="567"/>
      <c r="L402" s="568"/>
      <c r="M402" s="568"/>
      <c r="N402" s="567"/>
      <c r="O402" s="567"/>
      <c r="P402" s="567"/>
      <c r="Q402" s="567"/>
      <c r="R402" s="570"/>
      <c r="S402" s="570"/>
      <c r="T402" s="567"/>
      <c r="U402" s="569"/>
      <c r="V402" s="567"/>
      <c r="W402" s="568"/>
      <c r="X402" s="568"/>
      <c r="Y402" s="567"/>
    </row>
    <row r="403" spans="1:25" x14ac:dyDescent="0.25">
      <c r="A403" s="570"/>
      <c r="B403" s="570"/>
      <c r="C403" s="570"/>
      <c r="D403" s="567"/>
      <c r="E403" s="567"/>
      <c r="F403" s="567"/>
      <c r="G403" s="570"/>
      <c r="H403" s="570"/>
      <c r="I403" s="567"/>
      <c r="J403" s="567"/>
      <c r="K403" s="567"/>
      <c r="L403" s="568"/>
      <c r="M403" s="568"/>
      <c r="N403" s="567"/>
      <c r="O403" s="567"/>
      <c r="P403" s="567"/>
      <c r="Q403" s="567"/>
      <c r="R403" s="570"/>
      <c r="S403" s="570"/>
      <c r="T403" s="567"/>
      <c r="U403" s="569"/>
      <c r="V403" s="567"/>
      <c r="W403" s="568"/>
      <c r="X403" s="568"/>
      <c r="Y403" s="567"/>
    </row>
    <row r="404" spans="1:25" x14ac:dyDescent="0.25">
      <c r="A404" s="570"/>
      <c r="B404" s="570"/>
      <c r="C404" s="570"/>
      <c r="D404" s="567"/>
      <c r="E404" s="567"/>
      <c r="F404" s="567"/>
      <c r="G404" s="570"/>
      <c r="H404" s="570"/>
      <c r="I404" s="567"/>
      <c r="J404" s="567"/>
      <c r="K404" s="567"/>
      <c r="L404" s="568"/>
      <c r="M404" s="568"/>
      <c r="N404" s="567"/>
      <c r="O404" s="567"/>
      <c r="P404" s="567"/>
      <c r="Q404" s="567"/>
      <c r="R404" s="570"/>
      <c r="S404" s="570"/>
      <c r="T404" s="567"/>
      <c r="U404" s="569"/>
      <c r="V404" s="567"/>
      <c r="W404" s="568"/>
      <c r="X404" s="568"/>
      <c r="Y404" s="567"/>
    </row>
    <row r="405" spans="1:25" x14ac:dyDescent="0.25">
      <c r="A405" s="570"/>
      <c r="B405" s="570"/>
      <c r="C405" s="570"/>
      <c r="D405" s="567"/>
      <c r="E405" s="567"/>
      <c r="F405" s="567"/>
      <c r="G405" s="570"/>
      <c r="H405" s="570"/>
      <c r="I405" s="567"/>
      <c r="J405" s="567"/>
      <c r="K405" s="567"/>
      <c r="L405" s="568"/>
      <c r="M405" s="568"/>
      <c r="N405" s="567"/>
      <c r="O405" s="567"/>
      <c r="P405" s="567"/>
      <c r="Q405" s="567"/>
      <c r="R405" s="570"/>
      <c r="S405" s="570"/>
      <c r="T405" s="567"/>
      <c r="U405" s="569"/>
      <c r="V405" s="567"/>
      <c r="W405" s="568"/>
      <c r="X405" s="568"/>
      <c r="Y405" s="567"/>
    </row>
    <row r="406" spans="1:25" x14ac:dyDescent="0.25">
      <c r="A406" s="570"/>
      <c r="B406" s="570"/>
      <c r="C406" s="570"/>
      <c r="D406" s="567"/>
      <c r="E406" s="567"/>
      <c r="F406" s="567"/>
      <c r="G406" s="570"/>
      <c r="H406" s="570"/>
      <c r="I406" s="567"/>
      <c r="J406" s="567"/>
      <c r="K406" s="567"/>
      <c r="L406" s="568"/>
      <c r="M406" s="568"/>
      <c r="N406" s="567"/>
      <c r="O406" s="567"/>
      <c r="P406" s="567"/>
      <c r="Q406" s="567"/>
      <c r="R406" s="570"/>
      <c r="S406" s="570"/>
      <c r="T406" s="567"/>
      <c r="U406" s="569"/>
      <c r="V406" s="567"/>
      <c r="W406" s="568"/>
      <c r="X406" s="568"/>
      <c r="Y406" s="567"/>
    </row>
    <row r="407" spans="1:25" x14ac:dyDescent="0.25">
      <c r="A407" s="570"/>
      <c r="B407" s="570"/>
      <c r="C407" s="570"/>
      <c r="D407" s="567"/>
      <c r="E407" s="567"/>
      <c r="F407" s="567"/>
      <c r="G407" s="570"/>
      <c r="H407" s="570"/>
      <c r="I407" s="567"/>
      <c r="J407" s="567"/>
      <c r="K407" s="567"/>
      <c r="L407" s="568"/>
      <c r="M407" s="568"/>
      <c r="N407" s="567"/>
      <c r="O407" s="567"/>
      <c r="P407" s="567"/>
      <c r="Q407" s="567"/>
      <c r="R407" s="570"/>
      <c r="S407" s="570"/>
      <c r="T407" s="567"/>
      <c r="U407" s="569"/>
      <c r="V407" s="567"/>
      <c r="W407" s="568"/>
      <c r="X407" s="568"/>
      <c r="Y407" s="567"/>
    </row>
    <row r="408" spans="1:25" x14ac:dyDescent="0.25">
      <c r="A408" s="570"/>
      <c r="B408" s="570"/>
      <c r="C408" s="570"/>
      <c r="D408" s="567"/>
      <c r="E408" s="567"/>
      <c r="F408" s="567"/>
      <c r="G408" s="570"/>
      <c r="H408" s="570"/>
      <c r="I408" s="567"/>
      <c r="J408" s="567"/>
      <c r="K408" s="567"/>
      <c r="L408" s="568"/>
      <c r="M408" s="568"/>
      <c r="N408" s="567"/>
      <c r="O408" s="567"/>
      <c r="P408" s="567"/>
      <c r="Q408" s="567"/>
      <c r="R408" s="570"/>
      <c r="S408" s="570"/>
      <c r="T408" s="567"/>
      <c r="U408" s="569"/>
      <c r="V408" s="567"/>
      <c r="W408" s="568"/>
      <c r="X408" s="568"/>
      <c r="Y408" s="567"/>
    </row>
    <row r="409" spans="1:25" x14ac:dyDescent="0.25">
      <c r="A409" s="570"/>
      <c r="B409" s="570"/>
      <c r="C409" s="570"/>
      <c r="D409" s="567"/>
      <c r="E409" s="567"/>
      <c r="F409" s="567"/>
      <c r="G409" s="570"/>
      <c r="H409" s="570"/>
      <c r="I409" s="567"/>
      <c r="J409" s="567"/>
      <c r="K409" s="567"/>
      <c r="L409" s="568"/>
      <c r="M409" s="568"/>
      <c r="N409" s="567"/>
      <c r="O409" s="567"/>
      <c r="P409" s="567"/>
      <c r="Q409" s="567"/>
      <c r="R409" s="570"/>
      <c r="S409" s="570"/>
      <c r="T409" s="567"/>
      <c r="U409" s="569"/>
      <c r="V409" s="567"/>
      <c r="W409" s="568"/>
      <c r="X409" s="568"/>
      <c r="Y409" s="567"/>
    </row>
    <row r="410" spans="1:25" x14ac:dyDescent="0.25">
      <c r="A410" s="570"/>
      <c r="B410" s="570"/>
      <c r="C410" s="570"/>
      <c r="D410" s="567"/>
      <c r="E410" s="567"/>
      <c r="F410" s="567"/>
      <c r="G410" s="570"/>
      <c r="H410" s="570"/>
      <c r="I410" s="567"/>
      <c r="J410" s="567"/>
      <c r="K410" s="567"/>
      <c r="L410" s="568"/>
      <c r="M410" s="568"/>
      <c r="N410" s="567"/>
      <c r="O410" s="567"/>
      <c r="P410" s="567"/>
      <c r="Q410" s="567"/>
      <c r="R410" s="570"/>
      <c r="S410" s="570"/>
      <c r="T410" s="567"/>
      <c r="U410" s="569"/>
      <c r="V410" s="567"/>
      <c r="W410" s="568"/>
      <c r="X410" s="568"/>
      <c r="Y410" s="567"/>
    </row>
    <row r="411" spans="1:25" x14ac:dyDescent="0.25">
      <c r="A411" s="570"/>
      <c r="B411" s="570"/>
      <c r="C411" s="570"/>
      <c r="D411" s="567"/>
      <c r="E411" s="567"/>
      <c r="F411" s="567"/>
      <c r="G411" s="570"/>
      <c r="H411" s="570"/>
      <c r="I411" s="567"/>
      <c r="J411" s="567"/>
      <c r="K411" s="567"/>
      <c r="L411" s="568"/>
      <c r="M411" s="568"/>
      <c r="N411" s="567"/>
      <c r="O411" s="567"/>
      <c r="P411" s="567"/>
      <c r="Q411" s="567"/>
      <c r="R411" s="570"/>
      <c r="S411" s="570"/>
      <c r="T411" s="567"/>
      <c r="U411" s="569"/>
      <c r="V411" s="567"/>
      <c r="W411" s="568"/>
      <c r="X411" s="568"/>
      <c r="Y411" s="567"/>
    </row>
    <row r="412" spans="1:25" x14ac:dyDescent="0.25">
      <c r="A412" s="570"/>
      <c r="B412" s="570"/>
      <c r="C412" s="570"/>
      <c r="D412" s="567"/>
      <c r="E412" s="567"/>
      <c r="F412" s="567"/>
      <c r="G412" s="570"/>
      <c r="H412" s="570"/>
      <c r="I412" s="567"/>
      <c r="J412" s="567"/>
      <c r="K412" s="567"/>
      <c r="L412" s="568"/>
      <c r="M412" s="568"/>
      <c r="N412" s="567"/>
      <c r="O412" s="567"/>
      <c r="P412" s="567"/>
      <c r="Q412" s="567"/>
      <c r="R412" s="570"/>
      <c r="S412" s="570"/>
      <c r="T412" s="567"/>
      <c r="U412" s="569"/>
      <c r="V412" s="567"/>
      <c r="W412" s="568"/>
      <c r="X412" s="568"/>
      <c r="Y412" s="567"/>
    </row>
    <row r="413" spans="1:25" x14ac:dyDescent="0.25">
      <c r="A413" s="570"/>
      <c r="B413" s="570"/>
      <c r="C413" s="570"/>
      <c r="D413" s="567"/>
      <c r="E413" s="567"/>
      <c r="F413" s="567"/>
      <c r="G413" s="570"/>
      <c r="H413" s="570"/>
      <c r="I413" s="567"/>
      <c r="J413" s="567"/>
      <c r="K413" s="567"/>
      <c r="L413" s="568"/>
      <c r="M413" s="568"/>
      <c r="N413" s="567"/>
      <c r="O413" s="567"/>
      <c r="P413" s="567"/>
      <c r="Q413" s="567"/>
      <c r="R413" s="570"/>
      <c r="S413" s="570"/>
      <c r="T413" s="567"/>
      <c r="U413" s="569"/>
      <c r="V413" s="567"/>
      <c r="W413" s="568"/>
      <c r="X413" s="568"/>
      <c r="Y413" s="567"/>
    </row>
    <row r="414" spans="1:25" x14ac:dyDescent="0.25">
      <c r="A414" s="570"/>
      <c r="B414" s="570"/>
      <c r="C414" s="570"/>
      <c r="D414" s="567"/>
      <c r="E414" s="567"/>
      <c r="F414" s="567"/>
      <c r="G414" s="570"/>
      <c r="H414" s="570"/>
      <c r="I414" s="567"/>
      <c r="J414" s="567"/>
      <c r="K414" s="567"/>
      <c r="L414" s="568"/>
      <c r="M414" s="568"/>
      <c r="N414" s="567"/>
      <c r="O414" s="567"/>
      <c r="P414" s="567"/>
      <c r="Q414" s="567"/>
      <c r="R414" s="570"/>
      <c r="S414" s="570"/>
      <c r="T414" s="567"/>
      <c r="U414" s="569"/>
      <c r="V414" s="567"/>
      <c r="W414" s="568"/>
      <c r="X414" s="568"/>
      <c r="Y414" s="567"/>
    </row>
    <row r="415" spans="1:25" x14ac:dyDescent="0.25">
      <c r="A415" s="570"/>
      <c r="B415" s="570"/>
      <c r="C415" s="570"/>
      <c r="D415" s="567"/>
      <c r="E415" s="567"/>
      <c r="F415" s="567"/>
      <c r="G415" s="570"/>
      <c r="H415" s="570"/>
      <c r="I415" s="567"/>
      <c r="J415" s="567"/>
      <c r="K415" s="567"/>
      <c r="L415" s="568"/>
      <c r="M415" s="568"/>
      <c r="N415" s="567"/>
      <c r="O415" s="567"/>
      <c r="P415" s="567"/>
      <c r="Q415" s="567"/>
      <c r="R415" s="570"/>
      <c r="S415" s="570"/>
      <c r="T415" s="567"/>
      <c r="U415" s="569"/>
      <c r="V415" s="567"/>
      <c r="W415" s="568"/>
      <c r="X415" s="568"/>
      <c r="Y415" s="567"/>
    </row>
    <row r="416" spans="1:25" x14ac:dyDescent="0.25">
      <c r="A416" s="570"/>
      <c r="B416" s="570"/>
      <c r="C416" s="570"/>
      <c r="D416" s="567"/>
      <c r="E416" s="567"/>
      <c r="F416" s="567"/>
      <c r="G416" s="570"/>
      <c r="H416" s="570"/>
      <c r="I416" s="567"/>
      <c r="J416" s="567"/>
      <c r="K416" s="567"/>
      <c r="L416" s="568"/>
      <c r="M416" s="568"/>
      <c r="N416" s="567"/>
      <c r="O416" s="567"/>
      <c r="P416" s="567"/>
      <c r="Q416" s="567"/>
      <c r="R416" s="570"/>
      <c r="S416" s="570"/>
      <c r="T416" s="567"/>
      <c r="U416" s="569"/>
      <c r="V416" s="567"/>
      <c r="W416" s="568"/>
      <c r="X416" s="568"/>
      <c r="Y416" s="567"/>
    </row>
    <row r="417" spans="1:25" x14ac:dyDescent="0.25">
      <c r="A417" s="570"/>
      <c r="B417" s="570"/>
      <c r="C417" s="570"/>
      <c r="D417" s="567"/>
      <c r="E417" s="567"/>
      <c r="F417" s="567"/>
      <c r="G417" s="570"/>
      <c r="H417" s="570"/>
      <c r="I417" s="567"/>
      <c r="J417" s="567"/>
      <c r="K417" s="567"/>
      <c r="L417" s="568"/>
      <c r="M417" s="568"/>
      <c r="N417" s="567"/>
      <c r="O417" s="567"/>
      <c r="P417" s="567"/>
      <c r="Q417" s="567"/>
      <c r="R417" s="570"/>
      <c r="S417" s="570"/>
      <c r="T417" s="567"/>
      <c r="U417" s="569"/>
      <c r="V417" s="567"/>
      <c r="W417" s="568"/>
      <c r="X417" s="568"/>
      <c r="Y417" s="567"/>
    </row>
    <row r="418" spans="1:25" x14ac:dyDescent="0.25">
      <c r="A418" s="570"/>
      <c r="B418" s="570"/>
      <c r="C418" s="570"/>
      <c r="D418" s="567"/>
      <c r="E418" s="567"/>
      <c r="F418" s="567"/>
      <c r="G418" s="570"/>
      <c r="H418" s="570"/>
      <c r="I418" s="567"/>
      <c r="J418" s="567"/>
      <c r="K418" s="567"/>
      <c r="L418" s="568"/>
      <c r="M418" s="568"/>
      <c r="N418" s="567"/>
      <c r="O418" s="567"/>
      <c r="P418" s="567"/>
      <c r="Q418" s="567"/>
      <c r="R418" s="570"/>
      <c r="S418" s="570"/>
      <c r="T418" s="567"/>
      <c r="U418" s="569"/>
      <c r="V418" s="567"/>
      <c r="W418" s="568"/>
      <c r="X418" s="568"/>
      <c r="Y418" s="567"/>
    </row>
    <row r="419" spans="1:25" x14ac:dyDescent="0.25">
      <c r="A419" s="570"/>
      <c r="B419" s="570"/>
      <c r="C419" s="570"/>
      <c r="D419" s="567"/>
      <c r="E419" s="567"/>
      <c r="F419" s="567"/>
      <c r="G419" s="570"/>
      <c r="H419" s="570"/>
      <c r="I419" s="567"/>
      <c r="J419" s="567"/>
      <c r="K419" s="567"/>
      <c r="L419" s="568"/>
      <c r="M419" s="568"/>
      <c r="N419" s="567"/>
      <c r="O419" s="567"/>
      <c r="P419" s="567"/>
      <c r="Q419" s="567"/>
      <c r="R419" s="570"/>
      <c r="S419" s="570"/>
      <c r="T419" s="567"/>
      <c r="U419" s="569"/>
      <c r="V419" s="567"/>
      <c r="W419" s="568"/>
      <c r="X419" s="568"/>
      <c r="Y419" s="567"/>
    </row>
    <row r="420" spans="1:25" x14ac:dyDescent="0.25">
      <c r="A420" s="570"/>
      <c r="B420" s="570"/>
      <c r="C420" s="570"/>
      <c r="D420" s="567"/>
      <c r="E420" s="567"/>
      <c r="F420" s="567"/>
      <c r="G420" s="570"/>
      <c r="H420" s="570"/>
      <c r="I420" s="567"/>
      <c r="J420" s="567"/>
      <c r="K420" s="567"/>
      <c r="L420" s="568"/>
      <c r="M420" s="568"/>
      <c r="N420" s="567"/>
      <c r="O420" s="567"/>
      <c r="P420" s="567"/>
      <c r="Q420" s="567"/>
      <c r="R420" s="570"/>
      <c r="S420" s="570"/>
      <c r="T420" s="567"/>
      <c r="U420" s="569"/>
      <c r="V420" s="567"/>
      <c r="W420" s="568"/>
      <c r="X420" s="568"/>
      <c r="Y420" s="567"/>
    </row>
    <row r="421" spans="1:25" x14ac:dyDescent="0.25">
      <c r="A421" s="570"/>
      <c r="B421" s="570"/>
      <c r="C421" s="570"/>
      <c r="D421" s="567"/>
      <c r="E421" s="567"/>
      <c r="F421" s="567"/>
      <c r="G421" s="570"/>
      <c r="H421" s="570"/>
      <c r="I421" s="567"/>
      <c r="J421" s="567"/>
      <c r="K421" s="567"/>
      <c r="L421" s="568"/>
      <c r="M421" s="568"/>
      <c r="N421" s="567"/>
      <c r="O421" s="567"/>
      <c r="P421" s="567"/>
      <c r="Q421" s="567"/>
      <c r="R421" s="570"/>
      <c r="S421" s="570"/>
      <c r="T421" s="567"/>
      <c r="U421" s="569"/>
      <c r="V421" s="567"/>
      <c r="W421" s="568"/>
      <c r="X421" s="568"/>
      <c r="Y421" s="567"/>
    </row>
    <row r="422" spans="1:25" x14ac:dyDescent="0.25">
      <c r="A422" s="570"/>
      <c r="B422" s="570"/>
      <c r="C422" s="570"/>
      <c r="D422" s="567"/>
      <c r="E422" s="567"/>
      <c r="F422" s="567"/>
      <c r="G422" s="570"/>
      <c r="H422" s="570"/>
      <c r="I422" s="567"/>
      <c r="J422" s="567"/>
      <c r="K422" s="567"/>
      <c r="L422" s="568"/>
      <c r="M422" s="568"/>
      <c r="N422" s="567"/>
      <c r="O422" s="567"/>
      <c r="P422" s="567"/>
      <c r="Q422" s="567"/>
      <c r="R422" s="570"/>
      <c r="S422" s="570"/>
      <c r="T422" s="567"/>
      <c r="U422" s="569"/>
      <c r="V422" s="567"/>
      <c r="W422" s="568"/>
      <c r="X422" s="568"/>
      <c r="Y422" s="567"/>
    </row>
    <row r="423" spans="1:25" x14ac:dyDescent="0.25">
      <c r="A423" s="570"/>
      <c r="B423" s="570"/>
      <c r="C423" s="570"/>
      <c r="D423" s="567"/>
      <c r="E423" s="567"/>
      <c r="F423" s="567"/>
      <c r="G423" s="570"/>
      <c r="H423" s="570"/>
      <c r="I423" s="567"/>
      <c r="J423" s="567"/>
      <c r="K423" s="567"/>
      <c r="L423" s="568"/>
      <c r="M423" s="568"/>
      <c r="N423" s="567"/>
      <c r="O423" s="567"/>
      <c r="P423" s="567"/>
      <c r="Q423" s="567"/>
      <c r="R423" s="570"/>
      <c r="S423" s="570"/>
      <c r="T423" s="567"/>
      <c r="U423" s="569"/>
      <c r="V423" s="567"/>
      <c r="W423" s="568"/>
      <c r="X423" s="568"/>
      <c r="Y423" s="567"/>
    </row>
    <row r="424" spans="1:25" x14ac:dyDescent="0.25">
      <c r="A424" s="570"/>
      <c r="B424" s="570"/>
      <c r="C424" s="570"/>
      <c r="D424" s="567"/>
      <c r="E424" s="567"/>
      <c r="F424" s="567"/>
      <c r="G424" s="570"/>
      <c r="H424" s="570"/>
      <c r="I424" s="567"/>
      <c r="J424" s="567"/>
      <c r="K424" s="567"/>
      <c r="L424" s="568"/>
      <c r="M424" s="568"/>
      <c r="N424" s="567"/>
      <c r="O424" s="567"/>
      <c r="P424" s="567"/>
      <c r="Q424" s="567"/>
      <c r="R424" s="570"/>
      <c r="S424" s="570"/>
      <c r="T424" s="567"/>
      <c r="U424" s="569"/>
      <c r="V424" s="567"/>
      <c r="W424" s="568"/>
      <c r="X424" s="568"/>
      <c r="Y424" s="567"/>
    </row>
    <row r="425" spans="1:25" x14ac:dyDescent="0.25">
      <c r="A425" s="570"/>
      <c r="B425" s="570"/>
      <c r="C425" s="570"/>
      <c r="D425" s="567"/>
      <c r="E425" s="567"/>
      <c r="F425" s="567"/>
      <c r="G425" s="570"/>
      <c r="H425" s="570"/>
      <c r="I425" s="567"/>
      <c r="J425" s="567"/>
      <c r="K425" s="567"/>
      <c r="L425" s="568"/>
      <c r="M425" s="568"/>
      <c r="N425" s="567"/>
      <c r="O425" s="567"/>
      <c r="P425" s="567"/>
      <c r="Q425" s="567"/>
      <c r="R425" s="570"/>
      <c r="S425" s="570"/>
      <c r="T425" s="567"/>
      <c r="U425" s="569"/>
      <c r="V425" s="567"/>
      <c r="W425" s="568"/>
      <c r="X425" s="568"/>
      <c r="Y425" s="567"/>
    </row>
    <row r="426" spans="1:25" x14ac:dyDescent="0.25">
      <c r="A426" s="570"/>
      <c r="B426" s="570"/>
      <c r="C426" s="570"/>
      <c r="D426" s="567"/>
      <c r="E426" s="567"/>
      <c r="F426" s="567"/>
      <c r="G426" s="570"/>
      <c r="H426" s="570"/>
      <c r="I426" s="567"/>
      <c r="J426" s="567"/>
      <c r="K426" s="567"/>
      <c r="L426" s="568"/>
      <c r="M426" s="568"/>
      <c r="N426" s="567"/>
      <c r="O426" s="567"/>
      <c r="P426" s="567"/>
      <c r="Q426" s="567"/>
      <c r="R426" s="570"/>
      <c r="S426" s="570"/>
      <c r="T426" s="567"/>
      <c r="U426" s="569"/>
      <c r="V426" s="567"/>
      <c r="W426" s="568"/>
      <c r="X426" s="568"/>
      <c r="Y426" s="567"/>
    </row>
    <row r="427" spans="1:25" x14ac:dyDescent="0.25">
      <c r="A427" s="570"/>
      <c r="B427" s="570"/>
      <c r="C427" s="570"/>
      <c r="D427" s="567"/>
      <c r="E427" s="567"/>
      <c r="F427" s="567"/>
      <c r="G427" s="570"/>
      <c r="H427" s="570"/>
      <c r="I427" s="567"/>
      <c r="J427" s="567"/>
      <c r="K427" s="567"/>
      <c r="L427" s="568"/>
      <c r="M427" s="568"/>
      <c r="N427" s="567"/>
      <c r="O427" s="567"/>
      <c r="P427" s="567"/>
      <c r="Q427" s="567"/>
      <c r="R427" s="570"/>
      <c r="S427" s="570"/>
      <c r="T427" s="567"/>
      <c r="U427" s="569"/>
      <c r="V427" s="567"/>
      <c r="W427" s="568"/>
      <c r="X427" s="568"/>
      <c r="Y427" s="567"/>
    </row>
    <row r="428" spans="1:25" x14ac:dyDescent="0.25">
      <c r="A428" s="570"/>
      <c r="B428" s="570"/>
      <c r="C428" s="570"/>
      <c r="D428" s="567"/>
      <c r="E428" s="567"/>
      <c r="F428" s="567"/>
      <c r="G428" s="570"/>
      <c r="H428" s="570"/>
      <c r="I428" s="567"/>
      <c r="J428" s="567"/>
      <c r="K428" s="567"/>
      <c r="L428" s="568"/>
      <c r="M428" s="568"/>
      <c r="N428" s="567"/>
      <c r="O428" s="567"/>
      <c r="P428" s="567"/>
      <c r="Q428" s="567"/>
      <c r="R428" s="570"/>
      <c r="S428" s="570"/>
      <c r="T428" s="567"/>
      <c r="U428" s="569"/>
      <c r="V428" s="567"/>
      <c r="W428" s="568"/>
      <c r="X428" s="568"/>
      <c r="Y428" s="567"/>
    </row>
    <row r="429" spans="1:25" x14ac:dyDescent="0.25">
      <c r="A429" s="570"/>
      <c r="B429" s="570"/>
      <c r="C429" s="570"/>
      <c r="D429" s="567"/>
      <c r="E429" s="567"/>
      <c r="F429" s="567"/>
      <c r="G429" s="570"/>
      <c r="H429" s="570"/>
      <c r="I429" s="567"/>
      <c r="J429" s="567"/>
      <c r="K429" s="567"/>
      <c r="L429" s="568"/>
      <c r="M429" s="568"/>
      <c r="N429" s="567"/>
      <c r="O429" s="567"/>
      <c r="P429" s="567"/>
      <c r="Q429" s="567"/>
      <c r="R429" s="570"/>
      <c r="S429" s="570"/>
      <c r="T429" s="567"/>
      <c r="U429" s="569"/>
      <c r="V429" s="567"/>
      <c r="W429" s="568"/>
      <c r="X429" s="568"/>
      <c r="Y429" s="567"/>
    </row>
    <row r="430" spans="1:25" x14ac:dyDescent="0.25">
      <c r="A430" s="570"/>
      <c r="B430" s="570"/>
      <c r="C430" s="570"/>
      <c r="D430" s="567"/>
      <c r="E430" s="567"/>
      <c r="F430" s="567"/>
      <c r="G430" s="570"/>
      <c r="H430" s="570"/>
      <c r="I430" s="567"/>
      <c r="J430" s="567"/>
      <c r="K430" s="567"/>
      <c r="L430" s="568"/>
      <c r="M430" s="568"/>
      <c r="N430" s="567"/>
      <c r="O430" s="567"/>
      <c r="P430" s="567"/>
      <c r="Q430" s="567"/>
      <c r="R430" s="570"/>
      <c r="S430" s="570"/>
      <c r="T430" s="567"/>
      <c r="U430" s="569"/>
      <c r="V430" s="567"/>
      <c r="W430" s="568"/>
      <c r="X430" s="568"/>
      <c r="Y430" s="567"/>
    </row>
    <row r="431" spans="1:25" x14ac:dyDescent="0.25">
      <c r="A431" s="570"/>
      <c r="B431" s="570"/>
      <c r="C431" s="570"/>
      <c r="D431" s="567"/>
      <c r="E431" s="567"/>
      <c r="F431" s="567"/>
      <c r="G431" s="570"/>
      <c r="H431" s="570"/>
      <c r="I431" s="567"/>
      <c r="J431" s="567"/>
      <c r="K431" s="567"/>
      <c r="L431" s="568"/>
      <c r="M431" s="568"/>
      <c r="N431" s="567"/>
      <c r="O431" s="567"/>
      <c r="P431" s="567"/>
      <c r="Q431" s="567"/>
      <c r="R431" s="570"/>
      <c r="S431" s="570"/>
      <c r="T431" s="567"/>
      <c r="U431" s="569"/>
      <c r="V431" s="567"/>
      <c r="W431" s="568"/>
      <c r="X431" s="568"/>
      <c r="Y431" s="567"/>
    </row>
    <row r="432" spans="1:25" x14ac:dyDescent="0.25">
      <c r="A432" s="570"/>
      <c r="B432" s="570"/>
      <c r="C432" s="570"/>
      <c r="D432" s="567"/>
      <c r="E432" s="567"/>
      <c r="F432" s="567"/>
      <c r="G432" s="570"/>
      <c r="H432" s="570"/>
      <c r="I432" s="567"/>
      <c r="J432" s="567"/>
      <c r="K432" s="567"/>
      <c r="L432" s="568"/>
      <c r="M432" s="568"/>
      <c r="N432" s="567"/>
      <c r="O432" s="567"/>
      <c r="P432" s="567"/>
      <c r="Q432" s="567"/>
      <c r="R432" s="570"/>
      <c r="S432" s="570"/>
      <c r="T432" s="567"/>
      <c r="U432" s="569"/>
      <c r="V432" s="567"/>
      <c r="W432" s="568"/>
      <c r="X432" s="568"/>
      <c r="Y432" s="567"/>
    </row>
    <row r="433" spans="1:25" x14ac:dyDescent="0.25">
      <c r="A433" s="570"/>
      <c r="B433" s="570"/>
      <c r="C433" s="570"/>
      <c r="D433" s="567"/>
      <c r="E433" s="567"/>
      <c r="F433" s="567"/>
      <c r="G433" s="570"/>
      <c r="H433" s="570"/>
      <c r="I433" s="567"/>
      <c r="J433" s="567"/>
      <c r="K433" s="567"/>
      <c r="L433" s="568"/>
      <c r="M433" s="568"/>
      <c r="N433" s="567"/>
      <c r="O433" s="567"/>
      <c r="P433" s="567"/>
      <c r="Q433" s="567"/>
      <c r="R433" s="570"/>
      <c r="S433" s="570"/>
      <c r="T433" s="567"/>
      <c r="U433" s="569"/>
      <c r="V433" s="567"/>
      <c r="W433" s="568"/>
      <c r="X433" s="568"/>
      <c r="Y433" s="567"/>
    </row>
    <row r="434" spans="1:25" x14ac:dyDescent="0.25">
      <c r="A434" s="570"/>
      <c r="B434" s="570"/>
      <c r="C434" s="570"/>
      <c r="D434" s="567"/>
      <c r="E434" s="567"/>
      <c r="F434" s="567"/>
      <c r="G434" s="570"/>
      <c r="H434" s="570"/>
      <c r="I434" s="567"/>
      <c r="J434" s="567"/>
      <c r="K434" s="567"/>
      <c r="L434" s="568"/>
      <c r="M434" s="568"/>
      <c r="N434" s="567"/>
      <c r="O434" s="567"/>
      <c r="P434" s="567"/>
      <c r="Q434" s="567"/>
      <c r="R434" s="570"/>
      <c r="S434" s="570"/>
      <c r="T434" s="567"/>
      <c r="U434" s="569"/>
      <c r="V434" s="567"/>
      <c r="W434" s="568"/>
      <c r="X434" s="568"/>
      <c r="Y434" s="567"/>
    </row>
    <row r="435" spans="1:25" x14ac:dyDescent="0.25">
      <c r="A435" s="570"/>
      <c r="B435" s="570"/>
      <c r="C435" s="570"/>
      <c r="D435" s="567"/>
      <c r="E435" s="567"/>
      <c r="F435" s="567"/>
      <c r="G435" s="570"/>
      <c r="H435" s="570"/>
      <c r="I435" s="567"/>
      <c r="J435" s="567"/>
      <c r="K435" s="567"/>
      <c r="L435" s="568"/>
      <c r="M435" s="568"/>
      <c r="N435" s="567"/>
      <c r="O435" s="567"/>
      <c r="P435" s="567"/>
      <c r="Q435" s="567"/>
      <c r="R435" s="570"/>
      <c r="S435" s="570"/>
      <c r="T435" s="567"/>
      <c r="U435" s="569"/>
      <c r="V435" s="567"/>
      <c r="W435" s="568"/>
      <c r="X435" s="568"/>
      <c r="Y435" s="567"/>
    </row>
    <row r="436" spans="1:25" x14ac:dyDescent="0.25">
      <c r="A436" s="570"/>
      <c r="B436" s="570"/>
      <c r="C436" s="570"/>
      <c r="D436" s="567"/>
      <c r="E436" s="567"/>
      <c r="F436" s="567"/>
      <c r="G436" s="570"/>
      <c r="H436" s="570"/>
      <c r="I436" s="567"/>
      <c r="J436" s="567"/>
      <c r="K436" s="567"/>
      <c r="L436" s="568"/>
      <c r="M436" s="568"/>
      <c r="N436" s="567"/>
      <c r="O436" s="567"/>
      <c r="P436" s="567"/>
      <c r="Q436" s="567"/>
      <c r="R436" s="570"/>
      <c r="S436" s="570"/>
      <c r="T436" s="567"/>
      <c r="U436" s="569"/>
      <c r="V436" s="567"/>
      <c r="W436" s="568"/>
      <c r="X436" s="568"/>
      <c r="Y436" s="567"/>
    </row>
    <row r="437" spans="1:25" x14ac:dyDescent="0.25">
      <c r="A437" s="570"/>
      <c r="B437" s="570"/>
      <c r="C437" s="570"/>
      <c r="D437" s="567"/>
      <c r="E437" s="567"/>
      <c r="F437" s="567"/>
      <c r="G437" s="570"/>
      <c r="H437" s="570"/>
      <c r="I437" s="567"/>
      <c r="J437" s="567"/>
      <c r="K437" s="567"/>
      <c r="L437" s="568"/>
      <c r="M437" s="568"/>
      <c r="N437" s="567"/>
      <c r="O437" s="567"/>
      <c r="P437" s="567"/>
      <c r="Q437" s="567"/>
      <c r="R437" s="570"/>
      <c r="S437" s="570"/>
      <c r="T437" s="567"/>
      <c r="U437" s="569"/>
      <c r="V437" s="567"/>
      <c r="W437" s="568"/>
      <c r="X437" s="568"/>
      <c r="Y437" s="567"/>
    </row>
    <row r="438" spans="1:25" x14ac:dyDescent="0.25">
      <c r="A438" s="570"/>
      <c r="B438" s="570"/>
      <c r="C438" s="570"/>
      <c r="D438" s="567"/>
      <c r="E438" s="567"/>
      <c r="F438" s="567"/>
      <c r="G438" s="570"/>
      <c r="H438" s="570"/>
      <c r="I438" s="567"/>
      <c r="J438" s="567"/>
      <c r="K438" s="567"/>
      <c r="L438" s="568"/>
      <c r="M438" s="568"/>
      <c r="N438" s="567"/>
      <c r="O438" s="567"/>
      <c r="P438" s="567"/>
      <c r="Q438" s="567"/>
      <c r="R438" s="570"/>
      <c r="S438" s="570"/>
      <c r="T438" s="567"/>
      <c r="U438" s="569"/>
      <c r="V438" s="567"/>
      <c r="W438" s="568"/>
      <c r="X438" s="568"/>
      <c r="Y438" s="567"/>
    </row>
    <row r="439" spans="1:25" x14ac:dyDescent="0.25">
      <c r="A439" s="570"/>
      <c r="B439" s="570"/>
      <c r="C439" s="570"/>
      <c r="D439" s="567"/>
      <c r="E439" s="567"/>
      <c r="F439" s="567"/>
      <c r="G439" s="570"/>
      <c r="H439" s="570"/>
      <c r="I439" s="567"/>
      <c r="J439" s="567"/>
      <c r="K439" s="567"/>
      <c r="L439" s="568"/>
      <c r="M439" s="568"/>
      <c r="N439" s="567"/>
      <c r="O439" s="567"/>
      <c r="P439" s="567"/>
      <c r="Q439" s="567"/>
      <c r="R439" s="570"/>
      <c r="S439" s="570"/>
      <c r="T439" s="567"/>
      <c r="U439" s="569"/>
      <c r="V439" s="567"/>
      <c r="W439" s="568"/>
      <c r="X439" s="568"/>
      <c r="Y439" s="567"/>
    </row>
    <row r="440" spans="1:25" x14ac:dyDescent="0.25">
      <c r="A440" s="570"/>
      <c r="B440" s="570"/>
      <c r="C440" s="570"/>
      <c r="D440" s="567"/>
      <c r="E440" s="567"/>
      <c r="F440" s="567"/>
      <c r="G440" s="570"/>
      <c r="H440" s="570"/>
      <c r="I440" s="567"/>
      <c r="J440" s="567"/>
      <c r="K440" s="567"/>
      <c r="L440" s="568"/>
      <c r="M440" s="568"/>
      <c r="N440" s="567"/>
      <c r="O440" s="567"/>
      <c r="P440" s="567"/>
      <c r="Q440" s="567"/>
      <c r="R440" s="570"/>
      <c r="S440" s="570"/>
      <c r="T440" s="567"/>
      <c r="U440" s="569"/>
      <c r="V440" s="567"/>
      <c r="W440" s="568"/>
      <c r="X440" s="568"/>
      <c r="Y440" s="567"/>
    </row>
    <row r="441" spans="1:25" x14ac:dyDescent="0.25">
      <c r="A441" s="570"/>
      <c r="B441" s="570"/>
      <c r="C441" s="570"/>
      <c r="D441" s="567"/>
      <c r="E441" s="567"/>
      <c r="F441" s="567"/>
      <c r="G441" s="570"/>
      <c r="H441" s="570"/>
      <c r="I441" s="567"/>
      <c r="J441" s="567"/>
      <c r="K441" s="567"/>
      <c r="L441" s="568"/>
      <c r="M441" s="568"/>
      <c r="N441" s="567"/>
      <c r="O441" s="567"/>
      <c r="P441" s="567"/>
      <c r="Q441" s="567"/>
      <c r="R441" s="570"/>
      <c r="S441" s="570"/>
      <c r="T441" s="567"/>
      <c r="U441" s="569"/>
      <c r="V441" s="567"/>
      <c r="W441" s="568"/>
      <c r="X441" s="568"/>
      <c r="Y441" s="567"/>
    </row>
    <row r="442" spans="1:25" x14ac:dyDescent="0.25">
      <c r="A442" s="570"/>
      <c r="B442" s="570"/>
      <c r="C442" s="570"/>
      <c r="D442" s="567"/>
      <c r="E442" s="567"/>
      <c r="F442" s="567"/>
      <c r="G442" s="570"/>
      <c r="H442" s="570"/>
      <c r="I442" s="567"/>
      <c r="J442" s="567"/>
      <c r="K442" s="567"/>
      <c r="L442" s="568"/>
      <c r="M442" s="568"/>
      <c r="N442" s="567"/>
      <c r="O442" s="567"/>
      <c r="P442" s="567"/>
      <c r="Q442" s="567"/>
      <c r="R442" s="570"/>
      <c r="S442" s="570"/>
      <c r="T442" s="567"/>
      <c r="U442" s="569"/>
      <c r="V442" s="567"/>
      <c r="W442" s="568"/>
      <c r="X442" s="568"/>
      <c r="Y442" s="567"/>
    </row>
    <row r="443" spans="1:25" x14ac:dyDescent="0.25">
      <c r="A443" s="570"/>
      <c r="B443" s="570"/>
      <c r="C443" s="570"/>
      <c r="D443" s="567"/>
      <c r="E443" s="567"/>
      <c r="F443" s="567"/>
      <c r="G443" s="570"/>
      <c r="H443" s="570"/>
      <c r="I443" s="567"/>
      <c r="J443" s="567"/>
      <c r="K443" s="567"/>
      <c r="L443" s="568"/>
      <c r="M443" s="568"/>
      <c r="N443" s="567"/>
      <c r="O443" s="567"/>
      <c r="P443" s="567"/>
      <c r="Q443" s="567"/>
      <c r="R443" s="570"/>
      <c r="S443" s="570"/>
      <c r="T443" s="567"/>
      <c r="U443" s="569"/>
      <c r="V443" s="567"/>
      <c r="W443" s="568"/>
      <c r="X443" s="568"/>
      <c r="Y443" s="567"/>
    </row>
    <row r="444" spans="1:25" x14ac:dyDescent="0.25">
      <c r="A444" s="570"/>
      <c r="B444" s="570"/>
      <c r="C444" s="570"/>
      <c r="D444" s="567"/>
      <c r="E444" s="567"/>
      <c r="F444" s="567"/>
      <c r="G444" s="570"/>
      <c r="H444" s="570"/>
      <c r="I444" s="567"/>
      <c r="J444" s="567"/>
      <c r="K444" s="567"/>
      <c r="L444" s="568"/>
      <c r="M444" s="568"/>
      <c r="N444" s="567"/>
      <c r="O444" s="567"/>
      <c r="P444" s="567"/>
      <c r="Q444" s="567"/>
      <c r="R444" s="570"/>
      <c r="S444" s="570"/>
      <c r="T444" s="567"/>
      <c r="U444" s="569"/>
      <c r="V444" s="567"/>
      <c r="W444" s="568"/>
      <c r="X444" s="568"/>
      <c r="Y444" s="567"/>
    </row>
    <row r="445" spans="1:25" x14ac:dyDescent="0.25">
      <c r="A445" s="570"/>
      <c r="B445" s="570"/>
      <c r="C445" s="570"/>
      <c r="D445" s="567"/>
      <c r="E445" s="567"/>
      <c r="F445" s="567"/>
      <c r="G445" s="570"/>
      <c r="H445" s="570"/>
      <c r="I445" s="567"/>
      <c r="J445" s="567"/>
      <c r="K445" s="567"/>
      <c r="L445" s="568"/>
      <c r="M445" s="568"/>
      <c r="N445" s="567"/>
      <c r="O445" s="567"/>
      <c r="P445" s="567"/>
      <c r="Q445" s="567"/>
      <c r="R445" s="570"/>
      <c r="S445" s="570"/>
      <c r="T445" s="567"/>
      <c r="U445" s="569"/>
      <c r="V445" s="567"/>
      <c r="W445" s="568"/>
      <c r="X445" s="568"/>
      <c r="Y445" s="567"/>
    </row>
    <row r="446" spans="1:25" x14ac:dyDescent="0.25">
      <c r="A446" s="570"/>
      <c r="B446" s="570"/>
      <c r="C446" s="570"/>
      <c r="D446" s="567"/>
      <c r="E446" s="567"/>
      <c r="F446" s="567"/>
      <c r="G446" s="570"/>
      <c r="H446" s="570"/>
      <c r="I446" s="567"/>
      <c r="J446" s="567"/>
      <c r="K446" s="567"/>
      <c r="L446" s="568"/>
      <c r="M446" s="568"/>
      <c r="N446" s="567"/>
      <c r="O446" s="567"/>
      <c r="P446" s="567"/>
      <c r="Q446" s="567"/>
      <c r="R446" s="570"/>
      <c r="S446" s="570"/>
      <c r="T446" s="567"/>
      <c r="U446" s="569"/>
      <c r="V446" s="567"/>
      <c r="W446" s="568"/>
      <c r="X446" s="568"/>
      <c r="Y446" s="567"/>
    </row>
    <row r="447" spans="1:25" x14ac:dyDescent="0.25">
      <c r="A447" s="570"/>
      <c r="B447" s="570"/>
      <c r="C447" s="570"/>
      <c r="D447" s="567"/>
      <c r="E447" s="567"/>
      <c r="F447" s="567"/>
      <c r="G447" s="570"/>
      <c r="H447" s="570"/>
      <c r="I447" s="567"/>
      <c r="J447" s="567"/>
      <c r="K447" s="567"/>
      <c r="L447" s="568"/>
      <c r="M447" s="568"/>
      <c r="N447" s="567"/>
      <c r="O447" s="567"/>
      <c r="P447" s="567"/>
      <c r="Q447" s="567"/>
      <c r="R447" s="570"/>
      <c r="S447" s="570"/>
      <c r="T447" s="567"/>
      <c r="U447" s="569"/>
      <c r="V447" s="567"/>
      <c r="W447" s="568"/>
      <c r="X447" s="568"/>
      <c r="Y447" s="567"/>
    </row>
    <row r="448" spans="1:25" x14ac:dyDescent="0.25">
      <c r="A448" s="570"/>
      <c r="B448" s="570"/>
      <c r="C448" s="570"/>
      <c r="D448" s="567"/>
      <c r="E448" s="567"/>
      <c r="F448" s="567"/>
      <c r="G448" s="570"/>
      <c r="H448" s="570"/>
      <c r="I448" s="567"/>
      <c r="J448" s="567"/>
      <c r="K448" s="567"/>
      <c r="L448" s="568"/>
      <c r="M448" s="568"/>
      <c r="N448" s="567"/>
      <c r="O448" s="567"/>
      <c r="P448" s="567"/>
      <c r="Q448" s="567"/>
      <c r="R448" s="570"/>
      <c r="S448" s="570"/>
      <c r="T448" s="567"/>
      <c r="U448" s="569"/>
      <c r="V448" s="567"/>
      <c r="W448" s="568"/>
      <c r="X448" s="568"/>
      <c r="Y448" s="567"/>
    </row>
    <row r="449" spans="1:25" x14ac:dyDescent="0.25">
      <c r="A449" s="570"/>
      <c r="B449" s="570"/>
      <c r="C449" s="570"/>
      <c r="D449" s="567"/>
      <c r="E449" s="567"/>
      <c r="F449" s="567"/>
      <c r="G449" s="570"/>
      <c r="H449" s="570"/>
      <c r="I449" s="567"/>
      <c r="J449" s="567"/>
      <c r="K449" s="567"/>
      <c r="L449" s="568"/>
      <c r="M449" s="568"/>
      <c r="N449" s="567"/>
      <c r="O449" s="567"/>
      <c r="P449" s="567"/>
      <c r="Q449" s="567"/>
      <c r="R449" s="570"/>
      <c r="S449" s="570"/>
      <c r="T449" s="567"/>
      <c r="U449" s="569"/>
      <c r="V449" s="567"/>
      <c r="W449" s="568"/>
      <c r="X449" s="568"/>
      <c r="Y449" s="567"/>
    </row>
    <row r="450" spans="1:25" x14ac:dyDescent="0.25">
      <c r="A450" s="570"/>
      <c r="B450" s="570"/>
      <c r="C450" s="570"/>
      <c r="D450" s="567"/>
      <c r="E450" s="567"/>
      <c r="F450" s="567"/>
      <c r="G450" s="570"/>
      <c r="H450" s="570"/>
      <c r="I450" s="567"/>
      <c r="J450" s="567"/>
      <c r="K450" s="567"/>
      <c r="L450" s="568"/>
      <c r="M450" s="568"/>
      <c r="N450" s="567"/>
      <c r="O450" s="567"/>
      <c r="P450" s="567"/>
      <c r="Q450" s="567"/>
      <c r="R450" s="570"/>
      <c r="S450" s="570"/>
      <c r="T450" s="567"/>
      <c r="U450" s="569"/>
      <c r="V450" s="567"/>
      <c r="W450" s="568"/>
      <c r="X450" s="568"/>
      <c r="Y450" s="567"/>
    </row>
    <row r="451" spans="1:25" x14ac:dyDescent="0.25">
      <c r="A451" s="570"/>
      <c r="B451" s="570"/>
      <c r="C451" s="570"/>
      <c r="D451" s="567"/>
      <c r="E451" s="567"/>
      <c r="F451" s="567"/>
      <c r="G451" s="570"/>
      <c r="H451" s="570"/>
      <c r="I451" s="567"/>
      <c r="J451" s="567"/>
      <c r="K451" s="567"/>
      <c r="L451" s="568"/>
      <c r="M451" s="568"/>
      <c r="N451" s="567"/>
      <c r="O451" s="567"/>
      <c r="P451" s="567"/>
      <c r="Q451" s="567"/>
      <c r="R451" s="570"/>
      <c r="S451" s="570"/>
      <c r="T451" s="567"/>
      <c r="U451" s="569"/>
      <c r="V451" s="567"/>
      <c r="W451" s="568"/>
      <c r="X451" s="568"/>
      <c r="Y451" s="567"/>
    </row>
    <row r="452" spans="1:25" x14ac:dyDescent="0.25">
      <c r="A452" s="570"/>
      <c r="B452" s="570"/>
      <c r="C452" s="570"/>
      <c r="D452" s="567"/>
      <c r="E452" s="567"/>
      <c r="F452" s="567"/>
      <c r="G452" s="570"/>
      <c r="H452" s="570"/>
      <c r="I452" s="567"/>
      <c r="J452" s="567"/>
      <c r="K452" s="567"/>
      <c r="L452" s="568"/>
      <c r="M452" s="568"/>
      <c r="N452" s="567"/>
      <c r="O452" s="567"/>
      <c r="P452" s="567"/>
      <c r="Q452" s="567"/>
      <c r="R452" s="570"/>
      <c r="S452" s="570"/>
      <c r="T452" s="567"/>
      <c r="U452" s="569"/>
      <c r="V452" s="567"/>
      <c r="W452" s="568"/>
      <c r="X452" s="568"/>
      <c r="Y452" s="567"/>
    </row>
    <row r="453" spans="1:25" x14ac:dyDescent="0.25">
      <c r="A453" s="570"/>
      <c r="B453" s="570"/>
      <c r="C453" s="570"/>
      <c r="D453" s="567"/>
      <c r="E453" s="567"/>
      <c r="F453" s="567"/>
      <c r="G453" s="570"/>
      <c r="H453" s="570"/>
      <c r="I453" s="567"/>
      <c r="J453" s="567"/>
      <c r="K453" s="567"/>
      <c r="L453" s="568"/>
      <c r="M453" s="568"/>
      <c r="N453" s="567"/>
      <c r="O453" s="567"/>
      <c r="P453" s="567"/>
      <c r="Q453" s="567"/>
      <c r="R453" s="570"/>
      <c r="S453" s="570"/>
      <c r="T453" s="567"/>
      <c r="U453" s="569"/>
      <c r="V453" s="567"/>
      <c r="W453" s="568"/>
      <c r="X453" s="568"/>
      <c r="Y453" s="567"/>
    </row>
    <row r="454" spans="1:25" x14ac:dyDescent="0.25">
      <c r="A454" s="570"/>
      <c r="B454" s="570"/>
      <c r="C454" s="570"/>
      <c r="D454" s="567"/>
      <c r="E454" s="567"/>
      <c r="F454" s="567"/>
      <c r="G454" s="570"/>
      <c r="H454" s="570"/>
      <c r="I454" s="567"/>
      <c r="J454" s="567"/>
      <c r="K454" s="567"/>
      <c r="L454" s="568"/>
      <c r="M454" s="568"/>
      <c r="N454" s="567"/>
      <c r="O454" s="567"/>
      <c r="P454" s="567"/>
      <c r="Q454" s="567"/>
      <c r="R454" s="570"/>
      <c r="S454" s="570"/>
      <c r="T454" s="567"/>
      <c r="U454" s="569"/>
      <c r="V454" s="567"/>
      <c r="W454" s="568"/>
      <c r="X454" s="568"/>
      <c r="Y454" s="567"/>
    </row>
    <row r="455" spans="1:25" x14ac:dyDescent="0.25">
      <c r="A455" s="570"/>
      <c r="B455" s="570"/>
      <c r="C455" s="570"/>
      <c r="D455" s="567"/>
      <c r="E455" s="567"/>
      <c r="F455" s="567"/>
      <c r="G455" s="570"/>
      <c r="H455" s="570"/>
      <c r="I455" s="567"/>
      <c r="J455" s="567"/>
      <c r="K455" s="567"/>
      <c r="L455" s="568"/>
      <c r="M455" s="568"/>
      <c r="N455" s="567"/>
      <c r="O455" s="567"/>
      <c r="P455" s="567"/>
      <c r="Q455" s="567"/>
      <c r="R455" s="570"/>
      <c r="S455" s="570"/>
      <c r="T455" s="567"/>
      <c r="U455" s="569"/>
      <c r="V455" s="567"/>
      <c r="W455" s="568"/>
      <c r="X455" s="568"/>
      <c r="Y455" s="567"/>
    </row>
    <row r="456" spans="1:25" x14ac:dyDescent="0.25">
      <c r="A456" s="570"/>
      <c r="B456" s="570"/>
      <c r="C456" s="570"/>
      <c r="D456" s="567"/>
      <c r="E456" s="567"/>
      <c r="F456" s="567"/>
      <c r="G456" s="570"/>
      <c r="H456" s="570"/>
      <c r="I456" s="567"/>
      <c r="J456" s="567"/>
      <c r="K456" s="567"/>
      <c r="L456" s="568"/>
      <c r="M456" s="568"/>
      <c r="N456" s="567"/>
      <c r="O456" s="567"/>
      <c r="P456" s="567"/>
      <c r="Q456" s="567"/>
      <c r="R456" s="570"/>
      <c r="S456" s="570"/>
      <c r="T456" s="567"/>
      <c r="U456" s="569"/>
      <c r="V456" s="567"/>
      <c r="W456" s="568"/>
      <c r="X456" s="568"/>
      <c r="Y456" s="567"/>
    </row>
    <row r="457" spans="1:25" x14ac:dyDescent="0.25">
      <c r="A457" s="570"/>
      <c r="B457" s="570"/>
      <c r="C457" s="570"/>
      <c r="D457" s="567"/>
      <c r="E457" s="567"/>
      <c r="F457" s="567"/>
      <c r="G457" s="570"/>
      <c r="H457" s="570"/>
      <c r="I457" s="567"/>
      <c r="J457" s="567"/>
      <c r="K457" s="567"/>
      <c r="L457" s="568"/>
      <c r="M457" s="568"/>
      <c r="N457" s="567"/>
      <c r="O457" s="567"/>
      <c r="P457" s="567"/>
      <c r="Q457" s="567"/>
      <c r="R457" s="570"/>
      <c r="S457" s="570"/>
      <c r="T457" s="567"/>
      <c r="U457" s="569"/>
      <c r="V457" s="567"/>
      <c r="W457" s="568"/>
      <c r="X457" s="568"/>
      <c r="Y457" s="567"/>
    </row>
    <row r="458" spans="1:25" x14ac:dyDescent="0.25">
      <c r="A458" s="570"/>
      <c r="B458" s="570"/>
      <c r="C458" s="570"/>
      <c r="D458" s="567"/>
      <c r="E458" s="567"/>
      <c r="F458" s="567"/>
      <c r="G458" s="570"/>
      <c r="H458" s="570"/>
      <c r="I458" s="567"/>
      <c r="J458" s="567"/>
      <c r="K458" s="567"/>
      <c r="L458" s="568"/>
      <c r="M458" s="568"/>
      <c r="N458" s="567"/>
      <c r="O458" s="567"/>
      <c r="P458" s="567"/>
      <c r="Q458" s="567"/>
      <c r="R458" s="570"/>
      <c r="S458" s="570"/>
      <c r="T458" s="567"/>
      <c r="U458" s="569"/>
      <c r="V458" s="567"/>
      <c r="W458" s="568"/>
      <c r="X458" s="568"/>
      <c r="Y458" s="567"/>
    </row>
    <row r="459" spans="1:25" x14ac:dyDescent="0.25">
      <c r="A459" s="570"/>
      <c r="B459" s="570"/>
      <c r="C459" s="570"/>
      <c r="D459" s="567"/>
      <c r="E459" s="567"/>
      <c r="F459" s="567"/>
      <c r="G459" s="570"/>
      <c r="H459" s="570"/>
      <c r="I459" s="567"/>
      <c r="J459" s="567"/>
      <c r="K459" s="567"/>
      <c r="L459" s="568"/>
      <c r="M459" s="568"/>
      <c r="N459" s="567"/>
      <c r="O459" s="567"/>
      <c r="P459" s="567"/>
      <c r="Q459" s="567"/>
      <c r="R459" s="570"/>
      <c r="S459" s="570"/>
      <c r="T459" s="567"/>
      <c r="U459" s="569"/>
      <c r="V459" s="567"/>
      <c r="W459" s="568"/>
      <c r="X459" s="568"/>
      <c r="Y459" s="567"/>
    </row>
    <row r="460" spans="1:25" x14ac:dyDescent="0.25">
      <c r="A460" s="570"/>
      <c r="B460" s="570"/>
      <c r="C460" s="570"/>
      <c r="D460" s="567"/>
      <c r="E460" s="567"/>
      <c r="F460" s="567"/>
      <c r="G460" s="570"/>
      <c r="H460" s="570"/>
      <c r="I460" s="567"/>
      <c r="J460" s="567"/>
      <c r="K460" s="567"/>
      <c r="L460" s="568"/>
      <c r="M460" s="568"/>
      <c r="N460" s="567"/>
      <c r="O460" s="567"/>
      <c r="P460" s="567"/>
      <c r="Q460" s="567"/>
      <c r="R460" s="570"/>
      <c r="S460" s="570"/>
      <c r="T460" s="567"/>
      <c r="U460" s="569"/>
      <c r="V460" s="567"/>
      <c r="W460" s="568"/>
      <c r="X460" s="568"/>
      <c r="Y460" s="567"/>
    </row>
    <row r="461" spans="1:25" x14ac:dyDescent="0.25">
      <c r="A461" s="570"/>
      <c r="B461" s="570"/>
      <c r="C461" s="570"/>
      <c r="D461" s="567"/>
      <c r="E461" s="567"/>
      <c r="F461" s="567"/>
      <c r="G461" s="570"/>
      <c r="H461" s="570"/>
      <c r="I461" s="567"/>
      <c r="J461" s="567"/>
      <c r="K461" s="567"/>
      <c r="L461" s="568"/>
      <c r="M461" s="568"/>
      <c r="N461" s="567"/>
      <c r="O461" s="567"/>
      <c r="P461" s="567"/>
      <c r="Q461" s="567"/>
      <c r="R461" s="570"/>
      <c r="S461" s="570"/>
      <c r="T461" s="567"/>
      <c r="U461" s="569"/>
      <c r="V461" s="567"/>
      <c r="W461" s="568"/>
      <c r="X461" s="568"/>
      <c r="Y461" s="567"/>
    </row>
    <row r="462" spans="1:25" x14ac:dyDescent="0.25">
      <c r="A462" s="570"/>
      <c r="B462" s="570"/>
      <c r="C462" s="570"/>
      <c r="D462" s="567"/>
      <c r="E462" s="567"/>
      <c r="F462" s="567"/>
      <c r="G462" s="570"/>
      <c r="H462" s="570"/>
      <c r="I462" s="567"/>
      <c r="J462" s="567"/>
      <c r="K462" s="567"/>
      <c r="L462" s="568"/>
      <c r="M462" s="568"/>
      <c r="N462" s="567"/>
      <c r="O462" s="567"/>
      <c r="P462" s="567"/>
      <c r="Q462" s="567"/>
      <c r="R462" s="570"/>
      <c r="S462" s="570"/>
      <c r="T462" s="567"/>
      <c r="U462" s="569"/>
      <c r="V462" s="567"/>
      <c r="W462" s="568"/>
      <c r="X462" s="568"/>
      <c r="Y462" s="567"/>
    </row>
    <row r="463" spans="1:25" x14ac:dyDescent="0.25">
      <c r="A463" s="570"/>
      <c r="B463" s="570"/>
      <c r="C463" s="570"/>
      <c r="D463" s="567"/>
      <c r="E463" s="567"/>
      <c r="F463" s="567"/>
      <c r="G463" s="570"/>
      <c r="H463" s="570"/>
      <c r="I463" s="567"/>
      <c r="J463" s="567"/>
      <c r="K463" s="567"/>
      <c r="L463" s="568"/>
      <c r="M463" s="568"/>
      <c r="N463" s="567"/>
      <c r="O463" s="567"/>
      <c r="P463" s="567"/>
      <c r="Q463" s="567"/>
      <c r="R463" s="570"/>
      <c r="S463" s="570"/>
      <c r="T463" s="567"/>
      <c r="U463" s="569"/>
      <c r="V463" s="567"/>
      <c r="W463" s="568"/>
      <c r="X463" s="568"/>
      <c r="Y463" s="567"/>
    </row>
    <row r="464" spans="1:25" x14ac:dyDescent="0.25">
      <c r="A464" s="570"/>
      <c r="B464" s="570"/>
      <c r="C464" s="570"/>
      <c r="D464" s="567"/>
      <c r="E464" s="567"/>
      <c r="F464" s="567"/>
      <c r="G464" s="570"/>
      <c r="H464" s="570"/>
      <c r="I464" s="567"/>
      <c r="J464" s="567"/>
      <c r="K464" s="567"/>
      <c r="L464" s="568"/>
      <c r="M464" s="568"/>
      <c r="N464" s="567"/>
      <c r="O464" s="567"/>
      <c r="P464" s="567"/>
      <c r="Q464" s="567"/>
      <c r="R464" s="570"/>
      <c r="S464" s="570"/>
      <c r="T464" s="567"/>
      <c r="U464" s="569"/>
      <c r="V464" s="567"/>
      <c r="W464" s="568"/>
      <c r="X464" s="568"/>
      <c r="Y464" s="567"/>
    </row>
    <row r="465" spans="1:25" x14ac:dyDescent="0.25">
      <c r="A465" s="570"/>
      <c r="B465" s="570"/>
      <c r="C465" s="570"/>
      <c r="D465" s="567"/>
      <c r="E465" s="567"/>
      <c r="F465" s="567"/>
      <c r="G465" s="570"/>
      <c r="H465" s="570"/>
      <c r="I465" s="567"/>
      <c r="J465" s="567"/>
      <c r="K465" s="567"/>
      <c r="L465" s="568"/>
      <c r="M465" s="568"/>
      <c r="N465" s="567"/>
      <c r="O465" s="567"/>
      <c r="P465" s="567"/>
      <c r="Q465" s="567"/>
      <c r="R465" s="570"/>
      <c r="S465" s="570"/>
      <c r="T465" s="567"/>
      <c r="U465" s="569"/>
      <c r="V465" s="567"/>
      <c r="W465" s="568"/>
      <c r="X465" s="568"/>
      <c r="Y465" s="567"/>
    </row>
    <row r="466" spans="1:25" x14ac:dyDescent="0.25">
      <c r="A466" s="570"/>
      <c r="B466" s="570"/>
      <c r="C466" s="570"/>
      <c r="D466" s="567"/>
      <c r="E466" s="567"/>
      <c r="F466" s="567"/>
      <c r="G466" s="570"/>
      <c r="H466" s="570"/>
      <c r="I466" s="567"/>
      <c r="J466" s="567"/>
      <c r="K466" s="567"/>
      <c r="L466" s="568"/>
      <c r="M466" s="568"/>
      <c r="N466" s="567"/>
      <c r="O466" s="567"/>
      <c r="P466" s="567"/>
      <c r="Q466" s="567"/>
      <c r="R466" s="570"/>
      <c r="S466" s="570"/>
      <c r="T466" s="567"/>
      <c r="U466" s="569"/>
      <c r="V466" s="567"/>
      <c r="W466" s="568"/>
      <c r="X466" s="568"/>
      <c r="Y466" s="567"/>
    </row>
    <row r="467" spans="1:25" x14ac:dyDescent="0.25">
      <c r="A467" s="570"/>
      <c r="B467" s="570"/>
      <c r="C467" s="570"/>
      <c r="D467" s="567"/>
      <c r="E467" s="567"/>
      <c r="F467" s="567"/>
      <c r="G467" s="570"/>
      <c r="H467" s="570"/>
      <c r="I467" s="567"/>
      <c r="J467" s="567"/>
      <c r="K467" s="567"/>
      <c r="L467" s="568"/>
      <c r="M467" s="568"/>
      <c r="N467" s="567"/>
      <c r="O467" s="567"/>
      <c r="P467" s="567"/>
      <c r="Q467" s="567"/>
      <c r="R467" s="570"/>
      <c r="S467" s="570"/>
      <c r="T467" s="567"/>
      <c r="U467" s="569"/>
      <c r="V467" s="567"/>
      <c r="W467" s="568"/>
      <c r="X467" s="568"/>
      <c r="Y467" s="567"/>
    </row>
    <row r="468" spans="1:25" x14ac:dyDescent="0.25">
      <c r="A468" s="570"/>
      <c r="B468" s="570"/>
      <c r="C468" s="570"/>
      <c r="D468" s="567"/>
      <c r="E468" s="567"/>
      <c r="F468" s="567"/>
      <c r="G468" s="570"/>
      <c r="H468" s="570"/>
      <c r="I468" s="567"/>
      <c r="J468" s="567"/>
      <c r="K468" s="567"/>
      <c r="L468" s="568"/>
      <c r="M468" s="568"/>
      <c r="N468" s="567"/>
      <c r="O468" s="567"/>
      <c r="P468" s="567"/>
      <c r="Q468" s="567"/>
      <c r="R468" s="570"/>
      <c r="S468" s="570"/>
      <c r="T468" s="567"/>
      <c r="U468" s="569"/>
      <c r="V468" s="567"/>
      <c r="W468" s="568"/>
      <c r="X468" s="568"/>
      <c r="Y468" s="567"/>
    </row>
    <row r="469" spans="1:25" x14ac:dyDescent="0.25">
      <c r="A469" s="570"/>
      <c r="B469" s="570"/>
      <c r="C469" s="570"/>
      <c r="D469" s="567"/>
      <c r="E469" s="567"/>
      <c r="F469" s="567"/>
      <c r="G469" s="570"/>
      <c r="H469" s="570"/>
      <c r="I469" s="567"/>
      <c r="J469" s="567"/>
      <c r="K469" s="567"/>
      <c r="L469" s="568"/>
      <c r="M469" s="568"/>
      <c r="N469" s="567"/>
      <c r="O469" s="567"/>
      <c r="P469" s="567"/>
      <c r="Q469" s="567"/>
      <c r="R469" s="570"/>
      <c r="S469" s="570"/>
      <c r="T469" s="567"/>
      <c r="U469" s="569"/>
      <c r="V469" s="567"/>
      <c r="W469" s="568"/>
      <c r="X469" s="568"/>
      <c r="Y469" s="567"/>
    </row>
    <row r="470" spans="1:25" x14ac:dyDescent="0.25">
      <c r="A470" s="570"/>
      <c r="B470" s="570"/>
      <c r="C470" s="570"/>
      <c r="D470" s="567"/>
      <c r="E470" s="567"/>
      <c r="F470" s="567"/>
      <c r="G470" s="570"/>
      <c r="H470" s="570"/>
      <c r="I470" s="567"/>
      <c r="J470" s="567"/>
      <c r="K470" s="567"/>
      <c r="L470" s="568"/>
      <c r="M470" s="568"/>
      <c r="N470" s="567"/>
      <c r="O470" s="567"/>
      <c r="P470" s="567"/>
      <c r="Q470" s="567"/>
      <c r="R470" s="570"/>
      <c r="S470" s="570"/>
      <c r="T470" s="567"/>
      <c r="U470" s="569"/>
      <c r="V470" s="567"/>
      <c r="W470" s="568"/>
      <c r="X470" s="568"/>
      <c r="Y470" s="567"/>
    </row>
    <row r="471" spans="1:25" x14ac:dyDescent="0.25">
      <c r="A471" s="570"/>
      <c r="B471" s="570"/>
      <c r="C471" s="570"/>
      <c r="D471" s="567"/>
      <c r="E471" s="567"/>
      <c r="F471" s="567"/>
      <c r="G471" s="570"/>
      <c r="H471" s="570"/>
      <c r="I471" s="567"/>
      <c r="J471" s="567"/>
      <c r="K471" s="567"/>
      <c r="L471" s="568"/>
      <c r="M471" s="568"/>
      <c r="N471" s="567"/>
      <c r="O471" s="567"/>
      <c r="P471" s="567"/>
      <c r="Q471" s="567"/>
      <c r="R471" s="570"/>
      <c r="S471" s="570"/>
      <c r="T471" s="567"/>
      <c r="U471" s="569"/>
      <c r="V471" s="567"/>
      <c r="W471" s="568"/>
      <c r="X471" s="568"/>
      <c r="Y471" s="567"/>
    </row>
    <row r="472" spans="1:25" x14ac:dyDescent="0.25">
      <c r="A472" s="570"/>
      <c r="B472" s="570"/>
      <c r="C472" s="570"/>
      <c r="D472" s="567"/>
      <c r="E472" s="567"/>
      <c r="F472" s="567"/>
      <c r="G472" s="570"/>
      <c r="H472" s="570"/>
      <c r="I472" s="567"/>
      <c r="J472" s="567"/>
      <c r="K472" s="567"/>
      <c r="L472" s="568"/>
      <c r="M472" s="568"/>
      <c r="N472" s="567"/>
      <c r="O472" s="567"/>
      <c r="P472" s="567"/>
      <c r="Q472" s="567"/>
      <c r="R472" s="570"/>
      <c r="S472" s="570"/>
      <c r="T472" s="567"/>
      <c r="U472" s="569"/>
      <c r="V472" s="567"/>
      <c r="W472" s="568"/>
      <c r="X472" s="568"/>
      <c r="Y472" s="567"/>
    </row>
    <row r="473" spans="1:25" x14ac:dyDescent="0.25">
      <c r="A473" s="570"/>
      <c r="B473" s="570"/>
      <c r="C473" s="570"/>
      <c r="D473" s="567"/>
      <c r="E473" s="567"/>
      <c r="F473" s="567"/>
      <c r="G473" s="570"/>
      <c r="H473" s="570"/>
      <c r="I473" s="567"/>
      <c r="J473" s="567"/>
      <c r="K473" s="567"/>
      <c r="L473" s="568"/>
      <c r="M473" s="568"/>
      <c r="N473" s="567"/>
      <c r="O473" s="567"/>
      <c r="P473" s="567"/>
      <c r="Q473" s="567"/>
      <c r="R473" s="570"/>
      <c r="S473" s="570"/>
      <c r="T473" s="567"/>
      <c r="U473" s="569"/>
      <c r="V473" s="567"/>
      <c r="W473" s="568"/>
      <c r="X473" s="568"/>
      <c r="Y473" s="567"/>
    </row>
    <row r="474" spans="1:25" x14ac:dyDescent="0.25">
      <c r="A474" s="570"/>
      <c r="B474" s="570"/>
      <c r="C474" s="570"/>
      <c r="D474" s="567"/>
      <c r="E474" s="567"/>
      <c r="F474" s="567"/>
      <c r="G474" s="570"/>
      <c r="H474" s="570"/>
      <c r="I474" s="567"/>
      <c r="J474" s="567"/>
      <c r="K474" s="567"/>
      <c r="L474" s="568"/>
      <c r="M474" s="568"/>
      <c r="N474" s="567"/>
      <c r="O474" s="567"/>
      <c r="P474" s="567"/>
      <c r="Q474" s="567"/>
      <c r="R474" s="570"/>
      <c r="S474" s="570"/>
      <c r="T474" s="567"/>
      <c r="U474" s="569"/>
      <c r="V474" s="567"/>
      <c r="W474" s="568"/>
      <c r="X474" s="568"/>
      <c r="Y474" s="567"/>
    </row>
    <row r="475" spans="1:25" x14ac:dyDescent="0.25">
      <c r="A475" s="570"/>
      <c r="B475" s="570"/>
      <c r="C475" s="570"/>
      <c r="D475" s="567"/>
      <c r="E475" s="567"/>
      <c r="F475" s="567"/>
      <c r="G475" s="570"/>
      <c r="H475" s="570"/>
      <c r="I475" s="567"/>
      <c r="J475" s="567"/>
      <c r="K475" s="567"/>
      <c r="L475" s="568"/>
      <c r="M475" s="568"/>
      <c r="N475" s="567"/>
      <c r="O475" s="567"/>
      <c r="P475" s="567"/>
      <c r="Q475" s="567"/>
      <c r="R475" s="570"/>
      <c r="S475" s="570"/>
      <c r="T475" s="567"/>
      <c r="U475" s="569"/>
      <c r="V475" s="567"/>
      <c r="W475" s="568"/>
      <c r="X475" s="568"/>
      <c r="Y475" s="567"/>
    </row>
    <row r="476" spans="1:25" x14ac:dyDescent="0.25">
      <c r="A476" s="570"/>
      <c r="B476" s="570"/>
      <c r="C476" s="570"/>
      <c r="D476" s="567"/>
      <c r="E476" s="567"/>
      <c r="F476" s="567"/>
      <c r="G476" s="570"/>
      <c r="H476" s="570"/>
      <c r="I476" s="567"/>
      <c r="J476" s="567"/>
      <c r="K476" s="567"/>
      <c r="L476" s="568"/>
      <c r="M476" s="568"/>
      <c r="N476" s="567"/>
      <c r="O476" s="567"/>
      <c r="P476" s="567"/>
      <c r="Q476" s="567"/>
      <c r="R476" s="570"/>
      <c r="S476" s="570"/>
      <c r="T476" s="567"/>
      <c r="U476" s="569"/>
      <c r="V476" s="567"/>
      <c r="W476" s="568"/>
      <c r="X476" s="568"/>
      <c r="Y476" s="567"/>
    </row>
    <row r="477" spans="1:25" x14ac:dyDescent="0.25">
      <c r="A477" s="570"/>
      <c r="B477" s="570"/>
      <c r="C477" s="570"/>
      <c r="D477" s="567"/>
      <c r="E477" s="567"/>
      <c r="F477" s="567"/>
      <c r="G477" s="570"/>
      <c r="H477" s="570"/>
      <c r="I477" s="567"/>
      <c r="J477" s="567"/>
      <c r="K477" s="567"/>
      <c r="L477" s="568"/>
      <c r="M477" s="568"/>
      <c r="N477" s="567"/>
      <c r="O477" s="567"/>
      <c r="P477" s="567"/>
      <c r="Q477" s="567"/>
      <c r="R477" s="570"/>
      <c r="S477" s="570"/>
      <c r="T477" s="567"/>
      <c r="U477" s="569"/>
      <c r="V477" s="567"/>
      <c r="W477" s="568"/>
      <c r="X477" s="568"/>
      <c r="Y477" s="567"/>
    </row>
    <row r="478" spans="1:25" x14ac:dyDescent="0.25">
      <c r="A478" s="570"/>
      <c r="B478" s="570"/>
      <c r="C478" s="570"/>
      <c r="D478" s="567"/>
      <c r="E478" s="567"/>
      <c r="F478" s="567"/>
      <c r="G478" s="570"/>
      <c r="H478" s="570"/>
      <c r="I478" s="567"/>
      <c r="J478" s="567"/>
      <c r="K478" s="567"/>
      <c r="L478" s="568"/>
      <c r="M478" s="568"/>
      <c r="N478" s="567"/>
      <c r="O478" s="567"/>
      <c r="P478" s="567"/>
      <c r="Q478" s="567"/>
      <c r="R478" s="570"/>
      <c r="S478" s="570"/>
      <c r="T478" s="567"/>
      <c r="U478" s="569"/>
      <c r="V478" s="567"/>
      <c r="W478" s="568"/>
      <c r="X478" s="568"/>
      <c r="Y478" s="567"/>
    </row>
    <row r="479" spans="1:25" x14ac:dyDescent="0.25">
      <c r="A479" s="570"/>
      <c r="B479" s="570"/>
      <c r="C479" s="570"/>
      <c r="D479" s="567"/>
      <c r="E479" s="567"/>
      <c r="F479" s="567"/>
      <c r="G479" s="570"/>
      <c r="H479" s="570"/>
      <c r="I479" s="567"/>
      <c r="J479" s="567"/>
      <c r="K479" s="567"/>
      <c r="L479" s="568"/>
      <c r="M479" s="568"/>
      <c r="N479" s="567"/>
      <c r="O479" s="567"/>
      <c r="P479" s="567"/>
      <c r="Q479" s="567"/>
      <c r="R479" s="570"/>
      <c r="S479" s="570"/>
      <c r="T479" s="567"/>
      <c r="U479" s="569"/>
      <c r="V479" s="567"/>
      <c r="W479" s="568"/>
      <c r="X479" s="568"/>
      <c r="Y479" s="567"/>
    </row>
    <row r="480" spans="1:25" x14ac:dyDescent="0.25">
      <c r="A480" s="570"/>
      <c r="B480" s="570"/>
      <c r="C480" s="570"/>
      <c r="D480" s="567"/>
      <c r="E480" s="567"/>
      <c r="F480" s="567"/>
      <c r="G480" s="570"/>
      <c r="H480" s="570"/>
      <c r="I480" s="567"/>
      <c r="J480" s="567"/>
      <c r="K480" s="567"/>
      <c r="L480" s="568"/>
      <c r="M480" s="568"/>
      <c r="N480" s="567"/>
      <c r="O480" s="567"/>
      <c r="P480" s="567"/>
      <c r="Q480" s="567"/>
      <c r="R480" s="570"/>
      <c r="S480" s="570"/>
      <c r="T480" s="567"/>
      <c r="U480" s="569"/>
      <c r="V480" s="567"/>
      <c r="W480" s="568"/>
      <c r="X480" s="568"/>
      <c r="Y480" s="567"/>
    </row>
    <row r="481" spans="1:25" x14ac:dyDescent="0.25">
      <c r="A481" s="570"/>
      <c r="B481" s="570"/>
      <c r="C481" s="570"/>
      <c r="D481" s="567"/>
      <c r="E481" s="567"/>
      <c r="F481" s="567"/>
      <c r="G481" s="570"/>
      <c r="H481" s="570"/>
      <c r="I481" s="567"/>
      <c r="J481" s="567"/>
      <c r="K481" s="567"/>
      <c r="L481" s="568"/>
      <c r="M481" s="568"/>
      <c r="N481" s="567"/>
      <c r="O481" s="567"/>
      <c r="P481" s="567"/>
      <c r="Q481" s="567"/>
      <c r="R481" s="570"/>
      <c r="S481" s="570"/>
      <c r="T481" s="567"/>
      <c r="U481" s="569"/>
      <c r="V481" s="567"/>
      <c r="W481" s="568"/>
      <c r="X481" s="568"/>
      <c r="Y481" s="567"/>
    </row>
    <row r="482" spans="1:25" x14ac:dyDescent="0.25">
      <c r="A482" s="570"/>
      <c r="B482" s="570"/>
      <c r="C482" s="570"/>
      <c r="D482" s="567"/>
      <c r="E482" s="567"/>
      <c r="F482" s="567"/>
      <c r="G482" s="570"/>
      <c r="H482" s="570"/>
      <c r="I482" s="567"/>
      <c r="J482" s="567"/>
      <c r="K482" s="567"/>
      <c r="L482" s="568"/>
      <c r="M482" s="568"/>
      <c r="N482" s="567"/>
      <c r="O482" s="567"/>
      <c r="P482" s="567"/>
      <c r="Q482" s="567"/>
      <c r="R482" s="570"/>
      <c r="S482" s="570"/>
      <c r="T482" s="567"/>
      <c r="U482" s="569"/>
      <c r="V482" s="567"/>
      <c r="W482" s="568"/>
      <c r="X482" s="568"/>
      <c r="Y482" s="567"/>
    </row>
    <row r="483" spans="1:25" x14ac:dyDescent="0.25">
      <c r="A483" s="570"/>
      <c r="B483" s="570"/>
      <c r="C483" s="570"/>
      <c r="D483" s="567"/>
      <c r="E483" s="567"/>
      <c r="F483" s="567"/>
      <c r="G483" s="570"/>
      <c r="H483" s="570"/>
      <c r="I483" s="567"/>
      <c r="J483" s="567"/>
      <c r="K483" s="567"/>
      <c r="L483" s="568"/>
      <c r="M483" s="568"/>
      <c r="N483" s="567"/>
      <c r="O483" s="567"/>
      <c r="P483" s="567"/>
      <c r="Q483" s="567"/>
      <c r="R483" s="570"/>
      <c r="S483" s="570"/>
      <c r="T483" s="567"/>
      <c r="U483" s="569"/>
      <c r="V483" s="567"/>
      <c r="W483" s="568"/>
      <c r="X483" s="568"/>
      <c r="Y483" s="567"/>
    </row>
    <row r="484" spans="1:25" x14ac:dyDescent="0.25">
      <c r="A484" s="570"/>
      <c r="B484" s="570"/>
      <c r="C484" s="570"/>
      <c r="D484" s="567"/>
      <c r="E484" s="567"/>
      <c r="F484" s="567"/>
      <c r="G484" s="570"/>
      <c r="H484" s="570"/>
      <c r="I484" s="567"/>
      <c r="J484" s="567"/>
      <c r="K484" s="567"/>
      <c r="L484" s="568"/>
      <c r="M484" s="568"/>
      <c r="N484" s="567"/>
      <c r="O484" s="567"/>
      <c r="P484" s="567"/>
      <c r="Q484" s="567"/>
      <c r="R484" s="570"/>
      <c r="S484" s="570"/>
      <c r="T484" s="567"/>
      <c r="U484" s="569"/>
      <c r="V484" s="567"/>
      <c r="W484" s="568"/>
      <c r="X484" s="568"/>
      <c r="Y484" s="567"/>
    </row>
    <row r="485" spans="1:25" x14ac:dyDescent="0.25">
      <c r="A485" s="570"/>
      <c r="B485" s="570"/>
      <c r="C485" s="570"/>
      <c r="D485" s="567"/>
      <c r="E485" s="567"/>
      <c r="F485" s="567"/>
      <c r="G485" s="570"/>
      <c r="H485" s="570"/>
      <c r="I485" s="567"/>
      <c r="J485" s="567"/>
      <c r="K485" s="567"/>
      <c r="L485" s="568"/>
      <c r="M485" s="568"/>
      <c r="N485" s="567"/>
      <c r="O485" s="567"/>
      <c r="P485" s="567"/>
      <c r="Q485" s="567"/>
      <c r="R485" s="570"/>
      <c r="S485" s="570"/>
      <c r="T485" s="567"/>
      <c r="U485" s="569"/>
      <c r="V485" s="567"/>
      <c r="W485" s="568"/>
      <c r="X485" s="568"/>
      <c r="Y485" s="567"/>
    </row>
    <row r="486" spans="1:25" x14ac:dyDescent="0.25">
      <c r="A486" s="570"/>
      <c r="B486" s="570"/>
      <c r="C486" s="570"/>
      <c r="D486" s="567"/>
      <c r="E486" s="567"/>
      <c r="F486" s="567"/>
      <c r="G486" s="570"/>
      <c r="H486" s="570"/>
      <c r="I486" s="567"/>
      <c r="J486" s="567"/>
      <c r="K486" s="567"/>
      <c r="L486" s="568"/>
      <c r="M486" s="568"/>
      <c r="N486" s="567"/>
      <c r="O486" s="567"/>
      <c r="P486" s="567"/>
      <c r="Q486" s="567"/>
      <c r="R486" s="570"/>
      <c r="S486" s="570"/>
      <c r="T486" s="567"/>
      <c r="U486" s="569"/>
      <c r="V486" s="567"/>
      <c r="W486" s="568"/>
      <c r="X486" s="568"/>
      <c r="Y486" s="567"/>
    </row>
    <row r="487" spans="1:25" x14ac:dyDescent="0.25">
      <c r="A487" s="570"/>
      <c r="B487" s="570"/>
      <c r="C487" s="570"/>
      <c r="D487" s="567"/>
      <c r="E487" s="567"/>
      <c r="F487" s="567"/>
      <c r="G487" s="570"/>
      <c r="H487" s="570"/>
      <c r="I487" s="567"/>
      <c r="J487" s="567"/>
      <c r="K487" s="567"/>
      <c r="L487" s="568"/>
      <c r="M487" s="568"/>
      <c r="N487" s="567"/>
      <c r="O487" s="567"/>
      <c r="P487" s="567"/>
      <c r="Q487" s="567"/>
      <c r="R487" s="570"/>
      <c r="S487" s="570"/>
      <c r="T487" s="567"/>
      <c r="U487" s="569"/>
      <c r="V487" s="567"/>
      <c r="W487" s="568"/>
      <c r="X487" s="568"/>
      <c r="Y487" s="567"/>
    </row>
    <row r="488" spans="1:25" x14ac:dyDescent="0.25">
      <c r="A488" s="570"/>
      <c r="B488" s="570"/>
      <c r="C488" s="570"/>
      <c r="D488" s="567"/>
      <c r="E488" s="567"/>
      <c r="F488" s="567"/>
      <c r="G488" s="570"/>
      <c r="H488" s="570"/>
      <c r="I488" s="567"/>
      <c r="J488" s="567"/>
      <c r="K488" s="567"/>
      <c r="L488" s="568"/>
      <c r="M488" s="568"/>
      <c r="N488" s="567"/>
      <c r="O488" s="567"/>
      <c r="P488" s="567"/>
      <c r="Q488" s="567"/>
      <c r="R488" s="570"/>
      <c r="S488" s="570"/>
      <c r="T488" s="567"/>
      <c r="U488" s="569"/>
      <c r="V488" s="567"/>
      <c r="W488" s="568"/>
      <c r="X488" s="568"/>
      <c r="Y488" s="567"/>
    </row>
    <row r="489" spans="1:25" x14ac:dyDescent="0.25">
      <c r="A489" s="570"/>
      <c r="B489" s="570"/>
      <c r="C489" s="570"/>
      <c r="D489" s="567"/>
      <c r="E489" s="567"/>
      <c r="F489" s="567"/>
      <c r="G489" s="570"/>
      <c r="H489" s="570"/>
      <c r="I489" s="567"/>
      <c r="J489" s="567"/>
      <c r="K489" s="567"/>
      <c r="L489" s="568"/>
      <c r="M489" s="568"/>
      <c r="N489" s="567"/>
      <c r="O489" s="567"/>
      <c r="P489" s="567"/>
      <c r="Q489" s="567"/>
      <c r="R489" s="570"/>
      <c r="S489" s="570"/>
      <c r="T489" s="567"/>
      <c r="U489" s="569"/>
      <c r="V489" s="567"/>
      <c r="W489" s="568"/>
      <c r="X489" s="568"/>
      <c r="Y489" s="567"/>
    </row>
    <row r="490" spans="1:25" x14ac:dyDescent="0.25">
      <c r="A490" s="570"/>
      <c r="B490" s="570"/>
      <c r="C490" s="570"/>
      <c r="D490" s="567"/>
      <c r="E490" s="567"/>
      <c r="F490" s="567"/>
      <c r="G490" s="570"/>
      <c r="H490" s="570"/>
      <c r="I490" s="567"/>
      <c r="J490" s="567"/>
      <c r="K490" s="567"/>
      <c r="L490" s="568"/>
      <c r="M490" s="568"/>
      <c r="N490" s="567"/>
      <c r="O490" s="567"/>
      <c r="P490" s="567"/>
      <c r="Q490" s="567"/>
      <c r="R490" s="570"/>
      <c r="S490" s="570"/>
      <c r="T490" s="567"/>
      <c r="U490" s="569"/>
      <c r="V490" s="567"/>
      <c r="W490" s="568"/>
      <c r="X490" s="568"/>
      <c r="Y490" s="567"/>
    </row>
    <row r="491" spans="1:25" x14ac:dyDescent="0.25">
      <c r="A491" s="570"/>
      <c r="B491" s="570"/>
      <c r="C491" s="570"/>
      <c r="D491" s="567"/>
      <c r="E491" s="567"/>
      <c r="F491" s="567"/>
      <c r="G491" s="570"/>
      <c r="H491" s="570"/>
      <c r="I491" s="567"/>
      <c r="J491" s="567"/>
      <c r="K491" s="567"/>
      <c r="L491" s="568"/>
      <c r="M491" s="568"/>
      <c r="N491" s="567"/>
      <c r="O491" s="567"/>
      <c r="P491" s="567"/>
      <c r="Q491" s="567"/>
      <c r="R491" s="570"/>
      <c r="S491" s="570"/>
      <c r="T491" s="567"/>
      <c r="U491" s="569"/>
      <c r="V491" s="567"/>
      <c r="W491" s="568"/>
      <c r="X491" s="568"/>
      <c r="Y491" s="567"/>
    </row>
    <row r="492" spans="1:25" x14ac:dyDescent="0.25">
      <c r="A492" s="570"/>
      <c r="B492" s="570"/>
      <c r="C492" s="570"/>
      <c r="D492" s="567"/>
      <c r="E492" s="567"/>
      <c r="F492" s="567"/>
      <c r="G492" s="570"/>
      <c r="H492" s="570"/>
      <c r="I492" s="567"/>
      <c r="J492" s="567"/>
      <c r="K492" s="567"/>
      <c r="L492" s="568"/>
      <c r="M492" s="568"/>
      <c r="N492" s="567"/>
      <c r="O492" s="567"/>
      <c r="P492" s="567"/>
      <c r="Q492" s="567"/>
      <c r="R492" s="570"/>
      <c r="S492" s="570"/>
      <c r="T492" s="567"/>
      <c r="U492" s="569"/>
      <c r="V492" s="567"/>
      <c r="W492" s="568"/>
      <c r="X492" s="568"/>
      <c r="Y492" s="567"/>
    </row>
    <row r="493" spans="1:25" x14ac:dyDescent="0.25">
      <c r="A493" s="570"/>
      <c r="B493" s="570"/>
      <c r="C493" s="570"/>
      <c r="D493" s="567"/>
      <c r="E493" s="567"/>
      <c r="F493" s="567"/>
      <c r="G493" s="570"/>
      <c r="H493" s="570"/>
      <c r="I493" s="567"/>
      <c r="J493" s="567"/>
      <c r="K493" s="567"/>
      <c r="L493" s="568"/>
      <c r="M493" s="568"/>
      <c r="N493" s="567"/>
      <c r="O493" s="567"/>
      <c r="P493" s="567"/>
      <c r="Q493" s="567"/>
      <c r="R493" s="570"/>
      <c r="S493" s="570"/>
      <c r="T493" s="567"/>
      <c r="U493" s="569"/>
      <c r="V493" s="567"/>
      <c r="W493" s="568"/>
      <c r="X493" s="568"/>
      <c r="Y493" s="567"/>
    </row>
    <row r="494" spans="1:25" x14ac:dyDescent="0.25">
      <c r="A494" s="570"/>
      <c r="B494" s="570"/>
      <c r="C494" s="570"/>
      <c r="D494" s="567"/>
      <c r="E494" s="567"/>
      <c r="F494" s="567"/>
      <c r="G494" s="570"/>
      <c r="H494" s="570"/>
      <c r="I494" s="567"/>
      <c r="J494" s="567"/>
      <c r="K494" s="567"/>
      <c r="L494" s="568"/>
      <c r="M494" s="568"/>
      <c r="N494" s="567"/>
      <c r="O494" s="567"/>
      <c r="P494" s="567"/>
      <c r="Q494" s="567"/>
      <c r="R494" s="570"/>
      <c r="S494" s="570"/>
      <c r="T494" s="567"/>
      <c r="U494" s="569"/>
      <c r="V494" s="567"/>
      <c r="W494" s="568"/>
      <c r="X494" s="568"/>
      <c r="Y494" s="567"/>
    </row>
    <row r="495" spans="1:25" x14ac:dyDescent="0.25">
      <c r="A495" s="570"/>
      <c r="B495" s="570"/>
      <c r="C495" s="570"/>
      <c r="D495" s="567"/>
      <c r="E495" s="567"/>
      <c r="F495" s="567"/>
      <c r="G495" s="570"/>
      <c r="H495" s="570"/>
      <c r="I495" s="567"/>
      <c r="J495" s="567"/>
      <c r="K495" s="567"/>
      <c r="L495" s="568"/>
      <c r="M495" s="568"/>
      <c r="N495" s="567"/>
      <c r="O495" s="567"/>
      <c r="P495" s="567"/>
      <c r="Q495" s="567"/>
      <c r="R495" s="570"/>
      <c r="S495" s="570"/>
      <c r="T495" s="567"/>
      <c r="U495" s="569"/>
      <c r="V495" s="567"/>
      <c r="W495" s="568"/>
      <c r="X495" s="568"/>
      <c r="Y495" s="567"/>
    </row>
    <row r="496" spans="1:25" x14ac:dyDescent="0.25">
      <c r="A496" s="570"/>
      <c r="B496" s="570"/>
      <c r="C496" s="570"/>
      <c r="D496" s="567"/>
      <c r="E496" s="567"/>
      <c r="F496" s="567"/>
      <c r="G496" s="570"/>
      <c r="H496" s="570"/>
      <c r="I496" s="567"/>
      <c r="J496" s="567"/>
      <c r="K496" s="567"/>
      <c r="L496" s="568"/>
      <c r="M496" s="568"/>
      <c r="N496" s="567"/>
      <c r="O496" s="567"/>
      <c r="P496" s="567"/>
      <c r="Q496" s="567"/>
      <c r="R496" s="570"/>
      <c r="S496" s="570"/>
      <c r="T496" s="567"/>
      <c r="U496" s="569"/>
      <c r="V496" s="567"/>
      <c r="W496" s="568"/>
      <c r="X496" s="568"/>
      <c r="Y496" s="567"/>
    </row>
    <row r="497" spans="1:25" x14ac:dyDescent="0.25">
      <c r="A497" s="570"/>
      <c r="B497" s="570"/>
      <c r="C497" s="570"/>
      <c r="D497" s="567"/>
      <c r="E497" s="567"/>
      <c r="F497" s="567"/>
      <c r="G497" s="570"/>
      <c r="H497" s="570"/>
      <c r="I497" s="567"/>
      <c r="J497" s="567"/>
      <c r="K497" s="567"/>
      <c r="L497" s="568"/>
      <c r="M497" s="568"/>
      <c r="N497" s="567"/>
      <c r="O497" s="567"/>
      <c r="P497" s="567"/>
      <c r="Q497" s="567"/>
      <c r="R497" s="570"/>
      <c r="S497" s="570"/>
      <c r="T497" s="567"/>
      <c r="U497" s="569"/>
      <c r="V497" s="567"/>
      <c r="W497" s="568"/>
      <c r="X497" s="568"/>
      <c r="Y497" s="567"/>
    </row>
    <row r="498" spans="1:25" x14ac:dyDescent="0.25">
      <c r="A498" s="570"/>
      <c r="B498" s="570"/>
      <c r="C498" s="570"/>
      <c r="D498" s="567"/>
      <c r="E498" s="567"/>
      <c r="F498" s="567"/>
      <c r="G498" s="570"/>
      <c r="H498" s="570"/>
      <c r="I498" s="567"/>
      <c r="J498" s="567"/>
      <c r="K498" s="567"/>
      <c r="L498" s="568"/>
      <c r="M498" s="568"/>
      <c r="N498" s="567"/>
      <c r="O498" s="567"/>
      <c r="P498" s="567"/>
      <c r="Q498" s="567"/>
      <c r="R498" s="570"/>
      <c r="S498" s="570"/>
      <c r="T498" s="567"/>
      <c r="U498" s="569"/>
      <c r="V498" s="567"/>
      <c r="W498" s="568"/>
      <c r="X498" s="568"/>
      <c r="Y498" s="567"/>
    </row>
    <row r="499" spans="1:25" x14ac:dyDescent="0.25">
      <c r="A499" s="570"/>
      <c r="B499" s="570"/>
      <c r="C499" s="570"/>
      <c r="D499" s="567"/>
      <c r="E499" s="567"/>
      <c r="F499" s="567"/>
      <c r="G499" s="570"/>
      <c r="H499" s="570"/>
      <c r="I499" s="567"/>
      <c r="J499" s="567"/>
      <c r="K499" s="567"/>
      <c r="L499" s="568"/>
      <c r="M499" s="568"/>
      <c r="N499" s="567"/>
      <c r="O499" s="567"/>
      <c r="P499" s="567"/>
      <c r="Q499" s="567"/>
      <c r="R499" s="570"/>
      <c r="S499" s="570"/>
      <c r="T499" s="567"/>
      <c r="U499" s="569"/>
      <c r="V499" s="567"/>
      <c r="W499" s="568"/>
      <c r="X499" s="568"/>
      <c r="Y499" s="567"/>
    </row>
    <row r="500" spans="1:25" x14ac:dyDescent="0.25">
      <c r="A500" s="570"/>
      <c r="B500" s="570"/>
      <c r="C500" s="570"/>
      <c r="D500" s="567"/>
      <c r="E500" s="567"/>
      <c r="F500" s="567"/>
      <c r="G500" s="570"/>
      <c r="H500" s="570"/>
      <c r="I500" s="567"/>
      <c r="J500" s="567"/>
      <c r="K500" s="567"/>
      <c r="L500" s="568"/>
      <c r="M500" s="568"/>
      <c r="N500" s="567"/>
      <c r="O500" s="567"/>
      <c r="P500" s="567"/>
      <c r="Q500" s="567"/>
      <c r="R500" s="570"/>
      <c r="S500" s="570"/>
      <c r="T500" s="567"/>
      <c r="U500" s="569"/>
      <c r="V500" s="567"/>
      <c r="W500" s="568"/>
      <c r="X500" s="568"/>
      <c r="Y500" s="567"/>
    </row>
    <row r="501" spans="1:25" x14ac:dyDescent="0.25">
      <c r="A501" s="570"/>
      <c r="B501" s="570"/>
      <c r="C501" s="570"/>
      <c r="D501" s="567"/>
      <c r="E501" s="567"/>
      <c r="F501" s="567"/>
      <c r="G501" s="570"/>
      <c r="H501" s="570"/>
      <c r="I501" s="567"/>
      <c r="J501" s="567"/>
      <c r="K501" s="567"/>
      <c r="L501" s="568"/>
      <c r="M501" s="568"/>
      <c r="N501" s="567"/>
      <c r="O501" s="567"/>
      <c r="P501" s="567"/>
      <c r="Q501" s="567"/>
      <c r="R501" s="570"/>
      <c r="S501" s="570"/>
      <c r="T501" s="567"/>
      <c r="U501" s="569"/>
      <c r="V501" s="567"/>
      <c r="W501" s="568"/>
      <c r="X501" s="568"/>
      <c r="Y501" s="567"/>
    </row>
    <row r="502" spans="1:25" x14ac:dyDescent="0.25">
      <c r="A502" s="570"/>
      <c r="B502" s="570"/>
      <c r="C502" s="570"/>
      <c r="D502" s="567"/>
      <c r="E502" s="567"/>
      <c r="F502" s="567"/>
      <c r="G502" s="570"/>
      <c r="H502" s="570"/>
      <c r="I502" s="567"/>
      <c r="J502" s="567"/>
      <c r="K502" s="567"/>
      <c r="L502" s="568"/>
      <c r="M502" s="568"/>
      <c r="N502" s="567"/>
      <c r="O502" s="567"/>
      <c r="P502" s="567"/>
      <c r="Q502" s="567"/>
      <c r="R502" s="570"/>
      <c r="S502" s="570"/>
      <c r="T502" s="567"/>
      <c r="U502" s="569"/>
      <c r="V502" s="567"/>
      <c r="W502" s="568"/>
      <c r="X502" s="568"/>
      <c r="Y502" s="567"/>
    </row>
    <row r="503" spans="1:25" x14ac:dyDescent="0.25">
      <c r="A503" s="570"/>
      <c r="B503" s="570"/>
      <c r="C503" s="570"/>
      <c r="D503" s="567"/>
      <c r="E503" s="567"/>
      <c r="F503" s="567"/>
      <c r="G503" s="570"/>
      <c r="H503" s="570"/>
      <c r="I503" s="567"/>
      <c r="J503" s="567"/>
      <c r="K503" s="567"/>
      <c r="L503" s="568"/>
      <c r="M503" s="568"/>
      <c r="N503" s="567"/>
      <c r="O503" s="567"/>
      <c r="P503" s="567"/>
      <c r="Q503" s="567"/>
      <c r="R503" s="570"/>
      <c r="S503" s="570"/>
      <c r="T503" s="567"/>
      <c r="U503" s="569"/>
      <c r="V503" s="567"/>
      <c r="W503" s="568"/>
      <c r="X503" s="568"/>
      <c r="Y503" s="567"/>
    </row>
    <row r="504" spans="1:25" x14ac:dyDescent="0.25">
      <c r="A504" s="570"/>
      <c r="B504" s="570"/>
      <c r="C504" s="570"/>
      <c r="D504" s="567"/>
      <c r="E504" s="567"/>
      <c r="F504" s="567"/>
      <c r="G504" s="570"/>
      <c r="H504" s="570"/>
      <c r="I504" s="567"/>
      <c r="J504" s="567"/>
      <c r="K504" s="567"/>
      <c r="L504" s="568"/>
      <c r="M504" s="568"/>
      <c r="N504" s="567"/>
      <c r="O504" s="567"/>
      <c r="P504" s="567"/>
      <c r="Q504" s="567"/>
      <c r="R504" s="570"/>
      <c r="S504" s="570"/>
      <c r="T504" s="567"/>
      <c r="U504" s="569"/>
      <c r="V504" s="567"/>
      <c r="W504" s="568"/>
      <c r="X504" s="568"/>
      <c r="Y504" s="567"/>
    </row>
    <row r="505" spans="1:25" x14ac:dyDescent="0.25">
      <c r="A505" s="570"/>
      <c r="B505" s="570"/>
      <c r="C505" s="570"/>
      <c r="D505" s="567"/>
      <c r="E505" s="567"/>
      <c r="F505" s="567"/>
      <c r="G505" s="570"/>
      <c r="H505" s="570"/>
      <c r="I505" s="567"/>
      <c r="J505" s="567"/>
      <c r="K505" s="567"/>
      <c r="L505" s="568"/>
      <c r="M505" s="568"/>
      <c r="N505" s="567"/>
      <c r="O505" s="567"/>
      <c r="P505" s="567"/>
      <c r="Q505" s="567"/>
      <c r="R505" s="570"/>
      <c r="S505" s="570"/>
      <c r="T505" s="567"/>
      <c r="U505" s="569"/>
      <c r="V505" s="567"/>
      <c r="W505" s="568"/>
      <c r="X505" s="568"/>
      <c r="Y505" s="567"/>
    </row>
    <row r="506" spans="1:25" x14ac:dyDescent="0.25">
      <c r="A506" s="570"/>
      <c r="B506" s="570"/>
      <c r="C506" s="570"/>
      <c r="D506" s="567"/>
      <c r="E506" s="567"/>
      <c r="F506" s="567"/>
      <c r="G506" s="570"/>
      <c r="H506" s="570"/>
      <c r="I506" s="567"/>
      <c r="J506" s="567"/>
      <c r="K506" s="567"/>
      <c r="L506" s="568"/>
      <c r="M506" s="568"/>
      <c r="N506" s="567"/>
      <c r="O506" s="567"/>
      <c r="P506" s="567"/>
      <c r="Q506" s="567"/>
      <c r="R506" s="570"/>
      <c r="S506" s="570"/>
      <c r="T506" s="567"/>
      <c r="U506" s="569"/>
      <c r="V506" s="567"/>
      <c r="W506" s="568"/>
      <c r="X506" s="568"/>
      <c r="Y506" s="567"/>
    </row>
    <row r="507" spans="1:25" x14ac:dyDescent="0.25">
      <c r="A507" s="570"/>
      <c r="B507" s="570"/>
      <c r="C507" s="570"/>
      <c r="D507" s="567"/>
      <c r="E507" s="567"/>
      <c r="F507" s="567"/>
      <c r="G507" s="570"/>
      <c r="H507" s="570"/>
      <c r="I507" s="567"/>
      <c r="J507" s="567"/>
      <c r="K507" s="567"/>
      <c r="L507" s="568"/>
      <c r="M507" s="568"/>
      <c r="N507" s="567"/>
      <c r="O507" s="567"/>
      <c r="P507" s="567"/>
      <c r="Q507" s="567"/>
      <c r="R507" s="570"/>
      <c r="S507" s="570"/>
      <c r="T507" s="567"/>
      <c r="U507" s="569"/>
      <c r="V507" s="567"/>
      <c r="W507" s="568"/>
      <c r="X507" s="568"/>
      <c r="Y507" s="567"/>
    </row>
    <row r="508" spans="1:25" x14ac:dyDescent="0.25">
      <c r="A508" s="570"/>
      <c r="B508" s="570"/>
      <c r="C508" s="570"/>
      <c r="D508" s="567"/>
      <c r="E508" s="567"/>
      <c r="F508" s="567"/>
      <c r="G508" s="570"/>
      <c r="H508" s="570"/>
      <c r="I508" s="567"/>
      <c r="J508" s="567"/>
      <c r="K508" s="567"/>
      <c r="L508" s="568"/>
      <c r="M508" s="568"/>
      <c r="N508" s="567"/>
      <c r="O508" s="567"/>
      <c r="P508" s="567"/>
      <c r="Q508" s="567"/>
      <c r="R508" s="570"/>
      <c r="S508" s="570"/>
      <c r="T508" s="567"/>
      <c r="U508" s="569"/>
      <c r="V508" s="567"/>
      <c r="W508" s="568"/>
      <c r="X508" s="568"/>
      <c r="Y508" s="567"/>
    </row>
    <row r="509" spans="1:25" x14ac:dyDescent="0.25">
      <c r="A509" s="570"/>
      <c r="B509" s="570"/>
      <c r="C509" s="570"/>
      <c r="D509" s="567"/>
      <c r="E509" s="567"/>
      <c r="F509" s="567"/>
      <c r="G509" s="570"/>
      <c r="H509" s="570"/>
      <c r="I509" s="567"/>
      <c r="J509" s="567"/>
      <c r="K509" s="567"/>
      <c r="L509" s="568"/>
      <c r="M509" s="568"/>
      <c r="N509" s="567"/>
      <c r="O509" s="567"/>
      <c r="P509" s="567"/>
      <c r="Q509" s="567"/>
      <c r="R509" s="570"/>
      <c r="S509" s="570"/>
      <c r="T509" s="567"/>
      <c r="U509" s="569"/>
      <c r="V509" s="567"/>
      <c r="W509" s="568"/>
      <c r="X509" s="568"/>
      <c r="Y509" s="567"/>
    </row>
    <row r="510" spans="1:25" x14ac:dyDescent="0.25">
      <c r="A510" s="570"/>
      <c r="B510" s="570"/>
      <c r="C510" s="570"/>
      <c r="D510" s="567"/>
      <c r="E510" s="567"/>
      <c r="F510" s="567"/>
      <c r="G510" s="570"/>
      <c r="H510" s="570"/>
      <c r="I510" s="567"/>
      <c r="J510" s="567"/>
      <c r="K510" s="567"/>
      <c r="L510" s="568"/>
      <c r="M510" s="568"/>
      <c r="N510" s="567"/>
      <c r="O510" s="567"/>
      <c r="P510" s="567"/>
      <c r="Q510" s="567"/>
      <c r="R510" s="570"/>
      <c r="S510" s="570"/>
      <c r="T510" s="567"/>
      <c r="U510" s="569"/>
      <c r="V510" s="567"/>
      <c r="W510" s="568"/>
      <c r="X510" s="568"/>
      <c r="Y510" s="567"/>
    </row>
    <row r="511" spans="1:25" x14ac:dyDescent="0.25">
      <c r="A511" s="570"/>
      <c r="B511" s="570"/>
      <c r="C511" s="570"/>
      <c r="D511" s="567"/>
      <c r="E511" s="567"/>
      <c r="F511" s="567"/>
      <c r="G511" s="570"/>
      <c r="H511" s="570"/>
      <c r="I511" s="567"/>
      <c r="J511" s="567"/>
      <c r="K511" s="567"/>
      <c r="L511" s="568"/>
      <c r="M511" s="568"/>
      <c r="N511" s="567"/>
      <c r="O511" s="567"/>
      <c r="P511" s="567"/>
      <c r="Q511" s="567"/>
      <c r="R511" s="570"/>
      <c r="S511" s="570"/>
      <c r="T511" s="567"/>
      <c r="U511" s="569"/>
      <c r="V511" s="567"/>
      <c r="W511" s="568"/>
      <c r="X511" s="568"/>
      <c r="Y511" s="567"/>
    </row>
    <row r="512" spans="1:25" x14ac:dyDescent="0.25">
      <c r="A512" s="570"/>
      <c r="B512" s="570"/>
      <c r="C512" s="570"/>
      <c r="D512" s="567"/>
      <c r="E512" s="567"/>
      <c r="F512" s="567"/>
      <c r="G512" s="570"/>
      <c r="H512" s="570"/>
      <c r="I512" s="567"/>
      <c r="J512" s="567"/>
      <c r="K512" s="567"/>
      <c r="L512" s="568"/>
      <c r="M512" s="568"/>
      <c r="N512" s="567"/>
      <c r="O512" s="567"/>
      <c r="P512" s="567"/>
      <c r="Q512" s="567"/>
      <c r="R512" s="570"/>
      <c r="S512" s="570"/>
      <c r="T512" s="567"/>
      <c r="U512" s="569"/>
      <c r="V512" s="567"/>
      <c r="W512" s="568"/>
      <c r="X512" s="568"/>
      <c r="Y512" s="567"/>
    </row>
    <row r="513" spans="1:25" x14ac:dyDescent="0.25">
      <c r="A513" s="570"/>
      <c r="B513" s="570"/>
      <c r="C513" s="570"/>
      <c r="D513" s="567"/>
      <c r="E513" s="567"/>
      <c r="F513" s="567"/>
      <c r="G513" s="570"/>
      <c r="H513" s="570"/>
      <c r="I513" s="567"/>
      <c r="J513" s="567"/>
      <c r="K513" s="567"/>
      <c r="L513" s="568"/>
      <c r="M513" s="568"/>
      <c r="N513" s="567"/>
      <c r="O513" s="567"/>
      <c r="P513" s="567"/>
      <c r="Q513" s="567"/>
      <c r="R513" s="570"/>
      <c r="S513" s="570"/>
      <c r="T513" s="567"/>
      <c r="U513" s="569"/>
      <c r="V513" s="567"/>
      <c r="W513" s="568"/>
      <c r="X513" s="568"/>
      <c r="Y513" s="567"/>
    </row>
    <row r="514" spans="1:25" x14ac:dyDescent="0.25">
      <c r="A514" s="570"/>
      <c r="B514" s="570"/>
      <c r="C514" s="570"/>
      <c r="D514" s="567"/>
      <c r="E514" s="567"/>
      <c r="F514" s="567"/>
      <c r="G514" s="570"/>
      <c r="H514" s="570"/>
      <c r="I514" s="567"/>
      <c r="J514" s="567"/>
      <c r="K514" s="567"/>
      <c r="L514" s="568"/>
      <c r="M514" s="568"/>
      <c r="N514" s="567"/>
      <c r="O514" s="567"/>
      <c r="P514" s="567"/>
      <c r="Q514" s="567"/>
      <c r="R514" s="570"/>
      <c r="S514" s="570"/>
      <c r="T514" s="567"/>
      <c r="U514" s="569"/>
      <c r="V514" s="567"/>
      <c r="W514" s="568"/>
      <c r="X514" s="568"/>
      <c r="Y514" s="567"/>
    </row>
    <row r="515" spans="1:25" x14ac:dyDescent="0.25">
      <c r="A515" s="570"/>
      <c r="B515" s="570"/>
      <c r="C515" s="570"/>
      <c r="D515" s="567"/>
      <c r="E515" s="567"/>
      <c r="F515" s="567"/>
      <c r="G515" s="570"/>
      <c r="H515" s="570"/>
      <c r="I515" s="567"/>
      <c r="J515" s="567"/>
      <c r="K515" s="567"/>
      <c r="L515" s="568"/>
      <c r="M515" s="568"/>
      <c r="N515" s="567"/>
      <c r="O515" s="567"/>
      <c r="P515" s="567"/>
      <c r="Q515" s="567"/>
      <c r="R515" s="570"/>
      <c r="S515" s="570"/>
      <c r="T515" s="567"/>
      <c r="U515" s="569"/>
      <c r="V515" s="567"/>
      <c r="W515" s="568"/>
      <c r="X515" s="568"/>
      <c r="Y515" s="567"/>
    </row>
    <row r="516" spans="1:25" x14ac:dyDescent="0.25">
      <c r="A516" s="570"/>
      <c r="B516" s="570"/>
      <c r="C516" s="570"/>
      <c r="D516" s="567"/>
      <c r="E516" s="567"/>
      <c r="F516" s="567"/>
      <c r="G516" s="570"/>
      <c r="H516" s="570"/>
      <c r="I516" s="567"/>
      <c r="J516" s="567"/>
      <c r="K516" s="567"/>
      <c r="L516" s="568"/>
      <c r="M516" s="568"/>
      <c r="N516" s="567"/>
      <c r="O516" s="567"/>
      <c r="P516" s="567"/>
      <c r="Q516" s="567"/>
      <c r="R516" s="570"/>
      <c r="S516" s="570"/>
      <c r="T516" s="567"/>
      <c r="U516" s="569"/>
      <c r="V516" s="567"/>
      <c r="W516" s="568"/>
      <c r="X516" s="568"/>
      <c r="Y516" s="567"/>
    </row>
    <row r="517" spans="1:25" x14ac:dyDescent="0.25">
      <c r="A517" s="570"/>
      <c r="B517" s="570"/>
      <c r="C517" s="570"/>
      <c r="D517" s="567"/>
      <c r="E517" s="567"/>
      <c r="F517" s="567"/>
      <c r="G517" s="570"/>
      <c r="H517" s="570"/>
      <c r="I517" s="567"/>
      <c r="J517" s="567"/>
      <c r="K517" s="567"/>
      <c r="L517" s="568"/>
      <c r="M517" s="568"/>
      <c r="N517" s="567"/>
      <c r="O517" s="567"/>
      <c r="P517" s="567"/>
      <c r="Q517" s="567"/>
      <c r="R517" s="570"/>
      <c r="S517" s="570"/>
      <c r="T517" s="567"/>
      <c r="U517" s="569"/>
      <c r="V517" s="567"/>
      <c r="W517" s="568"/>
      <c r="X517" s="568"/>
      <c r="Y517" s="567"/>
    </row>
    <row r="518" spans="1:25" x14ac:dyDescent="0.25">
      <c r="A518" s="570"/>
      <c r="B518" s="570"/>
      <c r="C518" s="570"/>
      <c r="D518" s="567"/>
      <c r="E518" s="567"/>
      <c r="F518" s="567"/>
      <c r="G518" s="570"/>
      <c r="H518" s="570"/>
      <c r="I518" s="567"/>
      <c r="J518" s="567"/>
      <c r="K518" s="567"/>
      <c r="L518" s="568"/>
      <c r="M518" s="568"/>
      <c r="N518" s="567"/>
      <c r="O518" s="567"/>
      <c r="P518" s="567"/>
      <c r="Q518" s="567"/>
      <c r="R518" s="570"/>
      <c r="S518" s="570"/>
      <c r="T518" s="567"/>
      <c r="U518" s="569"/>
      <c r="V518" s="567"/>
      <c r="W518" s="568"/>
      <c r="X518" s="568"/>
      <c r="Y518" s="567"/>
    </row>
    <row r="519" spans="1:25" x14ac:dyDescent="0.25">
      <c r="A519" s="570"/>
      <c r="B519" s="570"/>
      <c r="C519" s="570"/>
      <c r="D519" s="567"/>
      <c r="E519" s="567"/>
      <c r="F519" s="567"/>
      <c r="G519" s="570"/>
      <c r="H519" s="570"/>
      <c r="I519" s="567"/>
      <c r="J519" s="567"/>
      <c r="K519" s="567"/>
      <c r="L519" s="568"/>
      <c r="M519" s="568"/>
      <c r="N519" s="567"/>
      <c r="O519" s="567"/>
      <c r="P519" s="567"/>
      <c r="Q519" s="567"/>
      <c r="R519" s="570"/>
      <c r="S519" s="570"/>
      <c r="T519" s="567"/>
      <c r="U519" s="569"/>
      <c r="V519" s="567"/>
      <c r="W519" s="568"/>
      <c r="X519" s="568"/>
      <c r="Y519" s="567"/>
    </row>
    <row r="520" spans="1:25" x14ac:dyDescent="0.25">
      <c r="A520" s="570"/>
      <c r="B520" s="570"/>
      <c r="C520" s="570"/>
      <c r="D520" s="567"/>
      <c r="E520" s="567"/>
      <c r="F520" s="567"/>
      <c r="G520" s="570"/>
      <c r="H520" s="570"/>
      <c r="I520" s="567"/>
      <c r="J520" s="567"/>
      <c r="K520" s="567"/>
      <c r="L520" s="568"/>
      <c r="M520" s="568"/>
      <c r="N520" s="567"/>
      <c r="O520" s="567"/>
      <c r="P520" s="567"/>
      <c r="Q520" s="567"/>
      <c r="R520" s="570"/>
      <c r="S520" s="570"/>
      <c r="T520" s="567"/>
      <c r="U520" s="569"/>
      <c r="V520" s="567"/>
      <c r="W520" s="568"/>
      <c r="X520" s="568"/>
      <c r="Y520" s="567"/>
    </row>
    <row r="521" spans="1:25" x14ac:dyDescent="0.25">
      <c r="A521" s="570"/>
      <c r="B521" s="570"/>
      <c r="C521" s="570"/>
      <c r="D521" s="567"/>
      <c r="E521" s="567"/>
      <c r="F521" s="567"/>
      <c r="G521" s="570"/>
      <c r="H521" s="570"/>
      <c r="I521" s="567"/>
      <c r="J521" s="567"/>
      <c r="K521" s="567"/>
      <c r="L521" s="568"/>
      <c r="M521" s="568"/>
      <c r="N521" s="567"/>
      <c r="O521" s="567"/>
      <c r="P521" s="567"/>
      <c r="Q521" s="567"/>
      <c r="R521" s="570"/>
      <c r="S521" s="570"/>
      <c r="T521" s="567"/>
      <c r="U521" s="569"/>
      <c r="V521" s="567"/>
      <c r="W521" s="568"/>
      <c r="X521" s="568"/>
      <c r="Y521" s="567"/>
    </row>
    <row r="522" spans="1:25" x14ac:dyDescent="0.25">
      <c r="A522" s="570"/>
      <c r="B522" s="570"/>
      <c r="C522" s="570"/>
      <c r="D522" s="567"/>
      <c r="E522" s="567"/>
      <c r="F522" s="567"/>
      <c r="G522" s="570"/>
      <c r="H522" s="570"/>
      <c r="I522" s="567"/>
      <c r="J522" s="567"/>
      <c r="K522" s="567"/>
      <c r="L522" s="568"/>
      <c r="M522" s="568"/>
      <c r="N522" s="567"/>
      <c r="O522" s="567"/>
      <c r="P522" s="567"/>
      <c r="Q522" s="567"/>
      <c r="R522" s="570"/>
      <c r="S522" s="570"/>
      <c r="T522" s="567"/>
      <c r="U522" s="569"/>
      <c r="V522" s="567"/>
      <c r="W522" s="568"/>
      <c r="X522" s="568"/>
      <c r="Y522" s="567"/>
    </row>
    <row r="523" spans="1:25" x14ac:dyDescent="0.25">
      <c r="A523" s="570"/>
      <c r="B523" s="570"/>
      <c r="C523" s="570"/>
      <c r="D523" s="567"/>
      <c r="E523" s="567"/>
      <c r="F523" s="567"/>
      <c r="G523" s="570"/>
      <c r="H523" s="570"/>
      <c r="I523" s="567"/>
      <c r="J523" s="567"/>
      <c r="K523" s="567"/>
      <c r="L523" s="568"/>
      <c r="M523" s="568"/>
      <c r="N523" s="567"/>
      <c r="O523" s="567"/>
      <c r="P523" s="567"/>
      <c r="Q523" s="567"/>
      <c r="R523" s="570"/>
      <c r="S523" s="570"/>
      <c r="T523" s="567"/>
      <c r="U523" s="569"/>
      <c r="V523" s="567"/>
      <c r="W523" s="568"/>
      <c r="X523" s="568"/>
      <c r="Y523" s="567"/>
    </row>
    <row r="524" spans="1:25" x14ac:dyDescent="0.25">
      <c r="A524" s="570"/>
      <c r="B524" s="570"/>
      <c r="C524" s="570"/>
      <c r="D524" s="567"/>
      <c r="E524" s="567"/>
      <c r="F524" s="567"/>
      <c r="G524" s="570"/>
      <c r="H524" s="570"/>
      <c r="I524" s="567"/>
      <c r="J524" s="567"/>
      <c r="K524" s="567"/>
      <c r="L524" s="568"/>
      <c r="M524" s="568"/>
      <c r="N524" s="567"/>
      <c r="O524" s="567"/>
      <c r="P524" s="567"/>
      <c r="Q524" s="567"/>
      <c r="R524" s="570"/>
      <c r="S524" s="570"/>
      <c r="T524" s="567"/>
      <c r="U524" s="569"/>
      <c r="V524" s="567"/>
      <c r="W524" s="568"/>
      <c r="X524" s="568"/>
      <c r="Y524" s="567"/>
    </row>
    <row r="525" spans="1:25" x14ac:dyDescent="0.25">
      <c r="A525" s="570"/>
      <c r="B525" s="570"/>
      <c r="C525" s="570"/>
      <c r="D525" s="567"/>
      <c r="E525" s="567"/>
      <c r="F525" s="567"/>
      <c r="G525" s="570"/>
      <c r="H525" s="570"/>
      <c r="I525" s="567"/>
      <c r="J525" s="567"/>
      <c r="K525" s="567"/>
      <c r="L525" s="568"/>
      <c r="M525" s="568"/>
      <c r="N525" s="567"/>
      <c r="O525" s="567"/>
      <c r="P525" s="567"/>
      <c r="Q525" s="567"/>
      <c r="R525" s="570"/>
      <c r="S525" s="570"/>
      <c r="T525" s="567"/>
      <c r="U525" s="569"/>
      <c r="V525" s="567"/>
      <c r="W525" s="568"/>
      <c r="X525" s="568"/>
      <c r="Y525" s="567"/>
    </row>
    <row r="526" spans="1:25" x14ac:dyDescent="0.25">
      <c r="A526" s="570"/>
      <c r="B526" s="570"/>
      <c r="C526" s="570"/>
      <c r="D526" s="567"/>
      <c r="E526" s="567"/>
      <c r="F526" s="567"/>
      <c r="G526" s="570"/>
      <c r="H526" s="570"/>
      <c r="I526" s="567"/>
      <c r="J526" s="567"/>
      <c r="K526" s="567"/>
      <c r="L526" s="568"/>
      <c r="M526" s="568"/>
      <c r="N526" s="567"/>
      <c r="O526" s="567"/>
      <c r="P526" s="567"/>
      <c r="Q526" s="567"/>
      <c r="R526" s="570"/>
      <c r="S526" s="570"/>
      <c r="T526" s="567"/>
      <c r="U526" s="569"/>
      <c r="V526" s="567"/>
      <c r="W526" s="568"/>
      <c r="X526" s="568"/>
      <c r="Y526" s="567"/>
    </row>
    <row r="527" spans="1:25" x14ac:dyDescent="0.25">
      <c r="A527" s="570"/>
      <c r="B527" s="570"/>
      <c r="C527" s="570"/>
      <c r="D527" s="567"/>
      <c r="E527" s="567"/>
      <c r="F527" s="567"/>
      <c r="G527" s="570"/>
      <c r="H527" s="570"/>
      <c r="I527" s="567"/>
      <c r="J527" s="567"/>
      <c r="K527" s="567"/>
      <c r="L527" s="568"/>
      <c r="M527" s="568"/>
      <c r="N527" s="567"/>
      <c r="O527" s="567"/>
      <c r="P527" s="567"/>
      <c r="Q527" s="567"/>
      <c r="R527" s="570"/>
      <c r="S527" s="570"/>
      <c r="T527" s="567"/>
      <c r="U527" s="569"/>
      <c r="V527" s="567"/>
      <c r="W527" s="568"/>
      <c r="X527" s="568"/>
      <c r="Y527" s="567"/>
    </row>
    <row r="528" spans="1:25" x14ac:dyDescent="0.25">
      <c r="A528" s="570"/>
      <c r="B528" s="570"/>
      <c r="C528" s="570"/>
      <c r="D528" s="567"/>
      <c r="E528" s="567"/>
      <c r="F528" s="567"/>
      <c r="G528" s="570"/>
      <c r="H528" s="570"/>
      <c r="I528" s="567"/>
      <c r="J528" s="567"/>
      <c r="K528" s="567"/>
      <c r="L528" s="568"/>
      <c r="M528" s="568"/>
      <c r="N528" s="567"/>
      <c r="O528" s="567"/>
      <c r="P528" s="567"/>
      <c r="Q528" s="567"/>
      <c r="R528" s="570"/>
      <c r="S528" s="570"/>
      <c r="T528" s="567"/>
      <c r="U528" s="569"/>
      <c r="V528" s="567"/>
      <c r="W528" s="568"/>
      <c r="X528" s="568"/>
      <c r="Y528" s="567"/>
    </row>
    <row r="529" spans="1:25" x14ac:dyDescent="0.25">
      <c r="A529" s="570"/>
      <c r="B529" s="570"/>
      <c r="C529" s="570"/>
      <c r="D529" s="567"/>
      <c r="E529" s="567"/>
      <c r="F529" s="567"/>
      <c r="G529" s="570"/>
      <c r="H529" s="570"/>
      <c r="I529" s="567"/>
      <c r="J529" s="567"/>
      <c r="K529" s="567"/>
      <c r="L529" s="568"/>
      <c r="M529" s="568"/>
      <c r="N529" s="567"/>
      <c r="O529" s="567"/>
      <c r="P529" s="567"/>
      <c r="Q529" s="567"/>
      <c r="R529" s="570"/>
      <c r="S529" s="570"/>
      <c r="T529" s="567"/>
      <c r="U529" s="569"/>
      <c r="V529" s="567"/>
      <c r="W529" s="568"/>
      <c r="X529" s="568"/>
      <c r="Y529" s="567"/>
    </row>
    <row r="530" spans="1:25" x14ac:dyDescent="0.25">
      <c r="A530" s="570"/>
      <c r="B530" s="570"/>
      <c r="C530" s="570"/>
      <c r="D530" s="567"/>
      <c r="E530" s="567"/>
      <c r="F530" s="567"/>
      <c r="G530" s="570"/>
      <c r="H530" s="570"/>
      <c r="I530" s="567"/>
      <c r="J530" s="567"/>
      <c r="K530" s="567"/>
      <c r="L530" s="568"/>
      <c r="M530" s="568"/>
      <c r="N530" s="567"/>
      <c r="O530" s="567"/>
      <c r="P530" s="567"/>
      <c r="Q530" s="567"/>
      <c r="R530" s="570"/>
      <c r="S530" s="570"/>
      <c r="T530" s="567"/>
      <c r="U530" s="569"/>
      <c r="V530" s="567"/>
      <c r="W530" s="568"/>
      <c r="X530" s="568"/>
      <c r="Y530" s="567"/>
    </row>
    <row r="531" spans="1:25" x14ac:dyDescent="0.25">
      <c r="A531" s="570"/>
      <c r="B531" s="570"/>
      <c r="C531" s="570"/>
      <c r="D531" s="567"/>
      <c r="E531" s="567"/>
      <c r="F531" s="567"/>
      <c r="G531" s="570"/>
      <c r="H531" s="570"/>
      <c r="I531" s="567"/>
      <c r="J531" s="567"/>
      <c r="K531" s="567"/>
      <c r="L531" s="568"/>
      <c r="M531" s="568"/>
      <c r="N531" s="567"/>
      <c r="O531" s="567"/>
      <c r="P531" s="567"/>
      <c r="Q531" s="567"/>
      <c r="R531" s="570"/>
      <c r="S531" s="570"/>
      <c r="T531" s="567"/>
      <c r="U531" s="569"/>
      <c r="V531" s="567"/>
      <c r="W531" s="568"/>
      <c r="X531" s="568"/>
      <c r="Y531" s="567"/>
    </row>
    <row r="532" spans="1:25" x14ac:dyDescent="0.25">
      <c r="A532" s="570"/>
      <c r="B532" s="570"/>
      <c r="C532" s="570"/>
      <c r="D532" s="567"/>
      <c r="E532" s="567"/>
      <c r="F532" s="567"/>
      <c r="G532" s="570"/>
      <c r="H532" s="570"/>
      <c r="I532" s="567"/>
      <c r="J532" s="567"/>
      <c r="K532" s="567"/>
      <c r="L532" s="568"/>
      <c r="M532" s="568"/>
      <c r="N532" s="567"/>
      <c r="O532" s="567"/>
      <c r="P532" s="567"/>
      <c r="Q532" s="567"/>
      <c r="R532" s="570"/>
      <c r="S532" s="570"/>
      <c r="T532" s="567"/>
      <c r="U532" s="569"/>
      <c r="V532" s="567"/>
      <c r="W532" s="568"/>
      <c r="X532" s="568"/>
      <c r="Y532" s="567"/>
    </row>
    <row r="533" spans="1:25" x14ac:dyDescent="0.25">
      <c r="A533" s="570"/>
      <c r="B533" s="570"/>
      <c r="C533" s="570"/>
      <c r="D533" s="567"/>
      <c r="E533" s="567"/>
      <c r="F533" s="567"/>
      <c r="G533" s="570"/>
      <c r="H533" s="570"/>
      <c r="I533" s="567"/>
      <c r="J533" s="567"/>
      <c r="K533" s="567"/>
      <c r="L533" s="568"/>
      <c r="M533" s="568"/>
      <c r="N533" s="567"/>
      <c r="O533" s="567"/>
      <c r="P533" s="567"/>
      <c r="Q533" s="567"/>
      <c r="R533" s="570"/>
      <c r="S533" s="570"/>
      <c r="T533" s="567"/>
      <c r="U533" s="569"/>
      <c r="V533" s="567"/>
      <c r="W533" s="568"/>
      <c r="X533" s="568"/>
      <c r="Y533" s="567"/>
    </row>
    <row r="534" spans="1:25" x14ac:dyDescent="0.25">
      <c r="A534" s="570"/>
      <c r="B534" s="570"/>
      <c r="C534" s="570"/>
      <c r="D534" s="567"/>
      <c r="E534" s="567"/>
      <c r="F534" s="567"/>
      <c r="G534" s="570"/>
      <c r="H534" s="570"/>
      <c r="I534" s="567"/>
      <c r="J534" s="567"/>
      <c r="K534" s="567"/>
      <c r="L534" s="568"/>
      <c r="M534" s="568"/>
      <c r="N534" s="567"/>
      <c r="O534" s="567"/>
      <c r="P534" s="567"/>
      <c r="Q534" s="567"/>
      <c r="R534" s="570"/>
      <c r="S534" s="570"/>
      <c r="T534" s="567"/>
      <c r="U534" s="569"/>
      <c r="V534" s="567"/>
      <c r="W534" s="568"/>
      <c r="X534" s="568"/>
      <c r="Y534" s="567"/>
    </row>
    <row r="535" spans="1:25" x14ac:dyDescent="0.25">
      <c r="A535" s="570"/>
      <c r="B535" s="570"/>
      <c r="C535" s="570"/>
      <c r="D535" s="567"/>
      <c r="E535" s="567"/>
      <c r="F535" s="567"/>
      <c r="G535" s="570"/>
      <c r="H535" s="570"/>
      <c r="I535" s="567"/>
      <c r="J535" s="567"/>
      <c r="K535" s="567"/>
      <c r="L535" s="568"/>
      <c r="M535" s="568"/>
      <c r="N535" s="567"/>
      <c r="O535" s="567"/>
      <c r="P535" s="567"/>
      <c r="Q535" s="567"/>
      <c r="R535" s="570"/>
      <c r="S535" s="570"/>
      <c r="T535" s="567"/>
      <c r="U535" s="569"/>
      <c r="V535" s="567"/>
      <c r="W535" s="568"/>
      <c r="X535" s="568"/>
      <c r="Y535" s="567"/>
    </row>
    <row r="536" spans="1:25" x14ac:dyDescent="0.25">
      <c r="A536" s="570"/>
      <c r="B536" s="570"/>
      <c r="C536" s="570"/>
      <c r="D536" s="567"/>
      <c r="E536" s="567"/>
      <c r="F536" s="567"/>
      <c r="G536" s="570"/>
      <c r="H536" s="570"/>
      <c r="I536" s="567"/>
      <c r="J536" s="567"/>
      <c r="K536" s="567"/>
      <c r="L536" s="568"/>
      <c r="M536" s="568"/>
      <c r="N536" s="567"/>
      <c r="O536" s="567"/>
      <c r="P536" s="567"/>
      <c r="Q536" s="567"/>
      <c r="R536" s="570"/>
      <c r="S536" s="570"/>
      <c r="T536" s="567"/>
      <c r="U536" s="569"/>
      <c r="V536" s="567"/>
      <c r="W536" s="568"/>
      <c r="X536" s="568"/>
      <c r="Y536" s="567"/>
    </row>
    <row r="537" spans="1:25" x14ac:dyDescent="0.25">
      <c r="A537" s="570"/>
      <c r="B537" s="570"/>
      <c r="C537" s="570"/>
      <c r="D537" s="567"/>
      <c r="E537" s="567"/>
      <c r="F537" s="567"/>
      <c r="G537" s="570"/>
      <c r="H537" s="570"/>
      <c r="I537" s="567"/>
      <c r="J537" s="567"/>
      <c r="K537" s="567"/>
      <c r="L537" s="568"/>
      <c r="M537" s="568"/>
      <c r="N537" s="567"/>
      <c r="O537" s="567"/>
      <c r="P537" s="567"/>
      <c r="Q537" s="567"/>
      <c r="R537" s="570"/>
      <c r="S537" s="570"/>
      <c r="T537" s="567"/>
      <c r="U537" s="569"/>
      <c r="V537" s="567"/>
      <c r="W537" s="568"/>
      <c r="X537" s="568"/>
      <c r="Y537" s="567"/>
    </row>
    <row r="538" spans="1:25" x14ac:dyDescent="0.25">
      <c r="A538" s="570"/>
      <c r="B538" s="570"/>
      <c r="C538" s="570"/>
      <c r="D538" s="567"/>
      <c r="E538" s="567"/>
      <c r="F538" s="567"/>
      <c r="G538" s="570"/>
      <c r="H538" s="570"/>
      <c r="I538" s="567"/>
      <c r="J538" s="567"/>
      <c r="K538" s="567"/>
      <c r="L538" s="568"/>
      <c r="M538" s="568"/>
      <c r="N538" s="567"/>
      <c r="O538" s="567"/>
      <c r="P538" s="567"/>
      <c r="Q538" s="567"/>
      <c r="R538" s="570"/>
      <c r="S538" s="570"/>
      <c r="T538" s="567"/>
      <c r="U538" s="569"/>
      <c r="V538" s="567"/>
      <c r="W538" s="568"/>
      <c r="X538" s="568"/>
      <c r="Y538" s="567"/>
    </row>
    <row r="539" spans="1:25" x14ac:dyDescent="0.25">
      <c r="A539" s="570"/>
      <c r="B539" s="570"/>
      <c r="C539" s="570"/>
      <c r="D539" s="567"/>
      <c r="E539" s="567"/>
      <c r="F539" s="567"/>
      <c r="G539" s="570"/>
      <c r="H539" s="570"/>
      <c r="I539" s="567"/>
      <c r="J539" s="567"/>
      <c r="K539" s="567"/>
      <c r="L539" s="568"/>
      <c r="M539" s="568"/>
      <c r="N539" s="567"/>
      <c r="O539" s="567"/>
      <c r="P539" s="567"/>
      <c r="Q539" s="567"/>
      <c r="R539" s="570"/>
      <c r="S539" s="570"/>
      <c r="T539" s="567"/>
      <c r="U539" s="569"/>
      <c r="V539" s="567"/>
      <c r="W539" s="568"/>
      <c r="X539" s="568"/>
      <c r="Y539" s="567"/>
    </row>
    <row r="540" spans="1:25" x14ac:dyDescent="0.25">
      <c r="A540" s="570"/>
      <c r="B540" s="570"/>
      <c r="C540" s="570"/>
      <c r="D540" s="567"/>
      <c r="E540" s="567"/>
      <c r="F540" s="567"/>
      <c r="G540" s="570"/>
      <c r="H540" s="570"/>
      <c r="I540" s="567"/>
      <c r="J540" s="567"/>
      <c r="K540" s="567"/>
      <c r="L540" s="568"/>
      <c r="M540" s="568"/>
      <c r="N540" s="567"/>
      <c r="O540" s="567"/>
      <c r="P540" s="567"/>
      <c r="Q540" s="567"/>
      <c r="R540" s="570"/>
      <c r="S540" s="570"/>
      <c r="T540" s="567"/>
      <c r="U540" s="569"/>
      <c r="V540" s="567"/>
      <c r="W540" s="568"/>
      <c r="X540" s="568"/>
      <c r="Y540" s="567"/>
    </row>
    <row r="541" spans="1:25" x14ac:dyDescent="0.25">
      <c r="A541" s="570"/>
      <c r="B541" s="570"/>
      <c r="C541" s="570"/>
      <c r="D541" s="567"/>
      <c r="E541" s="567"/>
      <c r="F541" s="567"/>
      <c r="G541" s="570"/>
      <c r="H541" s="570"/>
      <c r="I541" s="567"/>
      <c r="J541" s="567"/>
      <c r="K541" s="567"/>
      <c r="L541" s="568"/>
      <c r="M541" s="568"/>
      <c r="N541" s="567"/>
      <c r="O541" s="567"/>
      <c r="P541" s="567"/>
      <c r="Q541" s="567"/>
      <c r="R541" s="570"/>
      <c r="S541" s="570"/>
      <c r="T541" s="567"/>
      <c r="U541" s="569"/>
      <c r="V541" s="567"/>
      <c r="W541" s="568"/>
      <c r="X541" s="568"/>
      <c r="Y541" s="567"/>
    </row>
    <row r="542" spans="1:25" x14ac:dyDescent="0.25">
      <c r="A542" s="570"/>
      <c r="B542" s="570"/>
      <c r="C542" s="570"/>
      <c r="D542" s="567"/>
      <c r="E542" s="567"/>
      <c r="F542" s="567"/>
      <c r="G542" s="570"/>
      <c r="H542" s="570"/>
      <c r="I542" s="567"/>
      <c r="J542" s="567"/>
      <c r="K542" s="567"/>
      <c r="L542" s="568"/>
      <c r="M542" s="568"/>
      <c r="N542" s="567"/>
      <c r="O542" s="567"/>
      <c r="P542" s="567"/>
      <c r="Q542" s="567"/>
      <c r="R542" s="570"/>
      <c r="S542" s="570"/>
      <c r="T542" s="567"/>
      <c r="U542" s="569"/>
      <c r="V542" s="567"/>
      <c r="W542" s="568"/>
      <c r="X542" s="568"/>
      <c r="Y542" s="567"/>
    </row>
    <row r="543" spans="1:25" x14ac:dyDescent="0.25">
      <c r="A543" s="570"/>
      <c r="B543" s="570"/>
      <c r="C543" s="570"/>
      <c r="D543" s="567"/>
      <c r="E543" s="567"/>
      <c r="F543" s="567"/>
      <c r="G543" s="570"/>
      <c r="H543" s="570"/>
      <c r="I543" s="567"/>
      <c r="J543" s="567"/>
      <c r="K543" s="567"/>
      <c r="L543" s="568"/>
      <c r="M543" s="568"/>
      <c r="N543" s="567"/>
      <c r="O543" s="567"/>
      <c r="P543" s="567"/>
      <c r="Q543" s="567"/>
      <c r="R543" s="570"/>
      <c r="S543" s="570"/>
      <c r="T543" s="567"/>
      <c r="U543" s="569"/>
      <c r="V543" s="567"/>
      <c r="W543" s="568"/>
      <c r="X543" s="568"/>
      <c r="Y543" s="567"/>
    </row>
    <row r="544" spans="1:25" x14ac:dyDescent="0.25">
      <c r="A544" s="570"/>
      <c r="B544" s="570"/>
      <c r="C544" s="570"/>
      <c r="D544" s="567"/>
      <c r="E544" s="567"/>
      <c r="F544" s="567"/>
      <c r="G544" s="570"/>
      <c r="H544" s="570"/>
      <c r="I544" s="567"/>
      <c r="J544" s="567"/>
      <c r="K544" s="567"/>
      <c r="L544" s="568"/>
      <c r="M544" s="568"/>
      <c r="N544" s="567"/>
      <c r="O544" s="567"/>
      <c r="P544" s="567"/>
      <c r="Q544" s="567"/>
      <c r="R544" s="570"/>
      <c r="S544" s="570"/>
      <c r="T544" s="567"/>
      <c r="U544" s="569"/>
      <c r="V544" s="567"/>
      <c r="W544" s="568"/>
      <c r="X544" s="568"/>
      <c r="Y544" s="567"/>
    </row>
    <row r="545" spans="1:25" x14ac:dyDescent="0.25">
      <c r="A545" s="570"/>
      <c r="B545" s="570"/>
      <c r="C545" s="570"/>
      <c r="D545" s="567"/>
      <c r="E545" s="567"/>
      <c r="F545" s="567"/>
      <c r="G545" s="570"/>
      <c r="H545" s="570"/>
      <c r="I545" s="567"/>
      <c r="J545" s="567"/>
      <c r="K545" s="567"/>
      <c r="L545" s="568"/>
      <c r="M545" s="568"/>
      <c r="N545" s="567"/>
      <c r="O545" s="567"/>
      <c r="P545" s="567"/>
      <c r="Q545" s="567"/>
      <c r="R545" s="570"/>
      <c r="S545" s="570"/>
      <c r="T545" s="567"/>
      <c r="U545" s="569"/>
      <c r="V545" s="567"/>
      <c r="W545" s="568"/>
      <c r="X545" s="568"/>
      <c r="Y545" s="567"/>
    </row>
    <row r="546" spans="1:25" x14ac:dyDescent="0.25">
      <c r="A546" s="570"/>
      <c r="B546" s="570"/>
      <c r="C546" s="570"/>
      <c r="D546" s="567"/>
      <c r="E546" s="567"/>
      <c r="F546" s="567"/>
      <c r="G546" s="570"/>
      <c r="H546" s="570"/>
      <c r="I546" s="567"/>
      <c r="J546" s="567"/>
      <c r="K546" s="567"/>
      <c r="L546" s="568"/>
      <c r="M546" s="568"/>
      <c r="N546" s="567"/>
      <c r="O546" s="567"/>
      <c r="P546" s="567"/>
      <c r="Q546" s="567"/>
      <c r="R546" s="570"/>
      <c r="S546" s="570"/>
      <c r="T546" s="567"/>
      <c r="U546" s="569"/>
      <c r="V546" s="567"/>
      <c r="W546" s="568"/>
      <c r="X546" s="568"/>
      <c r="Y546" s="567"/>
    </row>
    <row r="547" spans="1:25" x14ac:dyDescent="0.25">
      <c r="A547" s="570"/>
      <c r="B547" s="570"/>
      <c r="C547" s="570"/>
      <c r="D547" s="567"/>
      <c r="E547" s="567"/>
      <c r="F547" s="567"/>
      <c r="G547" s="570"/>
      <c r="H547" s="570"/>
      <c r="I547" s="567"/>
      <c r="J547" s="567"/>
      <c r="K547" s="567"/>
      <c r="L547" s="568"/>
      <c r="M547" s="568"/>
      <c r="N547" s="567"/>
      <c r="O547" s="567"/>
      <c r="P547" s="567"/>
      <c r="Q547" s="567"/>
      <c r="R547" s="570"/>
      <c r="S547" s="570"/>
      <c r="T547" s="567"/>
      <c r="U547" s="569"/>
      <c r="V547" s="567"/>
      <c r="W547" s="568"/>
      <c r="X547" s="568"/>
      <c r="Y547" s="567"/>
    </row>
    <row r="548" spans="1:25" x14ac:dyDescent="0.25">
      <c r="A548" s="570"/>
      <c r="B548" s="570"/>
      <c r="C548" s="570"/>
      <c r="D548" s="567"/>
      <c r="E548" s="567"/>
      <c r="F548" s="567"/>
      <c r="G548" s="570"/>
      <c r="H548" s="570"/>
      <c r="I548" s="567"/>
      <c r="J548" s="567"/>
      <c r="K548" s="567"/>
      <c r="L548" s="568"/>
      <c r="M548" s="568"/>
      <c r="N548" s="567"/>
      <c r="O548" s="567"/>
      <c r="P548" s="567"/>
      <c r="Q548" s="567"/>
      <c r="R548" s="570"/>
      <c r="S548" s="570"/>
      <c r="T548" s="567"/>
      <c r="U548" s="569"/>
      <c r="V548" s="567"/>
      <c r="W548" s="568"/>
      <c r="X548" s="568"/>
      <c r="Y548" s="567"/>
    </row>
    <row r="549" spans="1:25" x14ac:dyDescent="0.25">
      <c r="A549" s="570"/>
      <c r="B549" s="570"/>
      <c r="C549" s="570"/>
      <c r="D549" s="567"/>
      <c r="E549" s="567"/>
      <c r="F549" s="567"/>
      <c r="G549" s="570"/>
      <c r="H549" s="570"/>
      <c r="I549" s="567"/>
      <c r="J549" s="567"/>
      <c r="K549" s="567"/>
      <c r="L549" s="568"/>
      <c r="M549" s="568"/>
      <c r="N549" s="567"/>
      <c r="O549" s="567"/>
      <c r="P549" s="567"/>
      <c r="Q549" s="567"/>
      <c r="R549" s="570"/>
      <c r="S549" s="570"/>
      <c r="T549" s="567"/>
      <c r="U549" s="569"/>
      <c r="V549" s="567"/>
      <c r="W549" s="568"/>
      <c r="X549" s="568"/>
      <c r="Y549" s="567"/>
    </row>
    <row r="550" spans="1:25" x14ac:dyDescent="0.25">
      <c r="A550" s="570"/>
      <c r="B550" s="570"/>
      <c r="C550" s="570"/>
      <c r="D550" s="567"/>
      <c r="E550" s="567"/>
      <c r="F550" s="567"/>
      <c r="G550" s="570"/>
      <c r="H550" s="570"/>
      <c r="I550" s="567"/>
      <c r="J550" s="567"/>
      <c r="K550" s="567"/>
      <c r="L550" s="568"/>
      <c r="M550" s="568"/>
      <c r="N550" s="567"/>
      <c r="O550" s="567"/>
      <c r="P550" s="567"/>
      <c r="Q550" s="567"/>
      <c r="R550" s="570"/>
      <c r="S550" s="570"/>
      <c r="T550" s="567"/>
      <c r="U550" s="569"/>
      <c r="V550" s="567"/>
      <c r="W550" s="568"/>
      <c r="X550" s="568"/>
      <c r="Y550" s="567"/>
    </row>
    <row r="551" spans="1:25" x14ac:dyDescent="0.25">
      <c r="A551" s="570"/>
      <c r="B551" s="570"/>
      <c r="C551" s="570"/>
      <c r="D551" s="567"/>
      <c r="E551" s="567"/>
      <c r="F551" s="567"/>
      <c r="G551" s="570"/>
      <c r="H551" s="570"/>
      <c r="I551" s="567"/>
      <c r="J551" s="567"/>
      <c r="K551" s="567"/>
      <c r="L551" s="568"/>
      <c r="M551" s="568"/>
      <c r="N551" s="567"/>
      <c r="O551" s="567"/>
      <c r="P551" s="567"/>
      <c r="Q551" s="567"/>
      <c r="R551" s="570"/>
      <c r="S551" s="570"/>
      <c r="T551" s="567"/>
      <c r="U551" s="569"/>
      <c r="V551" s="567"/>
      <c r="W551" s="568"/>
      <c r="X551" s="568"/>
      <c r="Y551" s="567"/>
    </row>
    <row r="552" spans="1:25" x14ac:dyDescent="0.25">
      <c r="A552" s="570"/>
      <c r="B552" s="570"/>
      <c r="C552" s="570"/>
      <c r="D552" s="567"/>
      <c r="E552" s="567"/>
      <c r="F552" s="567"/>
      <c r="G552" s="570"/>
      <c r="H552" s="570"/>
      <c r="I552" s="567"/>
      <c r="J552" s="567"/>
      <c r="K552" s="567"/>
      <c r="L552" s="568"/>
      <c r="M552" s="568"/>
      <c r="N552" s="567"/>
      <c r="O552" s="567"/>
      <c r="P552" s="567"/>
      <c r="Q552" s="567"/>
      <c r="R552" s="570"/>
      <c r="S552" s="570"/>
      <c r="T552" s="567"/>
      <c r="U552" s="569"/>
      <c r="V552" s="567"/>
      <c r="W552" s="568"/>
      <c r="X552" s="568"/>
      <c r="Y552" s="567"/>
    </row>
    <row r="553" spans="1:25" x14ac:dyDescent="0.25">
      <c r="A553" s="570"/>
      <c r="B553" s="570"/>
      <c r="C553" s="570"/>
      <c r="D553" s="567"/>
      <c r="E553" s="567"/>
      <c r="F553" s="567"/>
      <c r="G553" s="570"/>
      <c r="H553" s="570"/>
      <c r="I553" s="567"/>
      <c r="J553" s="567"/>
      <c r="K553" s="567"/>
      <c r="L553" s="568"/>
      <c r="M553" s="568"/>
      <c r="N553" s="567"/>
      <c r="O553" s="567"/>
      <c r="P553" s="567"/>
      <c r="Q553" s="567"/>
      <c r="R553" s="570"/>
      <c r="S553" s="570"/>
      <c r="T553" s="567"/>
      <c r="U553" s="569"/>
      <c r="V553" s="567"/>
      <c r="W553" s="568"/>
      <c r="X553" s="568"/>
      <c r="Y553" s="567"/>
    </row>
    <row r="554" spans="1:25" x14ac:dyDescent="0.25">
      <c r="A554" s="570"/>
      <c r="B554" s="570"/>
      <c r="C554" s="570"/>
      <c r="D554" s="567"/>
      <c r="E554" s="567"/>
      <c r="F554" s="567"/>
      <c r="G554" s="570"/>
      <c r="H554" s="570"/>
      <c r="I554" s="567"/>
      <c r="J554" s="567"/>
      <c r="K554" s="567"/>
      <c r="L554" s="568"/>
      <c r="M554" s="568"/>
      <c r="N554" s="567"/>
      <c r="O554" s="567"/>
      <c r="P554" s="567"/>
      <c r="Q554" s="567"/>
      <c r="R554" s="570"/>
      <c r="S554" s="570"/>
      <c r="T554" s="567"/>
      <c r="U554" s="569"/>
      <c r="V554" s="567"/>
      <c r="W554" s="568"/>
      <c r="X554" s="568"/>
      <c r="Y554" s="567"/>
    </row>
    <row r="555" spans="1:25" x14ac:dyDescent="0.25">
      <c r="A555" s="570"/>
      <c r="B555" s="570"/>
      <c r="C555" s="570"/>
      <c r="D555" s="567"/>
      <c r="E555" s="567"/>
      <c r="F555" s="567"/>
      <c r="G555" s="570"/>
      <c r="H555" s="570"/>
      <c r="I555" s="567"/>
      <c r="J555" s="567"/>
      <c r="K555" s="567"/>
      <c r="L555" s="568"/>
      <c r="M555" s="568"/>
      <c r="N555" s="567"/>
      <c r="O555" s="567"/>
      <c r="P555" s="567"/>
      <c r="Q555" s="567"/>
      <c r="R555" s="570"/>
      <c r="S555" s="570"/>
      <c r="T555" s="567"/>
      <c r="U555" s="569"/>
      <c r="V555" s="567"/>
      <c r="W555" s="568"/>
      <c r="X555" s="568"/>
      <c r="Y555" s="567"/>
    </row>
    <row r="556" spans="1:25" x14ac:dyDescent="0.25">
      <c r="A556" s="570"/>
      <c r="B556" s="570"/>
      <c r="C556" s="570"/>
      <c r="D556" s="567"/>
      <c r="E556" s="567"/>
      <c r="F556" s="567"/>
      <c r="G556" s="570"/>
      <c r="H556" s="570"/>
      <c r="I556" s="567"/>
      <c r="J556" s="567"/>
      <c r="K556" s="567"/>
      <c r="L556" s="568"/>
      <c r="M556" s="568"/>
      <c r="N556" s="567"/>
      <c r="O556" s="567"/>
      <c r="P556" s="567"/>
      <c r="Q556" s="567"/>
      <c r="R556" s="570"/>
      <c r="S556" s="570"/>
      <c r="T556" s="567"/>
      <c r="U556" s="569"/>
      <c r="V556" s="567"/>
      <c r="W556" s="568"/>
      <c r="X556" s="568"/>
      <c r="Y556" s="567"/>
    </row>
    <row r="557" spans="1:25" x14ac:dyDescent="0.25">
      <c r="A557" s="570"/>
      <c r="B557" s="570"/>
      <c r="C557" s="570"/>
      <c r="D557" s="567"/>
      <c r="E557" s="567"/>
      <c r="F557" s="567"/>
      <c r="G557" s="570"/>
      <c r="H557" s="570"/>
      <c r="I557" s="567"/>
      <c r="J557" s="567"/>
      <c r="K557" s="567"/>
      <c r="L557" s="568"/>
      <c r="M557" s="568"/>
      <c r="N557" s="567"/>
      <c r="O557" s="567"/>
      <c r="P557" s="567"/>
      <c r="Q557" s="567"/>
      <c r="R557" s="570"/>
      <c r="S557" s="570"/>
      <c r="T557" s="567"/>
      <c r="U557" s="569"/>
      <c r="V557" s="567"/>
      <c r="W557" s="568"/>
      <c r="X557" s="568"/>
      <c r="Y557" s="567"/>
    </row>
    <row r="558" spans="1:25" x14ac:dyDescent="0.25">
      <c r="A558" s="570"/>
      <c r="B558" s="570"/>
      <c r="C558" s="570"/>
      <c r="D558" s="567"/>
      <c r="E558" s="567"/>
      <c r="F558" s="567"/>
      <c r="G558" s="570"/>
      <c r="H558" s="570"/>
      <c r="I558" s="567"/>
      <c r="J558" s="567"/>
      <c r="K558" s="567"/>
      <c r="L558" s="568"/>
      <c r="M558" s="568"/>
      <c r="N558" s="567"/>
      <c r="O558" s="567"/>
      <c r="P558" s="567"/>
      <c r="Q558" s="567"/>
      <c r="R558" s="570"/>
      <c r="S558" s="570"/>
      <c r="T558" s="567"/>
      <c r="U558" s="569"/>
      <c r="V558" s="567"/>
      <c r="W558" s="568"/>
      <c r="X558" s="568"/>
      <c r="Y558" s="567"/>
    </row>
    <row r="559" spans="1:25" x14ac:dyDescent="0.25">
      <c r="A559" s="570"/>
      <c r="B559" s="570"/>
      <c r="C559" s="570"/>
      <c r="D559" s="567"/>
      <c r="E559" s="567"/>
      <c r="F559" s="567"/>
      <c r="G559" s="570"/>
      <c r="H559" s="570"/>
      <c r="I559" s="567"/>
      <c r="J559" s="567"/>
      <c r="K559" s="567"/>
      <c r="L559" s="568"/>
      <c r="M559" s="568"/>
      <c r="N559" s="567"/>
      <c r="O559" s="567"/>
      <c r="P559" s="567"/>
      <c r="Q559" s="567"/>
      <c r="R559" s="570"/>
      <c r="S559" s="570"/>
      <c r="T559" s="567"/>
      <c r="U559" s="569"/>
      <c r="V559" s="567"/>
      <c r="W559" s="568"/>
      <c r="X559" s="568"/>
      <c r="Y559" s="567"/>
    </row>
    <row r="560" spans="1:25" x14ac:dyDescent="0.25">
      <c r="A560" s="570"/>
      <c r="B560" s="570"/>
      <c r="C560" s="570"/>
      <c r="D560" s="567"/>
      <c r="E560" s="567"/>
      <c r="F560" s="567"/>
      <c r="G560" s="570"/>
      <c r="H560" s="570"/>
      <c r="I560" s="567"/>
      <c r="J560" s="567"/>
      <c r="K560" s="567"/>
      <c r="L560" s="568"/>
      <c r="M560" s="568"/>
      <c r="N560" s="567"/>
      <c r="O560" s="567"/>
      <c r="P560" s="567"/>
      <c r="Q560" s="567"/>
      <c r="R560" s="570"/>
      <c r="S560" s="570"/>
      <c r="T560" s="567"/>
      <c r="U560" s="569"/>
      <c r="V560" s="567"/>
      <c r="W560" s="568"/>
      <c r="X560" s="568"/>
      <c r="Y560" s="567"/>
    </row>
    <row r="561" spans="1:25" x14ac:dyDescent="0.25">
      <c r="A561" s="570"/>
      <c r="B561" s="570"/>
      <c r="C561" s="570"/>
      <c r="D561" s="567"/>
      <c r="E561" s="567"/>
      <c r="F561" s="567"/>
      <c r="G561" s="570"/>
      <c r="H561" s="570"/>
      <c r="I561" s="567"/>
      <c r="J561" s="567"/>
      <c r="K561" s="567"/>
      <c r="L561" s="568"/>
      <c r="M561" s="568"/>
      <c r="N561" s="567"/>
      <c r="O561" s="567"/>
      <c r="P561" s="567"/>
      <c r="Q561" s="567"/>
      <c r="R561" s="570"/>
      <c r="S561" s="570"/>
      <c r="T561" s="567"/>
      <c r="U561" s="569"/>
      <c r="V561" s="567"/>
      <c r="W561" s="568"/>
      <c r="X561" s="568"/>
      <c r="Y561" s="567"/>
    </row>
    <row r="562" spans="1:25" x14ac:dyDescent="0.25">
      <c r="A562" s="570"/>
      <c r="B562" s="570"/>
      <c r="C562" s="570"/>
      <c r="D562" s="567"/>
      <c r="E562" s="567"/>
      <c r="F562" s="567"/>
      <c r="G562" s="570"/>
      <c r="H562" s="570"/>
      <c r="I562" s="567"/>
      <c r="J562" s="567"/>
      <c r="K562" s="567"/>
      <c r="L562" s="568"/>
      <c r="M562" s="568"/>
      <c r="N562" s="567"/>
      <c r="O562" s="567"/>
      <c r="P562" s="567"/>
      <c r="Q562" s="567"/>
      <c r="R562" s="570"/>
      <c r="S562" s="570"/>
      <c r="T562" s="567"/>
      <c r="U562" s="569"/>
      <c r="V562" s="567"/>
      <c r="W562" s="568"/>
      <c r="X562" s="568"/>
      <c r="Y562" s="567"/>
    </row>
    <row r="563" spans="1:25" x14ac:dyDescent="0.25">
      <c r="A563" s="570"/>
      <c r="B563" s="570"/>
      <c r="C563" s="570"/>
      <c r="D563" s="567"/>
      <c r="E563" s="567"/>
      <c r="F563" s="567"/>
      <c r="G563" s="570"/>
      <c r="H563" s="570"/>
      <c r="I563" s="567"/>
      <c r="J563" s="567"/>
      <c r="K563" s="567"/>
      <c r="L563" s="568"/>
      <c r="M563" s="568"/>
      <c r="N563" s="567"/>
      <c r="O563" s="567"/>
      <c r="P563" s="567"/>
      <c r="Q563" s="567"/>
      <c r="R563" s="570"/>
      <c r="S563" s="570"/>
      <c r="T563" s="567"/>
      <c r="U563" s="569"/>
      <c r="V563" s="567"/>
      <c r="W563" s="568"/>
      <c r="X563" s="568"/>
      <c r="Y563" s="567"/>
    </row>
    <row r="564" spans="1:25" x14ac:dyDescent="0.25">
      <c r="A564" s="570"/>
      <c r="B564" s="570"/>
      <c r="C564" s="570"/>
      <c r="D564" s="567"/>
      <c r="E564" s="567"/>
      <c r="F564" s="567"/>
      <c r="G564" s="570"/>
      <c r="H564" s="570"/>
      <c r="I564" s="567"/>
      <c r="J564" s="567"/>
      <c r="K564" s="567"/>
      <c r="L564" s="568"/>
      <c r="M564" s="568"/>
      <c r="N564" s="567"/>
      <c r="O564" s="567"/>
      <c r="P564" s="567"/>
      <c r="Q564" s="567"/>
      <c r="R564" s="570"/>
      <c r="S564" s="570"/>
      <c r="T564" s="567"/>
      <c r="U564" s="569"/>
      <c r="V564" s="567"/>
      <c r="W564" s="568"/>
      <c r="X564" s="568"/>
      <c r="Y564" s="567"/>
    </row>
    <row r="565" spans="1:25" x14ac:dyDescent="0.25">
      <c r="A565" s="570"/>
      <c r="B565" s="570"/>
      <c r="C565" s="570"/>
      <c r="D565" s="567"/>
      <c r="E565" s="567"/>
      <c r="F565" s="567"/>
      <c r="G565" s="570"/>
      <c r="H565" s="570"/>
      <c r="I565" s="567"/>
      <c r="J565" s="567"/>
      <c r="K565" s="567"/>
      <c r="L565" s="568"/>
      <c r="M565" s="568"/>
      <c r="N565" s="567"/>
      <c r="O565" s="567"/>
      <c r="P565" s="567"/>
      <c r="Q565" s="567"/>
      <c r="R565" s="570"/>
      <c r="S565" s="570"/>
      <c r="T565" s="567"/>
      <c r="U565" s="569"/>
      <c r="V565" s="567"/>
      <c r="W565" s="568"/>
      <c r="X565" s="568"/>
      <c r="Y565" s="567"/>
    </row>
    <row r="566" spans="1:25" x14ac:dyDescent="0.25">
      <c r="A566" s="570"/>
      <c r="B566" s="570"/>
      <c r="C566" s="570"/>
      <c r="D566" s="567"/>
      <c r="E566" s="567"/>
      <c r="F566" s="567"/>
      <c r="G566" s="570"/>
      <c r="H566" s="570"/>
      <c r="I566" s="567"/>
      <c r="J566" s="567"/>
      <c r="K566" s="567"/>
      <c r="L566" s="568"/>
      <c r="M566" s="568"/>
      <c r="N566" s="567"/>
      <c r="O566" s="567"/>
      <c r="P566" s="567"/>
      <c r="Q566" s="567"/>
      <c r="R566" s="570"/>
      <c r="S566" s="570"/>
      <c r="T566" s="567"/>
      <c r="U566" s="569"/>
      <c r="V566" s="567"/>
      <c r="W566" s="568"/>
      <c r="X566" s="568"/>
      <c r="Y566" s="567"/>
    </row>
    <row r="567" spans="1:25" x14ac:dyDescent="0.25">
      <c r="A567" s="570"/>
      <c r="B567" s="570"/>
      <c r="C567" s="570"/>
      <c r="D567" s="567"/>
      <c r="E567" s="567"/>
      <c r="F567" s="567"/>
      <c r="G567" s="570"/>
      <c r="H567" s="570"/>
      <c r="I567" s="567"/>
      <c r="J567" s="567"/>
      <c r="K567" s="567"/>
      <c r="L567" s="568"/>
      <c r="M567" s="568"/>
      <c r="N567" s="567"/>
      <c r="O567" s="567"/>
      <c r="P567" s="567"/>
      <c r="Q567" s="567"/>
      <c r="R567" s="570"/>
      <c r="S567" s="570"/>
      <c r="T567" s="567"/>
      <c r="U567" s="569"/>
      <c r="V567" s="567"/>
      <c r="W567" s="568"/>
      <c r="X567" s="568"/>
      <c r="Y567" s="567"/>
    </row>
    <row r="568" spans="1:25" x14ac:dyDescent="0.25">
      <c r="A568" s="570"/>
      <c r="B568" s="570"/>
      <c r="C568" s="570"/>
      <c r="D568" s="567"/>
      <c r="E568" s="567"/>
      <c r="F568" s="567"/>
      <c r="G568" s="570"/>
      <c r="H568" s="570"/>
      <c r="I568" s="567"/>
      <c r="J568" s="567"/>
      <c r="K568" s="567"/>
      <c r="L568" s="568"/>
      <c r="M568" s="568"/>
      <c r="N568" s="567"/>
      <c r="O568" s="567"/>
      <c r="P568" s="567"/>
      <c r="Q568" s="567"/>
      <c r="R568" s="570"/>
      <c r="S568" s="570"/>
      <c r="T568" s="567"/>
      <c r="U568" s="569"/>
      <c r="V568" s="567"/>
      <c r="W568" s="568"/>
      <c r="X568" s="568"/>
      <c r="Y568" s="567"/>
    </row>
    <row r="569" spans="1:25" x14ac:dyDescent="0.25">
      <c r="A569" s="570"/>
      <c r="B569" s="570"/>
      <c r="C569" s="570"/>
      <c r="D569" s="567"/>
      <c r="E569" s="567"/>
      <c r="F569" s="567"/>
      <c r="G569" s="570"/>
      <c r="H569" s="570"/>
      <c r="I569" s="567"/>
      <c r="J569" s="567"/>
      <c r="K569" s="567"/>
      <c r="L569" s="568"/>
      <c r="M569" s="568"/>
      <c r="N569" s="567"/>
      <c r="O569" s="567"/>
      <c r="P569" s="567"/>
      <c r="Q569" s="567"/>
      <c r="R569" s="570"/>
      <c r="S569" s="570"/>
      <c r="T569" s="567"/>
      <c r="U569" s="569"/>
      <c r="V569" s="567"/>
      <c r="W569" s="568"/>
      <c r="X569" s="568"/>
      <c r="Y569" s="567"/>
    </row>
    <row r="570" spans="1:25" x14ac:dyDescent="0.25">
      <c r="A570" s="570"/>
      <c r="B570" s="570"/>
      <c r="C570" s="570"/>
      <c r="D570" s="567"/>
      <c r="E570" s="567"/>
      <c r="F570" s="567"/>
      <c r="G570" s="570"/>
      <c r="H570" s="570"/>
      <c r="I570" s="567"/>
      <c r="J570" s="567"/>
      <c r="K570" s="567"/>
      <c r="L570" s="568"/>
      <c r="M570" s="568"/>
      <c r="N570" s="567"/>
      <c r="O570" s="567"/>
      <c r="P570" s="567"/>
      <c r="Q570" s="567"/>
      <c r="R570" s="570"/>
      <c r="S570" s="570"/>
      <c r="T570" s="567"/>
      <c r="U570" s="569"/>
      <c r="V570" s="567"/>
      <c r="W570" s="568"/>
      <c r="X570" s="568"/>
      <c r="Y570" s="567"/>
    </row>
    <row r="571" spans="1:25" x14ac:dyDescent="0.25">
      <c r="A571" s="570"/>
      <c r="B571" s="570"/>
      <c r="C571" s="570"/>
      <c r="D571" s="567"/>
      <c r="E571" s="567"/>
      <c r="F571" s="567"/>
      <c r="G571" s="570"/>
      <c r="H571" s="570"/>
      <c r="I571" s="567"/>
      <c r="J571" s="567"/>
      <c r="K571" s="567"/>
      <c r="L571" s="568"/>
      <c r="M571" s="568"/>
      <c r="N571" s="567"/>
      <c r="O571" s="567"/>
      <c r="P571" s="567"/>
      <c r="Q571" s="567"/>
      <c r="R571" s="570"/>
      <c r="S571" s="570"/>
      <c r="T571" s="567"/>
      <c r="U571" s="569"/>
      <c r="V571" s="567"/>
      <c r="W571" s="568"/>
      <c r="X571" s="568"/>
      <c r="Y571" s="567"/>
    </row>
    <row r="572" spans="1:25" x14ac:dyDescent="0.25">
      <c r="A572" s="570"/>
      <c r="B572" s="570"/>
      <c r="C572" s="570"/>
      <c r="D572" s="567"/>
      <c r="E572" s="567"/>
      <c r="F572" s="567"/>
      <c r="G572" s="570"/>
      <c r="H572" s="570"/>
      <c r="I572" s="567"/>
      <c r="J572" s="567"/>
      <c r="K572" s="567"/>
      <c r="L572" s="568"/>
      <c r="M572" s="568"/>
      <c r="N572" s="567"/>
      <c r="O572" s="567"/>
      <c r="P572" s="567"/>
      <c r="Q572" s="567"/>
      <c r="R572" s="570"/>
      <c r="S572" s="570"/>
      <c r="T572" s="567"/>
      <c r="U572" s="569"/>
      <c r="V572" s="567"/>
      <c r="W572" s="568"/>
      <c r="X572" s="568"/>
      <c r="Y572" s="567"/>
    </row>
    <row r="573" spans="1:25" x14ac:dyDescent="0.25">
      <c r="A573" s="570"/>
      <c r="B573" s="570"/>
      <c r="C573" s="570"/>
      <c r="D573" s="567"/>
      <c r="E573" s="567"/>
      <c r="F573" s="567"/>
      <c r="G573" s="570"/>
      <c r="H573" s="570"/>
      <c r="I573" s="567"/>
      <c r="J573" s="567"/>
      <c r="K573" s="567"/>
      <c r="L573" s="568"/>
      <c r="M573" s="568"/>
      <c r="N573" s="567"/>
      <c r="O573" s="567"/>
      <c r="P573" s="567"/>
      <c r="Q573" s="567"/>
      <c r="R573" s="570"/>
      <c r="S573" s="570"/>
      <c r="T573" s="567"/>
      <c r="U573" s="569"/>
      <c r="V573" s="567"/>
      <c r="W573" s="568"/>
      <c r="X573" s="568"/>
      <c r="Y573" s="567"/>
    </row>
    <row r="574" spans="1:25" x14ac:dyDescent="0.25">
      <c r="A574" s="570"/>
      <c r="B574" s="570"/>
      <c r="C574" s="570"/>
      <c r="D574" s="567"/>
      <c r="E574" s="567"/>
      <c r="F574" s="567"/>
      <c r="G574" s="570"/>
      <c r="H574" s="570"/>
      <c r="I574" s="567"/>
      <c r="J574" s="567"/>
      <c r="K574" s="567"/>
      <c r="L574" s="568"/>
      <c r="M574" s="568"/>
      <c r="N574" s="567"/>
      <c r="O574" s="567"/>
      <c r="P574" s="567"/>
      <c r="Q574" s="567"/>
      <c r="R574" s="570"/>
      <c r="S574" s="570"/>
      <c r="T574" s="567"/>
      <c r="U574" s="569"/>
      <c r="V574" s="567"/>
      <c r="W574" s="568"/>
      <c r="X574" s="568"/>
      <c r="Y574" s="567"/>
    </row>
    <row r="575" spans="1:25" x14ac:dyDescent="0.25">
      <c r="A575" s="570"/>
      <c r="B575" s="570"/>
      <c r="C575" s="570"/>
      <c r="D575" s="567"/>
      <c r="E575" s="567"/>
      <c r="F575" s="567"/>
      <c r="G575" s="570"/>
      <c r="H575" s="570"/>
      <c r="I575" s="567"/>
      <c r="J575" s="567"/>
      <c r="K575" s="567"/>
      <c r="L575" s="568"/>
      <c r="M575" s="568"/>
      <c r="N575" s="567"/>
      <c r="O575" s="567"/>
      <c r="P575" s="567"/>
      <c r="Q575" s="567"/>
      <c r="R575" s="570"/>
      <c r="S575" s="570"/>
      <c r="T575" s="567"/>
      <c r="U575" s="569"/>
      <c r="V575" s="567"/>
      <c r="W575" s="568"/>
      <c r="X575" s="568"/>
      <c r="Y575" s="567"/>
    </row>
    <row r="576" spans="1:25" x14ac:dyDescent="0.25">
      <c r="A576" s="570"/>
      <c r="B576" s="570"/>
      <c r="C576" s="570"/>
      <c r="D576" s="567"/>
      <c r="E576" s="567"/>
      <c r="F576" s="567"/>
      <c r="G576" s="570"/>
      <c r="H576" s="570"/>
      <c r="I576" s="567"/>
      <c r="J576" s="567"/>
      <c r="K576" s="567"/>
      <c r="L576" s="568"/>
      <c r="M576" s="568"/>
      <c r="N576" s="567"/>
      <c r="O576" s="567"/>
      <c r="P576" s="567"/>
      <c r="Q576" s="567"/>
      <c r="R576" s="570"/>
      <c r="S576" s="570"/>
      <c r="T576" s="567"/>
      <c r="U576" s="569"/>
      <c r="V576" s="567"/>
      <c r="W576" s="568"/>
      <c r="X576" s="568"/>
      <c r="Y576" s="567"/>
    </row>
    <row r="577" spans="1:25" x14ac:dyDescent="0.25">
      <c r="A577" s="570"/>
      <c r="B577" s="570"/>
      <c r="C577" s="570"/>
      <c r="D577" s="567"/>
      <c r="E577" s="567"/>
      <c r="F577" s="567"/>
      <c r="G577" s="570"/>
      <c r="H577" s="570"/>
      <c r="I577" s="567"/>
      <c r="J577" s="567"/>
      <c r="K577" s="567"/>
      <c r="L577" s="568"/>
      <c r="M577" s="568"/>
      <c r="N577" s="567"/>
      <c r="O577" s="567"/>
      <c r="P577" s="567"/>
      <c r="Q577" s="567"/>
      <c r="R577" s="570"/>
      <c r="S577" s="570"/>
      <c r="T577" s="567"/>
      <c r="U577" s="569"/>
      <c r="V577" s="567"/>
      <c r="W577" s="568"/>
      <c r="X577" s="568"/>
      <c r="Y577" s="567"/>
    </row>
    <row r="578" spans="1:25" x14ac:dyDescent="0.25">
      <c r="A578" s="570"/>
      <c r="B578" s="570"/>
      <c r="C578" s="570"/>
      <c r="D578" s="567"/>
      <c r="E578" s="567"/>
      <c r="F578" s="567"/>
      <c r="G578" s="570"/>
      <c r="H578" s="570"/>
      <c r="I578" s="567"/>
      <c r="J578" s="567"/>
      <c r="K578" s="567"/>
      <c r="L578" s="568"/>
      <c r="M578" s="568"/>
      <c r="N578" s="567"/>
      <c r="O578" s="567"/>
      <c r="P578" s="567"/>
      <c r="Q578" s="567"/>
      <c r="R578" s="570"/>
      <c r="S578" s="570"/>
      <c r="T578" s="567"/>
      <c r="U578" s="569"/>
      <c r="V578" s="567"/>
      <c r="W578" s="568"/>
      <c r="X578" s="568"/>
      <c r="Y578" s="567"/>
    </row>
    <row r="579" spans="1:25" x14ac:dyDescent="0.25">
      <c r="A579" s="570"/>
      <c r="B579" s="570"/>
      <c r="C579" s="570"/>
      <c r="D579" s="567"/>
      <c r="E579" s="567"/>
      <c r="F579" s="567"/>
      <c r="G579" s="570"/>
      <c r="H579" s="570"/>
      <c r="I579" s="567"/>
      <c r="J579" s="567"/>
      <c r="K579" s="567"/>
      <c r="L579" s="568"/>
      <c r="M579" s="568"/>
      <c r="N579" s="567"/>
      <c r="O579" s="567"/>
      <c r="P579" s="567"/>
      <c r="Q579" s="567"/>
      <c r="R579" s="570"/>
      <c r="S579" s="570"/>
      <c r="T579" s="567"/>
      <c r="U579" s="569"/>
      <c r="V579" s="567"/>
      <c r="W579" s="568"/>
      <c r="X579" s="568"/>
      <c r="Y579" s="567"/>
    </row>
    <row r="580" spans="1:25" x14ac:dyDescent="0.25">
      <c r="A580" s="570"/>
      <c r="B580" s="570"/>
      <c r="C580" s="570"/>
      <c r="D580" s="567"/>
      <c r="E580" s="567"/>
      <c r="F580" s="567"/>
      <c r="G580" s="570"/>
      <c r="H580" s="570"/>
      <c r="I580" s="567"/>
      <c r="J580" s="567"/>
      <c r="K580" s="567"/>
      <c r="L580" s="568"/>
      <c r="M580" s="568"/>
      <c r="N580" s="567"/>
      <c r="O580" s="567"/>
      <c r="P580" s="567"/>
      <c r="Q580" s="567"/>
      <c r="R580" s="570"/>
      <c r="S580" s="570"/>
      <c r="T580" s="567"/>
      <c r="U580" s="569"/>
      <c r="V580" s="567"/>
      <c r="W580" s="568"/>
      <c r="X580" s="568"/>
      <c r="Y580" s="567"/>
    </row>
    <row r="581" spans="1:25" x14ac:dyDescent="0.25">
      <c r="A581" s="570"/>
      <c r="B581" s="570"/>
      <c r="C581" s="570"/>
      <c r="D581" s="567"/>
      <c r="E581" s="567"/>
      <c r="F581" s="567"/>
      <c r="G581" s="570"/>
      <c r="H581" s="570"/>
      <c r="I581" s="567"/>
      <c r="J581" s="567"/>
      <c r="K581" s="567"/>
      <c r="L581" s="568"/>
      <c r="M581" s="568"/>
      <c r="N581" s="567"/>
      <c r="O581" s="567"/>
      <c r="P581" s="567"/>
      <c r="Q581" s="567"/>
      <c r="R581" s="570"/>
      <c r="S581" s="570"/>
      <c r="T581" s="567"/>
      <c r="U581" s="569"/>
      <c r="V581" s="567"/>
      <c r="W581" s="568"/>
      <c r="X581" s="568"/>
      <c r="Y581" s="567"/>
    </row>
    <row r="582" spans="1:25" x14ac:dyDescent="0.25">
      <c r="A582" s="570"/>
      <c r="B582" s="570"/>
      <c r="C582" s="570"/>
      <c r="D582" s="567"/>
      <c r="E582" s="567"/>
      <c r="F582" s="567"/>
      <c r="G582" s="570"/>
      <c r="H582" s="570"/>
      <c r="I582" s="567"/>
      <c r="J582" s="567"/>
      <c r="K582" s="567"/>
      <c r="L582" s="568"/>
      <c r="M582" s="568"/>
      <c r="N582" s="567"/>
      <c r="O582" s="567"/>
      <c r="P582" s="567"/>
      <c r="Q582" s="567"/>
      <c r="R582" s="570"/>
      <c r="S582" s="570"/>
      <c r="T582" s="567"/>
      <c r="U582" s="569"/>
      <c r="V582" s="567"/>
      <c r="W582" s="568"/>
      <c r="X582" s="568"/>
      <c r="Y582" s="567"/>
    </row>
    <row r="583" spans="1:25" x14ac:dyDescent="0.25">
      <c r="A583" s="570"/>
      <c r="B583" s="570"/>
      <c r="C583" s="570"/>
      <c r="D583" s="567"/>
      <c r="E583" s="567"/>
      <c r="F583" s="567"/>
      <c r="G583" s="570"/>
      <c r="H583" s="570"/>
      <c r="I583" s="567"/>
      <c r="J583" s="567"/>
      <c r="K583" s="567"/>
      <c r="L583" s="568"/>
      <c r="M583" s="568"/>
      <c r="N583" s="567"/>
      <c r="O583" s="567"/>
      <c r="P583" s="567"/>
      <c r="Q583" s="567"/>
      <c r="R583" s="570"/>
      <c r="S583" s="570"/>
      <c r="T583" s="567"/>
      <c r="U583" s="569"/>
      <c r="V583" s="567"/>
      <c r="W583" s="568"/>
      <c r="X583" s="568"/>
      <c r="Y583" s="567"/>
    </row>
    <row r="584" spans="1:25" x14ac:dyDescent="0.25">
      <c r="A584" s="570"/>
      <c r="B584" s="570"/>
      <c r="C584" s="570"/>
      <c r="D584" s="567"/>
      <c r="E584" s="567"/>
      <c r="F584" s="567"/>
      <c r="G584" s="570"/>
      <c r="H584" s="570"/>
      <c r="I584" s="567"/>
      <c r="J584" s="567"/>
      <c r="K584" s="567"/>
      <c r="L584" s="568"/>
      <c r="M584" s="568"/>
      <c r="N584" s="567"/>
      <c r="O584" s="567"/>
      <c r="P584" s="567"/>
      <c r="Q584" s="567"/>
      <c r="R584" s="570"/>
      <c r="S584" s="570"/>
      <c r="T584" s="567"/>
      <c r="U584" s="569"/>
      <c r="V584" s="567"/>
      <c r="W584" s="568"/>
      <c r="X584" s="568"/>
      <c r="Y584" s="567"/>
    </row>
    <row r="585" spans="1:25" x14ac:dyDescent="0.25">
      <c r="A585" s="570"/>
      <c r="B585" s="570"/>
      <c r="C585" s="570"/>
      <c r="D585" s="567"/>
      <c r="E585" s="567"/>
      <c r="F585" s="567"/>
      <c r="G585" s="570"/>
      <c r="H585" s="570"/>
      <c r="I585" s="567"/>
      <c r="J585" s="567"/>
      <c r="K585" s="567"/>
      <c r="L585" s="568"/>
      <c r="M585" s="568"/>
      <c r="N585" s="567"/>
      <c r="O585" s="567"/>
      <c r="P585" s="567"/>
      <c r="Q585" s="567"/>
      <c r="R585" s="570"/>
      <c r="S585" s="570"/>
      <c r="T585" s="567"/>
      <c r="U585" s="569"/>
      <c r="V585" s="567"/>
      <c r="W585" s="568"/>
      <c r="X585" s="568"/>
      <c r="Y585" s="567"/>
    </row>
    <row r="586" spans="1:25" x14ac:dyDescent="0.25">
      <c r="A586" s="570"/>
      <c r="B586" s="570"/>
      <c r="C586" s="570"/>
      <c r="D586" s="567"/>
      <c r="E586" s="567"/>
      <c r="F586" s="567"/>
      <c r="G586" s="570"/>
      <c r="H586" s="570"/>
      <c r="I586" s="567"/>
      <c r="J586" s="567"/>
      <c r="K586" s="567"/>
      <c r="L586" s="568"/>
      <c r="M586" s="568"/>
      <c r="N586" s="567"/>
      <c r="O586" s="567"/>
      <c r="P586" s="567"/>
      <c r="Q586" s="567"/>
      <c r="R586" s="570"/>
      <c r="S586" s="570"/>
      <c r="T586" s="567"/>
      <c r="U586" s="569"/>
      <c r="V586" s="567"/>
      <c r="W586" s="568"/>
      <c r="X586" s="568"/>
      <c r="Y586" s="567"/>
    </row>
    <row r="587" spans="1:25" x14ac:dyDescent="0.25">
      <c r="A587" s="570"/>
      <c r="B587" s="570"/>
      <c r="C587" s="570"/>
      <c r="D587" s="567"/>
      <c r="E587" s="567"/>
      <c r="F587" s="567"/>
      <c r="G587" s="570"/>
      <c r="H587" s="570"/>
      <c r="I587" s="567"/>
      <c r="J587" s="567"/>
      <c r="K587" s="567"/>
      <c r="L587" s="568"/>
      <c r="M587" s="568"/>
      <c r="N587" s="567"/>
      <c r="O587" s="567"/>
      <c r="P587" s="567"/>
      <c r="Q587" s="567"/>
      <c r="R587" s="570"/>
      <c r="S587" s="570"/>
      <c r="T587" s="567"/>
      <c r="U587" s="569"/>
      <c r="V587" s="567"/>
      <c r="W587" s="568"/>
      <c r="X587" s="568"/>
      <c r="Y587" s="567"/>
    </row>
    <row r="588" spans="1:25" x14ac:dyDescent="0.25">
      <c r="A588" s="570"/>
      <c r="B588" s="570"/>
      <c r="C588" s="570"/>
      <c r="D588" s="567"/>
      <c r="E588" s="567"/>
      <c r="F588" s="567"/>
      <c r="G588" s="570"/>
      <c r="H588" s="570"/>
      <c r="I588" s="567"/>
      <c r="J588" s="567"/>
      <c r="K588" s="567"/>
      <c r="L588" s="568"/>
      <c r="M588" s="568"/>
      <c r="N588" s="567"/>
      <c r="O588" s="567"/>
      <c r="P588" s="567"/>
      <c r="Q588" s="567"/>
      <c r="R588" s="570"/>
      <c r="S588" s="570"/>
      <c r="T588" s="567"/>
      <c r="U588" s="569"/>
      <c r="V588" s="567"/>
      <c r="W588" s="568"/>
      <c r="X588" s="568"/>
      <c r="Y588" s="567"/>
    </row>
    <row r="589" spans="1:25" x14ac:dyDescent="0.25">
      <c r="A589" s="570"/>
      <c r="B589" s="570"/>
      <c r="C589" s="570"/>
      <c r="D589" s="567"/>
      <c r="E589" s="567"/>
      <c r="F589" s="567"/>
      <c r="G589" s="570"/>
      <c r="H589" s="570"/>
      <c r="I589" s="567"/>
      <c r="J589" s="567"/>
      <c r="K589" s="567"/>
      <c r="L589" s="568"/>
      <c r="M589" s="568"/>
      <c r="N589" s="567"/>
      <c r="O589" s="567"/>
      <c r="P589" s="567"/>
      <c r="Q589" s="567"/>
      <c r="R589" s="570"/>
      <c r="S589" s="570"/>
      <c r="T589" s="567"/>
      <c r="U589" s="569"/>
      <c r="V589" s="567"/>
      <c r="W589" s="568"/>
      <c r="X589" s="568"/>
      <c r="Y589" s="567"/>
    </row>
    <row r="590" spans="1:25" x14ac:dyDescent="0.25">
      <c r="A590" s="570"/>
      <c r="B590" s="570"/>
      <c r="C590" s="570"/>
      <c r="D590" s="567"/>
      <c r="E590" s="567"/>
      <c r="F590" s="567"/>
      <c r="G590" s="570"/>
      <c r="H590" s="570"/>
      <c r="I590" s="567"/>
      <c r="J590" s="567"/>
      <c r="K590" s="567"/>
      <c r="L590" s="568"/>
      <c r="M590" s="568"/>
      <c r="N590" s="567"/>
      <c r="O590" s="567"/>
      <c r="P590" s="567"/>
      <c r="Q590" s="567"/>
      <c r="R590" s="570"/>
      <c r="S590" s="570"/>
      <c r="T590" s="567"/>
      <c r="U590" s="569"/>
      <c r="V590" s="567"/>
      <c r="W590" s="568"/>
      <c r="X590" s="568"/>
      <c r="Y590" s="567"/>
    </row>
    <row r="591" spans="1:25" x14ac:dyDescent="0.25">
      <c r="A591" s="570"/>
      <c r="B591" s="570"/>
      <c r="C591" s="570"/>
      <c r="D591" s="567"/>
      <c r="E591" s="567"/>
      <c r="F591" s="567"/>
      <c r="G591" s="570"/>
      <c r="H591" s="570"/>
      <c r="I591" s="567"/>
      <c r="J591" s="567"/>
      <c r="K591" s="567"/>
      <c r="L591" s="568"/>
      <c r="M591" s="568"/>
      <c r="N591" s="567"/>
      <c r="O591" s="567"/>
      <c r="P591" s="567"/>
      <c r="Q591" s="567"/>
      <c r="R591" s="570"/>
      <c r="S591" s="570"/>
      <c r="T591" s="567"/>
      <c r="U591" s="569"/>
      <c r="V591" s="567"/>
      <c r="W591" s="568"/>
      <c r="X591" s="568"/>
      <c r="Y591" s="567"/>
    </row>
    <row r="592" spans="1:25" x14ac:dyDescent="0.25">
      <c r="A592" s="570"/>
      <c r="B592" s="570"/>
      <c r="C592" s="570"/>
      <c r="D592" s="567"/>
      <c r="E592" s="567"/>
      <c r="F592" s="567"/>
      <c r="G592" s="570"/>
      <c r="H592" s="570"/>
      <c r="I592" s="567"/>
      <c r="J592" s="567"/>
      <c r="K592" s="567"/>
      <c r="L592" s="568"/>
      <c r="M592" s="568"/>
      <c r="N592" s="567"/>
      <c r="O592" s="567"/>
      <c r="P592" s="567"/>
      <c r="Q592" s="567"/>
      <c r="R592" s="570"/>
      <c r="S592" s="570"/>
      <c r="T592" s="567"/>
      <c r="U592" s="569"/>
      <c r="V592" s="567"/>
      <c r="W592" s="568"/>
      <c r="X592" s="568"/>
      <c r="Y592" s="567"/>
    </row>
    <row r="593" spans="1:25" x14ac:dyDescent="0.25">
      <c r="A593" s="570"/>
      <c r="B593" s="570"/>
      <c r="C593" s="570"/>
      <c r="D593" s="567"/>
      <c r="E593" s="567"/>
      <c r="F593" s="567"/>
      <c r="G593" s="570"/>
      <c r="H593" s="570"/>
      <c r="I593" s="567"/>
      <c r="J593" s="567"/>
      <c r="K593" s="567"/>
      <c r="L593" s="568"/>
      <c r="M593" s="568"/>
      <c r="N593" s="567"/>
      <c r="O593" s="567"/>
      <c r="P593" s="567"/>
      <c r="Q593" s="567"/>
      <c r="R593" s="570"/>
      <c r="S593" s="570"/>
      <c r="T593" s="567"/>
      <c r="U593" s="569"/>
      <c r="V593" s="567"/>
      <c r="W593" s="568"/>
      <c r="X593" s="568"/>
      <c r="Y593" s="567"/>
    </row>
    <row r="594" spans="1:25" x14ac:dyDescent="0.25">
      <c r="A594" s="570"/>
      <c r="B594" s="570"/>
      <c r="C594" s="570"/>
      <c r="D594" s="567"/>
      <c r="E594" s="567"/>
      <c r="F594" s="567"/>
      <c r="G594" s="570"/>
      <c r="H594" s="570"/>
      <c r="I594" s="567"/>
      <c r="J594" s="567"/>
      <c r="K594" s="567"/>
      <c r="L594" s="568"/>
      <c r="M594" s="568"/>
      <c r="N594" s="567"/>
      <c r="O594" s="567"/>
      <c r="P594" s="567"/>
      <c r="Q594" s="567"/>
      <c r="R594" s="570"/>
      <c r="S594" s="570"/>
      <c r="T594" s="567"/>
      <c r="U594" s="569"/>
      <c r="V594" s="567"/>
      <c r="W594" s="568"/>
      <c r="X594" s="568"/>
      <c r="Y594" s="567"/>
    </row>
    <row r="595" spans="1:25" x14ac:dyDescent="0.25">
      <c r="A595" s="570"/>
      <c r="B595" s="570"/>
      <c r="C595" s="570"/>
      <c r="D595" s="567"/>
      <c r="E595" s="567"/>
      <c r="F595" s="567"/>
      <c r="G595" s="570"/>
      <c r="H595" s="570"/>
      <c r="I595" s="567"/>
      <c r="J595" s="567"/>
      <c r="K595" s="567"/>
      <c r="L595" s="568"/>
      <c r="M595" s="568"/>
      <c r="N595" s="567"/>
      <c r="O595" s="567"/>
      <c r="P595" s="567"/>
      <c r="Q595" s="567"/>
      <c r="R595" s="570"/>
      <c r="S595" s="570"/>
      <c r="T595" s="567"/>
      <c r="U595" s="569"/>
      <c r="V595" s="567"/>
      <c r="W595" s="568"/>
      <c r="X595" s="568"/>
      <c r="Y595" s="567"/>
    </row>
    <row r="596" spans="1:25" x14ac:dyDescent="0.25">
      <c r="A596" s="570"/>
      <c r="B596" s="570"/>
      <c r="C596" s="570"/>
      <c r="D596" s="567"/>
      <c r="E596" s="567"/>
      <c r="F596" s="567"/>
      <c r="G596" s="570"/>
      <c r="H596" s="570"/>
      <c r="I596" s="567"/>
      <c r="J596" s="567"/>
      <c r="K596" s="567"/>
      <c r="L596" s="568"/>
      <c r="M596" s="568"/>
      <c r="N596" s="567"/>
      <c r="O596" s="567"/>
      <c r="P596" s="567"/>
      <c r="Q596" s="567"/>
      <c r="R596" s="570"/>
      <c r="S596" s="570"/>
      <c r="T596" s="567"/>
      <c r="U596" s="569"/>
      <c r="V596" s="567"/>
      <c r="W596" s="568"/>
      <c r="X596" s="568"/>
      <c r="Y596" s="567"/>
    </row>
    <row r="597" spans="1:25" x14ac:dyDescent="0.25">
      <c r="A597" s="570"/>
      <c r="B597" s="570"/>
      <c r="C597" s="570"/>
      <c r="D597" s="567"/>
      <c r="E597" s="567"/>
      <c r="F597" s="567"/>
      <c r="G597" s="570"/>
      <c r="H597" s="570"/>
      <c r="I597" s="567"/>
      <c r="J597" s="567"/>
      <c r="K597" s="567"/>
      <c r="L597" s="568"/>
      <c r="M597" s="568"/>
      <c r="N597" s="567"/>
      <c r="O597" s="567"/>
      <c r="P597" s="567"/>
      <c r="Q597" s="567"/>
      <c r="R597" s="570"/>
      <c r="S597" s="570"/>
      <c r="T597" s="567"/>
      <c r="U597" s="569"/>
      <c r="V597" s="567"/>
      <c r="W597" s="568"/>
      <c r="X597" s="568"/>
      <c r="Y597" s="567"/>
    </row>
    <row r="598" spans="1:25" x14ac:dyDescent="0.25">
      <c r="A598" s="570"/>
      <c r="B598" s="570"/>
      <c r="C598" s="570"/>
      <c r="D598" s="567"/>
      <c r="E598" s="567"/>
      <c r="F598" s="567"/>
      <c r="G598" s="570"/>
      <c r="H598" s="570"/>
      <c r="I598" s="567"/>
      <c r="J598" s="567"/>
      <c r="K598" s="567"/>
      <c r="L598" s="568"/>
      <c r="M598" s="568"/>
      <c r="N598" s="567"/>
      <c r="O598" s="567"/>
      <c r="P598" s="567"/>
      <c r="Q598" s="567"/>
      <c r="R598" s="570"/>
      <c r="S598" s="570"/>
      <c r="T598" s="567"/>
      <c r="U598" s="569"/>
      <c r="V598" s="567"/>
      <c r="W598" s="568"/>
      <c r="X598" s="568"/>
      <c r="Y598" s="567"/>
    </row>
    <row r="599" spans="1:25" x14ac:dyDescent="0.25">
      <c r="A599" s="570"/>
      <c r="B599" s="570"/>
      <c r="C599" s="570"/>
      <c r="D599" s="567"/>
      <c r="E599" s="567"/>
      <c r="F599" s="567"/>
      <c r="G599" s="570"/>
      <c r="H599" s="570"/>
      <c r="I599" s="567"/>
      <c r="J599" s="567"/>
      <c r="K599" s="567"/>
      <c r="L599" s="568"/>
      <c r="M599" s="568"/>
      <c r="N599" s="567"/>
      <c r="O599" s="567"/>
      <c r="P599" s="567"/>
      <c r="Q599" s="567"/>
      <c r="R599" s="570"/>
      <c r="S599" s="570"/>
      <c r="T599" s="567"/>
      <c r="U599" s="569"/>
      <c r="V599" s="567"/>
      <c r="W599" s="568"/>
      <c r="X599" s="568"/>
      <c r="Y599" s="567"/>
    </row>
    <row r="600" spans="1:25" x14ac:dyDescent="0.25">
      <c r="A600" s="570"/>
      <c r="B600" s="570"/>
      <c r="C600" s="570"/>
      <c r="D600" s="567"/>
      <c r="E600" s="567"/>
      <c r="F600" s="567"/>
      <c r="G600" s="570"/>
      <c r="H600" s="570"/>
      <c r="I600" s="567"/>
      <c r="J600" s="567"/>
      <c r="K600" s="567"/>
      <c r="L600" s="568"/>
      <c r="M600" s="568"/>
      <c r="N600" s="567"/>
      <c r="O600" s="567"/>
      <c r="P600" s="567"/>
      <c r="Q600" s="567"/>
      <c r="R600" s="570"/>
      <c r="S600" s="570"/>
      <c r="T600" s="567"/>
      <c r="U600" s="569"/>
      <c r="V600" s="567"/>
      <c r="W600" s="568"/>
      <c r="X600" s="568"/>
      <c r="Y600" s="567"/>
    </row>
    <row r="601" spans="1:25" x14ac:dyDescent="0.25">
      <c r="A601" s="570"/>
      <c r="B601" s="570"/>
      <c r="C601" s="570"/>
      <c r="D601" s="567"/>
      <c r="E601" s="567"/>
      <c r="F601" s="567"/>
      <c r="G601" s="570"/>
      <c r="H601" s="570"/>
      <c r="I601" s="567"/>
      <c r="J601" s="567"/>
      <c r="K601" s="567"/>
      <c r="L601" s="568"/>
      <c r="M601" s="568"/>
      <c r="N601" s="567"/>
      <c r="O601" s="567"/>
      <c r="P601" s="567"/>
      <c r="Q601" s="567"/>
      <c r="R601" s="570"/>
      <c r="S601" s="570"/>
      <c r="T601" s="567"/>
      <c r="U601" s="569"/>
      <c r="V601" s="567"/>
      <c r="W601" s="568"/>
      <c r="X601" s="568"/>
      <c r="Y601" s="567"/>
    </row>
    <row r="602" spans="1:25" x14ac:dyDescent="0.25">
      <c r="A602" s="570"/>
      <c r="B602" s="570"/>
      <c r="C602" s="570"/>
      <c r="D602" s="567"/>
      <c r="E602" s="567"/>
      <c r="F602" s="567"/>
      <c r="G602" s="570"/>
      <c r="H602" s="570"/>
      <c r="I602" s="567"/>
      <c r="J602" s="567"/>
      <c r="K602" s="567"/>
      <c r="L602" s="568"/>
      <c r="M602" s="568"/>
      <c r="N602" s="567"/>
      <c r="O602" s="567"/>
      <c r="P602" s="567"/>
      <c r="Q602" s="567"/>
      <c r="R602" s="570"/>
      <c r="S602" s="570"/>
      <c r="T602" s="567"/>
      <c r="U602" s="569"/>
      <c r="V602" s="567"/>
      <c r="W602" s="568"/>
      <c r="X602" s="568"/>
      <c r="Y602" s="567"/>
    </row>
    <row r="603" spans="1:25" x14ac:dyDescent="0.25">
      <c r="A603" s="570"/>
      <c r="B603" s="570"/>
      <c r="C603" s="570"/>
      <c r="D603" s="567"/>
      <c r="E603" s="567"/>
      <c r="F603" s="567"/>
      <c r="G603" s="570"/>
      <c r="H603" s="570"/>
      <c r="I603" s="567"/>
      <c r="J603" s="567"/>
      <c r="K603" s="567"/>
      <c r="L603" s="568"/>
      <c r="M603" s="568"/>
      <c r="N603" s="567"/>
      <c r="O603" s="567"/>
      <c r="P603" s="567"/>
      <c r="Q603" s="567"/>
      <c r="R603" s="570"/>
      <c r="S603" s="570"/>
      <c r="T603" s="567"/>
      <c r="U603" s="569"/>
      <c r="V603" s="567"/>
      <c r="W603" s="568"/>
      <c r="X603" s="568"/>
      <c r="Y603" s="567"/>
    </row>
    <row r="604" spans="1:25" x14ac:dyDescent="0.25">
      <c r="A604" s="570"/>
      <c r="B604" s="570"/>
      <c r="C604" s="570"/>
      <c r="D604" s="567"/>
      <c r="E604" s="567"/>
      <c r="F604" s="567"/>
      <c r="G604" s="570"/>
      <c r="H604" s="570"/>
      <c r="I604" s="567"/>
      <c r="J604" s="567"/>
      <c r="K604" s="567"/>
      <c r="L604" s="568"/>
      <c r="M604" s="568"/>
      <c r="N604" s="567"/>
      <c r="O604" s="567"/>
      <c r="P604" s="567"/>
      <c r="Q604" s="567"/>
      <c r="R604" s="570"/>
      <c r="S604" s="570"/>
      <c r="T604" s="567"/>
      <c r="U604" s="569"/>
      <c r="V604" s="567"/>
      <c r="W604" s="568"/>
      <c r="X604" s="568"/>
      <c r="Y604" s="567"/>
    </row>
    <row r="605" spans="1:25" x14ac:dyDescent="0.25">
      <c r="A605" s="570"/>
      <c r="B605" s="570"/>
      <c r="C605" s="570"/>
      <c r="D605" s="567"/>
      <c r="E605" s="567"/>
      <c r="F605" s="567"/>
      <c r="G605" s="570"/>
      <c r="H605" s="570"/>
      <c r="I605" s="567"/>
      <c r="J605" s="567"/>
      <c r="K605" s="567"/>
      <c r="L605" s="568"/>
      <c r="M605" s="568"/>
      <c r="N605" s="567"/>
      <c r="O605" s="567"/>
      <c r="P605" s="567"/>
      <c r="Q605" s="567"/>
      <c r="R605" s="570"/>
      <c r="S605" s="570"/>
      <c r="T605" s="567"/>
      <c r="U605" s="569"/>
      <c r="V605" s="567"/>
      <c r="W605" s="568"/>
      <c r="X605" s="568"/>
      <c r="Y605" s="567"/>
    </row>
    <row r="606" spans="1:25" x14ac:dyDescent="0.25">
      <c r="A606" s="570"/>
      <c r="B606" s="570"/>
      <c r="C606" s="570"/>
      <c r="D606" s="567"/>
      <c r="E606" s="567"/>
      <c r="F606" s="567"/>
      <c r="G606" s="570"/>
      <c r="H606" s="570"/>
      <c r="I606" s="567"/>
      <c r="J606" s="567"/>
      <c r="K606" s="567"/>
      <c r="L606" s="568"/>
      <c r="M606" s="568"/>
      <c r="N606" s="567"/>
      <c r="O606" s="567"/>
      <c r="P606" s="567"/>
      <c r="Q606" s="567"/>
      <c r="R606" s="570"/>
      <c r="S606" s="570"/>
      <c r="T606" s="567"/>
      <c r="U606" s="569"/>
      <c r="V606" s="567"/>
      <c r="W606" s="568"/>
      <c r="X606" s="568"/>
      <c r="Y606" s="567"/>
    </row>
    <row r="607" spans="1:25" x14ac:dyDescent="0.25">
      <c r="A607" s="570"/>
      <c r="B607" s="570"/>
      <c r="C607" s="570"/>
      <c r="D607" s="567"/>
      <c r="E607" s="567"/>
      <c r="F607" s="567"/>
      <c r="G607" s="570"/>
      <c r="H607" s="570"/>
      <c r="I607" s="567"/>
      <c r="J607" s="567"/>
      <c r="K607" s="567"/>
      <c r="L607" s="568"/>
      <c r="M607" s="568"/>
      <c r="N607" s="567"/>
      <c r="O607" s="567"/>
      <c r="P607" s="567"/>
      <c r="Q607" s="567"/>
      <c r="R607" s="570"/>
      <c r="S607" s="570"/>
      <c r="T607" s="567"/>
      <c r="U607" s="569"/>
      <c r="V607" s="567"/>
      <c r="W607" s="568"/>
      <c r="X607" s="568"/>
      <c r="Y607" s="567"/>
    </row>
    <row r="608" spans="1:25" x14ac:dyDescent="0.25">
      <c r="A608" s="570"/>
      <c r="B608" s="570"/>
      <c r="C608" s="570"/>
      <c r="D608" s="567"/>
      <c r="E608" s="567"/>
      <c r="F608" s="567"/>
      <c r="G608" s="570"/>
      <c r="H608" s="570"/>
      <c r="I608" s="567"/>
      <c r="J608" s="567"/>
      <c r="K608" s="567"/>
      <c r="L608" s="568"/>
      <c r="M608" s="568"/>
      <c r="N608" s="567"/>
      <c r="O608" s="567"/>
      <c r="P608" s="567"/>
      <c r="Q608" s="567"/>
      <c r="R608" s="570"/>
      <c r="S608" s="570"/>
      <c r="T608" s="567"/>
      <c r="U608" s="569"/>
      <c r="V608" s="567"/>
      <c r="W608" s="568"/>
      <c r="X608" s="568"/>
      <c r="Y608" s="567"/>
    </row>
    <row r="609" spans="1:25" x14ac:dyDescent="0.25">
      <c r="A609" s="570"/>
      <c r="B609" s="570"/>
      <c r="C609" s="570"/>
      <c r="D609" s="567"/>
      <c r="E609" s="567"/>
      <c r="F609" s="567"/>
      <c r="G609" s="570"/>
      <c r="H609" s="570"/>
      <c r="I609" s="567"/>
      <c r="J609" s="567"/>
      <c r="K609" s="567"/>
      <c r="L609" s="568"/>
      <c r="M609" s="568"/>
      <c r="N609" s="567"/>
      <c r="O609" s="567"/>
      <c r="P609" s="567"/>
      <c r="Q609" s="567"/>
      <c r="R609" s="570"/>
      <c r="S609" s="570"/>
      <c r="T609" s="567"/>
      <c r="U609" s="569"/>
      <c r="V609" s="567"/>
      <c r="W609" s="568"/>
      <c r="X609" s="568"/>
      <c r="Y609" s="567"/>
    </row>
    <row r="610" spans="1:25" x14ac:dyDescent="0.25">
      <c r="A610" s="570"/>
      <c r="B610" s="570"/>
      <c r="C610" s="570"/>
      <c r="D610" s="567"/>
      <c r="E610" s="567"/>
      <c r="F610" s="567"/>
      <c r="G610" s="570"/>
      <c r="H610" s="570"/>
      <c r="I610" s="567"/>
      <c r="J610" s="567"/>
      <c r="K610" s="567"/>
      <c r="L610" s="568"/>
      <c r="M610" s="568"/>
      <c r="N610" s="567"/>
      <c r="O610" s="567"/>
      <c r="P610" s="567"/>
      <c r="Q610" s="567"/>
      <c r="R610" s="570"/>
      <c r="S610" s="570"/>
      <c r="T610" s="567"/>
      <c r="U610" s="569"/>
      <c r="V610" s="567"/>
      <c r="W610" s="568"/>
      <c r="X610" s="568"/>
      <c r="Y610" s="567"/>
    </row>
    <row r="611" spans="1:25" x14ac:dyDescent="0.25">
      <c r="A611" s="570"/>
      <c r="B611" s="570"/>
      <c r="C611" s="570"/>
      <c r="D611" s="567"/>
      <c r="E611" s="567"/>
      <c r="F611" s="567"/>
      <c r="G611" s="570"/>
      <c r="H611" s="570"/>
      <c r="I611" s="567"/>
      <c r="J611" s="567"/>
      <c r="K611" s="567"/>
      <c r="L611" s="568"/>
      <c r="M611" s="568"/>
      <c r="N611" s="567"/>
      <c r="O611" s="567"/>
      <c r="P611" s="567"/>
      <c r="Q611" s="567"/>
      <c r="R611" s="570"/>
      <c r="S611" s="570"/>
      <c r="T611" s="567"/>
      <c r="U611" s="569"/>
      <c r="V611" s="567"/>
      <c r="W611" s="568"/>
      <c r="X611" s="568"/>
      <c r="Y611" s="567"/>
    </row>
    <row r="612" spans="1:25" x14ac:dyDescent="0.25">
      <c r="A612" s="570"/>
      <c r="B612" s="570"/>
      <c r="C612" s="570"/>
      <c r="D612" s="567"/>
      <c r="E612" s="567"/>
      <c r="F612" s="567"/>
      <c r="G612" s="570"/>
      <c r="H612" s="570"/>
      <c r="I612" s="567"/>
      <c r="J612" s="567"/>
      <c r="K612" s="567"/>
      <c r="L612" s="568"/>
      <c r="M612" s="568"/>
      <c r="N612" s="567"/>
      <c r="O612" s="567"/>
      <c r="P612" s="567"/>
      <c r="Q612" s="567"/>
      <c r="R612" s="570"/>
      <c r="S612" s="570"/>
      <c r="T612" s="567"/>
      <c r="U612" s="569"/>
      <c r="V612" s="567"/>
      <c r="W612" s="568"/>
      <c r="X612" s="568"/>
      <c r="Y612" s="567"/>
    </row>
    <row r="613" spans="1:25" x14ac:dyDescent="0.25">
      <c r="A613" s="570"/>
      <c r="B613" s="570"/>
      <c r="C613" s="570"/>
      <c r="D613" s="567"/>
      <c r="E613" s="567"/>
      <c r="F613" s="567"/>
      <c r="G613" s="570"/>
      <c r="H613" s="570"/>
      <c r="I613" s="567"/>
      <c r="J613" s="567"/>
      <c r="K613" s="567"/>
      <c r="L613" s="568"/>
      <c r="M613" s="568"/>
      <c r="N613" s="567"/>
      <c r="O613" s="567"/>
      <c r="P613" s="567"/>
      <c r="Q613" s="567"/>
      <c r="R613" s="570"/>
      <c r="S613" s="570"/>
      <c r="T613" s="567"/>
      <c r="U613" s="569"/>
      <c r="V613" s="567"/>
      <c r="W613" s="568"/>
      <c r="X613" s="568"/>
      <c r="Y613" s="567"/>
    </row>
    <row r="614" spans="1:25" x14ac:dyDescent="0.25">
      <c r="A614" s="570"/>
      <c r="B614" s="570"/>
      <c r="C614" s="570"/>
      <c r="D614" s="567"/>
      <c r="E614" s="567"/>
      <c r="F614" s="567"/>
      <c r="G614" s="570"/>
      <c r="H614" s="570"/>
      <c r="I614" s="567"/>
      <c r="J614" s="567"/>
      <c r="K614" s="567"/>
      <c r="L614" s="568"/>
      <c r="M614" s="568"/>
      <c r="N614" s="567"/>
      <c r="O614" s="567"/>
      <c r="P614" s="567"/>
      <c r="Q614" s="567"/>
      <c r="R614" s="570"/>
      <c r="S614" s="570"/>
      <c r="T614" s="567"/>
      <c r="U614" s="569"/>
      <c r="V614" s="567"/>
      <c r="W614" s="568"/>
      <c r="X614" s="568"/>
      <c r="Y614" s="567"/>
    </row>
    <row r="615" spans="1:25" x14ac:dyDescent="0.25">
      <c r="A615" s="570"/>
      <c r="B615" s="570"/>
      <c r="C615" s="570"/>
      <c r="D615" s="567"/>
      <c r="E615" s="567"/>
      <c r="F615" s="567"/>
      <c r="G615" s="570"/>
      <c r="H615" s="570"/>
      <c r="I615" s="567"/>
      <c r="J615" s="567"/>
      <c r="K615" s="567"/>
      <c r="L615" s="568"/>
      <c r="M615" s="568"/>
      <c r="N615" s="567"/>
      <c r="O615" s="567"/>
      <c r="P615" s="567"/>
      <c r="Q615" s="567"/>
      <c r="R615" s="570"/>
      <c r="S615" s="570"/>
      <c r="T615" s="567"/>
      <c r="U615" s="569"/>
      <c r="V615" s="567"/>
      <c r="W615" s="568"/>
      <c r="X615" s="568"/>
      <c r="Y615" s="567"/>
    </row>
    <row r="616" spans="1:25" x14ac:dyDescent="0.25">
      <c r="A616" s="570"/>
      <c r="B616" s="570"/>
      <c r="C616" s="570"/>
      <c r="D616" s="567"/>
      <c r="E616" s="567"/>
      <c r="F616" s="567"/>
      <c r="G616" s="570"/>
      <c r="H616" s="570"/>
      <c r="I616" s="567"/>
      <c r="J616" s="567"/>
      <c r="K616" s="567"/>
      <c r="L616" s="568"/>
      <c r="M616" s="568"/>
      <c r="N616" s="567"/>
      <c r="O616" s="567"/>
      <c r="P616" s="567"/>
      <c r="Q616" s="567"/>
      <c r="R616" s="570"/>
      <c r="S616" s="570"/>
      <c r="T616" s="567"/>
      <c r="U616" s="569"/>
      <c r="V616" s="567"/>
      <c r="W616" s="568"/>
      <c r="X616" s="568"/>
      <c r="Y616" s="567"/>
    </row>
    <row r="617" spans="1:25" x14ac:dyDescent="0.25">
      <c r="A617" s="570"/>
      <c r="B617" s="570"/>
      <c r="C617" s="570"/>
      <c r="D617" s="567"/>
      <c r="E617" s="567"/>
      <c r="F617" s="567"/>
      <c r="G617" s="570"/>
      <c r="H617" s="570"/>
      <c r="I617" s="567"/>
      <c r="J617" s="567"/>
      <c r="K617" s="567"/>
      <c r="L617" s="568"/>
      <c r="M617" s="568"/>
      <c r="N617" s="567"/>
      <c r="O617" s="567"/>
      <c r="P617" s="567"/>
      <c r="Q617" s="567"/>
      <c r="R617" s="570"/>
      <c r="S617" s="570"/>
      <c r="T617" s="567"/>
      <c r="U617" s="569"/>
      <c r="V617" s="567"/>
      <c r="W617" s="568"/>
      <c r="X617" s="568"/>
      <c r="Y617" s="567"/>
    </row>
    <row r="618" spans="1:25" x14ac:dyDescent="0.25">
      <c r="A618" s="570"/>
      <c r="B618" s="570"/>
      <c r="C618" s="570"/>
      <c r="D618" s="567"/>
      <c r="E618" s="567"/>
      <c r="F618" s="567"/>
      <c r="G618" s="570"/>
      <c r="H618" s="570"/>
      <c r="I618" s="567"/>
      <c r="J618" s="567"/>
      <c r="K618" s="567"/>
      <c r="L618" s="568"/>
      <c r="M618" s="568"/>
      <c r="N618" s="567"/>
      <c r="O618" s="567"/>
      <c r="P618" s="567"/>
      <c r="Q618" s="567"/>
      <c r="R618" s="570"/>
      <c r="S618" s="570"/>
      <c r="T618" s="567"/>
      <c r="U618" s="569"/>
      <c r="V618" s="567"/>
      <c r="W618" s="568"/>
      <c r="X618" s="568"/>
      <c r="Y618" s="567"/>
    </row>
    <row r="619" spans="1:25" x14ac:dyDescent="0.25">
      <c r="A619" s="570"/>
      <c r="B619" s="570"/>
      <c r="C619" s="570"/>
      <c r="D619" s="567"/>
      <c r="E619" s="567"/>
      <c r="F619" s="567"/>
      <c r="G619" s="570"/>
      <c r="H619" s="570"/>
      <c r="I619" s="567"/>
      <c r="J619" s="567"/>
      <c r="K619" s="567"/>
      <c r="L619" s="568"/>
      <c r="M619" s="568"/>
      <c r="N619" s="567"/>
      <c r="O619" s="567"/>
      <c r="P619" s="567"/>
      <c r="Q619" s="567"/>
      <c r="R619" s="570"/>
      <c r="S619" s="570"/>
      <c r="T619" s="567"/>
      <c r="U619" s="569"/>
      <c r="V619" s="567"/>
      <c r="W619" s="568"/>
      <c r="X619" s="568"/>
      <c r="Y619" s="567"/>
    </row>
    <row r="620" spans="1:25" x14ac:dyDescent="0.25">
      <c r="A620" s="570"/>
      <c r="B620" s="570"/>
      <c r="C620" s="570"/>
      <c r="D620" s="567"/>
      <c r="E620" s="567"/>
      <c r="F620" s="567"/>
      <c r="G620" s="570"/>
      <c r="H620" s="570"/>
      <c r="I620" s="567"/>
      <c r="J620" s="567"/>
      <c r="K620" s="567"/>
      <c r="L620" s="568"/>
      <c r="M620" s="568"/>
      <c r="N620" s="567"/>
      <c r="O620" s="567"/>
      <c r="P620" s="567"/>
      <c r="Q620" s="567"/>
      <c r="R620" s="570"/>
      <c r="S620" s="570"/>
      <c r="T620" s="567"/>
      <c r="U620" s="569"/>
      <c r="V620" s="567"/>
      <c r="W620" s="568"/>
      <c r="X620" s="568"/>
      <c r="Y620" s="567"/>
    </row>
    <row r="621" spans="1:25" x14ac:dyDescent="0.25">
      <c r="A621" s="570"/>
      <c r="B621" s="570"/>
      <c r="C621" s="570"/>
      <c r="D621" s="567"/>
      <c r="E621" s="567"/>
      <c r="F621" s="567"/>
      <c r="G621" s="570"/>
      <c r="H621" s="570"/>
      <c r="I621" s="567"/>
      <c r="J621" s="567"/>
      <c r="K621" s="567"/>
      <c r="L621" s="568"/>
      <c r="M621" s="568"/>
      <c r="N621" s="567"/>
      <c r="O621" s="567"/>
      <c r="P621" s="567"/>
      <c r="Q621" s="567"/>
      <c r="R621" s="570"/>
      <c r="S621" s="570"/>
      <c r="T621" s="567"/>
      <c r="U621" s="569"/>
      <c r="V621" s="567"/>
      <c r="W621" s="568"/>
      <c r="X621" s="568"/>
      <c r="Y621" s="567"/>
    </row>
    <row r="622" spans="1:25" x14ac:dyDescent="0.25">
      <c r="A622" s="570"/>
      <c r="B622" s="570"/>
      <c r="C622" s="570"/>
      <c r="D622" s="567"/>
      <c r="E622" s="567"/>
      <c r="F622" s="567"/>
      <c r="G622" s="570"/>
      <c r="H622" s="570"/>
      <c r="I622" s="567"/>
      <c r="J622" s="567"/>
      <c r="K622" s="567"/>
      <c r="L622" s="568"/>
      <c r="M622" s="568"/>
      <c r="N622" s="567"/>
      <c r="O622" s="567"/>
      <c r="P622" s="567"/>
      <c r="Q622" s="567"/>
      <c r="R622" s="570"/>
      <c r="S622" s="570"/>
      <c r="T622" s="567"/>
      <c r="U622" s="569"/>
      <c r="V622" s="567"/>
      <c r="W622" s="568"/>
      <c r="X622" s="568"/>
      <c r="Y622" s="567"/>
    </row>
    <row r="623" spans="1:25" x14ac:dyDescent="0.25">
      <c r="A623" s="570"/>
      <c r="B623" s="570"/>
      <c r="C623" s="570"/>
      <c r="D623" s="567"/>
      <c r="E623" s="567"/>
      <c r="F623" s="567"/>
      <c r="G623" s="570"/>
      <c r="H623" s="570"/>
      <c r="I623" s="567"/>
      <c r="J623" s="567"/>
      <c r="K623" s="567"/>
      <c r="L623" s="568"/>
      <c r="M623" s="568"/>
      <c r="N623" s="567"/>
      <c r="O623" s="567"/>
      <c r="P623" s="567"/>
      <c r="Q623" s="567"/>
      <c r="R623" s="570"/>
      <c r="S623" s="570"/>
      <c r="T623" s="567"/>
      <c r="U623" s="569"/>
      <c r="V623" s="567"/>
      <c r="W623" s="568"/>
      <c r="X623" s="568"/>
      <c r="Y623" s="567"/>
    </row>
    <row r="624" spans="1:25" x14ac:dyDescent="0.25">
      <c r="A624" s="570"/>
      <c r="B624" s="570"/>
      <c r="C624" s="570"/>
      <c r="D624" s="567"/>
      <c r="E624" s="567"/>
      <c r="F624" s="567"/>
      <c r="G624" s="570"/>
      <c r="H624" s="570"/>
      <c r="I624" s="567"/>
      <c r="J624" s="567"/>
      <c r="K624" s="567"/>
      <c r="L624" s="568"/>
      <c r="M624" s="568"/>
      <c r="N624" s="567"/>
      <c r="O624" s="567"/>
      <c r="P624" s="567"/>
      <c r="Q624" s="567"/>
      <c r="R624" s="570"/>
      <c r="S624" s="570"/>
      <c r="T624" s="567"/>
      <c r="U624" s="569"/>
      <c r="V624" s="567"/>
      <c r="W624" s="568"/>
      <c r="X624" s="568"/>
      <c r="Y624" s="567"/>
    </row>
    <row r="625" spans="1:25" x14ac:dyDescent="0.25">
      <c r="A625" s="570"/>
      <c r="B625" s="570"/>
      <c r="C625" s="570"/>
      <c r="D625" s="567"/>
      <c r="E625" s="567"/>
      <c r="F625" s="567"/>
      <c r="G625" s="570"/>
      <c r="H625" s="570"/>
      <c r="I625" s="567"/>
      <c r="J625" s="567"/>
      <c r="K625" s="567"/>
      <c r="L625" s="568"/>
      <c r="M625" s="568"/>
      <c r="N625" s="567"/>
      <c r="O625" s="567"/>
      <c r="P625" s="567"/>
      <c r="Q625" s="567"/>
      <c r="R625" s="570"/>
      <c r="S625" s="570"/>
      <c r="T625" s="567"/>
      <c r="U625" s="569"/>
      <c r="V625" s="567"/>
      <c r="W625" s="568"/>
      <c r="X625" s="568"/>
      <c r="Y625" s="567"/>
    </row>
    <row r="626" spans="1:25" x14ac:dyDescent="0.25">
      <c r="A626" s="570"/>
      <c r="B626" s="570"/>
      <c r="C626" s="570"/>
      <c r="D626" s="567"/>
      <c r="E626" s="567"/>
      <c r="F626" s="567"/>
      <c r="G626" s="570"/>
      <c r="H626" s="570"/>
      <c r="I626" s="567"/>
      <c r="J626" s="567"/>
      <c r="K626" s="567"/>
      <c r="L626" s="568"/>
      <c r="M626" s="568"/>
      <c r="N626" s="567"/>
      <c r="O626" s="567"/>
      <c r="P626" s="567"/>
      <c r="Q626" s="567"/>
      <c r="R626" s="570"/>
      <c r="S626" s="570"/>
      <c r="T626" s="567"/>
      <c r="U626" s="569"/>
      <c r="V626" s="567"/>
      <c r="W626" s="568"/>
      <c r="X626" s="568"/>
      <c r="Y626" s="567"/>
    </row>
    <row r="627" spans="1:25" x14ac:dyDescent="0.25">
      <c r="A627" s="570"/>
      <c r="B627" s="570"/>
      <c r="C627" s="570"/>
      <c r="D627" s="567"/>
      <c r="E627" s="567"/>
      <c r="F627" s="567"/>
      <c r="G627" s="570"/>
      <c r="H627" s="570"/>
      <c r="I627" s="567"/>
      <c r="J627" s="567"/>
      <c r="K627" s="567"/>
      <c r="L627" s="568"/>
      <c r="M627" s="568"/>
      <c r="N627" s="567"/>
      <c r="O627" s="567"/>
      <c r="P627" s="567"/>
      <c r="Q627" s="567"/>
      <c r="R627" s="570"/>
      <c r="S627" s="570"/>
      <c r="T627" s="567"/>
      <c r="U627" s="569"/>
      <c r="V627" s="567"/>
      <c r="W627" s="568"/>
      <c r="X627" s="568"/>
      <c r="Y627" s="567"/>
    </row>
    <row r="628" spans="1:25" x14ac:dyDescent="0.25">
      <c r="A628" s="570"/>
      <c r="B628" s="570"/>
      <c r="C628" s="570"/>
      <c r="D628" s="567"/>
      <c r="E628" s="567"/>
      <c r="F628" s="567"/>
      <c r="G628" s="570"/>
      <c r="H628" s="570"/>
      <c r="I628" s="567"/>
      <c r="J628" s="567"/>
      <c r="K628" s="567"/>
      <c r="L628" s="568"/>
      <c r="M628" s="568"/>
      <c r="N628" s="567"/>
      <c r="O628" s="567"/>
      <c r="P628" s="567"/>
      <c r="Q628" s="567"/>
      <c r="R628" s="570"/>
      <c r="S628" s="570"/>
      <c r="T628" s="567"/>
      <c r="U628" s="569"/>
      <c r="V628" s="567"/>
      <c r="W628" s="568"/>
      <c r="X628" s="568"/>
      <c r="Y628" s="567"/>
    </row>
    <row r="629" spans="1:25" x14ac:dyDescent="0.25">
      <c r="A629" s="570"/>
      <c r="B629" s="570"/>
      <c r="C629" s="570"/>
      <c r="D629" s="567"/>
      <c r="E629" s="567"/>
      <c r="F629" s="567"/>
      <c r="G629" s="570"/>
      <c r="H629" s="570"/>
      <c r="I629" s="567"/>
      <c r="J629" s="567"/>
      <c r="K629" s="567"/>
      <c r="L629" s="568"/>
      <c r="M629" s="568"/>
      <c r="N629" s="567"/>
      <c r="O629" s="567"/>
      <c r="P629" s="567"/>
      <c r="Q629" s="567"/>
      <c r="R629" s="570"/>
      <c r="S629" s="570"/>
      <c r="T629" s="567"/>
      <c r="U629" s="569"/>
      <c r="V629" s="567"/>
      <c r="W629" s="568"/>
      <c r="X629" s="568"/>
      <c r="Y629" s="567"/>
    </row>
    <row r="630" spans="1:25" x14ac:dyDescent="0.25">
      <c r="A630" s="570"/>
      <c r="B630" s="570"/>
      <c r="C630" s="570"/>
      <c r="D630" s="567"/>
      <c r="E630" s="567"/>
      <c r="F630" s="567"/>
      <c r="G630" s="570"/>
      <c r="H630" s="570"/>
      <c r="I630" s="567"/>
      <c r="J630" s="567"/>
      <c r="K630" s="567"/>
      <c r="L630" s="568"/>
      <c r="M630" s="568"/>
      <c r="N630" s="567"/>
      <c r="O630" s="567"/>
      <c r="P630" s="567"/>
      <c r="Q630" s="567"/>
      <c r="R630" s="570"/>
      <c r="S630" s="570"/>
      <c r="T630" s="567"/>
      <c r="U630" s="569"/>
      <c r="V630" s="567"/>
      <c r="W630" s="568"/>
      <c r="X630" s="568"/>
      <c r="Y630" s="567"/>
    </row>
    <row r="631" spans="1:25" x14ac:dyDescent="0.25">
      <c r="A631" s="570"/>
      <c r="B631" s="570"/>
      <c r="C631" s="570"/>
      <c r="D631" s="567"/>
      <c r="E631" s="567"/>
      <c r="F631" s="567"/>
      <c r="G631" s="570"/>
      <c r="H631" s="570"/>
      <c r="I631" s="567"/>
      <c r="J631" s="567"/>
      <c r="K631" s="567"/>
      <c r="L631" s="568"/>
      <c r="M631" s="568"/>
      <c r="N631" s="567"/>
      <c r="O631" s="567"/>
      <c r="P631" s="567"/>
      <c r="Q631" s="567"/>
      <c r="R631" s="570"/>
      <c r="S631" s="570"/>
      <c r="T631" s="567"/>
      <c r="U631" s="569"/>
      <c r="V631" s="567"/>
      <c r="W631" s="568"/>
      <c r="X631" s="568"/>
      <c r="Y631" s="567"/>
    </row>
    <row r="632" spans="1:25" x14ac:dyDescent="0.25">
      <c r="A632" s="570"/>
      <c r="B632" s="570"/>
      <c r="C632" s="570"/>
      <c r="D632" s="567"/>
      <c r="E632" s="567"/>
      <c r="F632" s="567"/>
      <c r="G632" s="570"/>
      <c r="H632" s="570"/>
      <c r="I632" s="567"/>
      <c r="J632" s="567"/>
      <c r="K632" s="567"/>
      <c r="L632" s="568"/>
      <c r="M632" s="568"/>
      <c r="N632" s="567"/>
      <c r="O632" s="567"/>
      <c r="P632" s="567"/>
      <c r="Q632" s="567"/>
      <c r="R632" s="570"/>
      <c r="S632" s="570"/>
      <c r="T632" s="567"/>
      <c r="U632" s="569"/>
      <c r="V632" s="567"/>
      <c r="W632" s="568"/>
      <c r="X632" s="568"/>
      <c r="Y632" s="567"/>
    </row>
    <row r="633" spans="1:25" x14ac:dyDescent="0.25">
      <c r="A633" s="570"/>
      <c r="B633" s="570"/>
      <c r="C633" s="570"/>
      <c r="D633" s="567"/>
      <c r="E633" s="567"/>
      <c r="F633" s="567"/>
      <c r="G633" s="570"/>
      <c r="H633" s="570"/>
      <c r="I633" s="567"/>
      <c r="J633" s="567"/>
      <c r="K633" s="567"/>
      <c r="L633" s="568"/>
      <c r="M633" s="568"/>
      <c r="N633" s="567"/>
      <c r="O633" s="567"/>
      <c r="P633" s="567"/>
      <c r="Q633" s="567"/>
      <c r="R633" s="570"/>
      <c r="S633" s="570"/>
      <c r="T633" s="567"/>
      <c r="U633" s="569"/>
      <c r="V633" s="567"/>
      <c r="W633" s="568"/>
      <c r="X633" s="568"/>
      <c r="Y633" s="567"/>
    </row>
    <row r="634" spans="1:25" x14ac:dyDescent="0.25">
      <c r="A634" s="570"/>
      <c r="B634" s="570"/>
      <c r="C634" s="570"/>
      <c r="D634" s="567"/>
      <c r="E634" s="567"/>
      <c r="F634" s="567"/>
      <c r="G634" s="570"/>
      <c r="H634" s="570"/>
      <c r="I634" s="567"/>
      <c r="J634" s="567"/>
      <c r="K634" s="567"/>
      <c r="L634" s="568"/>
      <c r="M634" s="568"/>
      <c r="N634" s="567"/>
      <c r="O634" s="567"/>
      <c r="P634" s="567"/>
      <c r="Q634" s="567"/>
      <c r="R634" s="570"/>
      <c r="S634" s="570"/>
      <c r="T634" s="567"/>
      <c r="U634" s="569"/>
      <c r="V634" s="567"/>
      <c r="W634" s="568"/>
      <c r="X634" s="568"/>
      <c r="Y634" s="567"/>
    </row>
    <row r="635" spans="1:25" x14ac:dyDescent="0.25">
      <c r="A635" s="570"/>
      <c r="B635" s="570"/>
      <c r="C635" s="570"/>
      <c r="D635" s="567"/>
      <c r="E635" s="567"/>
      <c r="F635" s="567"/>
      <c r="G635" s="570"/>
      <c r="H635" s="570"/>
      <c r="I635" s="567"/>
      <c r="J635" s="567"/>
      <c r="K635" s="567"/>
      <c r="L635" s="568"/>
      <c r="M635" s="568"/>
      <c r="N635" s="567"/>
      <c r="O635" s="567"/>
      <c r="P635" s="567"/>
      <c r="Q635" s="567"/>
      <c r="R635" s="570"/>
      <c r="S635" s="570"/>
      <c r="T635" s="567"/>
      <c r="U635" s="569"/>
      <c r="V635" s="567"/>
      <c r="W635" s="568"/>
      <c r="X635" s="568"/>
      <c r="Y635" s="567"/>
    </row>
    <row r="636" spans="1:25" x14ac:dyDescent="0.25">
      <c r="A636" s="570"/>
      <c r="B636" s="570"/>
      <c r="C636" s="570"/>
      <c r="D636" s="567"/>
      <c r="E636" s="567"/>
      <c r="F636" s="567"/>
      <c r="G636" s="570"/>
      <c r="H636" s="570"/>
      <c r="I636" s="567"/>
      <c r="J636" s="567"/>
      <c r="K636" s="567"/>
      <c r="L636" s="568"/>
      <c r="M636" s="568"/>
      <c r="N636" s="567"/>
      <c r="O636" s="567"/>
      <c r="P636" s="567"/>
      <c r="Q636" s="567"/>
      <c r="R636" s="570"/>
      <c r="S636" s="570"/>
      <c r="T636" s="567"/>
      <c r="U636" s="569"/>
      <c r="V636" s="567"/>
      <c r="W636" s="568"/>
      <c r="X636" s="568"/>
      <c r="Y636" s="567"/>
    </row>
    <row r="637" spans="1:25" x14ac:dyDescent="0.25">
      <c r="A637" s="570"/>
      <c r="B637" s="570"/>
      <c r="C637" s="570"/>
      <c r="D637" s="567"/>
      <c r="E637" s="567"/>
      <c r="F637" s="567"/>
      <c r="G637" s="570"/>
      <c r="H637" s="570"/>
      <c r="I637" s="567"/>
      <c r="J637" s="567"/>
      <c r="K637" s="567"/>
      <c r="L637" s="568"/>
      <c r="M637" s="568"/>
      <c r="N637" s="567"/>
      <c r="O637" s="567"/>
      <c r="P637" s="567"/>
      <c r="Q637" s="567"/>
      <c r="R637" s="570"/>
      <c r="S637" s="570"/>
      <c r="T637" s="567"/>
      <c r="U637" s="569"/>
      <c r="V637" s="567"/>
      <c r="W637" s="568"/>
      <c r="X637" s="568"/>
      <c r="Y637" s="567"/>
    </row>
    <row r="638" spans="1:25" x14ac:dyDescent="0.25">
      <c r="A638" s="570"/>
      <c r="B638" s="570"/>
      <c r="C638" s="570"/>
      <c r="D638" s="567"/>
      <c r="E638" s="567"/>
      <c r="F638" s="567"/>
      <c r="G638" s="570"/>
      <c r="H638" s="570"/>
      <c r="I638" s="567"/>
      <c r="J638" s="567"/>
      <c r="K638" s="567"/>
      <c r="L638" s="568"/>
      <c r="M638" s="568"/>
      <c r="N638" s="567"/>
      <c r="O638" s="567"/>
      <c r="P638" s="567"/>
      <c r="Q638" s="567"/>
      <c r="R638" s="570"/>
      <c r="S638" s="570"/>
      <c r="T638" s="567"/>
      <c r="U638" s="569"/>
      <c r="V638" s="567"/>
      <c r="W638" s="568"/>
      <c r="X638" s="568"/>
      <c r="Y638" s="567"/>
    </row>
    <row r="639" spans="1:25" x14ac:dyDescent="0.25">
      <c r="A639" s="570"/>
      <c r="B639" s="570"/>
      <c r="C639" s="570"/>
      <c r="D639" s="567"/>
      <c r="E639" s="567"/>
      <c r="F639" s="567"/>
      <c r="G639" s="570"/>
      <c r="H639" s="570"/>
      <c r="I639" s="567"/>
      <c r="J639" s="567"/>
      <c r="K639" s="567"/>
      <c r="L639" s="568"/>
      <c r="M639" s="568"/>
      <c r="N639" s="567"/>
      <c r="O639" s="567"/>
      <c r="P639" s="567"/>
      <c r="Q639" s="567"/>
      <c r="R639" s="570"/>
      <c r="S639" s="570"/>
      <c r="T639" s="567"/>
      <c r="U639" s="569"/>
      <c r="V639" s="567"/>
      <c r="W639" s="568"/>
      <c r="X639" s="568"/>
      <c r="Y639" s="567"/>
    </row>
    <row r="640" spans="1:25" x14ac:dyDescent="0.25">
      <c r="A640" s="570"/>
      <c r="B640" s="570"/>
      <c r="C640" s="570"/>
      <c r="D640" s="567"/>
      <c r="E640" s="567"/>
      <c r="F640" s="567"/>
      <c r="G640" s="570"/>
      <c r="H640" s="570"/>
      <c r="I640" s="567"/>
      <c r="J640" s="567"/>
      <c r="K640" s="567"/>
      <c r="L640" s="568"/>
      <c r="M640" s="568"/>
      <c r="N640" s="567"/>
      <c r="O640" s="567"/>
      <c r="P640" s="567"/>
      <c r="Q640" s="567"/>
      <c r="R640" s="570"/>
      <c r="S640" s="570"/>
      <c r="T640" s="567"/>
      <c r="U640" s="569"/>
      <c r="V640" s="567"/>
      <c r="W640" s="568"/>
      <c r="X640" s="568"/>
      <c r="Y640" s="567"/>
    </row>
    <row r="641" spans="1:25" x14ac:dyDescent="0.25">
      <c r="A641" s="570"/>
      <c r="B641" s="570"/>
      <c r="C641" s="570"/>
      <c r="D641" s="567"/>
      <c r="E641" s="567"/>
      <c r="F641" s="567"/>
      <c r="G641" s="570"/>
      <c r="H641" s="570"/>
      <c r="I641" s="567"/>
      <c r="J641" s="567"/>
      <c r="K641" s="567"/>
      <c r="L641" s="568"/>
      <c r="M641" s="568"/>
      <c r="N641" s="567"/>
      <c r="O641" s="567"/>
      <c r="P641" s="567"/>
      <c r="Q641" s="567"/>
      <c r="R641" s="570"/>
      <c r="S641" s="570"/>
      <c r="T641" s="567"/>
      <c r="U641" s="569"/>
      <c r="V641" s="567"/>
      <c r="W641" s="568"/>
      <c r="X641" s="568"/>
      <c r="Y641" s="567"/>
    </row>
    <row r="642" spans="1:25" x14ac:dyDescent="0.25">
      <c r="A642" s="570"/>
      <c r="B642" s="570"/>
      <c r="C642" s="570"/>
      <c r="D642" s="567"/>
      <c r="E642" s="567"/>
      <c r="F642" s="567"/>
      <c r="G642" s="570"/>
      <c r="H642" s="570"/>
      <c r="I642" s="567"/>
      <c r="J642" s="567"/>
      <c r="K642" s="567"/>
      <c r="L642" s="568"/>
      <c r="M642" s="568"/>
      <c r="N642" s="567"/>
      <c r="O642" s="567"/>
      <c r="P642" s="567"/>
      <c r="Q642" s="567"/>
      <c r="R642" s="570"/>
      <c r="S642" s="570"/>
      <c r="T642" s="567"/>
      <c r="U642" s="569"/>
      <c r="V642" s="567"/>
      <c r="W642" s="568"/>
      <c r="X642" s="568"/>
      <c r="Y642" s="567"/>
    </row>
    <row r="643" spans="1:25" x14ac:dyDescent="0.25">
      <c r="A643" s="570"/>
      <c r="B643" s="570"/>
      <c r="C643" s="570"/>
      <c r="D643" s="567"/>
      <c r="E643" s="567"/>
      <c r="F643" s="567"/>
      <c r="G643" s="570"/>
      <c r="H643" s="570"/>
      <c r="I643" s="567"/>
      <c r="J643" s="567"/>
      <c r="K643" s="567"/>
      <c r="L643" s="568"/>
      <c r="M643" s="568"/>
      <c r="N643" s="567"/>
      <c r="O643" s="567"/>
      <c r="P643" s="567"/>
      <c r="Q643" s="567"/>
      <c r="R643" s="570"/>
      <c r="S643" s="570"/>
      <c r="T643" s="567"/>
      <c r="U643" s="569"/>
      <c r="V643" s="567"/>
      <c r="W643" s="568"/>
      <c r="X643" s="568"/>
      <c r="Y643" s="567"/>
    </row>
    <row r="644" spans="1:25" x14ac:dyDescent="0.25">
      <c r="A644" s="570"/>
      <c r="B644" s="570"/>
      <c r="C644" s="570"/>
      <c r="D644" s="567"/>
      <c r="E644" s="567"/>
      <c r="F644" s="567"/>
      <c r="G644" s="570"/>
      <c r="H644" s="570"/>
      <c r="I644" s="567"/>
      <c r="J644" s="567"/>
      <c r="K644" s="567"/>
      <c r="L644" s="568"/>
      <c r="M644" s="568"/>
      <c r="N644" s="567"/>
      <c r="O644" s="567"/>
      <c r="P644" s="567"/>
      <c r="Q644" s="567"/>
      <c r="R644" s="570"/>
      <c r="S644" s="570"/>
      <c r="T644" s="567"/>
      <c r="U644" s="569"/>
      <c r="V644" s="567"/>
      <c r="W644" s="568"/>
      <c r="X644" s="568"/>
      <c r="Y644" s="567"/>
    </row>
    <row r="645" spans="1:25" x14ac:dyDescent="0.25">
      <c r="A645" s="570"/>
      <c r="B645" s="570"/>
      <c r="C645" s="570"/>
      <c r="D645" s="567"/>
      <c r="E645" s="567"/>
      <c r="F645" s="567"/>
      <c r="G645" s="570"/>
      <c r="H645" s="570"/>
      <c r="I645" s="567"/>
      <c r="J645" s="567"/>
      <c r="K645" s="567"/>
      <c r="L645" s="568"/>
      <c r="M645" s="568"/>
      <c r="N645" s="567"/>
      <c r="O645" s="567"/>
      <c r="P645" s="567"/>
      <c r="Q645" s="567"/>
      <c r="R645" s="570"/>
      <c r="S645" s="570"/>
      <c r="T645" s="567"/>
      <c r="U645" s="569"/>
      <c r="V645" s="567"/>
      <c r="W645" s="568"/>
      <c r="X645" s="568"/>
      <c r="Y645" s="567"/>
    </row>
    <row r="646" spans="1:25" x14ac:dyDescent="0.25">
      <c r="A646" s="570"/>
      <c r="B646" s="570"/>
      <c r="C646" s="570"/>
      <c r="D646" s="567"/>
      <c r="E646" s="567"/>
      <c r="F646" s="567"/>
      <c r="G646" s="570"/>
      <c r="H646" s="570"/>
      <c r="I646" s="567"/>
      <c r="J646" s="567"/>
      <c r="K646" s="567"/>
      <c r="L646" s="568"/>
      <c r="M646" s="568"/>
      <c r="N646" s="567"/>
      <c r="O646" s="567"/>
      <c r="P646" s="567"/>
      <c r="Q646" s="567"/>
      <c r="R646" s="570"/>
      <c r="S646" s="570"/>
      <c r="T646" s="567"/>
      <c r="U646" s="569"/>
      <c r="V646" s="567"/>
      <c r="W646" s="568"/>
      <c r="X646" s="568"/>
      <c r="Y646" s="567"/>
    </row>
    <row r="647" spans="1:25" x14ac:dyDescent="0.25">
      <c r="A647" s="570"/>
      <c r="B647" s="570"/>
      <c r="C647" s="570"/>
      <c r="D647" s="567"/>
      <c r="E647" s="567"/>
      <c r="F647" s="567"/>
      <c r="G647" s="570"/>
      <c r="H647" s="570"/>
      <c r="I647" s="567"/>
      <c r="J647" s="567"/>
      <c r="K647" s="567"/>
      <c r="L647" s="568"/>
      <c r="M647" s="568"/>
      <c r="N647" s="567"/>
      <c r="O647" s="567"/>
      <c r="P647" s="567"/>
      <c r="Q647" s="567"/>
      <c r="R647" s="570"/>
      <c r="S647" s="570"/>
      <c r="T647" s="567"/>
      <c r="U647" s="569"/>
      <c r="V647" s="567"/>
      <c r="W647" s="568"/>
      <c r="X647" s="568"/>
      <c r="Y647" s="567"/>
    </row>
    <row r="648" spans="1:25" x14ac:dyDescent="0.25">
      <c r="A648" s="570"/>
      <c r="B648" s="570"/>
      <c r="C648" s="570"/>
      <c r="D648" s="567"/>
      <c r="E648" s="567"/>
      <c r="F648" s="567"/>
      <c r="G648" s="570"/>
      <c r="H648" s="570"/>
      <c r="I648" s="567"/>
      <c r="J648" s="567"/>
      <c r="K648" s="567"/>
      <c r="L648" s="568"/>
      <c r="M648" s="568"/>
      <c r="N648" s="567"/>
      <c r="O648" s="567"/>
      <c r="P648" s="567"/>
      <c r="Q648" s="567"/>
      <c r="R648" s="570"/>
      <c r="S648" s="570"/>
      <c r="T648" s="567"/>
      <c r="U648" s="569"/>
      <c r="V648" s="567"/>
      <c r="W648" s="568"/>
      <c r="X648" s="568"/>
      <c r="Y648" s="567"/>
    </row>
    <row r="649" spans="1:25" x14ac:dyDescent="0.25">
      <c r="A649" s="570"/>
      <c r="B649" s="570"/>
      <c r="C649" s="570"/>
      <c r="D649" s="567"/>
      <c r="E649" s="567"/>
      <c r="F649" s="567"/>
      <c r="G649" s="570"/>
      <c r="H649" s="570"/>
      <c r="I649" s="567"/>
      <c r="J649" s="567"/>
      <c r="K649" s="567"/>
      <c r="L649" s="568"/>
      <c r="M649" s="568"/>
      <c r="N649" s="567"/>
      <c r="O649" s="567"/>
      <c r="P649" s="567"/>
      <c r="Q649" s="567"/>
      <c r="R649" s="570"/>
      <c r="S649" s="570"/>
      <c r="T649" s="567"/>
      <c r="U649" s="569"/>
      <c r="V649" s="567"/>
      <c r="W649" s="568"/>
      <c r="X649" s="568"/>
      <c r="Y649" s="567"/>
    </row>
    <row r="650" spans="1:25" x14ac:dyDescent="0.25">
      <c r="A650" s="570"/>
      <c r="B650" s="570"/>
      <c r="C650" s="570"/>
      <c r="D650" s="567"/>
      <c r="E650" s="567"/>
      <c r="F650" s="567"/>
      <c r="G650" s="570"/>
      <c r="H650" s="570"/>
      <c r="I650" s="567"/>
      <c r="J650" s="567"/>
      <c r="K650" s="567"/>
      <c r="L650" s="568"/>
      <c r="M650" s="568"/>
      <c r="N650" s="567"/>
      <c r="O650" s="567"/>
      <c r="P650" s="567"/>
      <c r="Q650" s="567"/>
      <c r="R650" s="570"/>
      <c r="S650" s="570"/>
      <c r="T650" s="567"/>
      <c r="U650" s="569"/>
      <c r="V650" s="567"/>
      <c r="W650" s="568"/>
      <c r="X650" s="568"/>
      <c r="Y650" s="567"/>
    </row>
    <row r="651" spans="1:25" x14ac:dyDescent="0.25">
      <c r="A651" s="570"/>
      <c r="B651" s="570"/>
      <c r="C651" s="570"/>
      <c r="D651" s="567"/>
      <c r="E651" s="567"/>
      <c r="F651" s="567"/>
      <c r="G651" s="570"/>
      <c r="H651" s="570"/>
      <c r="I651" s="567"/>
      <c r="J651" s="567"/>
      <c r="K651" s="567"/>
      <c r="L651" s="568"/>
      <c r="M651" s="568"/>
      <c r="N651" s="567"/>
      <c r="O651" s="567"/>
      <c r="P651" s="567"/>
      <c r="Q651" s="567"/>
      <c r="R651" s="570"/>
      <c r="S651" s="570"/>
      <c r="T651" s="567"/>
      <c r="U651" s="569"/>
      <c r="V651" s="567"/>
      <c r="W651" s="568"/>
      <c r="X651" s="568"/>
      <c r="Y651" s="567"/>
    </row>
    <row r="652" spans="1:25" x14ac:dyDescent="0.25">
      <c r="A652" s="570"/>
      <c r="B652" s="570"/>
      <c r="C652" s="570"/>
      <c r="D652" s="567"/>
      <c r="E652" s="567"/>
      <c r="F652" s="567"/>
      <c r="G652" s="570"/>
      <c r="H652" s="570"/>
      <c r="I652" s="567"/>
      <c r="J652" s="567"/>
      <c r="K652" s="567"/>
      <c r="L652" s="568"/>
      <c r="M652" s="568"/>
      <c r="N652" s="567"/>
      <c r="O652" s="567"/>
      <c r="P652" s="567"/>
      <c r="Q652" s="567"/>
      <c r="R652" s="570"/>
      <c r="S652" s="570"/>
      <c r="T652" s="567"/>
      <c r="U652" s="569"/>
      <c r="V652" s="567"/>
      <c r="W652" s="568"/>
      <c r="X652" s="568"/>
      <c r="Y652" s="567"/>
    </row>
    <row r="653" spans="1:25" x14ac:dyDescent="0.25">
      <c r="A653" s="570"/>
      <c r="B653" s="570"/>
      <c r="C653" s="570"/>
      <c r="D653" s="567"/>
      <c r="E653" s="567"/>
      <c r="F653" s="567"/>
      <c r="G653" s="570"/>
      <c r="H653" s="570"/>
      <c r="I653" s="567"/>
      <c r="J653" s="567"/>
      <c r="K653" s="567"/>
      <c r="L653" s="568"/>
      <c r="M653" s="568"/>
      <c r="N653" s="567"/>
      <c r="O653" s="567"/>
      <c r="P653" s="567"/>
      <c r="Q653" s="567"/>
      <c r="R653" s="570"/>
      <c r="S653" s="570"/>
      <c r="T653" s="567"/>
      <c r="U653" s="569"/>
      <c r="V653" s="567"/>
      <c r="W653" s="568"/>
      <c r="X653" s="568"/>
      <c r="Y653" s="567"/>
    </row>
    <row r="654" spans="1:25" x14ac:dyDescent="0.25">
      <c r="A654" s="570"/>
      <c r="B654" s="570"/>
      <c r="C654" s="570"/>
      <c r="D654" s="567"/>
      <c r="E654" s="567"/>
      <c r="F654" s="567"/>
      <c r="G654" s="570"/>
      <c r="H654" s="570"/>
      <c r="I654" s="567"/>
      <c r="J654" s="567"/>
      <c r="K654" s="567"/>
      <c r="L654" s="568"/>
      <c r="M654" s="568"/>
      <c r="N654" s="567"/>
      <c r="O654" s="567"/>
      <c r="P654" s="567"/>
      <c r="Q654" s="567"/>
      <c r="R654" s="570"/>
      <c r="S654" s="570"/>
      <c r="T654" s="567"/>
      <c r="U654" s="569"/>
      <c r="V654" s="567"/>
      <c r="W654" s="568"/>
      <c r="X654" s="568"/>
      <c r="Y654" s="567"/>
    </row>
    <row r="655" spans="1:25" x14ac:dyDescent="0.25">
      <c r="A655" s="570"/>
      <c r="B655" s="570"/>
      <c r="C655" s="570"/>
      <c r="D655" s="567"/>
      <c r="E655" s="567"/>
      <c r="F655" s="567"/>
      <c r="G655" s="570"/>
      <c r="H655" s="570"/>
      <c r="I655" s="567"/>
      <c r="J655" s="567"/>
      <c r="K655" s="567"/>
      <c r="L655" s="568"/>
      <c r="M655" s="568"/>
      <c r="N655" s="567"/>
      <c r="O655" s="567"/>
      <c r="P655" s="567"/>
      <c r="Q655" s="567"/>
      <c r="R655" s="570"/>
      <c r="S655" s="570"/>
      <c r="T655" s="567"/>
      <c r="U655" s="569"/>
      <c r="V655" s="567"/>
      <c r="W655" s="568"/>
      <c r="X655" s="568"/>
      <c r="Y655" s="567"/>
    </row>
    <row r="656" spans="1:25" x14ac:dyDescent="0.25">
      <c r="A656" s="570"/>
      <c r="B656" s="570"/>
      <c r="C656" s="570"/>
      <c r="D656" s="567"/>
      <c r="E656" s="567"/>
      <c r="F656" s="567"/>
      <c r="G656" s="570"/>
      <c r="H656" s="570"/>
      <c r="I656" s="567"/>
      <c r="J656" s="567"/>
      <c r="K656" s="567"/>
      <c r="L656" s="568"/>
      <c r="M656" s="568"/>
      <c r="N656" s="567"/>
      <c r="O656" s="567"/>
      <c r="P656" s="567"/>
      <c r="Q656" s="567"/>
      <c r="R656" s="570"/>
      <c r="S656" s="570"/>
      <c r="T656" s="567"/>
      <c r="U656" s="569"/>
      <c r="V656" s="567"/>
      <c r="W656" s="568"/>
      <c r="X656" s="568"/>
      <c r="Y656" s="567"/>
    </row>
    <row r="657" spans="1:25" x14ac:dyDescent="0.25">
      <c r="A657" s="570"/>
      <c r="B657" s="570"/>
      <c r="C657" s="570"/>
      <c r="D657" s="567"/>
      <c r="E657" s="567"/>
      <c r="F657" s="567"/>
      <c r="G657" s="570"/>
      <c r="H657" s="570"/>
      <c r="I657" s="567"/>
      <c r="J657" s="567"/>
      <c r="K657" s="567"/>
      <c r="L657" s="568"/>
      <c r="M657" s="568"/>
      <c r="N657" s="567"/>
      <c r="O657" s="567"/>
      <c r="P657" s="567"/>
      <c r="Q657" s="567"/>
      <c r="R657" s="570"/>
      <c r="S657" s="570"/>
      <c r="T657" s="567"/>
      <c r="U657" s="569"/>
      <c r="V657" s="567"/>
      <c r="W657" s="568"/>
      <c r="X657" s="568"/>
      <c r="Y657" s="567"/>
    </row>
    <row r="658" spans="1:25" x14ac:dyDescent="0.25">
      <c r="A658" s="570"/>
      <c r="B658" s="570"/>
      <c r="C658" s="570"/>
      <c r="D658" s="567"/>
      <c r="E658" s="567"/>
      <c r="F658" s="567"/>
      <c r="G658" s="570"/>
      <c r="H658" s="570"/>
      <c r="I658" s="567"/>
      <c r="J658" s="567"/>
      <c r="K658" s="567"/>
      <c r="L658" s="568"/>
      <c r="M658" s="568"/>
      <c r="N658" s="567"/>
      <c r="O658" s="567"/>
      <c r="P658" s="567"/>
      <c r="Q658" s="567"/>
      <c r="R658" s="570"/>
      <c r="S658" s="570"/>
      <c r="T658" s="567"/>
      <c r="U658" s="569"/>
      <c r="V658" s="567"/>
      <c r="W658" s="568"/>
      <c r="X658" s="568"/>
      <c r="Y658" s="567"/>
    </row>
    <row r="659" spans="1:25" x14ac:dyDescent="0.25">
      <c r="A659" s="570"/>
      <c r="B659" s="570"/>
      <c r="C659" s="570"/>
      <c r="D659" s="567"/>
      <c r="E659" s="567"/>
      <c r="F659" s="567"/>
      <c r="G659" s="570"/>
      <c r="H659" s="570"/>
      <c r="I659" s="567"/>
      <c r="J659" s="567"/>
      <c r="K659" s="567"/>
      <c r="L659" s="568"/>
      <c r="M659" s="568"/>
      <c r="N659" s="567"/>
      <c r="O659" s="567"/>
      <c r="P659" s="567"/>
      <c r="Q659" s="567"/>
      <c r="R659" s="570"/>
      <c r="S659" s="570"/>
      <c r="T659" s="567"/>
      <c r="U659" s="569"/>
      <c r="V659" s="567"/>
      <c r="W659" s="568"/>
      <c r="X659" s="568"/>
      <c r="Y659" s="567"/>
    </row>
    <row r="660" spans="1:25" x14ac:dyDescent="0.25">
      <c r="A660" s="570"/>
      <c r="B660" s="570"/>
      <c r="C660" s="570"/>
      <c r="D660" s="567"/>
      <c r="E660" s="567"/>
      <c r="F660" s="567"/>
      <c r="G660" s="570"/>
      <c r="H660" s="570"/>
      <c r="I660" s="567"/>
      <c r="J660" s="567"/>
      <c r="K660" s="567"/>
      <c r="L660" s="568"/>
      <c r="M660" s="568"/>
      <c r="N660" s="567"/>
      <c r="O660" s="567"/>
      <c r="P660" s="567"/>
      <c r="Q660" s="567"/>
      <c r="R660" s="570"/>
      <c r="S660" s="570"/>
      <c r="T660" s="567"/>
      <c r="U660" s="569"/>
      <c r="V660" s="567"/>
      <c r="W660" s="568"/>
      <c r="X660" s="568"/>
      <c r="Y660" s="567"/>
    </row>
    <row r="661" spans="1:25" x14ac:dyDescent="0.25">
      <c r="A661" s="570"/>
      <c r="B661" s="570"/>
      <c r="C661" s="570"/>
      <c r="D661" s="567"/>
      <c r="E661" s="567"/>
      <c r="F661" s="567"/>
      <c r="G661" s="570"/>
      <c r="H661" s="570"/>
      <c r="I661" s="567"/>
      <c r="J661" s="567"/>
      <c r="K661" s="567"/>
      <c r="L661" s="568"/>
      <c r="M661" s="568"/>
      <c r="N661" s="567"/>
      <c r="O661" s="567"/>
      <c r="P661" s="567"/>
      <c r="Q661" s="567"/>
      <c r="R661" s="570"/>
      <c r="S661" s="570"/>
      <c r="T661" s="567"/>
      <c r="U661" s="569"/>
      <c r="V661" s="567"/>
      <c r="W661" s="568"/>
      <c r="X661" s="568"/>
      <c r="Y661" s="567"/>
    </row>
    <row r="662" spans="1:25" x14ac:dyDescent="0.25">
      <c r="A662" s="570"/>
      <c r="B662" s="570"/>
      <c r="C662" s="570"/>
      <c r="D662" s="567"/>
      <c r="E662" s="567"/>
      <c r="F662" s="567"/>
      <c r="G662" s="570"/>
      <c r="H662" s="570"/>
      <c r="I662" s="567"/>
      <c r="J662" s="567"/>
      <c r="K662" s="567"/>
      <c r="L662" s="568"/>
      <c r="M662" s="568"/>
      <c r="N662" s="567"/>
      <c r="O662" s="567"/>
      <c r="P662" s="567"/>
      <c r="Q662" s="567"/>
      <c r="R662" s="570"/>
      <c r="S662" s="570"/>
      <c r="T662" s="567"/>
      <c r="U662" s="569"/>
      <c r="V662" s="567"/>
      <c r="W662" s="568"/>
      <c r="X662" s="568"/>
      <c r="Y662" s="567"/>
    </row>
    <row r="663" spans="1:25" x14ac:dyDescent="0.25">
      <c r="A663" s="570"/>
      <c r="B663" s="570"/>
      <c r="C663" s="570"/>
      <c r="D663" s="567"/>
      <c r="E663" s="567"/>
      <c r="F663" s="567"/>
      <c r="G663" s="570"/>
      <c r="H663" s="570"/>
      <c r="I663" s="567"/>
      <c r="J663" s="567"/>
      <c r="K663" s="567"/>
      <c r="L663" s="568"/>
      <c r="M663" s="568"/>
      <c r="N663" s="567"/>
      <c r="O663" s="567"/>
      <c r="P663" s="567"/>
      <c r="Q663" s="567"/>
      <c r="R663" s="570"/>
      <c r="S663" s="570"/>
      <c r="T663" s="567"/>
      <c r="U663" s="569"/>
      <c r="V663" s="567"/>
      <c r="W663" s="568"/>
      <c r="X663" s="568"/>
      <c r="Y663" s="567"/>
    </row>
    <row r="664" spans="1:25" x14ac:dyDescent="0.25">
      <c r="A664" s="570"/>
      <c r="B664" s="570"/>
      <c r="C664" s="570"/>
      <c r="D664" s="567"/>
      <c r="E664" s="567"/>
      <c r="F664" s="567"/>
      <c r="G664" s="570"/>
      <c r="H664" s="570"/>
      <c r="I664" s="567"/>
      <c r="J664" s="567"/>
      <c r="K664" s="567"/>
      <c r="L664" s="568"/>
      <c r="M664" s="568"/>
      <c r="N664" s="567"/>
      <c r="O664" s="567"/>
      <c r="P664" s="567"/>
      <c r="Q664" s="567"/>
      <c r="R664" s="570"/>
      <c r="S664" s="570"/>
      <c r="T664" s="567"/>
      <c r="U664" s="569"/>
      <c r="V664" s="567"/>
      <c r="W664" s="568"/>
      <c r="X664" s="568"/>
      <c r="Y664" s="567"/>
    </row>
    <row r="665" spans="1:25" x14ac:dyDescent="0.25">
      <c r="A665" s="570"/>
      <c r="B665" s="570"/>
      <c r="C665" s="570"/>
      <c r="D665" s="567"/>
      <c r="E665" s="567"/>
      <c r="F665" s="567"/>
      <c r="G665" s="570"/>
      <c r="H665" s="570"/>
      <c r="I665" s="567"/>
      <c r="J665" s="567"/>
      <c r="K665" s="567"/>
      <c r="L665" s="568"/>
      <c r="M665" s="568"/>
      <c r="N665" s="567"/>
      <c r="O665" s="567"/>
      <c r="P665" s="567"/>
      <c r="Q665" s="567"/>
      <c r="R665" s="570"/>
      <c r="S665" s="570"/>
      <c r="T665" s="567"/>
      <c r="U665" s="569"/>
      <c r="V665" s="567"/>
      <c r="W665" s="568"/>
      <c r="X665" s="568"/>
      <c r="Y665" s="567"/>
    </row>
    <row r="666" spans="1:25" x14ac:dyDescent="0.25">
      <c r="A666" s="570"/>
      <c r="B666" s="570"/>
      <c r="C666" s="570"/>
      <c r="D666" s="567"/>
      <c r="E666" s="567"/>
      <c r="F666" s="567"/>
      <c r="G666" s="570"/>
      <c r="H666" s="570"/>
      <c r="I666" s="567"/>
      <c r="J666" s="567"/>
      <c r="K666" s="567"/>
      <c r="L666" s="568"/>
      <c r="M666" s="568"/>
      <c r="N666" s="567"/>
      <c r="O666" s="567"/>
      <c r="P666" s="567"/>
      <c r="Q666" s="567"/>
      <c r="R666" s="570"/>
      <c r="S666" s="570"/>
      <c r="T666" s="567"/>
      <c r="U666" s="569"/>
      <c r="V666" s="567"/>
      <c r="W666" s="568"/>
      <c r="X666" s="568"/>
      <c r="Y666" s="567"/>
    </row>
    <row r="667" spans="1:25" x14ac:dyDescent="0.25">
      <c r="A667" s="570"/>
      <c r="B667" s="570"/>
      <c r="C667" s="570"/>
      <c r="D667" s="567"/>
      <c r="E667" s="567"/>
      <c r="F667" s="567"/>
      <c r="G667" s="570"/>
      <c r="H667" s="570"/>
      <c r="I667" s="567"/>
      <c r="J667" s="567"/>
      <c r="K667" s="567"/>
      <c r="L667" s="568"/>
      <c r="M667" s="568"/>
      <c r="N667" s="567"/>
      <c r="O667" s="567"/>
      <c r="P667" s="567"/>
      <c r="Q667" s="567"/>
      <c r="R667" s="570"/>
      <c r="S667" s="570"/>
      <c r="T667" s="567"/>
      <c r="U667" s="569"/>
      <c r="V667" s="567"/>
      <c r="W667" s="568"/>
      <c r="X667" s="568"/>
      <c r="Y667" s="567"/>
    </row>
    <row r="668" spans="1:25" x14ac:dyDescent="0.25">
      <c r="A668" s="570"/>
      <c r="B668" s="570"/>
      <c r="C668" s="570"/>
      <c r="D668" s="567"/>
      <c r="E668" s="567"/>
      <c r="F668" s="567"/>
      <c r="G668" s="570"/>
      <c r="H668" s="570"/>
      <c r="I668" s="567"/>
      <c r="J668" s="567"/>
      <c r="K668" s="567"/>
      <c r="L668" s="568"/>
      <c r="M668" s="568"/>
      <c r="N668" s="567"/>
      <c r="O668" s="567"/>
      <c r="P668" s="567"/>
      <c r="Q668" s="567"/>
      <c r="R668" s="570"/>
      <c r="S668" s="570"/>
      <c r="T668" s="567"/>
      <c r="U668" s="569"/>
      <c r="V668" s="567"/>
      <c r="W668" s="568"/>
      <c r="X668" s="568"/>
      <c r="Y668" s="567"/>
    </row>
    <row r="669" spans="1:25" x14ac:dyDescent="0.25">
      <c r="A669" s="570"/>
      <c r="B669" s="570"/>
      <c r="C669" s="570"/>
      <c r="D669" s="567"/>
      <c r="E669" s="567"/>
      <c r="F669" s="567"/>
      <c r="G669" s="570"/>
      <c r="H669" s="570"/>
      <c r="I669" s="567"/>
      <c r="J669" s="567"/>
      <c r="K669" s="567"/>
      <c r="L669" s="568"/>
      <c r="M669" s="568"/>
      <c r="N669" s="567"/>
      <c r="O669" s="567"/>
      <c r="P669" s="567"/>
      <c r="Q669" s="567"/>
      <c r="R669" s="570"/>
      <c r="S669" s="570"/>
      <c r="T669" s="567"/>
      <c r="U669" s="569"/>
      <c r="V669" s="567"/>
      <c r="W669" s="568"/>
      <c r="X669" s="568"/>
      <c r="Y669" s="567"/>
    </row>
    <row r="670" spans="1:25" x14ac:dyDescent="0.25">
      <c r="A670" s="570"/>
      <c r="B670" s="570"/>
      <c r="C670" s="570"/>
      <c r="D670" s="567"/>
      <c r="E670" s="567"/>
      <c r="F670" s="567"/>
      <c r="G670" s="570"/>
      <c r="H670" s="570"/>
      <c r="I670" s="567"/>
      <c r="J670" s="567"/>
      <c r="K670" s="567"/>
      <c r="L670" s="568"/>
      <c r="M670" s="568"/>
      <c r="N670" s="567"/>
      <c r="O670" s="567"/>
      <c r="P670" s="567"/>
      <c r="Q670" s="567"/>
      <c r="R670" s="570"/>
      <c r="S670" s="570"/>
      <c r="T670" s="567"/>
      <c r="U670" s="569"/>
      <c r="V670" s="567"/>
      <c r="W670" s="568"/>
      <c r="X670" s="568"/>
      <c r="Y670" s="567"/>
    </row>
    <row r="671" spans="1:25" x14ac:dyDescent="0.25">
      <c r="A671" s="570"/>
      <c r="B671" s="570"/>
      <c r="C671" s="570"/>
      <c r="D671" s="567"/>
      <c r="E671" s="567"/>
      <c r="F671" s="567"/>
      <c r="G671" s="570"/>
      <c r="H671" s="570"/>
      <c r="I671" s="567"/>
      <c r="J671" s="567"/>
      <c r="K671" s="567"/>
      <c r="L671" s="568"/>
      <c r="M671" s="568"/>
      <c r="N671" s="567"/>
      <c r="O671" s="567"/>
      <c r="P671" s="567"/>
      <c r="Q671" s="567"/>
      <c r="R671" s="570"/>
      <c r="S671" s="570"/>
      <c r="T671" s="567"/>
      <c r="U671" s="569"/>
      <c r="V671" s="567"/>
      <c r="W671" s="568"/>
      <c r="X671" s="568"/>
      <c r="Y671" s="567"/>
    </row>
    <row r="672" spans="1:25" x14ac:dyDescent="0.25">
      <c r="A672" s="570"/>
      <c r="B672" s="570"/>
      <c r="C672" s="570"/>
      <c r="D672" s="567"/>
      <c r="E672" s="567"/>
      <c r="F672" s="567"/>
      <c r="G672" s="570"/>
      <c r="H672" s="570"/>
      <c r="I672" s="567"/>
      <c r="J672" s="567"/>
      <c r="K672" s="567"/>
      <c r="L672" s="568"/>
      <c r="M672" s="568"/>
      <c r="N672" s="567"/>
      <c r="O672" s="567"/>
      <c r="P672" s="567"/>
      <c r="Q672" s="567"/>
      <c r="R672" s="570"/>
      <c r="S672" s="570"/>
      <c r="T672" s="567"/>
      <c r="U672" s="569"/>
      <c r="V672" s="567"/>
      <c r="W672" s="568"/>
      <c r="X672" s="568"/>
      <c r="Y672" s="567"/>
    </row>
    <row r="673" spans="1:25" x14ac:dyDescent="0.25">
      <c r="A673" s="570"/>
      <c r="B673" s="570"/>
      <c r="C673" s="570"/>
      <c r="D673" s="567"/>
      <c r="E673" s="567"/>
      <c r="F673" s="567"/>
      <c r="G673" s="570"/>
      <c r="H673" s="570"/>
      <c r="I673" s="567"/>
      <c r="J673" s="567"/>
      <c r="K673" s="567"/>
      <c r="L673" s="568"/>
      <c r="M673" s="568"/>
      <c r="N673" s="567"/>
      <c r="O673" s="567"/>
      <c r="P673" s="567"/>
      <c r="Q673" s="567"/>
      <c r="R673" s="570"/>
      <c r="S673" s="570"/>
      <c r="T673" s="567"/>
      <c r="U673" s="569"/>
      <c r="V673" s="567"/>
      <c r="W673" s="568"/>
      <c r="X673" s="568"/>
      <c r="Y673" s="567"/>
    </row>
    <row r="674" spans="1:25" x14ac:dyDescent="0.25">
      <c r="A674" s="570"/>
      <c r="B674" s="570"/>
      <c r="C674" s="570"/>
      <c r="D674" s="567"/>
      <c r="E674" s="567"/>
      <c r="F674" s="567"/>
      <c r="G674" s="570"/>
      <c r="H674" s="570"/>
      <c r="I674" s="567"/>
      <c r="J674" s="567"/>
      <c r="K674" s="567"/>
      <c r="L674" s="568"/>
      <c r="M674" s="568"/>
      <c r="N674" s="567"/>
      <c r="O674" s="567"/>
      <c r="P674" s="567"/>
      <c r="Q674" s="567"/>
      <c r="R674" s="570"/>
      <c r="S674" s="570"/>
      <c r="T674" s="567"/>
      <c r="U674" s="569"/>
      <c r="V674" s="567"/>
      <c r="W674" s="568"/>
      <c r="X674" s="568"/>
      <c r="Y674" s="567"/>
    </row>
    <row r="675" spans="1:25" x14ac:dyDescent="0.25">
      <c r="A675" s="570"/>
      <c r="B675" s="570"/>
      <c r="C675" s="570"/>
      <c r="D675" s="567"/>
      <c r="E675" s="567"/>
      <c r="F675" s="567"/>
      <c r="G675" s="570"/>
      <c r="H675" s="570"/>
      <c r="I675" s="567"/>
      <c r="J675" s="567"/>
      <c r="K675" s="567"/>
      <c r="L675" s="568"/>
      <c r="M675" s="568"/>
      <c r="N675" s="567"/>
      <c r="O675" s="567"/>
      <c r="P675" s="567"/>
      <c r="Q675" s="567"/>
      <c r="R675" s="570"/>
      <c r="S675" s="570"/>
      <c r="T675" s="567"/>
      <c r="U675" s="569"/>
      <c r="V675" s="567"/>
      <c r="W675" s="568"/>
      <c r="X675" s="568"/>
      <c r="Y675" s="567"/>
    </row>
    <row r="676" spans="1:25" x14ac:dyDescent="0.25">
      <c r="A676" s="570"/>
      <c r="B676" s="570"/>
      <c r="C676" s="570"/>
      <c r="D676" s="567"/>
      <c r="E676" s="567"/>
      <c r="F676" s="567"/>
      <c r="G676" s="570"/>
      <c r="H676" s="570"/>
      <c r="I676" s="567"/>
      <c r="J676" s="567"/>
      <c r="K676" s="567"/>
      <c r="L676" s="568"/>
      <c r="M676" s="568"/>
      <c r="N676" s="567"/>
      <c r="O676" s="567"/>
      <c r="P676" s="567"/>
      <c r="Q676" s="567"/>
      <c r="R676" s="570"/>
      <c r="S676" s="570"/>
      <c r="T676" s="567"/>
      <c r="U676" s="569"/>
      <c r="V676" s="567"/>
      <c r="W676" s="568"/>
      <c r="X676" s="568"/>
      <c r="Y676" s="567"/>
    </row>
    <row r="677" spans="1:25" x14ac:dyDescent="0.25">
      <c r="A677" s="570"/>
      <c r="B677" s="570"/>
      <c r="C677" s="570"/>
      <c r="D677" s="567"/>
      <c r="E677" s="567"/>
      <c r="F677" s="567"/>
      <c r="G677" s="570"/>
      <c r="H677" s="570"/>
      <c r="I677" s="567"/>
      <c r="J677" s="567"/>
      <c r="K677" s="567"/>
      <c r="L677" s="568"/>
      <c r="M677" s="568"/>
      <c r="N677" s="567"/>
      <c r="O677" s="567"/>
      <c r="P677" s="567"/>
      <c r="Q677" s="567"/>
      <c r="R677" s="570"/>
      <c r="S677" s="570"/>
      <c r="T677" s="567"/>
      <c r="U677" s="569"/>
      <c r="V677" s="567"/>
      <c r="W677" s="568"/>
      <c r="X677" s="568"/>
      <c r="Y677" s="567"/>
    </row>
    <row r="678" spans="1:25" x14ac:dyDescent="0.25">
      <c r="A678" s="570"/>
      <c r="B678" s="570"/>
      <c r="C678" s="570"/>
      <c r="D678" s="567"/>
      <c r="E678" s="567"/>
      <c r="F678" s="567"/>
      <c r="G678" s="570"/>
      <c r="H678" s="570"/>
      <c r="I678" s="567"/>
      <c r="J678" s="567"/>
      <c r="K678" s="567"/>
      <c r="L678" s="568"/>
      <c r="M678" s="568"/>
      <c r="N678" s="567"/>
      <c r="O678" s="567"/>
      <c r="P678" s="567"/>
      <c r="Q678" s="567"/>
      <c r="R678" s="570"/>
      <c r="S678" s="570"/>
      <c r="T678" s="567"/>
      <c r="U678" s="569"/>
      <c r="V678" s="567"/>
      <c r="W678" s="568"/>
      <c r="X678" s="568"/>
      <c r="Y678" s="567"/>
    </row>
    <row r="679" spans="1:25" x14ac:dyDescent="0.25">
      <c r="A679" s="570"/>
      <c r="B679" s="570"/>
      <c r="C679" s="570"/>
      <c r="D679" s="567"/>
      <c r="E679" s="567"/>
      <c r="F679" s="567"/>
      <c r="G679" s="570"/>
      <c r="H679" s="570"/>
      <c r="I679" s="567"/>
      <c r="J679" s="567"/>
      <c r="K679" s="567"/>
      <c r="L679" s="568"/>
      <c r="M679" s="568"/>
      <c r="N679" s="567"/>
      <c r="O679" s="567"/>
      <c r="P679" s="567"/>
      <c r="Q679" s="567"/>
      <c r="R679" s="570"/>
      <c r="S679" s="570"/>
      <c r="T679" s="567"/>
      <c r="U679" s="569"/>
      <c r="V679" s="567"/>
      <c r="W679" s="568"/>
      <c r="X679" s="568"/>
      <c r="Y679" s="567"/>
    </row>
    <row r="680" spans="1:25" x14ac:dyDescent="0.25">
      <c r="A680" s="570"/>
      <c r="B680" s="570"/>
      <c r="C680" s="570"/>
      <c r="D680" s="567"/>
      <c r="E680" s="567"/>
      <c r="F680" s="567"/>
      <c r="G680" s="570"/>
      <c r="H680" s="570"/>
      <c r="I680" s="567"/>
      <c r="J680" s="567"/>
      <c r="K680" s="567"/>
      <c r="L680" s="568"/>
      <c r="M680" s="568"/>
      <c r="N680" s="567"/>
      <c r="O680" s="567"/>
      <c r="P680" s="567"/>
      <c r="Q680" s="567"/>
      <c r="R680" s="570"/>
      <c r="S680" s="570"/>
      <c r="T680" s="567"/>
      <c r="U680" s="569"/>
      <c r="V680" s="567"/>
      <c r="W680" s="568"/>
      <c r="X680" s="568"/>
      <c r="Y680" s="567"/>
    </row>
    <row r="681" spans="1:25" x14ac:dyDescent="0.25">
      <c r="A681" s="570"/>
      <c r="B681" s="570"/>
      <c r="C681" s="570"/>
      <c r="D681" s="567"/>
      <c r="E681" s="567"/>
      <c r="F681" s="567"/>
      <c r="G681" s="570"/>
      <c r="H681" s="570"/>
      <c r="I681" s="567"/>
      <c r="J681" s="567"/>
      <c r="K681" s="567"/>
      <c r="L681" s="568"/>
      <c r="M681" s="568"/>
      <c r="N681" s="567"/>
      <c r="O681" s="567"/>
      <c r="P681" s="567"/>
      <c r="Q681" s="567"/>
      <c r="R681" s="570"/>
      <c r="S681" s="570"/>
      <c r="T681" s="567"/>
      <c r="U681" s="569"/>
      <c r="V681" s="567"/>
      <c r="W681" s="568"/>
      <c r="X681" s="568"/>
      <c r="Y681" s="567"/>
    </row>
    <row r="682" spans="1:25" x14ac:dyDescent="0.25">
      <c r="A682" s="570"/>
      <c r="B682" s="570"/>
      <c r="C682" s="570"/>
      <c r="D682" s="567"/>
      <c r="E682" s="567"/>
      <c r="F682" s="567"/>
      <c r="G682" s="570"/>
      <c r="H682" s="570"/>
      <c r="I682" s="567"/>
      <c r="J682" s="567"/>
      <c r="K682" s="567"/>
      <c r="L682" s="568"/>
      <c r="M682" s="568"/>
      <c r="N682" s="567"/>
      <c r="O682" s="567"/>
      <c r="P682" s="567"/>
      <c r="Q682" s="567"/>
      <c r="R682" s="570"/>
      <c r="S682" s="570"/>
      <c r="T682" s="567"/>
      <c r="U682" s="569"/>
      <c r="V682" s="567"/>
      <c r="W682" s="568"/>
      <c r="X682" s="568"/>
      <c r="Y682" s="567"/>
    </row>
    <row r="683" spans="1:25" x14ac:dyDescent="0.25">
      <c r="A683" s="570"/>
      <c r="B683" s="570"/>
      <c r="C683" s="570"/>
      <c r="D683" s="567"/>
      <c r="E683" s="567"/>
      <c r="F683" s="567"/>
      <c r="G683" s="570"/>
      <c r="H683" s="570"/>
      <c r="I683" s="567"/>
      <c r="J683" s="567"/>
      <c r="K683" s="567"/>
      <c r="L683" s="568"/>
      <c r="M683" s="568"/>
      <c r="N683" s="567"/>
      <c r="O683" s="567"/>
      <c r="P683" s="567"/>
      <c r="Q683" s="567"/>
      <c r="R683" s="570"/>
      <c r="S683" s="570"/>
      <c r="T683" s="567"/>
      <c r="U683" s="569"/>
      <c r="V683" s="567"/>
      <c r="W683" s="568"/>
      <c r="X683" s="568"/>
      <c r="Y683" s="567"/>
    </row>
    <row r="684" spans="1:25" x14ac:dyDescent="0.25">
      <c r="A684" s="570"/>
      <c r="B684" s="570"/>
      <c r="C684" s="570"/>
      <c r="D684" s="567"/>
      <c r="E684" s="567"/>
      <c r="F684" s="567"/>
      <c r="G684" s="570"/>
      <c r="H684" s="570"/>
      <c r="I684" s="567"/>
      <c r="J684" s="567"/>
      <c r="K684" s="567"/>
      <c r="L684" s="568"/>
      <c r="M684" s="568"/>
      <c r="N684" s="567"/>
      <c r="O684" s="567"/>
      <c r="P684" s="567"/>
      <c r="Q684" s="567"/>
      <c r="R684" s="570"/>
      <c r="S684" s="570"/>
      <c r="T684" s="567"/>
      <c r="U684" s="569"/>
      <c r="V684" s="567"/>
      <c r="W684" s="568"/>
      <c r="X684" s="568"/>
      <c r="Y684" s="567"/>
    </row>
    <row r="685" spans="1:25" x14ac:dyDescent="0.25">
      <c r="A685" s="570"/>
      <c r="B685" s="570"/>
      <c r="C685" s="570"/>
      <c r="D685" s="567"/>
      <c r="E685" s="567"/>
      <c r="F685" s="567"/>
      <c r="G685" s="570"/>
      <c r="H685" s="570"/>
      <c r="I685" s="567"/>
      <c r="J685" s="567"/>
      <c r="K685" s="567"/>
      <c r="L685" s="568"/>
      <c r="M685" s="568"/>
      <c r="N685" s="567"/>
      <c r="O685" s="567"/>
      <c r="P685" s="567"/>
      <c r="Q685" s="567"/>
      <c r="R685" s="570"/>
      <c r="S685" s="570"/>
      <c r="T685" s="567"/>
      <c r="U685" s="569"/>
      <c r="V685" s="567"/>
      <c r="W685" s="568"/>
      <c r="X685" s="568"/>
      <c r="Y685" s="567"/>
    </row>
    <row r="686" spans="1:25" x14ac:dyDescent="0.25">
      <c r="A686" s="570"/>
      <c r="B686" s="570"/>
      <c r="C686" s="570"/>
      <c r="D686" s="567"/>
      <c r="E686" s="567"/>
      <c r="F686" s="567"/>
      <c r="G686" s="570"/>
      <c r="H686" s="570"/>
      <c r="I686" s="567"/>
      <c r="J686" s="567"/>
      <c r="K686" s="567"/>
      <c r="L686" s="568"/>
      <c r="M686" s="568"/>
      <c r="N686" s="567"/>
      <c r="O686" s="567"/>
      <c r="P686" s="567"/>
      <c r="Q686" s="567"/>
      <c r="R686" s="570"/>
      <c r="S686" s="570"/>
      <c r="T686" s="567"/>
      <c r="U686" s="569"/>
      <c r="V686" s="567"/>
      <c r="W686" s="568"/>
      <c r="X686" s="568"/>
      <c r="Y686" s="567"/>
    </row>
    <row r="687" spans="1:25" x14ac:dyDescent="0.25">
      <c r="A687" s="570"/>
      <c r="B687" s="570"/>
      <c r="C687" s="570"/>
      <c r="D687" s="567"/>
      <c r="E687" s="567"/>
      <c r="F687" s="567"/>
      <c r="G687" s="570"/>
      <c r="H687" s="570"/>
      <c r="I687" s="567"/>
      <c r="J687" s="567"/>
      <c r="K687" s="567"/>
      <c r="L687" s="568"/>
      <c r="M687" s="568"/>
      <c r="N687" s="567"/>
      <c r="O687" s="567"/>
      <c r="P687" s="567"/>
      <c r="Q687" s="567"/>
      <c r="R687" s="570"/>
      <c r="S687" s="570"/>
      <c r="T687" s="567"/>
      <c r="U687" s="569"/>
      <c r="V687" s="567"/>
      <c r="W687" s="568"/>
      <c r="X687" s="568"/>
      <c r="Y687" s="567"/>
    </row>
    <row r="688" spans="1:25" x14ac:dyDescent="0.25">
      <c r="A688" s="570"/>
      <c r="B688" s="570"/>
      <c r="C688" s="570"/>
      <c r="D688" s="567"/>
      <c r="E688" s="567"/>
      <c r="F688" s="567"/>
      <c r="G688" s="570"/>
      <c r="H688" s="570"/>
      <c r="I688" s="567"/>
      <c r="J688" s="567"/>
      <c r="K688" s="567"/>
      <c r="L688" s="568"/>
      <c r="M688" s="568"/>
      <c r="N688" s="567"/>
      <c r="O688" s="567"/>
      <c r="P688" s="567"/>
      <c r="Q688" s="567"/>
      <c r="R688" s="570"/>
      <c r="S688" s="570"/>
      <c r="T688" s="567"/>
      <c r="U688" s="569"/>
      <c r="V688" s="567"/>
      <c r="W688" s="568"/>
      <c r="X688" s="568"/>
      <c r="Y688" s="567"/>
    </row>
    <row r="689" spans="1:25" x14ac:dyDescent="0.25">
      <c r="A689" s="570"/>
      <c r="B689" s="570"/>
      <c r="C689" s="570"/>
      <c r="D689" s="567"/>
      <c r="E689" s="567"/>
      <c r="F689" s="567"/>
      <c r="G689" s="570"/>
      <c r="H689" s="570"/>
      <c r="I689" s="567"/>
      <c r="J689" s="567"/>
      <c r="K689" s="567"/>
      <c r="L689" s="568"/>
      <c r="M689" s="568"/>
      <c r="N689" s="567"/>
      <c r="O689" s="567"/>
      <c r="P689" s="567"/>
      <c r="Q689" s="567"/>
      <c r="R689" s="570"/>
      <c r="S689" s="570"/>
      <c r="T689" s="567"/>
      <c r="U689" s="569"/>
      <c r="V689" s="567"/>
      <c r="W689" s="568"/>
      <c r="X689" s="568"/>
      <c r="Y689" s="567"/>
    </row>
    <row r="690" spans="1:25" x14ac:dyDescent="0.25">
      <c r="A690" s="570"/>
      <c r="B690" s="570"/>
      <c r="C690" s="570"/>
      <c r="D690" s="567"/>
      <c r="E690" s="567"/>
      <c r="F690" s="567"/>
      <c r="G690" s="570"/>
      <c r="H690" s="570"/>
      <c r="I690" s="567"/>
      <c r="J690" s="567"/>
      <c r="K690" s="567"/>
      <c r="L690" s="568"/>
      <c r="M690" s="568"/>
      <c r="N690" s="567"/>
      <c r="O690" s="567"/>
      <c r="P690" s="567"/>
      <c r="Q690" s="567"/>
      <c r="R690" s="570"/>
      <c r="S690" s="570"/>
      <c r="T690" s="567"/>
      <c r="U690" s="569"/>
      <c r="V690" s="567"/>
      <c r="W690" s="568"/>
      <c r="X690" s="568"/>
      <c r="Y690" s="567"/>
    </row>
    <row r="691" spans="1:25" x14ac:dyDescent="0.25">
      <c r="A691" s="570"/>
      <c r="B691" s="570"/>
      <c r="C691" s="570"/>
      <c r="D691" s="567"/>
      <c r="E691" s="567"/>
      <c r="F691" s="567"/>
      <c r="G691" s="570"/>
      <c r="H691" s="570"/>
      <c r="I691" s="567"/>
      <c r="J691" s="567"/>
      <c r="K691" s="567"/>
      <c r="L691" s="568"/>
      <c r="M691" s="568"/>
      <c r="N691" s="567"/>
      <c r="O691" s="567"/>
      <c r="P691" s="567"/>
      <c r="Q691" s="567"/>
      <c r="R691" s="570"/>
      <c r="S691" s="570"/>
      <c r="T691" s="567"/>
      <c r="U691" s="569"/>
      <c r="V691" s="567"/>
      <c r="W691" s="568"/>
      <c r="X691" s="568"/>
      <c r="Y691" s="567"/>
    </row>
    <row r="692" spans="1:25" x14ac:dyDescent="0.25">
      <c r="A692" s="570"/>
      <c r="B692" s="570"/>
      <c r="C692" s="570"/>
      <c r="D692" s="567"/>
      <c r="E692" s="567"/>
      <c r="F692" s="567"/>
      <c r="G692" s="570"/>
      <c r="H692" s="570"/>
      <c r="I692" s="567"/>
      <c r="J692" s="567"/>
      <c r="K692" s="567"/>
      <c r="L692" s="568"/>
      <c r="M692" s="568"/>
      <c r="N692" s="567"/>
      <c r="O692" s="567"/>
      <c r="P692" s="567"/>
      <c r="Q692" s="567"/>
      <c r="R692" s="570"/>
      <c r="S692" s="570"/>
      <c r="T692" s="567"/>
      <c r="U692" s="569"/>
      <c r="V692" s="567"/>
      <c r="W692" s="568"/>
      <c r="X692" s="568"/>
      <c r="Y692" s="567"/>
    </row>
    <row r="693" spans="1:25" x14ac:dyDescent="0.25">
      <c r="A693" s="570"/>
      <c r="B693" s="570"/>
      <c r="C693" s="570"/>
      <c r="D693" s="567"/>
      <c r="E693" s="567"/>
      <c r="F693" s="567"/>
      <c r="G693" s="570"/>
      <c r="H693" s="570"/>
      <c r="I693" s="567"/>
      <c r="J693" s="567"/>
      <c r="K693" s="567"/>
      <c r="L693" s="568"/>
      <c r="M693" s="568"/>
      <c r="N693" s="567"/>
      <c r="O693" s="567"/>
      <c r="P693" s="567"/>
      <c r="Q693" s="567"/>
      <c r="R693" s="570"/>
      <c r="S693" s="570"/>
      <c r="T693" s="567"/>
      <c r="U693" s="569"/>
      <c r="V693" s="567"/>
      <c r="W693" s="568"/>
      <c r="X693" s="568"/>
      <c r="Y693" s="567"/>
    </row>
    <row r="694" spans="1:25" x14ac:dyDescent="0.25">
      <c r="A694" s="570"/>
      <c r="B694" s="570"/>
      <c r="C694" s="570"/>
      <c r="D694" s="567"/>
      <c r="E694" s="567"/>
      <c r="F694" s="567"/>
      <c r="G694" s="570"/>
      <c r="H694" s="570"/>
      <c r="I694" s="567"/>
      <c r="J694" s="567"/>
      <c r="K694" s="567"/>
      <c r="L694" s="568"/>
      <c r="M694" s="568"/>
      <c r="N694" s="567"/>
      <c r="O694" s="567"/>
      <c r="P694" s="567"/>
      <c r="Q694" s="567"/>
      <c r="R694" s="570"/>
      <c r="S694" s="570"/>
      <c r="T694" s="567"/>
      <c r="U694" s="569"/>
      <c r="V694" s="567"/>
      <c r="W694" s="568"/>
      <c r="X694" s="568"/>
      <c r="Y694" s="567"/>
    </row>
    <row r="695" spans="1:25" x14ac:dyDescent="0.25">
      <c r="A695" s="570"/>
      <c r="B695" s="570"/>
      <c r="C695" s="570"/>
      <c r="D695" s="567"/>
      <c r="E695" s="567"/>
      <c r="F695" s="567"/>
      <c r="G695" s="570"/>
      <c r="H695" s="570"/>
      <c r="I695" s="567"/>
      <c r="J695" s="567"/>
      <c r="K695" s="567"/>
      <c r="L695" s="568"/>
      <c r="M695" s="568"/>
      <c r="N695" s="567"/>
      <c r="O695" s="567"/>
      <c r="P695" s="567"/>
      <c r="Q695" s="567"/>
      <c r="R695" s="570"/>
      <c r="S695" s="570"/>
      <c r="T695" s="567"/>
      <c r="U695" s="569"/>
      <c r="V695" s="567"/>
      <c r="W695" s="568"/>
      <c r="X695" s="568"/>
      <c r="Y695" s="567"/>
    </row>
    <row r="696" spans="1:25" x14ac:dyDescent="0.25">
      <c r="A696" s="570"/>
      <c r="B696" s="570"/>
      <c r="C696" s="570"/>
      <c r="D696" s="567"/>
      <c r="E696" s="567"/>
      <c r="F696" s="567"/>
      <c r="G696" s="570"/>
      <c r="H696" s="570"/>
      <c r="I696" s="567"/>
      <c r="J696" s="567"/>
      <c r="K696" s="567"/>
      <c r="L696" s="568"/>
      <c r="M696" s="568"/>
      <c r="N696" s="567"/>
      <c r="O696" s="567"/>
      <c r="P696" s="567"/>
      <c r="Q696" s="567"/>
      <c r="R696" s="570"/>
      <c r="S696" s="570"/>
      <c r="T696" s="567"/>
      <c r="U696" s="569"/>
      <c r="V696" s="567"/>
      <c r="W696" s="568"/>
      <c r="X696" s="568"/>
      <c r="Y696" s="567"/>
    </row>
    <row r="697" spans="1:25" x14ac:dyDescent="0.25">
      <c r="A697" s="570"/>
      <c r="B697" s="570"/>
      <c r="C697" s="570"/>
      <c r="D697" s="567"/>
      <c r="E697" s="567"/>
      <c r="F697" s="567"/>
      <c r="G697" s="570"/>
      <c r="H697" s="570"/>
      <c r="I697" s="567"/>
      <c r="J697" s="567"/>
      <c r="K697" s="567"/>
      <c r="L697" s="568"/>
      <c r="M697" s="568"/>
      <c r="N697" s="567"/>
      <c r="O697" s="567"/>
      <c r="P697" s="567"/>
      <c r="Q697" s="567"/>
      <c r="R697" s="570"/>
      <c r="S697" s="570"/>
      <c r="T697" s="567"/>
      <c r="U697" s="569"/>
      <c r="V697" s="567"/>
      <c r="W697" s="568"/>
      <c r="X697" s="568"/>
      <c r="Y697" s="567"/>
    </row>
    <row r="698" spans="1:25" x14ac:dyDescent="0.25">
      <c r="A698" s="570"/>
      <c r="B698" s="570"/>
      <c r="C698" s="570"/>
      <c r="D698" s="567"/>
      <c r="E698" s="567"/>
      <c r="F698" s="567"/>
      <c r="G698" s="570"/>
      <c r="H698" s="570"/>
      <c r="I698" s="567"/>
      <c r="J698" s="567"/>
      <c r="K698" s="567"/>
      <c r="L698" s="568"/>
      <c r="M698" s="568"/>
      <c r="N698" s="567"/>
      <c r="O698" s="567"/>
      <c r="P698" s="567"/>
      <c r="Q698" s="567"/>
      <c r="R698" s="570"/>
      <c r="S698" s="570"/>
      <c r="T698" s="567"/>
      <c r="U698" s="569"/>
      <c r="V698" s="567"/>
      <c r="W698" s="568"/>
      <c r="X698" s="568"/>
      <c r="Y698" s="567"/>
    </row>
    <row r="699" spans="1:25" x14ac:dyDescent="0.25">
      <c r="A699" s="570"/>
      <c r="B699" s="570"/>
      <c r="C699" s="570"/>
      <c r="D699" s="567"/>
      <c r="E699" s="567"/>
      <c r="F699" s="567"/>
      <c r="G699" s="570"/>
      <c r="H699" s="570"/>
      <c r="I699" s="567"/>
      <c r="J699" s="567"/>
      <c r="K699" s="567"/>
      <c r="L699" s="568"/>
      <c r="M699" s="568"/>
      <c r="N699" s="567"/>
      <c r="O699" s="567"/>
      <c r="P699" s="567"/>
      <c r="Q699" s="567"/>
      <c r="R699" s="570"/>
      <c r="S699" s="570"/>
      <c r="T699" s="567"/>
      <c r="U699" s="569"/>
      <c r="V699" s="567"/>
      <c r="W699" s="568"/>
      <c r="X699" s="568"/>
      <c r="Y699" s="567"/>
    </row>
    <row r="700" spans="1:25" x14ac:dyDescent="0.25">
      <c r="A700" s="570"/>
      <c r="B700" s="570"/>
      <c r="C700" s="570"/>
      <c r="D700" s="567"/>
      <c r="E700" s="567"/>
      <c r="F700" s="567"/>
      <c r="G700" s="570"/>
      <c r="H700" s="570"/>
      <c r="I700" s="567"/>
      <c r="J700" s="567"/>
      <c r="K700" s="567"/>
      <c r="L700" s="568"/>
      <c r="M700" s="568"/>
      <c r="N700" s="567"/>
      <c r="O700" s="567"/>
      <c r="P700" s="567"/>
      <c r="Q700" s="567"/>
      <c r="R700" s="570"/>
      <c r="S700" s="570"/>
      <c r="T700" s="567"/>
      <c r="U700" s="569"/>
      <c r="V700" s="567"/>
      <c r="W700" s="568"/>
      <c r="X700" s="568"/>
      <c r="Y700" s="567"/>
    </row>
    <row r="701" spans="1:25" x14ac:dyDescent="0.25">
      <c r="A701" s="570"/>
      <c r="B701" s="570"/>
      <c r="C701" s="570"/>
      <c r="D701" s="567"/>
      <c r="E701" s="567"/>
      <c r="F701" s="567"/>
      <c r="G701" s="570"/>
      <c r="H701" s="570"/>
      <c r="I701" s="567"/>
      <c r="J701" s="567"/>
      <c r="K701" s="567"/>
      <c r="L701" s="568"/>
      <c r="M701" s="568"/>
      <c r="N701" s="567"/>
      <c r="O701" s="567"/>
      <c r="P701" s="567"/>
      <c r="Q701" s="567"/>
      <c r="R701" s="570"/>
      <c r="S701" s="570"/>
      <c r="T701" s="567"/>
      <c r="U701" s="569"/>
      <c r="V701" s="567"/>
      <c r="W701" s="568"/>
      <c r="X701" s="568"/>
      <c r="Y701" s="567"/>
    </row>
    <row r="702" spans="1:25" x14ac:dyDescent="0.25">
      <c r="A702" s="570"/>
      <c r="B702" s="570"/>
      <c r="C702" s="570"/>
      <c r="D702" s="567"/>
      <c r="E702" s="567"/>
      <c r="F702" s="567"/>
      <c r="G702" s="570"/>
      <c r="H702" s="570"/>
      <c r="I702" s="567"/>
      <c r="J702" s="567"/>
      <c r="K702" s="567"/>
      <c r="L702" s="568"/>
      <c r="M702" s="568"/>
      <c r="N702" s="567"/>
      <c r="O702" s="567"/>
      <c r="P702" s="567"/>
      <c r="Q702" s="567"/>
      <c r="R702" s="570"/>
      <c r="S702" s="570"/>
      <c r="T702" s="567"/>
      <c r="U702" s="569"/>
      <c r="V702" s="567"/>
      <c r="W702" s="568"/>
      <c r="X702" s="568"/>
      <c r="Y702" s="567"/>
    </row>
    <row r="703" spans="1:25" x14ac:dyDescent="0.25">
      <c r="A703" s="570"/>
      <c r="B703" s="570"/>
      <c r="C703" s="570"/>
      <c r="D703" s="567"/>
      <c r="E703" s="567"/>
      <c r="F703" s="567"/>
      <c r="G703" s="570"/>
      <c r="H703" s="570"/>
      <c r="I703" s="567"/>
      <c r="J703" s="567"/>
      <c r="K703" s="567"/>
      <c r="L703" s="568"/>
      <c r="M703" s="568"/>
      <c r="N703" s="567"/>
      <c r="O703" s="567"/>
      <c r="P703" s="567"/>
      <c r="Q703" s="567"/>
      <c r="R703" s="570"/>
      <c r="S703" s="570"/>
      <c r="T703" s="567"/>
      <c r="U703" s="569"/>
      <c r="V703" s="567"/>
      <c r="W703" s="568"/>
      <c r="X703" s="568"/>
      <c r="Y703" s="567"/>
    </row>
    <row r="704" spans="1:25" x14ac:dyDescent="0.25">
      <c r="A704" s="570"/>
      <c r="B704" s="570"/>
      <c r="C704" s="570"/>
      <c r="D704" s="567"/>
      <c r="E704" s="567"/>
      <c r="F704" s="567"/>
      <c r="G704" s="570"/>
      <c r="H704" s="570"/>
      <c r="I704" s="567"/>
      <c r="J704" s="567"/>
      <c r="K704" s="567"/>
      <c r="L704" s="568"/>
      <c r="M704" s="568"/>
      <c r="N704" s="567"/>
      <c r="O704" s="567"/>
      <c r="P704" s="567"/>
      <c r="Q704" s="567"/>
      <c r="R704" s="570"/>
      <c r="S704" s="570"/>
      <c r="T704" s="567"/>
      <c r="U704" s="569"/>
      <c r="V704" s="567"/>
      <c r="W704" s="568"/>
      <c r="X704" s="568"/>
      <c r="Y704" s="567"/>
    </row>
    <row r="705" spans="1:25" x14ac:dyDescent="0.25">
      <c r="A705" s="570"/>
      <c r="B705" s="570"/>
      <c r="C705" s="570"/>
      <c r="D705" s="567"/>
      <c r="E705" s="567"/>
      <c r="F705" s="567"/>
      <c r="G705" s="570"/>
      <c r="H705" s="570"/>
      <c r="I705" s="567"/>
      <c r="J705" s="567"/>
      <c r="K705" s="567"/>
      <c r="L705" s="568"/>
      <c r="M705" s="568"/>
      <c r="N705" s="567"/>
      <c r="O705" s="567"/>
      <c r="P705" s="567"/>
      <c r="Q705" s="567"/>
      <c r="R705" s="570"/>
      <c r="S705" s="570"/>
      <c r="T705" s="567"/>
      <c r="U705" s="569"/>
      <c r="V705" s="567"/>
      <c r="W705" s="568"/>
      <c r="X705" s="568"/>
      <c r="Y705" s="567"/>
    </row>
    <row r="706" spans="1:25" x14ac:dyDescent="0.25">
      <c r="A706" s="570"/>
      <c r="B706" s="570"/>
      <c r="C706" s="570"/>
      <c r="D706" s="567"/>
      <c r="E706" s="567"/>
      <c r="F706" s="567"/>
      <c r="G706" s="570"/>
      <c r="H706" s="570"/>
      <c r="I706" s="567"/>
      <c r="J706" s="567"/>
      <c r="K706" s="567"/>
      <c r="L706" s="568"/>
      <c r="M706" s="568"/>
      <c r="N706" s="567"/>
      <c r="O706" s="567"/>
      <c r="P706" s="567"/>
      <c r="Q706" s="567"/>
      <c r="R706" s="570"/>
      <c r="S706" s="570"/>
      <c r="T706" s="567"/>
      <c r="U706" s="569"/>
      <c r="V706" s="567"/>
      <c r="W706" s="568"/>
      <c r="X706" s="568"/>
      <c r="Y706" s="567"/>
    </row>
    <row r="707" spans="1:25" x14ac:dyDescent="0.25">
      <c r="A707" s="570"/>
      <c r="B707" s="570"/>
      <c r="C707" s="570"/>
      <c r="D707" s="567"/>
      <c r="E707" s="567"/>
      <c r="F707" s="567"/>
      <c r="G707" s="570"/>
      <c r="H707" s="570"/>
      <c r="I707" s="567"/>
      <c r="J707" s="567"/>
      <c r="K707" s="567"/>
      <c r="L707" s="568"/>
      <c r="M707" s="568"/>
      <c r="N707" s="567"/>
      <c r="O707" s="567"/>
      <c r="P707" s="567"/>
      <c r="Q707" s="567"/>
      <c r="R707" s="570"/>
      <c r="S707" s="570"/>
      <c r="T707" s="567"/>
      <c r="U707" s="569"/>
      <c r="V707" s="567"/>
      <c r="W707" s="568"/>
      <c r="X707" s="568"/>
      <c r="Y707" s="567"/>
    </row>
    <row r="708" spans="1:25" x14ac:dyDescent="0.25">
      <c r="A708" s="570"/>
      <c r="B708" s="570"/>
      <c r="C708" s="570"/>
      <c r="D708" s="567"/>
      <c r="E708" s="567"/>
      <c r="F708" s="567"/>
      <c r="G708" s="570"/>
      <c r="H708" s="570"/>
      <c r="I708" s="567"/>
      <c r="J708" s="567"/>
      <c r="K708" s="567"/>
      <c r="L708" s="568"/>
      <c r="M708" s="568"/>
      <c r="N708" s="567"/>
      <c r="O708" s="567"/>
      <c r="P708" s="567"/>
      <c r="Q708" s="567"/>
      <c r="R708" s="570"/>
      <c r="S708" s="570"/>
      <c r="T708" s="567"/>
      <c r="U708" s="569"/>
      <c r="V708" s="567"/>
      <c r="W708" s="568"/>
      <c r="X708" s="568"/>
      <c r="Y708" s="567"/>
    </row>
    <row r="709" spans="1:25" x14ac:dyDescent="0.25">
      <c r="A709" s="570"/>
      <c r="B709" s="570"/>
      <c r="C709" s="570"/>
      <c r="D709" s="567"/>
      <c r="E709" s="567"/>
      <c r="F709" s="567"/>
      <c r="G709" s="570"/>
      <c r="H709" s="570"/>
      <c r="I709" s="567"/>
      <c r="J709" s="567"/>
      <c r="K709" s="567"/>
      <c r="L709" s="568"/>
      <c r="M709" s="568"/>
      <c r="N709" s="567"/>
      <c r="O709" s="567"/>
      <c r="P709" s="567"/>
      <c r="Q709" s="567"/>
      <c r="R709" s="570"/>
      <c r="S709" s="570"/>
      <c r="T709" s="567"/>
      <c r="U709" s="569"/>
      <c r="V709" s="567"/>
      <c r="W709" s="568"/>
      <c r="X709" s="568"/>
      <c r="Y709" s="567"/>
    </row>
    <row r="710" spans="1:25" x14ac:dyDescent="0.25">
      <c r="A710" s="570"/>
      <c r="B710" s="570"/>
      <c r="C710" s="570"/>
      <c r="D710" s="567"/>
      <c r="E710" s="567"/>
      <c r="F710" s="567"/>
      <c r="G710" s="570"/>
      <c r="H710" s="570"/>
      <c r="I710" s="567"/>
      <c r="J710" s="567"/>
      <c r="K710" s="567"/>
      <c r="L710" s="568"/>
      <c r="M710" s="568"/>
      <c r="N710" s="567"/>
      <c r="O710" s="567"/>
      <c r="P710" s="567"/>
      <c r="Q710" s="567"/>
      <c r="R710" s="570"/>
      <c r="S710" s="570"/>
      <c r="T710" s="567"/>
      <c r="U710" s="569"/>
      <c r="V710" s="567"/>
      <c r="W710" s="568"/>
      <c r="X710" s="568"/>
      <c r="Y710" s="567"/>
    </row>
    <row r="711" spans="1:25" x14ac:dyDescent="0.25">
      <c r="A711" s="570"/>
      <c r="B711" s="570"/>
      <c r="C711" s="570"/>
      <c r="D711" s="567"/>
      <c r="E711" s="567"/>
      <c r="F711" s="567"/>
      <c r="G711" s="570"/>
      <c r="H711" s="570"/>
      <c r="I711" s="567"/>
      <c r="J711" s="567"/>
      <c r="K711" s="567"/>
      <c r="L711" s="568"/>
      <c r="M711" s="568"/>
      <c r="N711" s="567"/>
      <c r="O711" s="567"/>
      <c r="P711" s="567"/>
      <c r="Q711" s="567"/>
      <c r="R711" s="570"/>
      <c r="S711" s="570"/>
      <c r="T711" s="567"/>
      <c r="U711" s="569"/>
      <c r="V711" s="567"/>
      <c r="W711" s="568"/>
      <c r="X711" s="568"/>
      <c r="Y711" s="567"/>
    </row>
    <row r="712" spans="1:25" x14ac:dyDescent="0.25">
      <c r="A712" s="570"/>
      <c r="B712" s="570"/>
      <c r="C712" s="570"/>
      <c r="D712" s="567"/>
      <c r="E712" s="567"/>
      <c r="F712" s="567"/>
      <c r="G712" s="570"/>
      <c r="H712" s="570"/>
      <c r="I712" s="567"/>
      <c r="J712" s="567"/>
      <c r="K712" s="567"/>
      <c r="L712" s="568"/>
      <c r="M712" s="568"/>
      <c r="N712" s="567"/>
      <c r="O712" s="567"/>
      <c r="P712" s="567"/>
      <c r="Q712" s="567"/>
      <c r="R712" s="570"/>
      <c r="S712" s="570"/>
      <c r="T712" s="567"/>
      <c r="U712" s="569"/>
      <c r="V712" s="567"/>
      <c r="W712" s="568"/>
      <c r="X712" s="568"/>
      <c r="Y712" s="567"/>
    </row>
    <row r="713" spans="1:25" x14ac:dyDescent="0.25">
      <c r="A713" s="570"/>
      <c r="B713" s="570"/>
      <c r="C713" s="570"/>
      <c r="D713" s="567"/>
      <c r="E713" s="567"/>
      <c r="F713" s="567"/>
      <c r="G713" s="570"/>
      <c r="H713" s="570"/>
      <c r="I713" s="567"/>
      <c r="J713" s="567"/>
      <c r="K713" s="567"/>
      <c r="L713" s="568"/>
      <c r="M713" s="568"/>
      <c r="N713" s="567"/>
      <c r="O713" s="567"/>
      <c r="P713" s="567"/>
      <c r="Q713" s="567"/>
      <c r="R713" s="570"/>
      <c r="S713" s="570"/>
      <c r="T713" s="567"/>
      <c r="U713" s="569"/>
      <c r="V713" s="567"/>
      <c r="W713" s="568"/>
      <c r="X713" s="568"/>
      <c r="Y713" s="567"/>
    </row>
    <row r="714" spans="1:25" x14ac:dyDescent="0.25">
      <c r="A714" s="570"/>
      <c r="B714" s="570"/>
      <c r="C714" s="570"/>
      <c r="D714" s="567"/>
      <c r="E714" s="567"/>
      <c r="F714" s="567"/>
      <c r="G714" s="570"/>
      <c r="H714" s="570"/>
      <c r="I714" s="567"/>
      <c r="J714" s="567"/>
      <c r="K714" s="567"/>
      <c r="L714" s="568"/>
      <c r="M714" s="568"/>
      <c r="N714" s="567"/>
      <c r="O714" s="567"/>
      <c r="P714" s="567"/>
      <c r="Q714" s="567"/>
      <c r="R714" s="570"/>
      <c r="S714" s="570"/>
      <c r="T714" s="567"/>
      <c r="U714" s="569"/>
      <c r="V714" s="567"/>
      <c r="W714" s="568"/>
      <c r="X714" s="568"/>
      <c r="Y714" s="567"/>
    </row>
    <row r="715" spans="1:25" x14ac:dyDescent="0.25">
      <c r="A715" s="570"/>
      <c r="B715" s="570"/>
      <c r="C715" s="570"/>
      <c r="D715" s="567"/>
      <c r="E715" s="567"/>
      <c r="F715" s="567"/>
      <c r="G715" s="570"/>
      <c r="H715" s="570"/>
      <c r="I715" s="567"/>
      <c r="J715" s="567"/>
      <c r="K715" s="567"/>
      <c r="L715" s="568"/>
      <c r="M715" s="568"/>
      <c r="N715" s="567"/>
      <c r="O715" s="567"/>
      <c r="P715" s="567"/>
      <c r="Q715" s="567"/>
      <c r="R715" s="570"/>
      <c r="S715" s="570"/>
      <c r="T715" s="567"/>
      <c r="U715" s="569"/>
      <c r="V715" s="567"/>
      <c r="W715" s="568"/>
      <c r="X715" s="568"/>
      <c r="Y715" s="567"/>
    </row>
    <row r="716" spans="1:25" x14ac:dyDescent="0.25">
      <c r="A716" s="570"/>
      <c r="B716" s="570"/>
      <c r="C716" s="570"/>
      <c r="D716" s="567"/>
      <c r="E716" s="567"/>
      <c r="F716" s="567"/>
      <c r="G716" s="570"/>
      <c r="H716" s="570"/>
      <c r="I716" s="567"/>
      <c r="J716" s="567"/>
      <c r="K716" s="567"/>
      <c r="L716" s="568"/>
      <c r="M716" s="568"/>
      <c r="N716" s="567"/>
      <c r="O716" s="567"/>
      <c r="P716" s="567"/>
      <c r="Q716" s="567"/>
      <c r="R716" s="570"/>
      <c r="S716" s="570"/>
      <c r="T716" s="567"/>
      <c r="U716" s="569"/>
      <c r="V716" s="567"/>
      <c r="W716" s="568"/>
      <c r="X716" s="568"/>
      <c r="Y716" s="567"/>
    </row>
    <row r="717" spans="1:25" x14ac:dyDescent="0.25">
      <c r="A717" s="570"/>
      <c r="B717" s="570"/>
      <c r="C717" s="570"/>
      <c r="D717" s="567"/>
      <c r="E717" s="567"/>
      <c r="F717" s="567"/>
      <c r="G717" s="570"/>
      <c r="H717" s="570"/>
      <c r="I717" s="567"/>
      <c r="J717" s="567"/>
      <c r="K717" s="567"/>
      <c r="L717" s="568"/>
      <c r="M717" s="568"/>
      <c r="N717" s="567"/>
      <c r="O717" s="567"/>
      <c r="P717" s="567"/>
      <c r="Q717" s="567"/>
      <c r="R717" s="570"/>
      <c r="S717" s="570"/>
      <c r="T717" s="567"/>
      <c r="U717" s="569"/>
      <c r="V717" s="567"/>
      <c r="W717" s="568"/>
      <c r="X717" s="568"/>
      <c r="Y717" s="567"/>
    </row>
    <row r="718" spans="1:25" x14ac:dyDescent="0.25">
      <c r="A718" s="570"/>
      <c r="B718" s="570"/>
      <c r="C718" s="570"/>
      <c r="D718" s="567"/>
      <c r="E718" s="567"/>
      <c r="F718" s="567"/>
      <c r="G718" s="570"/>
      <c r="H718" s="570"/>
      <c r="I718" s="567"/>
      <c r="J718" s="567"/>
      <c r="K718" s="567"/>
      <c r="L718" s="568"/>
      <c r="M718" s="568"/>
      <c r="N718" s="567"/>
      <c r="O718" s="567"/>
      <c r="P718" s="567"/>
      <c r="Q718" s="567"/>
      <c r="R718" s="570"/>
      <c r="S718" s="570"/>
      <c r="T718" s="567"/>
      <c r="U718" s="569"/>
      <c r="V718" s="567"/>
      <c r="W718" s="568"/>
      <c r="X718" s="568"/>
      <c r="Y718" s="567"/>
    </row>
    <row r="719" spans="1:25" x14ac:dyDescent="0.25">
      <c r="A719" s="570"/>
      <c r="B719" s="570"/>
      <c r="C719" s="570"/>
      <c r="D719" s="567"/>
      <c r="E719" s="567"/>
      <c r="F719" s="567"/>
      <c r="G719" s="570"/>
      <c r="H719" s="570"/>
      <c r="I719" s="567"/>
      <c r="J719" s="567"/>
      <c r="K719" s="567"/>
      <c r="L719" s="568"/>
      <c r="M719" s="568"/>
      <c r="N719" s="567"/>
      <c r="O719" s="567"/>
      <c r="P719" s="567"/>
      <c r="Q719" s="567"/>
      <c r="R719" s="570"/>
      <c r="S719" s="570"/>
      <c r="T719" s="567"/>
      <c r="U719" s="569"/>
      <c r="V719" s="567"/>
      <c r="W719" s="568"/>
      <c r="X719" s="568"/>
      <c r="Y719" s="567"/>
    </row>
    <row r="720" spans="1:25" x14ac:dyDescent="0.25">
      <c r="A720" s="570"/>
      <c r="B720" s="570"/>
      <c r="C720" s="570"/>
      <c r="D720" s="567"/>
      <c r="E720" s="567"/>
      <c r="F720" s="567"/>
      <c r="G720" s="570"/>
      <c r="H720" s="570"/>
      <c r="I720" s="567"/>
      <c r="J720" s="567"/>
      <c r="K720" s="567"/>
      <c r="L720" s="568"/>
      <c r="M720" s="568"/>
      <c r="N720" s="567"/>
      <c r="O720" s="567"/>
      <c r="P720" s="567"/>
      <c r="Q720" s="567"/>
      <c r="R720" s="570"/>
      <c r="S720" s="570"/>
      <c r="T720" s="567"/>
      <c r="U720" s="569"/>
      <c r="V720" s="567"/>
      <c r="W720" s="568"/>
      <c r="X720" s="568"/>
      <c r="Y720" s="567"/>
    </row>
    <row r="721" spans="1:25" x14ac:dyDescent="0.25">
      <c r="A721" s="570"/>
      <c r="B721" s="570"/>
      <c r="C721" s="570"/>
      <c r="D721" s="567"/>
      <c r="E721" s="567"/>
      <c r="F721" s="567"/>
      <c r="G721" s="570"/>
      <c r="H721" s="570"/>
      <c r="I721" s="567"/>
      <c r="J721" s="567"/>
      <c r="K721" s="567"/>
      <c r="L721" s="568"/>
      <c r="M721" s="568"/>
      <c r="N721" s="567"/>
      <c r="O721" s="567"/>
      <c r="P721" s="567"/>
      <c r="Q721" s="567"/>
      <c r="R721" s="570"/>
      <c r="S721" s="570"/>
      <c r="T721" s="567"/>
      <c r="U721" s="569"/>
      <c r="V721" s="567"/>
      <c r="W721" s="568"/>
      <c r="X721" s="568"/>
      <c r="Y721" s="567"/>
    </row>
    <row r="722" spans="1:25" x14ac:dyDescent="0.25">
      <c r="A722" s="570"/>
      <c r="B722" s="570"/>
      <c r="C722" s="570"/>
      <c r="D722" s="567"/>
      <c r="E722" s="567"/>
      <c r="F722" s="567"/>
      <c r="G722" s="570"/>
      <c r="H722" s="570"/>
      <c r="I722" s="567"/>
      <c r="J722" s="567"/>
      <c r="K722" s="567"/>
      <c r="L722" s="568"/>
      <c r="M722" s="568"/>
      <c r="N722" s="567"/>
      <c r="O722" s="567"/>
      <c r="P722" s="567"/>
      <c r="Q722" s="567"/>
      <c r="R722" s="570"/>
      <c r="S722" s="570"/>
      <c r="T722" s="567"/>
      <c r="U722" s="569"/>
      <c r="V722" s="567"/>
      <c r="W722" s="568"/>
      <c r="X722" s="568"/>
      <c r="Y722" s="567"/>
    </row>
    <row r="723" spans="1:25" x14ac:dyDescent="0.25">
      <c r="A723" s="570"/>
      <c r="B723" s="570"/>
      <c r="C723" s="570"/>
      <c r="D723" s="567"/>
      <c r="E723" s="567"/>
      <c r="F723" s="567"/>
      <c r="G723" s="570"/>
      <c r="H723" s="570"/>
      <c r="I723" s="567"/>
      <c r="J723" s="567"/>
      <c r="K723" s="567"/>
      <c r="L723" s="568"/>
      <c r="M723" s="568"/>
      <c r="N723" s="567"/>
      <c r="O723" s="567"/>
      <c r="P723" s="567"/>
      <c r="Q723" s="567"/>
      <c r="R723" s="570"/>
      <c r="S723" s="570"/>
      <c r="T723" s="567"/>
      <c r="U723" s="569"/>
      <c r="V723" s="567"/>
      <c r="W723" s="568"/>
      <c r="X723" s="568"/>
      <c r="Y723" s="567"/>
    </row>
    <row r="724" spans="1:25" x14ac:dyDescent="0.25">
      <c r="A724" s="570"/>
      <c r="B724" s="570"/>
      <c r="C724" s="570"/>
      <c r="D724" s="567"/>
      <c r="E724" s="567"/>
      <c r="F724" s="567"/>
      <c r="G724" s="570"/>
      <c r="H724" s="570"/>
      <c r="I724" s="567"/>
      <c r="J724" s="567"/>
      <c r="K724" s="567"/>
      <c r="L724" s="568"/>
      <c r="M724" s="568"/>
      <c r="N724" s="567"/>
      <c r="O724" s="567"/>
      <c r="P724" s="567"/>
      <c r="Q724" s="567"/>
      <c r="R724" s="570"/>
      <c r="S724" s="570"/>
      <c r="T724" s="567"/>
      <c r="U724" s="569"/>
      <c r="V724" s="567"/>
      <c r="W724" s="568"/>
      <c r="X724" s="568"/>
      <c r="Y724" s="567"/>
    </row>
    <row r="725" spans="1:25" x14ac:dyDescent="0.25">
      <c r="A725" s="570"/>
      <c r="B725" s="570"/>
      <c r="C725" s="570"/>
      <c r="D725" s="567"/>
      <c r="E725" s="567"/>
      <c r="F725" s="567"/>
      <c r="G725" s="570"/>
      <c r="H725" s="570"/>
      <c r="I725" s="567"/>
      <c r="J725" s="567"/>
      <c r="K725" s="567"/>
      <c r="L725" s="568"/>
      <c r="M725" s="568"/>
      <c r="N725" s="567"/>
      <c r="O725" s="567"/>
      <c r="P725" s="567"/>
      <c r="Q725" s="567"/>
      <c r="R725" s="570"/>
      <c r="S725" s="570"/>
      <c r="T725" s="567"/>
      <c r="U725" s="569"/>
      <c r="V725" s="567"/>
      <c r="W725" s="568"/>
      <c r="X725" s="568"/>
      <c r="Y725" s="567"/>
    </row>
    <row r="726" spans="1:25" x14ac:dyDescent="0.25">
      <c r="A726" s="570"/>
      <c r="B726" s="570"/>
      <c r="C726" s="570"/>
      <c r="D726" s="567"/>
      <c r="E726" s="567"/>
      <c r="F726" s="567"/>
      <c r="G726" s="570"/>
      <c r="H726" s="570"/>
      <c r="I726" s="567"/>
      <c r="J726" s="567"/>
      <c r="K726" s="567"/>
      <c r="L726" s="568"/>
      <c r="M726" s="568"/>
      <c r="N726" s="567"/>
      <c r="O726" s="567"/>
      <c r="P726" s="567"/>
      <c r="Q726" s="567"/>
      <c r="R726" s="570"/>
      <c r="S726" s="570"/>
      <c r="T726" s="567"/>
      <c r="U726" s="569"/>
      <c r="V726" s="567"/>
      <c r="W726" s="568"/>
      <c r="X726" s="568"/>
      <c r="Y726" s="567"/>
    </row>
    <row r="727" spans="1:25" x14ac:dyDescent="0.25">
      <c r="A727" s="570"/>
      <c r="B727" s="570"/>
      <c r="C727" s="570"/>
      <c r="D727" s="567"/>
      <c r="E727" s="567"/>
      <c r="F727" s="567"/>
      <c r="G727" s="570"/>
      <c r="H727" s="570"/>
      <c r="I727" s="567"/>
      <c r="J727" s="567"/>
      <c r="K727" s="567"/>
      <c r="L727" s="568"/>
      <c r="M727" s="568"/>
      <c r="N727" s="567"/>
      <c r="O727" s="567"/>
      <c r="P727" s="567"/>
      <c r="Q727" s="567"/>
      <c r="R727" s="570"/>
      <c r="S727" s="570"/>
      <c r="T727" s="567"/>
      <c r="U727" s="569"/>
      <c r="V727" s="567"/>
      <c r="W727" s="568"/>
      <c r="X727" s="568"/>
      <c r="Y727" s="567"/>
    </row>
    <row r="728" spans="1:25" x14ac:dyDescent="0.25">
      <c r="A728" s="570"/>
      <c r="B728" s="570"/>
      <c r="C728" s="570"/>
      <c r="D728" s="567"/>
      <c r="E728" s="567"/>
      <c r="F728" s="567"/>
      <c r="G728" s="570"/>
      <c r="H728" s="570"/>
      <c r="I728" s="567"/>
      <c r="J728" s="567"/>
      <c r="K728" s="567"/>
      <c r="L728" s="568"/>
      <c r="M728" s="568"/>
      <c r="N728" s="567"/>
      <c r="O728" s="567"/>
      <c r="P728" s="567"/>
      <c r="Q728" s="567"/>
      <c r="R728" s="570"/>
      <c r="S728" s="570"/>
      <c r="T728" s="567"/>
      <c r="U728" s="569"/>
      <c r="V728" s="567"/>
      <c r="W728" s="568"/>
      <c r="X728" s="568"/>
      <c r="Y728" s="567"/>
    </row>
    <row r="729" spans="1:25" x14ac:dyDescent="0.25">
      <c r="A729" s="570"/>
      <c r="B729" s="570"/>
      <c r="C729" s="570"/>
      <c r="D729" s="567"/>
      <c r="E729" s="567"/>
      <c r="F729" s="567"/>
      <c r="G729" s="570"/>
      <c r="H729" s="570"/>
      <c r="I729" s="567"/>
      <c r="J729" s="567"/>
      <c r="K729" s="567"/>
      <c r="L729" s="568"/>
      <c r="M729" s="568"/>
      <c r="N729" s="567"/>
      <c r="O729" s="567"/>
      <c r="P729" s="567"/>
      <c r="Q729" s="567"/>
      <c r="R729" s="570"/>
      <c r="S729" s="570"/>
      <c r="T729" s="567"/>
      <c r="U729" s="569"/>
      <c r="V729" s="567"/>
      <c r="W729" s="568"/>
      <c r="X729" s="568"/>
      <c r="Y729" s="567"/>
    </row>
    <row r="730" spans="1:25" x14ac:dyDescent="0.25">
      <c r="A730" s="570"/>
      <c r="B730" s="570"/>
      <c r="C730" s="570"/>
      <c r="D730" s="567"/>
      <c r="E730" s="567"/>
      <c r="F730" s="567"/>
      <c r="G730" s="570"/>
      <c r="H730" s="570"/>
      <c r="I730" s="567"/>
      <c r="J730" s="567"/>
      <c r="K730" s="567"/>
      <c r="L730" s="568"/>
      <c r="M730" s="568"/>
      <c r="N730" s="567"/>
      <c r="O730" s="567"/>
      <c r="P730" s="567"/>
      <c r="Q730" s="567"/>
      <c r="R730" s="570"/>
      <c r="S730" s="570"/>
      <c r="T730" s="567"/>
      <c r="U730" s="569"/>
      <c r="V730" s="567"/>
      <c r="W730" s="568"/>
      <c r="X730" s="568"/>
      <c r="Y730" s="567"/>
    </row>
    <row r="731" spans="1:25" x14ac:dyDescent="0.25">
      <c r="A731" s="570"/>
      <c r="B731" s="570"/>
      <c r="C731" s="570"/>
      <c r="D731" s="567"/>
      <c r="E731" s="567"/>
      <c r="F731" s="567"/>
      <c r="G731" s="570"/>
      <c r="H731" s="570"/>
      <c r="I731" s="567"/>
      <c r="J731" s="567"/>
      <c r="K731" s="567"/>
      <c r="L731" s="568"/>
      <c r="M731" s="568"/>
      <c r="N731" s="567"/>
      <c r="O731" s="567"/>
      <c r="P731" s="567"/>
      <c r="Q731" s="567"/>
      <c r="R731" s="570"/>
      <c r="S731" s="570"/>
      <c r="T731" s="567"/>
      <c r="U731" s="569"/>
      <c r="V731" s="567"/>
      <c r="W731" s="568"/>
      <c r="X731" s="568"/>
      <c r="Y731" s="567"/>
    </row>
    <row r="732" spans="1:25" x14ac:dyDescent="0.25">
      <c r="A732" s="570"/>
      <c r="B732" s="570"/>
      <c r="C732" s="570"/>
      <c r="D732" s="567"/>
      <c r="E732" s="567"/>
      <c r="F732" s="567"/>
      <c r="G732" s="570"/>
      <c r="H732" s="570"/>
      <c r="I732" s="567"/>
      <c r="J732" s="567"/>
      <c r="K732" s="567"/>
      <c r="L732" s="568"/>
      <c r="M732" s="568"/>
      <c r="N732" s="567"/>
      <c r="O732" s="567"/>
      <c r="P732" s="567"/>
      <c r="Q732" s="567"/>
      <c r="R732" s="570"/>
      <c r="S732" s="570"/>
      <c r="T732" s="567"/>
      <c r="U732" s="569"/>
      <c r="V732" s="567"/>
      <c r="W732" s="568"/>
      <c r="X732" s="568"/>
      <c r="Y732" s="567"/>
    </row>
    <row r="733" spans="1:25" x14ac:dyDescent="0.25">
      <c r="A733" s="570"/>
      <c r="B733" s="570"/>
      <c r="C733" s="570"/>
      <c r="D733" s="567"/>
      <c r="E733" s="567"/>
      <c r="F733" s="567"/>
      <c r="G733" s="570"/>
      <c r="H733" s="570"/>
      <c r="I733" s="567"/>
      <c r="J733" s="567"/>
      <c r="K733" s="567"/>
      <c r="L733" s="568"/>
      <c r="M733" s="568"/>
      <c r="N733" s="567"/>
      <c r="O733" s="567"/>
      <c r="P733" s="567"/>
      <c r="Q733" s="567"/>
      <c r="R733" s="570"/>
      <c r="S733" s="570"/>
      <c r="T733" s="567"/>
      <c r="U733" s="569"/>
      <c r="V733" s="567"/>
      <c r="W733" s="568"/>
      <c r="X733" s="568"/>
      <c r="Y733" s="567"/>
    </row>
    <row r="734" spans="1:25" x14ac:dyDescent="0.25">
      <c r="A734" s="570"/>
      <c r="B734" s="570"/>
      <c r="C734" s="570"/>
      <c r="D734" s="567"/>
      <c r="E734" s="567"/>
      <c r="F734" s="567"/>
      <c r="G734" s="570"/>
      <c r="H734" s="570"/>
      <c r="I734" s="567"/>
      <c r="J734" s="567"/>
      <c r="K734" s="567"/>
      <c r="L734" s="568"/>
      <c r="M734" s="568"/>
      <c r="N734" s="567"/>
      <c r="O734" s="567"/>
      <c r="P734" s="567"/>
      <c r="Q734" s="567"/>
      <c r="R734" s="570"/>
      <c r="S734" s="570"/>
      <c r="T734" s="567"/>
      <c r="U734" s="569"/>
      <c r="V734" s="567"/>
      <c r="W734" s="568"/>
      <c r="X734" s="568"/>
      <c r="Y734" s="567"/>
    </row>
    <row r="735" spans="1:25" x14ac:dyDescent="0.25">
      <c r="A735" s="570"/>
      <c r="B735" s="570"/>
      <c r="C735" s="570"/>
      <c r="D735" s="567"/>
      <c r="E735" s="567"/>
      <c r="F735" s="567"/>
      <c r="G735" s="570"/>
      <c r="H735" s="570"/>
      <c r="I735" s="567"/>
      <c r="J735" s="567"/>
      <c r="K735" s="567"/>
      <c r="L735" s="568"/>
      <c r="M735" s="568"/>
      <c r="N735" s="567"/>
      <c r="O735" s="567"/>
      <c r="P735" s="567"/>
      <c r="Q735" s="567"/>
      <c r="R735" s="570"/>
      <c r="S735" s="570"/>
      <c r="T735" s="567"/>
      <c r="U735" s="569"/>
      <c r="V735" s="567"/>
      <c r="W735" s="568"/>
      <c r="X735" s="568"/>
      <c r="Y735" s="567"/>
    </row>
    <row r="736" spans="1:25" x14ac:dyDescent="0.25">
      <c r="A736" s="570"/>
      <c r="B736" s="570"/>
      <c r="C736" s="570"/>
      <c r="D736" s="567"/>
      <c r="E736" s="567"/>
      <c r="F736" s="567"/>
      <c r="G736" s="570"/>
      <c r="H736" s="570"/>
      <c r="I736" s="567"/>
      <c r="J736" s="567"/>
      <c r="K736" s="567"/>
      <c r="L736" s="568"/>
      <c r="M736" s="568"/>
      <c r="N736" s="567"/>
      <c r="O736" s="567"/>
      <c r="P736" s="567"/>
      <c r="Q736" s="567"/>
      <c r="R736" s="570"/>
      <c r="S736" s="570"/>
      <c r="T736" s="567"/>
      <c r="U736" s="569"/>
      <c r="V736" s="567"/>
      <c r="W736" s="568"/>
      <c r="X736" s="568"/>
      <c r="Y736" s="567"/>
    </row>
    <row r="737" spans="1:25" x14ac:dyDescent="0.25">
      <c r="A737" s="570"/>
      <c r="B737" s="570"/>
      <c r="C737" s="570"/>
      <c r="D737" s="567"/>
      <c r="E737" s="567"/>
      <c r="F737" s="567"/>
      <c r="G737" s="570"/>
      <c r="H737" s="570"/>
      <c r="I737" s="567"/>
      <c r="J737" s="567"/>
      <c r="K737" s="567"/>
      <c r="L737" s="568"/>
      <c r="M737" s="568"/>
      <c r="N737" s="567"/>
      <c r="O737" s="567"/>
      <c r="P737" s="567"/>
      <c r="Q737" s="567"/>
      <c r="R737" s="570"/>
      <c r="S737" s="570"/>
      <c r="T737" s="567"/>
      <c r="U737" s="569"/>
      <c r="V737" s="567"/>
      <c r="W737" s="568"/>
      <c r="X737" s="568"/>
      <c r="Y737" s="567"/>
    </row>
    <row r="738" spans="1:25" x14ac:dyDescent="0.25">
      <c r="A738" s="570"/>
      <c r="B738" s="570"/>
      <c r="C738" s="570"/>
      <c r="D738" s="567"/>
      <c r="E738" s="567"/>
      <c r="F738" s="567"/>
      <c r="G738" s="570"/>
      <c r="H738" s="570"/>
      <c r="I738" s="567"/>
      <c r="J738" s="567"/>
      <c r="K738" s="567"/>
      <c r="L738" s="568"/>
      <c r="M738" s="568"/>
      <c r="N738" s="567"/>
      <c r="O738" s="567"/>
      <c r="P738" s="567"/>
      <c r="Q738" s="567"/>
      <c r="R738" s="570"/>
      <c r="S738" s="570"/>
      <c r="T738" s="567"/>
      <c r="U738" s="569"/>
      <c r="V738" s="567"/>
      <c r="W738" s="568"/>
      <c r="X738" s="568"/>
      <c r="Y738" s="567"/>
    </row>
    <row r="739" spans="1:25" x14ac:dyDescent="0.25">
      <c r="A739" s="570"/>
      <c r="B739" s="570"/>
      <c r="C739" s="570"/>
      <c r="D739" s="567"/>
      <c r="E739" s="567"/>
      <c r="F739" s="567"/>
      <c r="G739" s="570"/>
      <c r="H739" s="570"/>
      <c r="I739" s="567"/>
      <c r="J739" s="567"/>
      <c r="K739" s="567"/>
      <c r="L739" s="568"/>
      <c r="M739" s="568"/>
      <c r="N739" s="567"/>
      <c r="O739" s="567"/>
      <c r="P739" s="567"/>
      <c r="Q739" s="567"/>
      <c r="R739" s="570"/>
      <c r="S739" s="570"/>
      <c r="T739" s="567"/>
      <c r="U739" s="569"/>
      <c r="V739" s="567"/>
      <c r="W739" s="568"/>
      <c r="X739" s="568"/>
      <c r="Y739" s="567"/>
    </row>
    <row r="740" spans="1:25" x14ac:dyDescent="0.25">
      <c r="A740" s="570"/>
      <c r="B740" s="570"/>
      <c r="C740" s="570"/>
      <c r="D740" s="567"/>
      <c r="E740" s="567"/>
      <c r="F740" s="567"/>
      <c r="G740" s="570"/>
      <c r="H740" s="570"/>
      <c r="I740" s="567"/>
      <c r="J740" s="567"/>
      <c r="K740" s="567"/>
      <c r="L740" s="568"/>
      <c r="M740" s="568"/>
      <c r="N740" s="567"/>
      <c r="O740" s="567"/>
      <c r="P740" s="567"/>
      <c r="Q740" s="567"/>
      <c r="R740" s="570"/>
      <c r="S740" s="570"/>
      <c r="T740" s="567"/>
      <c r="U740" s="569"/>
      <c r="V740" s="567"/>
      <c r="W740" s="568"/>
      <c r="X740" s="568"/>
      <c r="Y740" s="567"/>
    </row>
    <row r="741" spans="1:25" x14ac:dyDescent="0.25">
      <c r="A741" s="570"/>
      <c r="B741" s="570"/>
      <c r="C741" s="570"/>
      <c r="D741" s="567"/>
      <c r="E741" s="567"/>
      <c r="F741" s="567"/>
      <c r="G741" s="570"/>
      <c r="H741" s="570"/>
      <c r="I741" s="567"/>
      <c r="J741" s="567"/>
      <c r="K741" s="567"/>
      <c r="L741" s="568"/>
      <c r="M741" s="568"/>
      <c r="N741" s="567"/>
      <c r="O741" s="567"/>
      <c r="P741" s="567"/>
      <c r="Q741" s="567"/>
      <c r="R741" s="570"/>
      <c r="S741" s="570"/>
      <c r="T741" s="567"/>
      <c r="U741" s="569"/>
      <c r="V741" s="567"/>
      <c r="W741" s="568"/>
      <c r="X741" s="568"/>
      <c r="Y741" s="567"/>
    </row>
    <row r="742" spans="1:25" x14ac:dyDescent="0.25">
      <c r="A742" s="570"/>
      <c r="B742" s="570"/>
      <c r="C742" s="570"/>
      <c r="D742" s="567"/>
      <c r="E742" s="567"/>
      <c r="F742" s="567"/>
      <c r="G742" s="570"/>
      <c r="H742" s="570"/>
      <c r="I742" s="567"/>
      <c r="J742" s="567"/>
      <c r="K742" s="567"/>
      <c r="L742" s="568"/>
      <c r="M742" s="568"/>
      <c r="N742" s="567"/>
      <c r="O742" s="567"/>
      <c r="P742" s="567"/>
      <c r="Q742" s="567"/>
      <c r="R742" s="570"/>
      <c r="S742" s="570"/>
      <c r="T742" s="567"/>
      <c r="U742" s="569"/>
      <c r="V742" s="567"/>
      <c r="W742" s="568"/>
      <c r="X742" s="568"/>
      <c r="Y742" s="567"/>
    </row>
    <row r="743" spans="1:25" x14ac:dyDescent="0.25">
      <c r="A743" s="570"/>
      <c r="B743" s="570"/>
      <c r="C743" s="570"/>
      <c r="D743" s="567"/>
      <c r="E743" s="567"/>
      <c r="F743" s="567"/>
      <c r="G743" s="570"/>
      <c r="H743" s="570"/>
      <c r="I743" s="567"/>
      <c r="J743" s="567"/>
      <c r="K743" s="567"/>
      <c r="L743" s="568"/>
      <c r="M743" s="568"/>
      <c r="N743" s="567"/>
      <c r="O743" s="567"/>
      <c r="P743" s="567"/>
      <c r="Q743" s="567"/>
      <c r="R743" s="570"/>
      <c r="S743" s="570"/>
      <c r="T743" s="567"/>
      <c r="U743" s="569"/>
      <c r="V743" s="567"/>
      <c r="W743" s="568"/>
      <c r="X743" s="568"/>
      <c r="Y743" s="567"/>
    </row>
    <row r="744" spans="1:25" x14ac:dyDescent="0.25">
      <c r="A744" s="570"/>
      <c r="B744" s="570"/>
      <c r="C744" s="570"/>
      <c r="D744" s="567"/>
      <c r="E744" s="567"/>
      <c r="F744" s="567"/>
      <c r="G744" s="570"/>
      <c r="H744" s="570"/>
      <c r="I744" s="567"/>
      <c r="J744" s="567"/>
      <c r="K744" s="567"/>
      <c r="L744" s="568"/>
      <c r="M744" s="568"/>
      <c r="N744" s="567"/>
      <c r="O744" s="567"/>
      <c r="P744" s="567"/>
      <c r="Q744" s="567"/>
      <c r="R744" s="570"/>
      <c r="S744" s="570"/>
      <c r="T744" s="567"/>
      <c r="U744" s="569"/>
      <c r="V744" s="567"/>
      <c r="W744" s="568"/>
      <c r="X744" s="568"/>
      <c r="Y744" s="567"/>
    </row>
    <row r="745" spans="1:25" x14ac:dyDescent="0.25">
      <c r="A745" s="570"/>
      <c r="B745" s="570"/>
      <c r="C745" s="570"/>
      <c r="D745" s="567"/>
      <c r="E745" s="567"/>
      <c r="F745" s="567"/>
      <c r="G745" s="570"/>
      <c r="H745" s="570"/>
      <c r="I745" s="567"/>
      <c r="J745" s="567"/>
      <c r="K745" s="567"/>
      <c r="L745" s="568"/>
      <c r="M745" s="568"/>
      <c r="N745" s="567"/>
      <c r="O745" s="567"/>
      <c r="P745" s="567"/>
      <c r="Q745" s="567"/>
      <c r="R745" s="570"/>
      <c r="S745" s="570"/>
      <c r="T745" s="567"/>
      <c r="U745" s="569"/>
      <c r="V745" s="567"/>
      <c r="W745" s="568"/>
      <c r="X745" s="568"/>
      <c r="Y745" s="567"/>
    </row>
    <row r="746" spans="1:25" x14ac:dyDescent="0.25">
      <c r="A746" s="570"/>
      <c r="B746" s="570"/>
      <c r="C746" s="570"/>
      <c r="D746" s="567"/>
      <c r="E746" s="567"/>
      <c r="F746" s="567"/>
      <c r="G746" s="570"/>
      <c r="H746" s="570"/>
      <c r="I746" s="567"/>
      <c r="J746" s="567"/>
      <c r="K746" s="567"/>
      <c r="L746" s="568"/>
      <c r="M746" s="568"/>
      <c r="N746" s="567"/>
      <c r="O746" s="567"/>
      <c r="P746" s="567"/>
      <c r="Q746" s="567"/>
      <c r="R746" s="570"/>
      <c r="S746" s="570"/>
      <c r="T746" s="567"/>
      <c r="U746" s="569"/>
      <c r="V746" s="567"/>
      <c r="W746" s="568"/>
      <c r="X746" s="568"/>
      <c r="Y746" s="567"/>
    </row>
    <row r="747" spans="1:25" x14ac:dyDescent="0.25">
      <c r="A747" s="570"/>
      <c r="B747" s="570"/>
      <c r="C747" s="570"/>
      <c r="D747" s="567"/>
      <c r="E747" s="567"/>
      <c r="F747" s="567"/>
      <c r="G747" s="570"/>
      <c r="H747" s="570"/>
      <c r="I747" s="567"/>
      <c r="J747" s="567"/>
      <c r="K747" s="567"/>
      <c r="L747" s="568"/>
      <c r="M747" s="568"/>
      <c r="N747" s="567"/>
      <c r="O747" s="567"/>
      <c r="P747" s="567"/>
      <c r="Q747" s="567"/>
      <c r="R747" s="570"/>
      <c r="S747" s="570"/>
      <c r="T747" s="567"/>
      <c r="U747" s="569"/>
      <c r="V747" s="567"/>
      <c r="W747" s="568"/>
      <c r="X747" s="568"/>
      <c r="Y747" s="567"/>
    </row>
    <row r="748" spans="1:25" x14ac:dyDescent="0.25">
      <c r="A748" s="570"/>
      <c r="B748" s="570"/>
      <c r="C748" s="570"/>
      <c r="D748" s="567"/>
      <c r="E748" s="567"/>
      <c r="F748" s="567"/>
      <c r="G748" s="570"/>
      <c r="H748" s="570"/>
      <c r="I748" s="567"/>
      <c r="J748" s="567"/>
      <c r="K748" s="567"/>
      <c r="L748" s="568"/>
      <c r="M748" s="568"/>
      <c r="N748" s="567"/>
      <c r="O748" s="567"/>
      <c r="P748" s="567"/>
      <c r="Q748" s="567"/>
      <c r="R748" s="570"/>
      <c r="S748" s="570"/>
      <c r="T748" s="567"/>
      <c r="U748" s="569"/>
      <c r="V748" s="567"/>
      <c r="W748" s="568"/>
      <c r="X748" s="568"/>
      <c r="Y748" s="567"/>
    </row>
    <row r="749" spans="1:25" x14ac:dyDescent="0.25">
      <c r="A749" s="570"/>
      <c r="B749" s="570"/>
      <c r="C749" s="570"/>
      <c r="D749" s="567"/>
      <c r="E749" s="567"/>
      <c r="F749" s="567"/>
      <c r="G749" s="570"/>
      <c r="H749" s="570"/>
      <c r="I749" s="567"/>
      <c r="J749" s="567"/>
      <c r="K749" s="567"/>
      <c r="L749" s="568"/>
      <c r="M749" s="568"/>
      <c r="N749" s="567"/>
      <c r="O749" s="567"/>
      <c r="P749" s="567"/>
      <c r="Q749" s="567"/>
      <c r="R749" s="570"/>
      <c r="S749" s="570"/>
      <c r="T749" s="567"/>
      <c r="U749" s="569"/>
      <c r="V749" s="567"/>
      <c r="W749" s="568"/>
      <c r="X749" s="568"/>
      <c r="Y749" s="567"/>
    </row>
    <row r="750" spans="1:25" x14ac:dyDescent="0.25">
      <c r="A750" s="570"/>
      <c r="B750" s="570"/>
      <c r="C750" s="570"/>
      <c r="D750" s="567"/>
      <c r="E750" s="567"/>
      <c r="F750" s="567"/>
      <c r="G750" s="570"/>
      <c r="H750" s="570"/>
      <c r="I750" s="567"/>
      <c r="J750" s="567"/>
      <c r="K750" s="567"/>
      <c r="L750" s="568"/>
      <c r="M750" s="568"/>
      <c r="N750" s="567"/>
      <c r="O750" s="567"/>
      <c r="P750" s="567"/>
      <c r="Q750" s="567"/>
      <c r="R750" s="570"/>
      <c r="S750" s="570"/>
      <c r="T750" s="567"/>
      <c r="U750" s="569"/>
      <c r="V750" s="567"/>
      <c r="W750" s="568"/>
      <c r="X750" s="568"/>
      <c r="Y750" s="567"/>
    </row>
    <row r="751" spans="1:25" x14ac:dyDescent="0.25">
      <c r="A751" s="570"/>
      <c r="B751" s="570"/>
      <c r="C751" s="570"/>
      <c r="D751" s="567"/>
      <c r="E751" s="567"/>
      <c r="F751" s="567"/>
      <c r="G751" s="570"/>
      <c r="H751" s="570"/>
      <c r="I751" s="567"/>
      <c r="J751" s="567"/>
      <c r="K751" s="567"/>
      <c r="L751" s="568"/>
      <c r="M751" s="568"/>
      <c r="N751" s="567"/>
      <c r="O751" s="567"/>
      <c r="P751" s="567"/>
      <c r="Q751" s="567"/>
      <c r="R751" s="570"/>
      <c r="S751" s="570"/>
      <c r="T751" s="567"/>
      <c r="U751" s="569"/>
      <c r="V751" s="567"/>
      <c r="W751" s="568"/>
      <c r="X751" s="568"/>
      <c r="Y751" s="567"/>
    </row>
    <row r="752" spans="1:25" x14ac:dyDescent="0.25">
      <c r="A752" s="570"/>
      <c r="B752" s="570"/>
      <c r="C752" s="570"/>
      <c r="D752" s="567"/>
      <c r="E752" s="567"/>
      <c r="F752" s="567"/>
      <c r="G752" s="570"/>
      <c r="H752" s="570"/>
      <c r="I752" s="567"/>
      <c r="J752" s="567"/>
      <c r="K752" s="567"/>
      <c r="L752" s="568"/>
      <c r="M752" s="568"/>
      <c r="N752" s="567"/>
      <c r="O752" s="567"/>
      <c r="P752" s="567"/>
      <c r="Q752" s="567"/>
      <c r="R752" s="570"/>
      <c r="S752" s="570"/>
      <c r="T752" s="567"/>
      <c r="U752" s="569"/>
      <c r="V752" s="567"/>
      <c r="W752" s="568"/>
      <c r="X752" s="568"/>
      <c r="Y752" s="567"/>
    </row>
    <row r="753" spans="1:25" x14ac:dyDescent="0.25">
      <c r="A753" s="570"/>
      <c r="B753" s="570"/>
      <c r="C753" s="570"/>
      <c r="D753" s="567"/>
      <c r="E753" s="567"/>
      <c r="F753" s="567"/>
      <c r="G753" s="570"/>
      <c r="H753" s="570"/>
      <c r="I753" s="567"/>
      <c r="J753" s="567"/>
      <c r="K753" s="567"/>
      <c r="L753" s="568"/>
      <c r="M753" s="568"/>
      <c r="N753" s="567"/>
      <c r="O753" s="567"/>
      <c r="P753" s="567"/>
      <c r="Q753" s="567"/>
      <c r="R753" s="570"/>
      <c r="S753" s="570"/>
      <c r="T753" s="567"/>
      <c r="U753" s="569"/>
      <c r="V753" s="567"/>
      <c r="W753" s="568"/>
      <c r="X753" s="568"/>
      <c r="Y753" s="567"/>
    </row>
    <row r="754" spans="1:25" x14ac:dyDescent="0.25">
      <c r="A754" s="570"/>
      <c r="B754" s="570"/>
      <c r="C754" s="570"/>
      <c r="D754" s="567"/>
      <c r="E754" s="567"/>
      <c r="F754" s="567"/>
      <c r="G754" s="570"/>
      <c r="H754" s="570"/>
      <c r="I754" s="567"/>
      <c r="J754" s="567"/>
      <c r="K754" s="567"/>
      <c r="L754" s="568"/>
      <c r="M754" s="568"/>
      <c r="N754" s="567"/>
      <c r="O754" s="567"/>
      <c r="P754" s="567"/>
      <c r="Q754" s="567"/>
      <c r="R754" s="570"/>
      <c r="S754" s="570"/>
      <c r="T754" s="567"/>
      <c r="U754" s="569"/>
      <c r="V754" s="567"/>
      <c r="W754" s="568"/>
      <c r="X754" s="568"/>
      <c r="Y754" s="567"/>
    </row>
    <row r="755" spans="1:25" x14ac:dyDescent="0.25">
      <c r="A755" s="570"/>
      <c r="B755" s="570"/>
      <c r="C755" s="570"/>
      <c r="D755" s="567"/>
      <c r="E755" s="567"/>
      <c r="F755" s="567"/>
      <c r="G755" s="570"/>
      <c r="H755" s="570"/>
      <c r="I755" s="567"/>
      <c r="J755" s="567"/>
      <c r="K755" s="567"/>
      <c r="L755" s="568"/>
      <c r="M755" s="568"/>
      <c r="N755" s="567"/>
      <c r="O755" s="567"/>
      <c r="P755" s="567"/>
      <c r="Q755" s="567"/>
      <c r="R755" s="570"/>
      <c r="S755" s="570"/>
      <c r="T755" s="567"/>
      <c r="U755" s="569"/>
      <c r="V755" s="567"/>
      <c r="W755" s="568"/>
      <c r="X755" s="568"/>
      <c r="Y755" s="567"/>
    </row>
    <row r="756" spans="1:25" x14ac:dyDescent="0.25">
      <c r="A756" s="570"/>
      <c r="B756" s="570"/>
      <c r="C756" s="570"/>
      <c r="D756" s="567"/>
      <c r="E756" s="567"/>
      <c r="F756" s="567"/>
      <c r="G756" s="570"/>
      <c r="H756" s="570"/>
      <c r="I756" s="567"/>
      <c r="J756" s="567"/>
      <c r="K756" s="567"/>
      <c r="L756" s="568"/>
      <c r="M756" s="568"/>
      <c r="N756" s="567"/>
      <c r="O756" s="567"/>
      <c r="P756" s="567"/>
      <c r="Q756" s="567"/>
      <c r="R756" s="570"/>
      <c r="S756" s="570"/>
      <c r="T756" s="567"/>
      <c r="U756" s="569"/>
      <c r="V756" s="567"/>
      <c r="W756" s="568"/>
      <c r="X756" s="568"/>
      <c r="Y756" s="567"/>
    </row>
    <row r="757" spans="1:25" x14ac:dyDescent="0.25">
      <c r="A757" s="570"/>
      <c r="B757" s="570"/>
      <c r="C757" s="570"/>
      <c r="D757" s="567"/>
      <c r="E757" s="567"/>
      <c r="F757" s="567"/>
      <c r="G757" s="570"/>
      <c r="H757" s="570"/>
      <c r="I757" s="567"/>
      <c r="J757" s="567"/>
      <c r="K757" s="567"/>
      <c r="L757" s="568"/>
      <c r="M757" s="568"/>
      <c r="N757" s="567"/>
      <c r="O757" s="567"/>
      <c r="P757" s="567"/>
      <c r="Q757" s="567"/>
      <c r="R757" s="570"/>
      <c r="S757" s="570"/>
      <c r="T757" s="567"/>
      <c r="U757" s="569"/>
      <c r="V757" s="567"/>
      <c r="W757" s="568"/>
      <c r="X757" s="568"/>
      <c r="Y757" s="567"/>
    </row>
    <row r="758" spans="1:25" x14ac:dyDescent="0.25">
      <c r="A758" s="570"/>
      <c r="B758" s="570"/>
      <c r="C758" s="570"/>
      <c r="D758" s="567"/>
      <c r="E758" s="567"/>
      <c r="F758" s="567"/>
      <c r="G758" s="570"/>
      <c r="H758" s="570"/>
      <c r="I758" s="567"/>
      <c r="J758" s="567"/>
      <c r="K758" s="567"/>
      <c r="L758" s="568"/>
      <c r="M758" s="568"/>
      <c r="N758" s="567"/>
      <c r="O758" s="567"/>
      <c r="P758" s="567"/>
      <c r="Q758" s="567"/>
      <c r="R758" s="570"/>
      <c r="S758" s="570"/>
      <c r="T758" s="567"/>
      <c r="U758" s="569"/>
      <c r="V758" s="567"/>
      <c r="W758" s="568"/>
      <c r="X758" s="568"/>
      <c r="Y758" s="567"/>
    </row>
    <row r="759" spans="1:25" x14ac:dyDescent="0.25">
      <c r="A759" s="570"/>
      <c r="B759" s="570"/>
      <c r="C759" s="570"/>
      <c r="D759" s="567"/>
      <c r="E759" s="567"/>
      <c r="F759" s="567"/>
      <c r="G759" s="570"/>
      <c r="H759" s="570"/>
      <c r="I759" s="567"/>
      <c r="J759" s="567"/>
      <c r="K759" s="567"/>
      <c r="L759" s="568"/>
      <c r="M759" s="568"/>
      <c r="N759" s="567"/>
      <c r="O759" s="567"/>
      <c r="P759" s="567"/>
      <c r="Q759" s="567"/>
      <c r="R759" s="570"/>
      <c r="S759" s="570"/>
      <c r="T759" s="567"/>
      <c r="U759" s="569"/>
      <c r="V759" s="567"/>
      <c r="W759" s="568"/>
      <c r="X759" s="568"/>
      <c r="Y759" s="567"/>
    </row>
    <row r="760" spans="1:25" x14ac:dyDescent="0.25">
      <c r="A760" s="570"/>
      <c r="B760" s="570"/>
      <c r="C760" s="570"/>
      <c r="D760" s="567"/>
      <c r="E760" s="567"/>
      <c r="F760" s="567"/>
      <c r="G760" s="570"/>
      <c r="H760" s="570"/>
      <c r="I760" s="567"/>
      <c r="J760" s="567"/>
      <c r="K760" s="567"/>
      <c r="L760" s="568"/>
      <c r="M760" s="568"/>
      <c r="N760" s="567"/>
      <c r="O760" s="567"/>
      <c r="P760" s="567"/>
      <c r="Q760" s="567"/>
      <c r="R760" s="570"/>
      <c r="S760" s="570"/>
      <c r="T760" s="567"/>
      <c r="U760" s="569"/>
      <c r="V760" s="567"/>
      <c r="W760" s="568"/>
      <c r="X760" s="568"/>
      <c r="Y760" s="567"/>
    </row>
    <row r="761" spans="1:25" x14ac:dyDescent="0.25">
      <c r="A761" s="570"/>
      <c r="B761" s="570"/>
      <c r="C761" s="570"/>
      <c r="D761" s="567"/>
      <c r="E761" s="567"/>
      <c r="F761" s="567"/>
      <c r="G761" s="570"/>
      <c r="H761" s="570"/>
      <c r="I761" s="567"/>
      <c r="J761" s="567"/>
      <c r="K761" s="567"/>
      <c r="L761" s="568"/>
      <c r="M761" s="568"/>
      <c r="N761" s="567"/>
      <c r="O761" s="567"/>
      <c r="P761" s="567"/>
      <c r="Q761" s="567"/>
      <c r="R761" s="570"/>
      <c r="S761" s="570"/>
      <c r="T761" s="567"/>
      <c r="U761" s="569"/>
      <c r="V761" s="567"/>
      <c r="W761" s="568"/>
      <c r="X761" s="568"/>
      <c r="Y761" s="567"/>
    </row>
    <row r="762" spans="1:25" x14ac:dyDescent="0.25">
      <c r="A762" s="570"/>
      <c r="B762" s="570"/>
      <c r="C762" s="570"/>
      <c r="D762" s="567"/>
      <c r="E762" s="567"/>
      <c r="F762" s="567"/>
      <c r="G762" s="570"/>
      <c r="H762" s="570"/>
      <c r="I762" s="567"/>
      <c r="J762" s="567"/>
      <c r="K762" s="567"/>
      <c r="L762" s="568"/>
      <c r="M762" s="568"/>
      <c r="N762" s="567"/>
      <c r="O762" s="567"/>
      <c r="P762" s="567"/>
      <c r="Q762" s="567"/>
      <c r="R762" s="570"/>
      <c r="S762" s="570"/>
      <c r="T762" s="567"/>
      <c r="U762" s="569"/>
      <c r="V762" s="567"/>
      <c r="W762" s="568"/>
      <c r="X762" s="568"/>
      <c r="Y762" s="567"/>
    </row>
    <row r="763" spans="1:25" x14ac:dyDescent="0.25">
      <c r="A763" s="570"/>
      <c r="B763" s="570"/>
      <c r="C763" s="570"/>
      <c r="D763" s="567"/>
      <c r="E763" s="567"/>
      <c r="F763" s="567"/>
      <c r="G763" s="570"/>
      <c r="H763" s="570"/>
      <c r="I763" s="567"/>
      <c r="J763" s="567"/>
      <c r="K763" s="567"/>
      <c r="L763" s="568"/>
      <c r="M763" s="568"/>
      <c r="N763" s="567"/>
      <c r="O763" s="567"/>
      <c r="P763" s="567"/>
      <c r="Q763" s="567"/>
      <c r="R763" s="570"/>
      <c r="S763" s="570"/>
      <c r="T763" s="567"/>
      <c r="U763" s="569"/>
      <c r="V763" s="567"/>
      <c r="W763" s="568"/>
      <c r="X763" s="568"/>
      <c r="Y763" s="567"/>
    </row>
    <row r="764" spans="1:25" x14ac:dyDescent="0.25">
      <c r="A764" s="570"/>
      <c r="B764" s="570"/>
      <c r="C764" s="570"/>
      <c r="D764" s="567"/>
      <c r="E764" s="567"/>
      <c r="F764" s="567"/>
      <c r="G764" s="570"/>
      <c r="H764" s="570"/>
      <c r="I764" s="567"/>
      <c r="J764" s="567"/>
      <c r="K764" s="567"/>
      <c r="L764" s="568"/>
      <c r="M764" s="568"/>
      <c r="N764" s="567"/>
      <c r="O764" s="567"/>
      <c r="P764" s="567"/>
      <c r="Q764" s="567"/>
      <c r="R764" s="570"/>
      <c r="S764" s="570"/>
      <c r="T764" s="567"/>
      <c r="U764" s="569"/>
      <c r="V764" s="567"/>
      <c r="W764" s="568"/>
      <c r="X764" s="568"/>
      <c r="Y764" s="567"/>
    </row>
    <row r="765" spans="1:25" x14ac:dyDescent="0.25">
      <c r="A765" s="570"/>
      <c r="B765" s="570"/>
      <c r="C765" s="570"/>
      <c r="D765" s="567"/>
      <c r="E765" s="567"/>
      <c r="F765" s="567"/>
      <c r="G765" s="570"/>
      <c r="H765" s="570"/>
      <c r="I765" s="567"/>
      <c r="J765" s="567"/>
      <c r="K765" s="567"/>
      <c r="L765" s="568"/>
      <c r="M765" s="568"/>
      <c r="N765" s="567"/>
      <c r="O765" s="567"/>
      <c r="P765" s="567"/>
      <c r="Q765" s="567"/>
      <c r="R765" s="570"/>
      <c r="S765" s="570"/>
      <c r="T765" s="567"/>
      <c r="U765" s="569"/>
      <c r="V765" s="567"/>
      <c r="W765" s="568"/>
      <c r="X765" s="568"/>
      <c r="Y765" s="567"/>
    </row>
    <row r="766" spans="1:25" x14ac:dyDescent="0.25">
      <c r="A766" s="570"/>
      <c r="B766" s="570"/>
      <c r="C766" s="570"/>
      <c r="D766" s="567"/>
      <c r="E766" s="567"/>
      <c r="F766" s="567"/>
      <c r="G766" s="570"/>
      <c r="H766" s="570"/>
      <c r="I766" s="567"/>
      <c r="J766" s="567"/>
      <c r="K766" s="567"/>
      <c r="L766" s="568"/>
      <c r="M766" s="568"/>
      <c r="N766" s="567"/>
      <c r="O766" s="567"/>
      <c r="P766" s="567"/>
      <c r="Q766" s="567"/>
      <c r="R766" s="570"/>
      <c r="S766" s="570"/>
      <c r="T766" s="567"/>
      <c r="U766" s="569"/>
      <c r="V766" s="567"/>
      <c r="W766" s="568"/>
      <c r="X766" s="568"/>
      <c r="Y766" s="567"/>
    </row>
    <row r="767" spans="1:25" x14ac:dyDescent="0.25">
      <c r="A767" s="570"/>
      <c r="B767" s="570"/>
      <c r="C767" s="570"/>
      <c r="D767" s="567"/>
      <c r="E767" s="567"/>
      <c r="F767" s="567"/>
      <c r="G767" s="570"/>
      <c r="H767" s="570"/>
      <c r="I767" s="567"/>
      <c r="J767" s="567"/>
      <c r="K767" s="567"/>
      <c r="L767" s="568"/>
      <c r="M767" s="568"/>
      <c r="N767" s="567"/>
      <c r="O767" s="567"/>
      <c r="P767" s="567"/>
      <c r="Q767" s="567"/>
      <c r="R767" s="570"/>
      <c r="S767" s="570"/>
      <c r="T767" s="567"/>
      <c r="U767" s="569"/>
      <c r="V767" s="567"/>
      <c r="W767" s="568"/>
      <c r="X767" s="568"/>
      <c r="Y767" s="567"/>
    </row>
    <row r="768" spans="1:25" x14ac:dyDescent="0.25">
      <c r="A768" s="570"/>
      <c r="B768" s="570"/>
      <c r="C768" s="570"/>
      <c r="D768" s="567"/>
      <c r="E768" s="567"/>
      <c r="F768" s="567"/>
      <c r="G768" s="570"/>
      <c r="H768" s="570"/>
      <c r="I768" s="567"/>
      <c r="J768" s="567"/>
      <c r="K768" s="567"/>
      <c r="L768" s="568"/>
      <c r="M768" s="568"/>
      <c r="N768" s="567"/>
      <c r="O768" s="567"/>
      <c r="P768" s="567"/>
      <c r="Q768" s="567"/>
      <c r="R768" s="570"/>
      <c r="S768" s="570"/>
      <c r="T768" s="567"/>
      <c r="U768" s="569"/>
      <c r="V768" s="567"/>
      <c r="W768" s="568"/>
      <c r="X768" s="568"/>
      <c r="Y768" s="567"/>
    </row>
    <row r="769" spans="1:25" x14ac:dyDescent="0.25">
      <c r="A769" s="570"/>
      <c r="B769" s="570"/>
      <c r="C769" s="570"/>
      <c r="D769" s="567"/>
      <c r="E769" s="567"/>
      <c r="F769" s="567"/>
      <c r="G769" s="570"/>
      <c r="H769" s="570"/>
      <c r="I769" s="567"/>
      <c r="J769" s="567"/>
      <c r="K769" s="567"/>
      <c r="L769" s="568"/>
      <c r="M769" s="568"/>
      <c r="N769" s="567"/>
      <c r="O769" s="567"/>
      <c r="P769" s="567"/>
      <c r="Q769" s="567"/>
      <c r="R769" s="570"/>
      <c r="S769" s="570"/>
      <c r="T769" s="567"/>
      <c r="U769" s="569"/>
      <c r="V769" s="567"/>
      <c r="W769" s="568"/>
      <c r="X769" s="568"/>
      <c r="Y769" s="567"/>
    </row>
    <row r="770" spans="1:25" x14ac:dyDescent="0.25">
      <c r="A770" s="570"/>
      <c r="B770" s="570"/>
      <c r="C770" s="570"/>
      <c r="D770" s="567"/>
      <c r="E770" s="567"/>
      <c r="F770" s="567"/>
      <c r="G770" s="570"/>
      <c r="H770" s="570"/>
      <c r="I770" s="567"/>
      <c r="J770" s="567"/>
      <c r="K770" s="567"/>
      <c r="L770" s="568"/>
      <c r="M770" s="568"/>
      <c r="N770" s="567"/>
      <c r="O770" s="567"/>
      <c r="P770" s="567"/>
      <c r="Q770" s="567"/>
      <c r="R770" s="570"/>
      <c r="S770" s="570"/>
      <c r="T770" s="567"/>
      <c r="U770" s="569"/>
      <c r="V770" s="567"/>
      <c r="W770" s="568"/>
      <c r="X770" s="568"/>
      <c r="Y770" s="567"/>
    </row>
    <row r="771" spans="1:25" x14ac:dyDescent="0.25">
      <c r="A771" s="570"/>
      <c r="B771" s="570"/>
      <c r="C771" s="570"/>
      <c r="D771" s="567"/>
      <c r="E771" s="567"/>
      <c r="F771" s="567"/>
      <c r="G771" s="570"/>
      <c r="H771" s="570"/>
      <c r="I771" s="567"/>
      <c r="J771" s="567"/>
      <c r="K771" s="567"/>
      <c r="L771" s="568"/>
      <c r="M771" s="568"/>
      <c r="N771" s="567"/>
      <c r="O771" s="567"/>
      <c r="P771" s="567"/>
      <c r="Q771" s="567"/>
      <c r="R771" s="570"/>
      <c r="S771" s="570"/>
      <c r="T771" s="567"/>
      <c r="U771" s="569"/>
      <c r="V771" s="567"/>
      <c r="W771" s="568"/>
      <c r="X771" s="568"/>
      <c r="Y771" s="567"/>
    </row>
    <row r="772" spans="1:25" x14ac:dyDescent="0.25">
      <c r="A772" s="570"/>
      <c r="B772" s="570"/>
      <c r="C772" s="570"/>
      <c r="D772" s="567"/>
      <c r="E772" s="567"/>
      <c r="F772" s="567"/>
      <c r="G772" s="570"/>
      <c r="H772" s="570"/>
      <c r="I772" s="567"/>
      <c r="J772" s="567"/>
      <c r="K772" s="567"/>
      <c r="L772" s="568"/>
      <c r="M772" s="568"/>
      <c r="N772" s="567"/>
      <c r="O772" s="567"/>
      <c r="P772" s="567"/>
      <c r="Q772" s="567"/>
      <c r="R772" s="570"/>
      <c r="S772" s="570"/>
      <c r="T772" s="567"/>
      <c r="U772" s="569"/>
      <c r="V772" s="567"/>
      <c r="W772" s="568"/>
      <c r="X772" s="568"/>
      <c r="Y772" s="567"/>
    </row>
    <row r="773" spans="1:25" x14ac:dyDescent="0.25">
      <c r="A773" s="570"/>
      <c r="B773" s="570"/>
      <c r="C773" s="570"/>
      <c r="D773" s="567"/>
      <c r="E773" s="567"/>
      <c r="F773" s="567"/>
      <c r="G773" s="570"/>
      <c r="H773" s="570"/>
      <c r="I773" s="567"/>
      <c r="J773" s="567"/>
      <c r="K773" s="567"/>
      <c r="L773" s="568"/>
      <c r="M773" s="568"/>
      <c r="N773" s="567"/>
      <c r="O773" s="567"/>
      <c r="P773" s="567"/>
      <c r="Q773" s="567"/>
      <c r="R773" s="570"/>
      <c r="S773" s="570"/>
      <c r="T773" s="567"/>
      <c r="U773" s="569"/>
      <c r="V773" s="567"/>
      <c r="W773" s="568"/>
      <c r="X773" s="568"/>
      <c r="Y773" s="567"/>
    </row>
    <row r="774" spans="1:25" x14ac:dyDescent="0.25">
      <c r="A774" s="570"/>
      <c r="B774" s="570"/>
      <c r="C774" s="570"/>
      <c r="D774" s="567"/>
      <c r="E774" s="567"/>
      <c r="F774" s="567"/>
      <c r="G774" s="570"/>
      <c r="H774" s="570"/>
      <c r="I774" s="567"/>
      <c r="J774" s="567"/>
      <c r="K774" s="567"/>
      <c r="L774" s="568"/>
      <c r="M774" s="568"/>
      <c r="N774" s="567"/>
      <c r="O774" s="567"/>
      <c r="P774" s="567"/>
      <c r="Q774" s="567"/>
      <c r="R774" s="570"/>
      <c r="S774" s="570"/>
      <c r="T774" s="567"/>
      <c r="U774" s="569"/>
      <c r="V774" s="567"/>
      <c r="W774" s="568"/>
      <c r="X774" s="568"/>
      <c r="Y774" s="567"/>
    </row>
    <row r="775" spans="1:25" x14ac:dyDescent="0.25">
      <c r="A775" s="570"/>
      <c r="B775" s="570"/>
      <c r="C775" s="570"/>
      <c r="D775" s="567"/>
      <c r="E775" s="567"/>
      <c r="F775" s="567"/>
      <c r="G775" s="570"/>
      <c r="H775" s="570"/>
      <c r="I775" s="567"/>
      <c r="J775" s="567"/>
      <c r="K775" s="567"/>
      <c r="L775" s="568"/>
      <c r="M775" s="568"/>
      <c r="N775" s="567"/>
      <c r="O775" s="567"/>
      <c r="P775" s="567"/>
      <c r="Q775" s="567"/>
      <c r="R775" s="570"/>
      <c r="S775" s="570"/>
      <c r="T775" s="567"/>
      <c r="U775" s="569"/>
      <c r="V775" s="567"/>
      <c r="W775" s="568"/>
      <c r="X775" s="568"/>
      <c r="Y775" s="567"/>
    </row>
    <row r="776" spans="1:25" x14ac:dyDescent="0.25">
      <c r="A776" s="570"/>
      <c r="B776" s="570"/>
      <c r="C776" s="570"/>
      <c r="D776" s="567"/>
      <c r="E776" s="567"/>
      <c r="F776" s="567"/>
      <c r="G776" s="570"/>
      <c r="H776" s="570"/>
      <c r="I776" s="567"/>
      <c r="J776" s="567"/>
      <c r="K776" s="567"/>
      <c r="L776" s="568"/>
      <c r="M776" s="568"/>
      <c r="N776" s="567"/>
      <c r="O776" s="567"/>
      <c r="P776" s="567"/>
      <c r="Q776" s="567"/>
      <c r="R776" s="570"/>
      <c r="S776" s="570"/>
      <c r="T776" s="567"/>
      <c r="U776" s="569"/>
      <c r="V776" s="567"/>
      <c r="W776" s="568"/>
      <c r="X776" s="568"/>
      <c r="Y776" s="567"/>
    </row>
    <row r="777" spans="1:25" x14ac:dyDescent="0.25">
      <c r="A777" s="570"/>
      <c r="B777" s="570"/>
      <c r="C777" s="570"/>
      <c r="D777" s="567"/>
      <c r="E777" s="567"/>
      <c r="F777" s="567"/>
      <c r="G777" s="570"/>
      <c r="H777" s="570"/>
      <c r="I777" s="567"/>
      <c r="J777" s="567"/>
      <c r="K777" s="567"/>
      <c r="L777" s="568"/>
      <c r="M777" s="568"/>
      <c r="N777" s="567"/>
      <c r="O777" s="567"/>
      <c r="P777" s="567"/>
      <c r="Q777" s="567"/>
      <c r="R777" s="570"/>
      <c r="S777" s="570"/>
      <c r="T777" s="567"/>
      <c r="U777" s="569"/>
      <c r="V777" s="567"/>
      <c r="W777" s="568"/>
      <c r="X777" s="568"/>
      <c r="Y777" s="567"/>
    </row>
    <row r="778" spans="1:25" x14ac:dyDescent="0.25">
      <c r="A778" s="570"/>
      <c r="B778" s="570"/>
      <c r="C778" s="570"/>
      <c r="D778" s="567"/>
      <c r="E778" s="567"/>
      <c r="F778" s="567"/>
      <c r="G778" s="570"/>
      <c r="H778" s="570"/>
      <c r="I778" s="567"/>
      <c r="J778" s="567"/>
      <c r="K778" s="567"/>
      <c r="L778" s="568"/>
      <c r="M778" s="568"/>
      <c r="N778" s="567"/>
      <c r="O778" s="567"/>
      <c r="P778" s="567"/>
      <c r="Q778" s="567"/>
      <c r="R778" s="570"/>
      <c r="S778" s="570"/>
      <c r="T778" s="567"/>
      <c r="U778" s="569"/>
      <c r="V778" s="567"/>
      <c r="W778" s="568"/>
      <c r="X778" s="568"/>
      <c r="Y778" s="567"/>
    </row>
    <row r="779" spans="1:25" x14ac:dyDescent="0.25">
      <c r="A779" s="570"/>
      <c r="B779" s="570"/>
      <c r="C779" s="570"/>
      <c r="D779" s="567"/>
      <c r="E779" s="567"/>
      <c r="F779" s="567"/>
      <c r="G779" s="570"/>
      <c r="H779" s="570"/>
      <c r="I779" s="567"/>
      <c r="J779" s="567"/>
      <c r="K779" s="567"/>
      <c r="L779" s="568"/>
      <c r="M779" s="568"/>
      <c r="N779" s="567"/>
      <c r="O779" s="567"/>
      <c r="P779" s="567"/>
      <c r="Q779" s="567"/>
      <c r="R779" s="570"/>
      <c r="S779" s="570"/>
      <c r="T779" s="567"/>
      <c r="U779" s="569"/>
      <c r="V779" s="567"/>
      <c r="W779" s="568"/>
      <c r="X779" s="568"/>
      <c r="Y779" s="567"/>
    </row>
    <row r="780" spans="1:25" x14ac:dyDescent="0.25">
      <c r="A780" s="570"/>
      <c r="B780" s="570"/>
      <c r="C780" s="570"/>
      <c r="D780" s="567"/>
      <c r="E780" s="567"/>
      <c r="F780" s="567"/>
      <c r="G780" s="570"/>
      <c r="H780" s="570"/>
      <c r="I780" s="567"/>
      <c r="J780" s="567"/>
      <c r="K780" s="567"/>
      <c r="L780" s="568"/>
      <c r="M780" s="568"/>
      <c r="N780" s="567"/>
      <c r="O780" s="567"/>
      <c r="P780" s="567"/>
      <c r="Q780" s="567"/>
      <c r="R780" s="570"/>
      <c r="S780" s="570"/>
      <c r="T780" s="567"/>
      <c r="U780" s="569"/>
      <c r="V780" s="567"/>
      <c r="W780" s="568"/>
      <c r="X780" s="568"/>
      <c r="Y780" s="567"/>
    </row>
    <row r="781" spans="1:25" x14ac:dyDescent="0.25">
      <c r="A781" s="570"/>
      <c r="B781" s="570"/>
      <c r="C781" s="570"/>
      <c r="D781" s="567"/>
      <c r="E781" s="567"/>
      <c r="F781" s="567"/>
      <c r="G781" s="570"/>
      <c r="H781" s="570"/>
      <c r="I781" s="567"/>
      <c r="J781" s="567"/>
      <c r="K781" s="567"/>
      <c r="L781" s="568"/>
      <c r="M781" s="568"/>
      <c r="N781" s="567"/>
      <c r="O781" s="567"/>
      <c r="P781" s="567"/>
      <c r="Q781" s="567"/>
      <c r="R781" s="570"/>
      <c r="S781" s="570"/>
      <c r="T781" s="567"/>
      <c r="U781" s="569"/>
      <c r="V781" s="567"/>
      <c r="W781" s="568"/>
      <c r="X781" s="568"/>
      <c r="Y781" s="567"/>
    </row>
    <row r="782" spans="1:25" x14ac:dyDescent="0.25">
      <c r="A782" s="570"/>
      <c r="B782" s="570"/>
      <c r="C782" s="570"/>
      <c r="D782" s="567"/>
      <c r="E782" s="567"/>
      <c r="F782" s="567"/>
      <c r="G782" s="570"/>
      <c r="H782" s="570"/>
      <c r="I782" s="567"/>
      <c r="J782" s="567"/>
      <c r="K782" s="567"/>
      <c r="L782" s="568"/>
      <c r="M782" s="568"/>
      <c r="N782" s="567"/>
      <c r="O782" s="567"/>
      <c r="P782" s="567"/>
      <c r="Q782" s="567"/>
      <c r="R782" s="570"/>
      <c r="S782" s="570"/>
      <c r="T782" s="567"/>
      <c r="U782" s="569"/>
      <c r="V782" s="567"/>
      <c r="W782" s="568"/>
      <c r="X782" s="568"/>
      <c r="Y782" s="567"/>
    </row>
    <row r="783" spans="1:25" x14ac:dyDescent="0.25">
      <c r="A783" s="570"/>
      <c r="B783" s="570"/>
      <c r="C783" s="570"/>
      <c r="D783" s="567"/>
      <c r="E783" s="567"/>
      <c r="F783" s="567"/>
      <c r="G783" s="570"/>
      <c r="H783" s="570"/>
      <c r="I783" s="567"/>
      <c r="J783" s="567"/>
      <c r="K783" s="567"/>
      <c r="L783" s="568"/>
      <c r="M783" s="568"/>
      <c r="N783" s="567"/>
      <c r="O783" s="567"/>
      <c r="P783" s="567"/>
      <c r="Q783" s="567"/>
      <c r="R783" s="570"/>
      <c r="S783" s="570"/>
      <c r="T783" s="567"/>
      <c r="U783" s="569"/>
      <c r="V783" s="567"/>
      <c r="W783" s="568"/>
      <c r="X783" s="568"/>
      <c r="Y783" s="567"/>
    </row>
    <row r="784" spans="1:25" x14ac:dyDescent="0.25">
      <c r="A784" s="570"/>
      <c r="B784" s="570"/>
      <c r="C784" s="570"/>
      <c r="D784" s="567"/>
      <c r="E784" s="567"/>
      <c r="F784" s="567"/>
      <c r="G784" s="570"/>
      <c r="H784" s="570"/>
      <c r="I784" s="567"/>
      <c r="J784" s="567"/>
      <c r="K784" s="567"/>
      <c r="L784" s="568"/>
      <c r="M784" s="568"/>
      <c r="N784" s="567"/>
      <c r="O784" s="567"/>
      <c r="P784" s="567"/>
      <c r="Q784" s="567"/>
      <c r="R784" s="570"/>
      <c r="S784" s="570"/>
      <c r="T784" s="567"/>
      <c r="U784" s="569"/>
      <c r="V784" s="567"/>
      <c r="W784" s="568"/>
      <c r="X784" s="568"/>
      <c r="Y784" s="567"/>
    </row>
    <row r="785" spans="1:25" x14ac:dyDescent="0.25">
      <c r="A785" s="570"/>
      <c r="B785" s="570"/>
      <c r="C785" s="570"/>
      <c r="D785" s="567"/>
      <c r="E785" s="567"/>
      <c r="F785" s="567"/>
      <c r="G785" s="570"/>
      <c r="H785" s="570"/>
      <c r="I785" s="567"/>
      <c r="J785" s="567"/>
      <c r="K785" s="567"/>
      <c r="L785" s="568"/>
      <c r="M785" s="568"/>
      <c r="N785" s="567"/>
      <c r="O785" s="567"/>
      <c r="P785" s="567"/>
      <c r="Q785" s="567"/>
      <c r="R785" s="570"/>
      <c r="S785" s="570"/>
      <c r="T785" s="567"/>
      <c r="U785" s="569"/>
      <c r="V785" s="567"/>
      <c r="W785" s="568"/>
      <c r="X785" s="568"/>
      <c r="Y785" s="567"/>
    </row>
    <row r="786" spans="1:25" x14ac:dyDescent="0.25">
      <c r="A786" s="570"/>
      <c r="B786" s="570"/>
      <c r="C786" s="570"/>
      <c r="D786" s="567"/>
      <c r="E786" s="567"/>
      <c r="F786" s="567"/>
      <c r="G786" s="570"/>
      <c r="H786" s="570"/>
      <c r="I786" s="567"/>
      <c r="J786" s="567"/>
      <c r="K786" s="567"/>
      <c r="L786" s="568"/>
      <c r="M786" s="568"/>
      <c r="N786" s="567"/>
      <c r="O786" s="567"/>
      <c r="P786" s="567"/>
      <c r="Q786" s="567"/>
      <c r="R786" s="570"/>
      <c r="S786" s="570"/>
      <c r="T786" s="567"/>
      <c r="U786" s="569"/>
      <c r="V786" s="567"/>
      <c r="W786" s="568"/>
      <c r="X786" s="568"/>
      <c r="Y786" s="567"/>
    </row>
    <row r="787" spans="1:25" x14ac:dyDescent="0.25">
      <c r="A787" s="570"/>
      <c r="B787" s="570"/>
      <c r="C787" s="570"/>
      <c r="D787" s="567"/>
      <c r="E787" s="567"/>
      <c r="F787" s="567"/>
      <c r="G787" s="570"/>
      <c r="H787" s="570"/>
      <c r="I787" s="567"/>
      <c r="J787" s="567"/>
      <c r="K787" s="567"/>
      <c r="L787" s="568"/>
      <c r="M787" s="568"/>
      <c r="N787" s="567"/>
      <c r="O787" s="567"/>
      <c r="P787" s="567"/>
      <c r="Q787" s="567"/>
      <c r="R787" s="570"/>
      <c r="S787" s="570"/>
      <c r="T787" s="567"/>
      <c r="U787" s="569"/>
      <c r="V787" s="567"/>
      <c r="W787" s="568"/>
      <c r="X787" s="568"/>
      <c r="Y787" s="567"/>
    </row>
    <row r="788" spans="1:25" x14ac:dyDescent="0.25">
      <c r="A788" s="570"/>
      <c r="B788" s="570"/>
      <c r="C788" s="570"/>
      <c r="D788" s="567"/>
      <c r="E788" s="567"/>
      <c r="F788" s="567"/>
      <c r="G788" s="570"/>
      <c r="H788" s="570"/>
      <c r="I788" s="567"/>
      <c r="J788" s="567"/>
      <c r="K788" s="567"/>
      <c r="L788" s="568"/>
      <c r="M788" s="568"/>
      <c r="N788" s="567"/>
      <c r="O788" s="567"/>
      <c r="P788" s="567"/>
      <c r="Q788" s="567"/>
      <c r="R788" s="570"/>
      <c r="S788" s="570"/>
      <c r="T788" s="567"/>
      <c r="U788" s="569"/>
      <c r="V788" s="567"/>
      <c r="W788" s="568"/>
      <c r="X788" s="568"/>
      <c r="Y788" s="567"/>
    </row>
    <row r="789" spans="1:25" x14ac:dyDescent="0.25">
      <c r="A789" s="570"/>
      <c r="B789" s="570"/>
      <c r="C789" s="570"/>
      <c r="D789" s="567"/>
      <c r="E789" s="567"/>
      <c r="F789" s="567"/>
      <c r="G789" s="570"/>
      <c r="H789" s="570"/>
      <c r="I789" s="567"/>
      <c r="J789" s="567"/>
      <c r="K789" s="567"/>
      <c r="L789" s="568"/>
      <c r="M789" s="568"/>
      <c r="N789" s="567"/>
      <c r="O789" s="567"/>
      <c r="P789" s="567"/>
      <c r="Q789" s="567"/>
      <c r="R789" s="570"/>
      <c r="S789" s="570"/>
      <c r="T789" s="567"/>
      <c r="U789" s="569"/>
      <c r="V789" s="567"/>
      <c r="W789" s="568"/>
      <c r="X789" s="568"/>
      <c r="Y789" s="567"/>
    </row>
    <row r="790" spans="1:25" x14ac:dyDescent="0.25">
      <c r="A790" s="570"/>
      <c r="B790" s="570"/>
      <c r="C790" s="570"/>
      <c r="D790" s="567"/>
      <c r="E790" s="567"/>
      <c r="F790" s="567"/>
      <c r="G790" s="570"/>
      <c r="H790" s="570"/>
      <c r="I790" s="567"/>
      <c r="J790" s="567"/>
      <c r="K790" s="567"/>
      <c r="L790" s="568"/>
      <c r="M790" s="568"/>
      <c r="N790" s="567"/>
      <c r="O790" s="567"/>
      <c r="P790" s="567"/>
      <c r="Q790" s="567"/>
      <c r="R790" s="570"/>
      <c r="S790" s="570"/>
      <c r="T790" s="567"/>
      <c r="U790" s="569"/>
      <c r="V790" s="567"/>
      <c r="W790" s="568"/>
      <c r="X790" s="568"/>
      <c r="Y790" s="567"/>
    </row>
    <row r="791" spans="1:25" x14ac:dyDescent="0.25">
      <c r="A791" s="570"/>
      <c r="B791" s="570"/>
      <c r="C791" s="570"/>
      <c r="D791" s="567"/>
      <c r="E791" s="567"/>
      <c r="F791" s="567"/>
      <c r="G791" s="570"/>
      <c r="H791" s="570"/>
      <c r="I791" s="567"/>
      <c r="J791" s="567"/>
      <c r="K791" s="567"/>
      <c r="L791" s="568"/>
      <c r="M791" s="568"/>
      <c r="N791" s="567"/>
      <c r="O791" s="567"/>
      <c r="P791" s="567"/>
      <c r="Q791" s="567"/>
      <c r="R791" s="570"/>
      <c r="S791" s="570"/>
      <c r="T791" s="567"/>
      <c r="U791" s="569"/>
      <c r="V791" s="567"/>
      <c r="W791" s="568"/>
      <c r="X791" s="568"/>
      <c r="Y791" s="567"/>
    </row>
    <row r="792" spans="1:25" x14ac:dyDescent="0.25">
      <c r="A792" s="570"/>
      <c r="B792" s="570"/>
      <c r="C792" s="570"/>
      <c r="D792" s="567"/>
      <c r="E792" s="567"/>
      <c r="F792" s="567"/>
      <c r="G792" s="570"/>
      <c r="H792" s="570"/>
      <c r="I792" s="567"/>
      <c r="J792" s="567"/>
      <c r="K792" s="567"/>
      <c r="L792" s="568"/>
      <c r="M792" s="568"/>
      <c r="N792" s="567"/>
      <c r="O792" s="567"/>
      <c r="P792" s="567"/>
      <c r="Q792" s="567"/>
      <c r="R792" s="570"/>
      <c r="S792" s="570"/>
      <c r="T792" s="567"/>
      <c r="U792" s="569"/>
      <c r="V792" s="567"/>
      <c r="W792" s="568"/>
      <c r="X792" s="568"/>
      <c r="Y792" s="567"/>
    </row>
    <row r="793" spans="1:25" x14ac:dyDescent="0.25">
      <c r="A793" s="570"/>
      <c r="B793" s="570"/>
      <c r="C793" s="570"/>
      <c r="D793" s="567"/>
      <c r="E793" s="567"/>
      <c r="F793" s="567"/>
      <c r="G793" s="570"/>
      <c r="H793" s="570"/>
      <c r="I793" s="567"/>
      <c r="J793" s="567"/>
      <c r="K793" s="567"/>
      <c r="L793" s="568"/>
      <c r="M793" s="568"/>
      <c r="N793" s="567"/>
      <c r="O793" s="567"/>
      <c r="P793" s="567"/>
      <c r="Q793" s="567"/>
      <c r="R793" s="570"/>
      <c r="S793" s="570"/>
      <c r="T793" s="567"/>
      <c r="U793" s="569"/>
      <c r="V793" s="567"/>
      <c r="W793" s="568"/>
      <c r="X793" s="568"/>
      <c r="Y793" s="567"/>
    </row>
    <row r="794" spans="1:25" x14ac:dyDescent="0.25">
      <c r="A794" s="570"/>
      <c r="B794" s="570"/>
      <c r="C794" s="570"/>
      <c r="D794" s="567"/>
      <c r="E794" s="567"/>
      <c r="F794" s="567"/>
      <c r="G794" s="570"/>
      <c r="H794" s="570"/>
      <c r="I794" s="567"/>
      <c r="J794" s="567"/>
      <c r="K794" s="567"/>
      <c r="L794" s="568"/>
      <c r="M794" s="568"/>
      <c r="N794" s="567"/>
      <c r="O794" s="567"/>
      <c r="P794" s="567"/>
      <c r="Q794" s="567"/>
      <c r="R794" s="570"/>
      <c r="S794" s="570"/>
      <c r="T794" s="567"/>
      <c r="U794" s="569"/>
      <c r="V794" s="567"/>
      <c r="W794" s="568"/>
      <c r="X794" s="568"/>
      <c r="Y794" s="567"/>
    </row>
    <row r="795" spans="1:25" x14ac:dyDescent="0.25">
      <c r="A795" s="570"/>
      <c r="B795" s="570"/>
      <c r="C795" s="570"/>
      <c r="D795" s="567"/>
      <c r="E795" s="567"/>
      <c r="F795" s="567"/>
      <c r="G795" s="570"/>
      <c r="H795" s="570"/>
      <c r="I795" s="567"/>
      <c r="J795" s="567"/>
      <c r="K795" s="567"/>
      <c r="L795" s="568"/>
      <c r="M795" s="568"/>
      <c r="N795" s="567"/>
      <c r="O795" s="567"/>
      <c r="P795" s="567"/>
      <c r="Q795" s="567"/>
      <c r="R795" s="570"/>
      <c r="S795" s="570"/>
      <c r="T795" s="567"/>
      <c r="U795" s="569"/>
      <c r="V795" s="567"/>
      <c r="W795" s="568"/>
      <c r="X795" s="568"/>
      <c r="Y795" s="567"/>
    </row>
    <row r="796" spans="1:25" x14ac:dyDescent="0.25">
      <c r="A796" s="570"/>
      <c r="B796" s="570"/>
      <c r="C796" s="570"/>
      <c r="D796" s="567"/>
      <c r="E796" s="567"/>
      <c r="F796" s="567"/>
      <c r="G796" s="570"/>
      <c r="H796" s="570"/>
      <c r="I796" s="567"/>
      <c r="J796" s="567"/>
      <c r="K796" s="567"/>
      <c r="L796" s="568"/>
      <c r="M796" s="568"/>
      <c r="N796" s="567"/>
      <c r="O796" s="567"/>
      <c r="P796" s="567"/>
      <c r="Q796" s="567"/>
      <c r="R796" s="570"/>
      <c r="S796" s="570"/>
      <c r="T796" s="567"/>
      <c r="U796" s="569"/>
      <c r="V796" s="567"/>
      <c r="W796" s="568"/>
      <c r="X796" s="568"/>
      <c r="Y796" s="567"/>
    </row>
    <row r="797" spans="1:25" x14ac:dyDescent="0.25">
      <c r="A797" s="570"/>
      <c r="B797" s="570"/>
      <c r="C797" s="570"/>
      <c r="D797" s="567"/>
      <c r="E797" s="567"/>
      <c r="F797" s="567"/>
      <c r="G797" s="570"/>
      <c r="H797" s="570"/>
      <c r="I797" s="567"/>
      <c r="J797" s="567"/>
      <c r="K797" s="567"/>
      <c r="L797" s="568"/>
      <c r="M797" s="568"/>
      <c r="N797" s="567"/>
      <c r="O797" s="567"/>
      <c r="P797" s="567"/>
      <c r="Q797" s="567"/>
      <c r="R797" s="570"/>
      <c r="S797" s="570"/>
      <c r="T797" s="567"/>
      <c r="U797" s="569"/>
      <c r="V797" s="567"/>
      <c r="W797" s="568"/>
      <c r="X797" s="568"/>
      <c r="Y797" s="567"/>
    </row>
    <row r="798" spans="1:25" x14ac:dyDescent="0.25">
      <c r="A798" s="570"/>
      <c r="B798" s="570"/>
      <c r="C798" s="570"/>
      <c r="D798" s="567"/>
      <c r="E798" s="567"/>
      <c r="F798" s="567"/>
      <c r="G798" s="570"/>
      <c r="H798" s="570"/>
      <c r="I798" s="567"/>
      <c r="J798" s="567"/>
      <c r="K798" s="567"/>
      <c r="L798" s="568"/>
      <c r="M798" s="568"/>
      <c r="N798" s="567"/>
      <c r="O798" s="567"/>
      <c r="P798" s="567"/>
      <c r="Q798" s="567"/>
      <c r="R798" s="570"/>
      <c r="S798" s="570"/>
      <c r="T798" s="567"/>
      <c r="U798" s="569"/>
      <c r="V798" s="567"/>
      <c r="W798" s="568"/>
      <c r="X798" s="568"/>
      <c r="Y798" s="567"/>
    </row>
    <row r="799" spans="1:25" x14ac:dyDescent="0.25">
      <c r="A799" s="570"/>
      <c r="B799" s="570"/>
      <c r="C799" s="570"/>
      <c r="D799" s="567"/>
      <c r="E799" s="567"/>
      <c r="F799" s="567"/>
      <c r="G799" s="570"/>
      <c r="H799" s="570"/>
      <c r="I799" s="567"/>
      <c r="J799" s="567"/>
      <c r="K799" s="567"/>
      <c r="L799" s="568"/>
      <c r="M799" s="568"/>
      <c r="N799" s="567"/>
      <c r="O799" s="567"/>
      <c r="P799" s="567"/>
      <c r="Q799" s="567"/>
      <c r="R799" s="570"/>
      <c r="S799" s="570"/>
      <c r="T799" s="567"/>
      <c r="U799" s="569"/>
      <c r="V799" s="567"/>
      <c r="W799" s="568"/>
      <c r="X799" s="568"/>
      <c r="Y799" s="567"/>
    </row>
    <row r="800" spans="1:25" x14ac:dyDescent="0.25">
      <c r="A800" s="570"/>
      <c r="B800" s="570"/>
      <c r="C800" s="570"/>
      <c r="D800" s="567"/>
      <c r="E800" s="567"/>
      <c r="F800" s="567"/>
      <c r="G800" s="570"/>
      <c r="H800" s="570"/>
      <c r="I800" s="567"/>
      <c r="J800" s="567"/>
      <c r="K800" s="567"/>
      <c r="L800" s="568"/>
      <c r="M800" s="568"/>
      <c r="N800" s="567"/>
      <c r="O800" s="567"/>
      <c r="P800" s="567"/>
      <c r="Q800" s="567"/>
      <c r="R800" s="570"/>
      <c r="S800" s="570"/>
      <c r="T800" s="567"/>
      <c r="U800" s="569"/>
      <c r="V800" s="567"/>
      <c r="W800" s="568"/>
      <c r="X800" s="568"/>
      <c r="Y800" s="567"/>
    </row>
    <row r="801" spans="1:25" x14ac:dyDescent="0.25">
      <c r="A801" s="570"/>
      <c r="B801" s="570"/>
      <c r="C801" s="570"/>
      <c r="D801" s="567"/>
      <c r="E801" s="567"/>
      <c r="F801" s="567"/>
      <c r="G801" s="570"/>
      <c r="H801" s="570"/>
      <c r="I801" s="567"/>
      <c r="J801" s="567"/>
      <c r="K801" s="567"/>
      <c r="L801" s="568"/>
      <c r="M801" s="568"/>
      <c r="N801" s="567"/>
      <c r="O801" s="567"/>
      <c r="P801" s="567"/>
      <c r="Q801" s="567"/>
      <c r="R801" s="570"/>
      <c r="S801" s="570"/>
      <c r="T801" s="567"/>
      <c r="U801" s="569"/>
      <c r="V801" s="567"/>
      <c r="W801" s="568"/>
      <c r="X801" s="568"/>
      <c r="Y801" s="567"/>
    </row>
    <row r="802" spans="1:25" x14ac:dyDescent="0.25">
      <c r="A802" s="570"/>
      <c r="B802" s="570"/>
      <c r="C802" s="570"/>
      <c r="D802" s="567"/>
      <c r="E802" s="567"/>
      <c r="F802" s="567"/>
      <c r="G802" s="570"/>
      <c r="H802" s="570"/>
      <c r="I802" s="567"/>
      <c r="J802" s="567"/>
      <c r="K802" s="567"/>
      <c r="L802" s="568"/>
      <c r="M802" s="568"/>
      <c r="N802" s="567"/>
      <c r="O802" s="567"/>
      <c r="P802" s="567"/>
      <c r="Q802" s="567"/>
      <c r="R802" s="570"/>
      <c r="S802" s="570"/>
      <c r="T802" s="567"/>
      <c r="U802" s="569"/>
      <c r="V802" s="567"/>
      <c r="W802" s="568"/>
      <c r="X802" s="568"/>
      <c r="Y802" s="567"/>
    </row>
    <row r="803" spans="1:25" x14ac:dyDescent="0.25">
      <c r="A803" s="570"/>
      <c r="B803" s="570"/>
      <c r="C803" s="570"/>
      <c r="D803" s="567"/>
      <c r="E803" s="567"/>
      <c r="F803" s="567"/>
      <c r="G803" s="570"/>
      <c r="H803" s="570"/>
      <c r="I803" s="567"/>
      <c r="J803" s="567"/>
      <c r="K803" s="567"/>
      <c r="L803" s="568"/>
      <c r="M803" s="568"/>
      <c r="N803" s="567"/>
      <c r="O803" s="567"/>
      <c r="P803" s="567"/>
      <c r="Q803" s="567"/>
      <c r="R803" s="570"/>
      <c r="S803" s="570"/>
      <c r="T803" s="567"/>
      <c r="U803" s="569"/>
      <c r="V803" s="567"/>
      <c r="W803" s="568"/>
      <c r="X803" s="568"/>
      <c r="Y803" s="567"/>
    </row>
    <row r="804" spans="1:25" x14ac:dyDescent="0.25">
      <c r="A804" s="570"/>
      <c r="B804" s="570"/>
      <c r="C804" s="570"/>
      <c r="D804" s="567"/>
      <c r="E804" s="567"/>
      <c r="F804" s="567"/>
      <c r="G804" s="570"/>
      <c r="H804" s="570"/>
      <c r="I804" s="567"/>
      <c r="J804" s="567"/>
      <c r="K804" s="567"/>
      <c r="L804" s="568"/>
      <c r="M804" s="568"/>
      <c r="N804" s="567"/>
      <c r="O804" s="567"/>
      <c r="P804" s="567"/>
      <c r="Q804" s="567"/>
      <c r="R804" s="570"/>
      <c r="S804" s="570"/>
      <c r="T804" s="567"/>
      <c r="U804" s="569"/>
      <c r="V804" s="567"/>
      <c r="W804" s="568"/>
      <c r="X804" s="568"/>
      <c r="Y804" s="567"/>
    </row>
    <row r="805" spans="1:25" x14ac:dyDescent="0.25">
      <c r="A805" s="570"/>
      <c r="B805" s="570"/>
      <c r="C805" s="570"/>
      <c r="D805" s="567"/>
      <c r="E805" s="567"/>
      <c r="F805" s="567"/>
      <c r="G805" s="570"/>
      <c r="H805" s="570"/>
      <c r="I805" s="567"/>
      <c r="J805" s="567"/>
      <c r="K805" s="567"/>
      <c r="L805" s="568"/>
      <c r="M805" s="568"/>
      <c r="N805" s="567"/>
      <c r="O805" s="567"/>
      <c r="P805" s="567"/>
      <c r="Q805" s="567"/>
      <c r="R805" s="570"/>
      <c r="S805" s="570"/>
      <c r="T805" s="567"/>
      <c r="U805" s="569"/>
      <c r="V805" s="567"/>
      <c r="W805" s="568"/>
      <c r="X805" s="568"/>
      <c r="Y805" s="567"/>
    </row>
    <row r="806" spans="1:25" x14ac:dyDescent="0.25">
      <c r="A806" s="570"/>
      <c r="B806" s="570"/>
      <c r="C806" s="570"/>
      <c r="D806" s="567"/>
      <c r="E806" s="567"/>
      <c r="F806" s="567"/>
      <c r="G806" s="570"/>
      <c r="H806" s="570"/>
      <c r="I806" s="567"/>
      <c r="J806" s="567"/>
      <c r="K806" s="567"/>
      <c r="L806" s="568"/>
      <c r="M806" s="568"/>
      <c r="N806" s="567"/>
      <c r="O806" s="567"/>
      <c r="P806" s="567"/>
      <c r="Q806" s="567"/>
      <c r="R806" s="570"/>
      <c r="S806" s="570"/>
      <c r="T806" s="567"/>
      <c r="U806" s="569"/>
      <c r="V806" s="567"/>
      <c r="W806" s="568"/>
      <c r="X806" s="568"/>
      <c r="Y806" s="567"/>
    </row>
    <row r="807" spans="1:25" x14ac:dyDescent="0.25">
      <c r="A807" s="570"/>
      <c r="B807" s="570"/>
      <c r="C807" s="570"/>
      <c r="D807" s="567"/>
      <c r="E807" s="567"/>
      <c r="F807" s="567"/>
      <c r="G807" s="570"/>
      <c r="H807" s="570"/>
      <c r="I807" s="567"/>
      <c r="J807" s="567"/>
      <c r="K807" s="567"/>
      <c r="L807" s="568"/>
      <c r="M807" s="568"/>
      <c r="N807" s="567"/>
      <c r="O807" s="567"/>
      <c r="P807" s="567"/>
      <c r="Q807" s="567"/>
      <c r="R807" s="570"/>
      <c r="S807" s="570"/>
      <c r="T807" s="567"/>
      <c r="U807" s="569"/>
      <c r="V807" s="567"/>
      <c r="W807" s="568"/>
      <c r="X807" s="568"/>
      <c r="Y807" s="567"/>
    </row>
    <row r="808" spans="1:25" x14ac:dyDescent="0.25">
      <c r="A808" s="570"/>
      <c r="B808" s="570"/>
      <c r="C808" s="570"/>
      <c r="D808" s="567"/>
      <c r="E808" s="567"/>
      <c r="F808" s="567"/>
      <c r="G808" s="570"/>
      <c r="H808" s="570"/>
      <c r="I808" s="567"/>
      <c r="J808" s="567"/>
      <c r="K808" s="567"/>
      <c r="L808" s="568"/>
      <c r="M808" s="568"/>
      <c r="N808" s="567"/>
      <c r="O808" s="567"/>
      <c r="P808" s="567"/>
      <c r="Q808" s="567"/>
      <c r="R808" s="570"/>
      <c r="S808" s="570"/>
      <c r="T808" s="567"/>
      <c r="U808" s="569"/>
      <c r="V808" s="567"/>
      <c r="W808" s="568"/>
      <c r="X808" s="568"/>
      <c r="Y808" s="567"/>
    </row>
    <row r="809" spans="1:25" x14ac:dyDescent="0.25">
      <c r="A809" s="570"/>
      <c r="B809" s="570"/>
      <c r="C809" s="570"/>
      <c r="D809" s="567"/>
      <c r="E809" s="567"/>
      <c r="F809" s="567"/>
      <c r="G809" s="570"/>
      <c r="H809" s="570"/>
      <c r="I809" s="567"/>
      <c r="J809" s="567"/>
      <c r="K809" s="567"/>
      <c r="L809" s="568"/>
      <c r="M809" s="568"/>
      <c r="N809" s="567"/>
      <c r="O809" s="567"/>
      <c r="P809" s="567"/>
      <c r="Q809" s="567"/>
      <c r="R809" s="570"/>
      <c r="S809" s="570"/>
      <c r="T809" s="567"/>
      <c r="U809" s="569"/>
      <c r="V809" s="567"/>
      <c r="W809" s="568"/>
      <c r="X809" s="568"/>
      <c r="Y809" s="567"/>
    </row>
    <row r="810" spans="1:25" x14ac:dyDescent="0.25">
      <c r="A810" s="570"/>
      <c r="B810" s="570"/>
      <c r="C810" s="570"/>
      <c r="D810" s="567"/>
      <c r="E810" s="567"/>
      <c r="F810" s="567"/>
      <c r="G810" s="570"/>
      <c r="H810" s="570"/>
      <c r="I810" s="567"/>
      <c r="J810" s="567"/>
      <c r="K810" s="567"/>
      <c r="L810" s="568"/>
      <c r="M810" s="568"/>
      <c r="N810" s="567"/>
      <c r="O810" s="567"/>
      <c r="P810" s="567"/>
      <c r="Q810" s="567"/>
      <c r="R810" s="570"/>
      <c r="S810" s="570"/>
      <c r="T810" s="567"/>
      <c r="U810" s="569"/>
      <c r="V810" s="567"/>
      <c r="W810" s="568"/>
      <c r="X810" s="568"/>
      <c r="Y810" s="567"/>
    </row>
    <row r="811" spans="1:25" x14ac:dyDescent="0.25">
      <c r="A811" s="570"/>
      <c r="B811" s="570"/>
      <c r="C811" s="570"/>
      <c r="D811" s="567"/>
      <c r="E811" s="567"/>
      <c r="F811" s="567"/>
      <c r="G811" s="570"/>
      <c r="H811" s="570"/>
      <c r="I811" s="567"/>
      <c r="J811" s="567"/>
      <c r="K811" s="567"/>
      <c r="L811" s="568"/>
      <c r="M811" s="568"/>
      <c r="N811" s="567"/>
      <c r="O811" s="567"/>
      <c r="P811" s="567"/>
      <c r="Q811" s="567"/>
      <c r="R811" s="570"/>
      <c r="S811" s="570"/>
      <c r="T811" s="567"/>
      <c r="U811" s="569"/>
      <c r="V811" s="567"/>
      <c r="W811" s="568"/>
      <c r="X811" s="568"/>
      <c r="Y811" s="567"/>
    </row>
    <row r="812" spans="1:25" x14ac:dyDescent="0.25">
      <c r="A812" s="570"/>
      <c r="B812" s="570"/>
      <c r="C812" s="570"/>
      <c r="D812" s="567"/>
      <c r="E812" s="567"/>
      <c r="F812" s="567"/>
      <c r="G812" s="570"/>
      <c r="H812" s="570"/>
      <c r="I812" s="567"/>
      <c r="J812" s="567"/>
      <c r="K812" s="567"/>
      <c r="L812" s="568"/>
      <c r="M812" s="568"/>
      <c r="N812" s="567"/>
      <c r="O812" s="567"/>
      <c r="P812" s="567"/>
      <c r="Q812" s="567"/>
      <c r="R812" s="570"/>
      <c r="S812" s="570"/>
      <c r="T812" s="567"/>
      <c r="U812" s="569"/>
      <c r="V812" s="567"/>
      <c r="W812" s="568"/>
      <c r="X812" s="568"/>
      <c r="Y812" s="567"/>
    </row>
    <row r="813" spans="1:25" x14ac:dyDescent="0.25">
      <c r="A813" s="570"/>
      <c r="B813" s="570"/>
      <c r="C813" s="570"/>
      <c r="D813" s="567"/>
      <c r="E813" s="567"/>
      <c r="F813" s="567"/>
      <c r="G813" s="570"/>
      <c r="H813" s="570"/>
      <c r="I813" s="567"/>
      <c r="J813" s="567"/>
      <c r="K813" s="567"/>
      <c r="L813" s="568"/>
      <c r="M813" s="568"/>
      <c r="N813" s="567"/>
      <c r="O813" s="567"/>
      <c r="P813" s="567"/>
      <c r="Q813" s="567"/>
      <c r="R813" s="570"/>
      <c r="S813" s="570"/>
      <c r="T813" s="567"/>
      <c r="U813" s="569"/>
      <c r="V813" s="567"/>
      <c r="W813" s="568"/>
      <c r="X813" s="568"/>
      <c r="Y813" s="567"/>
    </row>
    <row r="814" spans="1:25" x14ac:dyDescent="0.25">
      <c r="A814" s="570"/>
      <c r="B814" s="570"/>
      <c r="C814" s="570"/>
      <c r="D814" s="567"/>
      <c r="E814" s="567"/>
      <c r="F814" s="567"/>
      <c r="G814" s="570"/>
      <c r="H814" s="570"/>
      <c r="I814" s="567"/>
      <c r="J814" s="567"/>
      <c r="K814" s="567"/>
      <c r="L814" s="568"/>
      <c r="M814" s="568"/>
      <c r="N814" s="567"/>
      <c r="O814" s="567"/>
      <c r="P814" s="567"/>
      <c r="Q814" s="567"/>
      <c r="R814" s="570"/>
      <c r="S814" s="570"/>
      <c r="T814" s="567"/>
      <c r="U814" s="569"/>
      <c r="V814" s="567"/>
      <c r="W814" s="568"/>
      <c r="X814" s="568"/>
      <c r="Y814" s="567"/>
    </row>
    <row r="815" spans="1:25" x14ac:dyDescent="0.25">
      <c r="A815" s="570"/>
      <c r="B815" s="570"/>
      <c r="C815" s="570"/>
      <c r="D815" s="567"/>
      <c r="E815" s="567"/>
      <c r="F815" s="567"/>
      <c r="G815" s="570"/>
      <c r="H815" s="570"/>
      <c r="I815" s="567"/>
      <c r="J815" s="567"/>
      <c r="K815" s="567"/>
      <c r="L815" s="568"/>
      <c r="M815" s="568"/>
      <c r="N815" s="567"/>
      <c r="O815" s="567"/>
      <c r="P815" s="567"/>
      <c r="Q815" s="567"/>
      <c r="R815" s="570"/>
      <c r="S815" s="570"/>
      <c r="T815" s="567"/>
      <c r="U815" s="569"/>
      <c r="V815" s="567"/>
      <c r="W815" s="568"/>
      <c r="X815" s="568"/>
      <c r="Y815" s="567"/>
    </row>
    <row r="816" spans="1:25" x14ac:dyDescent="0.25">
      <c r="A816" s="570"/>
      <c r="B816" s="570"/>
      <c r="C816" s="570"/>
      <c r="D816" s="567"/>
      <c r="E816" s="567"/>
      <c r="F816" s="567"/>
      <c r="G816" s="570"/>
      <c r="H816" s="570"/>
      <c r="I816" s="567"/>
      <c r="J816" s="567"/>
      <c r="K816" s="567"/>
      <c r="L816" s="568"/>
      <c r="M816" s="568"/>
      <c r="N816" s="567"/>
      <c r="O816" s="567"/>
      <c r="P816" s="567"/>
      <c r="Q816" s="567"/>
      <c r="R816" s="570"/>
      <c r="S816" s="570"/>
      <c r="T816" s="567"/>
      <c r="U816" s="569"/>
      <c r="V816" s="567"/>
      <c r="W816" s="568"/>
      <c r="X816" s="568"/>
      <c r="Y816" s="567"/>
    </row>
    <row r="817" spans="1:25" x14ac:dyDescent="0.25">
      <c r="A817" s="570"/>
      <c r="B817" s="570"/>
      <c r="C817" s="570"/>
      <c r="D817" s="567"/>
      <c r="E817" s="567"/>
      <c r="F817" s="567"/>
      <c r="G817" s="570"/>
      <c r="H817" s="570"/>
      <c r="I817" s="567"/>
      <c r="J817" s="567"/>
      <c r="K817" s="567"/>
      <c r="L817" s="568"/>
      <c r="M817" s="568"/>
      <c r="N817" s="567"/>
      <c r="O817" s="567"/>
      <c r="P817" s="567"/>
      <c r="Q817" s="567"/>
      <c r="R817" s="570"/>
      <c r="S817" s="570"/>
      <c r="T817" s="567"/>
      <c r="U817" s="569"/>
      <c r="V817" s="567"/>
      <c r="W817" s="568"/>
      <c r="X817" s="568"/>
      <c r="Y817" s="567"/>
    </row>
    <row r="818" spans="1:25" x14ac:dyDescent="0.25">
      <c r="A818" s="570"/>
      <c r="B818" s="570"/>
      <c r="C818" s="570"/>
      <c r="D818" s="567"/>
      <c r="E818" s="567"/>
      <c r="F818" s="567"/>
      <c r="G818" s="570"/>
      <c r="H818" s="570"/>
      <c r="I818" s="567"/>
      <c r="J818" s="567"/>
      <c r="K818" s="567"/>
      <c r="L818" s="568"/>
      <c r="M818" s="568"/>
      <c r="N818" s="567"/>
      <c r="O818" s="567"/>
      <c r="P818" s="567"/>
      <c r="Q818" s="567"/>
      <c r="R818" s="570"/>
      <c r="S818" s="570"/>
      <c r="T818" s="567"/>
      <c r="U818" s="569"/>
      <c r="V818" s="567"/>
      <c r="W818" s="568"/>
      <c r="X818" s="568"/>
      <c r="Y818" s="567"/>
    </row>
    <row r="819" spans="1:25" x14ac:dyDescent="0.25">
      <c r="A819" s="570"/>
      <c r="B819" s="570"/>
      <c r="C819" s="570"/>
      <c r="D819" s="567"/>
      <c r="E819" s="567"/>
      <c r="F819" s="567"/>
      <c r="G819" s="570"/>
      <c r="H819" s="570"/>
      <c r="I819" s="567"/>
      <c r="J819" s="567"/>
      <c r="K819" s="567"/>
      <c r="L819" s="568"/>
      <c r="M819" s="568"/>
      <c r="N819" s="567"/>
      <c r="O819" s="567"/>
      <c r="P819" s="567"/>
      <c r="Q819" s="567"/>
      <c r="R819" s="570"/>
      <c r="S819" s="570"/>
      <c r="T819" s="567"/>
      <c r="U819" s="569"/>
      <c r="V819" s="567"/>
      <c r="W819" s="568"/>
      <c r="X819" s="568"/>
      <c r="Y819" s="567"/>
    </row>
    <row r="820" spans="1:25" x14ac:dyDescent="0.25">
      <c r="A820" s="570"/>
      <c r="B820" s="570"/>
      <c r="C820" s="570"/>
      <c r="D820" s="567"/>
      <c r="E820" s="567"/>
      <c r="F820" s="567"/>
      <c r="G820" s="570"/>
      <c r="H820" s="570"/>
      <c r="I820" s="567"/>
      <c r="J820" s="567"/>
      <c r="K820" s="567"/>
      <c r="L820" s="568"/>
      <c r="M820" s="568"/>
      <c r="N820" s="567"/>
      <c r="O820" s="567"/>
      <c r="P820" s="567"/>
      <c r="Q820" s="567"/>
      <c r="R820" s="570"/>
      <c r="S820" s="570"/>
      <c r="T820" s="567"/>
      <c r="U820" s="569"/>
      <c r="V820" s="567"/>
      <c r="W820" s="568"/>
      <c r="X820" s="568"/>
      <c r="Y820" s="567"/>
    </row>
    <row r="821" spans="1:25" x14ac:dyDescent="0.25">
      <c r="A821" s="570"/>
      <c r="B821" s="570"/>
      <c r="C821" s="570"/>
      <c r="D821" s="567"/>
      <c r="E821" s="567"/>
      <c r="F821" s="567"/>
      <c r="G821" s="570"/>
      <c r="H821" s="570"/>
      <c r="I821" s="567"/>
      <c r="J821" s="567"/>
      <c r="K821" s="567"/>
      <c r="L821" s="568"/>
      <c r="M821" s="568"/>
      <c r="N821" s="567"/>
      <c r="O821" s="567"/>
      <c r="P821" s="567"/>
      <c r="Q821" s="567"/>
      <c r="R821" s="570"/>
      <c r="S821" s="570"/>
      <c r="T821" s="567"/>
      <c r="U821" s="569"/>
      <c r="V821" s="567"/>
      <c r="W821" s="568"/>
      <c r="X821" s="568"/>
      <c r="Y821" s="567"/>
    </row>
    <row r="822" spans="1:25" x14ac:dyDescent="0.25">
      <c r="A822" s="570"/>
      <c r="B822" s="570"/>
      <c r="C822" s="570"/>
      <c r="D822" s="567"/>
      <c r="E822" s="567"/>
      <c r="F822" s="567"/>
      <c r="G822" s="570"/>
      <c r="H822" s="570"/>
      <c r="I822" s="567"/>
      <c r="J822" s="567"/>
      <c r="K822" s="567"/>
      <c r="L822" s="568"/>
      <c r="M822" s="568"/>
      <c r="N822" s="567"/>
      <c r="O822" s="567"/>
      <c r="P822" s="567"/>
      <c r="Q822" s="567"/>
      <c r="R822" s="570"/>
      <c r="S822" s="570"/>
      <c r="T822" s="567"/>
      <c r="U822" s="569"/>
      <c r="V822" s="567"/>
      <c r="W822" s="568"/>
      <c r="X822" s="568"/>
      <c r="Y822" s="567"/>
    </row>
    <row r="823" spans="1:25" x14ac:dyDescent="0.25">
      <c r="A823" s="570"/>
      <c r="B823" s="570"/>
      <c r="C823" s="570"/>
      <c r="D823" s="567"/>
      <c r="E823" s="567"/>
      <c r="F823" s="567"/>
      <c r="G823" s="570"/>
      <c r="H823" s="570"/>
      <c r="I823" s="567"/>
      <c r="J823" s="567"/>
      <c r="K823" s="567"/>
      <c r="L823" s="568"/>
      <c r="M823" s="568"/>
      <c r="N823" s="567"/>
      <c r="O823" s="567"/>
      <c r="P823" s="567"/>
      <c r="Q823" s="567"/>
      <c r="R823" s="570"/>
      <c r="S823" s="570"/>
      <c r="T823" s="567"/>
      <c r="U823" s="569"/>
      <c r="V823" s="567"/>
      <c r="W823" s="568"/>
      <c r="X823" s="568"/>
      <c r="Y823" s="567"/>
    </row>
    <row r="824" spans="1:25" x14ac:dyDescent="0.25">
      <c r="A824" s="570"/>
      <c r="B824" s="570"/>
      <c r="C824" s="570"/>
      <c r="D824" s="567"/>
      <c r="E824" s="567"/>
      <c r="F824" s="567"/>
      <c r="G824" s="570"/>
      <c r="H824" s="570"/>
      <c r="I824" s="567"/>
      <c r="J824" s="567"/>
      <c r="K824" s="567"/>
      <c r="L824" s="568"/>
      <c r="M824" s="568"/>
      <c r="N824" s="567"/>
      <c r="O824" s="567"/>
      <c r="P824" s="567"/>
      <c r="Q824" s="567"/>
      <c r="R824" s="570"/>
      <c r="S824" s="570"/>
      <c r="T824" s="567"/>
      <c r="U824" s="569"/>
      <c r="V824" s="567"/>
      <c r="W824" s="568"/>
      <c r="X824" s="568"/>
      <c r="Y824" s="567"/>
    </row>
    <row r="825" spans="1:25" x14ac:dyDescent="0.25">
      <c r="A825" s="570"/>
      <c r="B825" s="570"/>
      <c r="C825" s="570"/>
      <c r="D825" s="567"/>
      <c r="E825" s="567"/>
      <c r="F825" s="567"/>
      <c r="G825" s="570"/>
      <c r="H825" s="570"/>
      <c r="I825" s="567"/>
      <c r="J825" s="567"/>
      <c r="K825" s="567"/>
      <c r="L825" s="568"/>
      <c r="M825" s="568"/>
      <c r="N825" s="567"/>
      <c r="O825" s="567"/>
      <c r="P825" s="567"/>
      <c r="Q825" s="567"/>
      <c r="R825" s="570"/>
      <c r="S825" s="570"/>
      <c r="T825" s="567"/>
      <c r="U825" s="569"/>
      <c r="V825" s="567"/>
      <c r="W825" s="568"/>
      <c r="X825" s="568"/>
      <c r="Y825" s="567"/>
    </row>
    <row r="826" spans="1:25" x14ac:dyDescent="0.25">
      <c r="A826" s="570"/>
      <c r="B826" s="570"/>
      <c r="C826" s="570"/>
      <c r="D826" s="567"/>
      <c r="E826" s="567"/>
      <c r="F826" s="567"/>
      <c r="G826" s="570"/>
      <c r="H826" s="570"/>
      <c r="I826" s="567"/>
      <c r="J826" s="567"/>
      <c r="K826" s="567"/>
      <c r="L826" s="568"/>
      <c r="M826" s="568"/>
      <c r="N826" s="567"/>
      <c r="O826" s="567"/>
      <c r="P826" s="567"/>
      <c r="Q826" s="567"/>
      <c r="R826" s="570"/>
      <c r="S826" s="570"/>
      <c r="T826" s="567"/>
      <c r="U826" s="569"/>
      <c r="V826" s="567"/>
      <c r="W826" s="568"/>
      <c r="X826" s="568"/>
      <c r="Y826" s="567"/>
    </row>
    <row r="827" spans="1:25" x14ac:dyDescent="0.25">
      <c r="A827" s="570"/>
      <c r="B827" s="570"/>
      <c r="C827" s="570"/>
      <c r="D827" s="567"/>
      <c r="E827" s="567"/>
      <c r="F827" s="567"/>
      <c r="G827" s="570"/>
      <c r="H827" s="570"/>
      <c r="I827" s="567"/>
      <c r="J827" s="567"/>
      <c r="K827" s="567"/>
      <c r="L827" s="568"/>
      <c r="M827" s="568"/>
      <c r="N827" s="567"/>
      <c r="O827" s="567"/>
      <c r="P827" s="567"/>
      <c r="Q827" s="567"/>
      <c r="R827" s="570"/>
      <c r="S827" s="570"/>
      <c r="T827" s="567"/>
      <c r="U827" s="569"/>
      <c r="V827" s="567"/>
      <c r="W827" s="568"/>
      <c r="X827" s="568"/>
      <c r="Y827" s="567"/>
    </row>
    <row r="828" spans="1:25" x14ac:dyDescent="0.25">
      <c r="A828" s="570"/>
      <c r="B828" s="570"/>
      <c r="C828" s="570"/>
      <c r="D828" s="567"/>
      <c r="E828" s="567"/>
      <c r="F828" s="567"/>
      <c r="G828" s="570"/>
      <c r="H828" s="570"/>
      <c r="I828" s="567"/>
      <c r="J828" s="567"/>
      <c r="K828" s="567"/>
      <c r="L828" s="568"/>
      <c r="M828" s="568"/>
      <c r="N828" s="567"/>
      <c r="O828" s="567"/>
      <c r="P828" s="567"/>
      <c r="Q828" s="567"/>
      <c r="R828" s="570"/>
      <c r="S828" s="570"/>
      <c r="T828" s="567"/>
      <c r="U828" s="569"/>
      <c r="V828" s="567"/>
      <c r="W828" s="568"/>
      <c r="X828" s="568"/>
      <c r="Y828" s="567"/>
    </row>
    <row r="829" spans="1:25" x14ac:dyDescent="0.25">
      <c r="A829" s="570"/>
      <c r="B829" s="570"/>
      <c r="C829" s="570"/>
      <c r="D829" s="567"/>
      <c r="E829" s="567"/>
      <c r="F829" s="567"/>
      <c r="G829" s="570"/>
      <c r="H829" s="570"/>
      <c r="I829" s="567"/>
      <c r="J829" s="567"/>
      <c r="K829" s="567"/>
      <c r="L829" s="568"/>
      <c r="M829" s="568"/>
      <c r="N829" s="567"/>
      <c r="O829" s="567"/>
      <c r="P829" s="567"/>
      <c r="Q829" s="567"/>
      <c r="R829" s="570"/>
      <c r="S829" s="570"/>
      <c r="T829" s="567"/>
      <c r="U829" s="569"/>
      <c r="V829" s="567"/>
      <c r="W829" s="568"/>
      <c r="X829" s="568"/>
      <c r="Y829" s="567"/>
    </row>
    <row r="830" spans="1:25" x14ac:dyDescent="0.25">
      <c r="A830" s="570"/>
      <c r="B830" s="570"/>
      <c r="C830" s="570"/>
      <c r="D830" s="567"/>
      <c r="E830" s="567"/>
      <c r="F830" s="567"/>
      <c r="G830" s="570"/>
      <c r="H830" s="570"/>
      <c r="I830" s="567"/>
      <c r="J830" s="567"/>
      <c r="K830" s="567"/>
      <c r="L830" s="568"/>
      <c r="M830" s="568"/>
      <c r="N830" s="567"/>
      <c r="O830" s="567"/>
      <c r="P830" s="567"/>
      <c r="Q830" s="567"/>
      <c r="R830" s="570"/>
      <c r="S830" s="570"/>
      <c r="T830" s="567"/>
      <c r="U830" s="569"/>
      <c r="V830" s="567"/>
      <c r="W830" s="568"/>
      <c r="X830" s="568"/>
      <c r="Y830" s="567"/>
    </row>
    <row r="831" spans="1:25" x14ac:dyDescent="0.25">
      <c r="A831" s="570"/>
      <c r="B831" s="570"/>
      <c r="C831" s="570"/>
      <c r="D831" s="567"/>
      <c r="E831" s="567"/>
      <c r="F831" s="567"/>
      <c r="G831" s="570"/>
      <c r="H831" s="570"/>
      <c r="I831" s="567"/>
      <c r="J831" s="567"/>
      <c r="K831" s="567"/>
      <c r="L831" s="568"/>
      <c r="M831" s="568"/>
      <c r="N831" s="567"/>
      <c r="O831" s="567"/>
      <c r="P831" s="567"/>
      <c r="Q831" s="567"/>
      <c r="R831" s="570"/>
      <c r="S831" s="570"/>
      <c r="T831" s="567"/>
      <c r="U831" s="569"/>
      <c r="V831" s="567"/>
      <c r="W831" s="568"/>
      <c r="X831" s="568"/>
      <c r="Y831" s="567"/>
    </row>
    <row r="832" spans="1:25" x14ac:dyDescent="0.25">
      <c r="A832" s="570"/>
      <c r="B832" s="570"/>
      <c r="C832" s="570"/>
      <c r="D832" s="567"/>
      <c r="E832" s="567"/>
      <c r="F832" s="567"/>
      <c r="G832" s="570"/>
      <c r="H832" s="570"/>
      <c r="I832" s="567"/>
      <c r="J832" s="567"/>
      <c r="K832" s="567"/>
      <c r="L832" s="568"/>
      <c r="M832" s="568"/>
      <c r="N832" s="567"/>
      <c r="O832" s="567"/>
      <c r="P832" s="567"/>
      <c r="Q832" s="567"/>
      <c r="R832" s="570"/>
      <c r="S832" s="570"/>
      <c r="T832" s="567"/>
      <c r="U832" s="569"/>
      <c r="V832" s="567"/>
      <c r="W832" s="568"/>
      <c r="X832" s="568"/>
      <c r="Y832" s="567"/>
    </row>
    <row r="833" spans="1:25" x14ac:dyDescent="0.25">
      <c r="A833" s="570"/>
      <c r="B833" s="570"/>
      <c r="C833" s="570"/>
      <c r="D833" s="567"/>
      <c r="E833" s="567"/>
      <c r="F833" s="567"/>
      <c r="G833" s="570"/>
      <c r="H833" s="570"/>
      <c r="I833" s="567"/>
      <c r="J833" s="567"/>
      <c r="K833" s="567"/>
      <c r="L833" s="568"/>
      <c r="M833" s="568"/>
      <c r="N833" s="567"/>
      <c r="O833" s="567"/>
      <c r="P833" s="567"/>
      <c r="Q833" s="567"/>
      <c r="R833" s="570"/>
      <c r="S833" s="570"/>
      <c r="T833" s="567"/>
      <c r="U833" s="569"/>
      <c r="V833" s="567"/>
      <c r="W833" s="568"/>
      <c r="X833" s="568"/>
      <c r="Y833" s="567"/>
    </row>
    <row r="834" spans="1:25" x14ac:dyDescent="0.25">
      <c r="A834" s="570"/>
      <c r="B834" s="570"/>
      <c r="C834" s="570"/>
      <c r="D834" s="567"/>
      <c r="E834" s="567"/>
      <c r="F834" s="567"/>
      <c r="G834" s="570"/>
      <c r="H834" s="570"/>
      <c r="I834" s="567"/>
      <c r="J834" s="567"/>
      <c r="K834" s="567"/>
      <c r="L834" s="568"/>
      <c r="M834" s="568"/>
      <c r="N834" s="567"/>
      <c r="O834" s="567"/>
      <c r="P834" s="567"/>
      <c r="Q834" s="567"/>
      <c r="R834" s="570"/>
      <c r="S834" s="570"/>
      <c r="T834" s="567"/>
      <c r="U834" s="569"/>
      <c r="V834" s="567"/>
      <c r="W834" s="568"/>
      <c r="X834" s="568"/>
      <c r="Y834" s="567"/>
    </row>
    <row r="835" spans="1:25" x14ac:dyDescent="0.25">
      <c r="A835" s="570"/>
      <c r="B835" s="570"/>
      <c r="C835" s="570"/>
      <c r="D835" s="567"/>
      <c r="E835" s="567"/>
      <c r="F835" s="567"/>
      <c r="G835" s="570"/>
      <c r="H835" s="570"/>
      <c r="I835" s="567"/>
      <c r="J835" s="567"/>
      <c r="K835" s="567"/>
      <c r="L835" s="568"/>
      <c r="M835" s="568"/>
      <c r="N835" s="567"/>
      <c r="O835" s="567"/>
      <c r="P835" s="567"/>
      <c r="Q835" s="567"/>
      <c r="R835" s="570"/>
      <c r="S835" s="570"/>
      <c r="T835" s="567"/>
      <c r="U835" s="569"/>
      <c r="V835" s="567"/>
      <c r="W835" s="568"/>
      <c r="X835" s="568"/>
      <c r="Y835" s="567"/>
    </row>
    <row r="836" spans="1:25" x14ac:dyDescent="0.25">
      <c r="A836" s="570"/>
      <c r="B836" s="570"/>
      <c r="C836" s="570"/>
      <c r="D836" s="567"/>
      <c r="E836" s="567"/>
      <c r="F836" s="567"/>
      <c r="G836" s="570"/>
      <c r="H836" s="570"/>
      <c r="I836" s="567"/>
      <c r="J836" s="567"/>
      <c r="K836" s="567"/>
      <c r="L836" s="568"/>
      <c r="M836" s="568"/>
      <c r="N836" s="567"/>
      <c r="O836" s="567"/>
      <c r="P836" s="567"/>
      <c r="Q836" s="567"/>
      <c r="R836" s="570"/>
      <c r="S836" s="570"/>
      <c r="T836" s="567"/>
      <c r="U836" s="569"/>
      <c r="V836" s="567"/>
      <c r="W836" s="568"/>
      <c r="X836" s="568"/>
      <c r="Y836" s="567"/>
    </row>
    <row r="837" spans="1:25" x14ac:dyDescent="0.25">
      <c r="A837" s="570"/>
      <c r="B837" s="570"/>
      <c r="C837" s="570"/>
      <c r="D837" s="567"/>
      <c r="E837" s="567"/>
      <c r="F837" s="567"/>
      <c r="G837" s="570"/>
      <c r="H837" s="570"/>
      <c r="I837" s="567"/>
      <c r="J837" s="567"/>
      <c r="K837" s="567"/>
      <c r="L837" s="568"/>
      <c r="M837" s="568"/>
      <c r="N837" s="567"/>
      <c r="O837" s="567"/>
      <c r="P837" s="567"/>
      <c r="Q837" s="567"/>
      <c r="R837" s="570"/>
      <c r="S837" s="570"/>
      <c r="T837" s="567"/>
      <c r="U837" s="569"/>
      <c r="V837" s="567"/>
      <c r="W837" s="568"/>
      <c r="X837" s="568"/>
      <c r="Y837" s="567"/>
    </row>
    <row r="838" spans="1:25" x14ac:dyDescent="0.25">
      <c r="A838" s="570"/>
      <c r="B838" s="570"/>
      <c r="C838" s="570"/>
      <c r="D838" s="567"/>
      <c r="E838" s="567"/>
      <c r="F838" s="567"/>
      <c r="G838" s="570"/>
      <c r="H838" s="570"/>
      <c r="I838" s="567"/>
      <c r="J838" s="567"/>
      <c r="K838" s="567"/>
      <c r="L838" s="568"/>
      <c r="M838" s="568"/>
      <c r="N838" s="567"/>
      <c r="O838" s="567"/>
      <c r="P838" s="567"/>
      <c r="Q838" s="567"/>
      <c r="R838" s="570"/>
      <c r="S838" s="570"/>
      <c r="T838" s="567"/>
      <c r="U838" s="569"/>
      <c r="V838" s="567"/>
      <c r="W838" s="568"/>
      <c r="X838" s="568"/>
      <c r="Y838" s="567"/>
    </row>
    <row r="839" spans="1:25" x14ac:dyDescent="0.25">
      <c r="A839" s="570"/>
      <c r="B839" s="570"/>
      <c r="C839" s="570"/>
      <c r="D839" s="567"/>
      <c r="E839" s="567"/>
      <c r="F839" s="567"/>
      <c r="G839" s="570"/>
      <c r="H839" s="570"/>
      <c r="I839" s="567"/>
      <c r="J839" s="567"/>
      <c r="K839" s="567"/>
      <c r="L839" s="568"/>
      <c r="M839" s="568"/>
      <c r="N839" s="567"/>
      <c r="O839" s="567"/>
      <c r="P839" s="567"/>
      <c r="Q839" s="567"/>
      <c r="R839" s="570"/>
      <c r="S839" s="570"/>
      <c r="T839" s="567"/>
      <c r="U839" s="569"/>
      <c r="V839" s="567"/>
      <c r="W839" s="568"/>
      <c r="X839" s="568"/>
      <c r="Y839" s="567"/>
    </row>
    <row r="840" spans="1:25" x14ac:dyDescent="0.25">
      <c r="A840" s="570"/>
      <c r="B840" s="570"/>
      <c r="C840" s="570"/>
      <c r="D840" s="567"/>
      <c r="E840" s="567"/>
      <c r="F840" s="567"/>
      <c r="G840" s="570"/>
      <c r="H840" s="570"/>
      <c r="I840" s="567"/>
      <c r="J840" s="567"/>
      <c r="K840" s="567"/>
      <c r="L840" s="568"/>
      <c r="M840" s="568"/>
      <c r="N840" s="567"/>
      <c r="O840" s="567"/>
      <c r="P840" s="567"/>
      <c r="Q840" s="567"/>
      <c r="R840" s="570"/>
      <c r="S840" s="570"/>
      <c r="T840" s="567"/>
      <c r="U840" s="569"/>
      <c r="V840" s="567"/>
      <c r="W840" s="568"/>
      <c r="X840" s="568"/>
      <c r="Y840" s="567"/>
    </row>
    <row r="841" spans="1:25" x14ac:dyDescent="0.25">
      <c r="A841" s="570"/>
      <c r="B841" s="570"/>
      <c r="C841" s="570"/>
      <c r="D841" s="567"/>
      <c r="E841" s="567"/>
      <c r="F841" s="567"/>
      <c r="G841" s="570"/>
      <c r="H841" s="570"/>
      <c r="I841" s="567"/>
      <c r="J841" s="567"/>
      <c r="K841" s="567"/>
      <c r="L841" s="568"/>
      <c r="M841" s="568"/>
      <c r="N841" s="567"/>
      <c r="O841" s="567"/>
      <c r="P841" s="567"/>
      <c r="Q841" s="567"/>
      <c r="R841" s="570"/>
      <c r="S841" s="570"/>
      <c r="T841" s="567"/>
      <c r="U841" s="569"/>
      <c r="V841" s="567"/>
      <c r="W841" s="568"/>
      <c r="X841" s="568"/>
      <c r="Y841" s="567"/>
    </row>
    <row r="842" spans="1:25" x14ac:dyDescent="0.25">
      <c r="A842" s="570"/>
      <c r="B842" s="570"/>
      <c r="C842" s="570"/>
      <c r="D842" s="567"/>
      <c r="E842" s="567"/>
      <c r="F842" s="567"/>
      <c r="G842" s="570"/>
      <c r="H842" s="570"/>
      <c r="I842" s="567"/>
      <c r="J842" s="567"/>
      <c r="K842" s="567"/>
      <c r="L842" s="568"/>
      <c r="M842" s="568"/>
      <c r="N842" s="567"/>
      <c r="O842" s="567"/>
      <c r="P842" s="567"/>
      <c r="Q842" s="567"/>
      <c r="R842" s="570"/>
      <c r="S842" s="570"/>
      <c r="T842" s="567"/>
      <c r="U842" s="569"/>
      <c r="V842" s="567"/>
      <c r="W842" s="568"/>
      <c r="X842" s="568"/>
      <c r="Y842" s="567"/>
    </row>
    <row r="843" spans="1:25" x14ac:dyDescent="0.25">
      <c r="A843" s="570"/>
      <c r="B843" s="570"/>
      <c r="C843" s="570"/>
      <c r="D843" s="567"/>
      <c r="E843" s="567"/>
      <c r="F843" s="567"/>
      <c r="G843" s="570"/>
      <c r="H843" s="570"/>
      <c r="I843" s="567"/>
      <c r="J843" s="567"/>
      <c r="K843" s="567"/>
      <c r="L843" s="568"/>
      <c r="M843" s="568"/>
      <c r="N843" s="567"/>
      <c r="O843" s="567"/>
      <c r="P843" s="567"/>
      <c r="Q843" s="567"/>
      <c r="R843" s="570"/>
      <c r="S843" s="570"/>
      <c r="T843" s="567"/>
      <c r="U843" s="569"/>
      <c r="V843" s="567"/>
      <c r="W843" s="568"/>
      <c r="X843" s="568"/>
      <c r="Y843" s="567"/>
    </row>
    <row r="844" spans="1:25" x14ac:dyDescent="0.25">
      <c r="A844" s="570"/>
      <c r="B844" s="570"/>
      <c r="C844" s="570"/>
      <c r="D844" s="567"/>
      <c r="E844" s="567"/>
      <c r="F844" s="567"/>
      <c r="G844" s="570"/>
      <c r="H844" s="570"/>
      <c r="I844" s="567"/>
      <c r="J844" s="567"/>
      <c r="K844" s="567"/>
      <c r="L844" s="568"/>
      <c r="M844" s="568"/>
      <c r="N844" s="567"/>
      <c r="O844" s="567"/>
      <c r="P844" s="567"/>
      <c r="Q844" s="567"/>
      <c r="R844" s="570"/>
      <c r="S844" s="570"/>
      <c r="T844" s="567"/>
      <c r="U844" s="569"/>
      <c r="V844" s="567"/>
      <c r="W844" s="568"/>
      <c r="X844" s="568"/>
      <c r="Y844" s="567"/>
    </row>
    <row r="845" spans="1:25" x14ac:dyDescent="0.25">
      <c r="A845" s="570"/>
      <c r="B845" s="570"/>
      <c r="C845" s="570"/>
      <c r="D845" s="567"/>
      <c r="E845" s="567"/>
      <c r="F845" s="567"/>
      <c r="G845" s="570"/>
      <c r="H845" s="570"/>
      <c r="I845" s="567"/>
      <c r="J845" s="567"/>
      <c r="K845" s="567"/>
      <c r="L845" s="568"/>
      <c r="M845" s="568"/>
      <c r="N845" s="567"/>
      <c r="O845" s="567"/>
      <c r="P845" s="567"/>
      <c r="Q845" s="567"/>
      <c r="R845" s="570"/>
      <c r="S845" s="570"/>
      <c r="T845" s="567"/>
      <c r="U845" s="569"/>
      <c r="V845" s="567"/>
      <c r="W845" s="568"/>
      <c r="X845" s="568"/>
      <c r="Y845" s="567"/>
    </row>
    <row r="846" spans="1:25" x14ac:dyDescent="0.25">
      <c r="A846" s="570"/>
      <c r="B846" s="570"/>
      <c r="C846" s="570"/>
      <c r="D846" s="567"/>
      <c r="E846" s="567"/>
      <c r="F846" s="567"/>
      <c r="G846" s="570"/>
      <c r="H846" s="570"/>
      <c r="I846" s="567"/>
      <c r="J846" s="567"/>
      <c r="K846" s="567"/>
      <c r="L846" s="568"/>
      <c r="M846" s="568"/>
      <c r="N846" s="567"/>
      <c r="O846" s="567"/>
      <c r="P846" s="567"/>
      <c r="Q846" s="567"/>
      <c r="R846" s="570"/>
      <c r="S846" s="570"/>
      <c r="T846" s="567"/>
      <c r="U846" s="569"/>
      <c r="V846" s="567"/>
      <c r="W846" s="568"/>
      <c r="X846" s="568"/>
      <c r="Y846" s="567"/>
    </row>
    <row r="847" spans="1:25" x14ac:dyDescent="0.25">
      <c r="A847" s="570"/>
      <c r="B847" s="570"/>
      <c r="C847" s="570"/>
      <c r="D847" s="567"/>
      <c r="E847" s="567"/>
      <c r="F847" s="567"/>
      <c r="G847" s="570"/>
      <c r="H847" s="570"/>
      <c r="I847" s="567"/>
      <c r="J847" s="567"/>
      <c r="K847" s="567"/>
      <c r="L847" s="568"/>
      <c r="M847" s="568"/>
      <c r="N847" s="567"/>
      <c r="O847" s="567"/>
      <c r="P847" s="567"/>
      <c r="Q847" s="567"/>
      <c r="R847" s="570"/>
      <c r="S847" s="570"/>
      <c r="T847" s="567"/>
      <c r="U847" s="569"/>
      <c r="V847" s="567"/>
      <c r="W847" s="568"/>
      <c r="X847" s="568"/>
      <c r="Y847" s="567"/>
    </row>
    <row r="848" spans="1:25" x14ac:dyDescent="0.25">
      <c r="A848" s="570"/>
      <c r="B848" s="570"/>
      <c r="C848" s="570"/>
      <c r="D848" s="567"/>
      <c r="E848" s="567"/>
      <c r="F848" s="567"/>
      <c r="G848" s="570"/>
      <c r="H848" s="570"/>
      <c r="I848" s="567"/>
      <c r="J848" s="567"/>
      <c r="K848" s="567"/>
      <c r="L848" s="568"/>
      <c r="M848" s="568"/>
      <c r="N848" s="567"/>
      <c r="O848" s="567"/>
      <c r="P848" s="567"/>
      <c r="Q848" s="567"/>
      <c r="R848" s="570"/>
      <c r="S848" s="570"/>
      <c r="T848" s="567"/>
      <c r="U848" s="569"/>
      <c r="V848" s="567"/>
      <c r="W848" s="568"/>
      <c r="X848" s="568"/>
      <c r="Y848" s="567"/>
    </row>
    <row r="849" spans="1:25" x14ac:dyDescent="0.25">
      <c r="A849" s="570"/>
      <c r="B849" s="570"/>
      <c r="C849" s="570"/>
      <c r="D849" s="567"/>
      <c r="E849" s="567"/>
      <c r="F849" s="567"/>
      <c r="G849" s="570"/>
      <c r="H849" s="570"/>
      <c r="I849" s="567"/>
      <c r="J849" s="567"/>
      <c r="K849" s="567"/>
      <c r="L849" s="568"/>
      <c r="M849" s="568"/>
      <c r="N849" s="567"/>
      <c r="O849" s="567"/>
      <c r="P849" s="567"/>
      <c r="Q849" s="567"/>
      <c r="R849" s="570"/>
      <c r="S849" s="570"/>
      <c r="T849" s="567"/>
      <c r="U849" s="569"/>
      <c r="V849" s="567"/>
      <c r="W849" s="568"/>
      <c r="X849" s="568"/>
      <c r="Y849" s="567"/>
    </row>
    <row r="850" spans="1:25" x14ac:dyDescent="0.25">
      <c r="A850" s="570"/>
      <c r="B850" s="570"/>
      <c r="C850" s="570"/>
      <c r="D850" s="567"/>
      <c r="E850" s="567"/>
      <c r="F850" s="567"/>
      <c r="G850" s="570"/>
      <c r="H850" s="570"/>
      <c r="I850" s="567"/>
      <c r="J850" s="567"/>
      <c r="K850" s="567"/>
      <c r="L850" s="568"/>
      <c r="M850" s="568"/>
      <c r="N850" s="567"/>
      <c r="O850" s="567"/>
      <c r="P850" s="567"/>
      <c r="Q850" s="567"/>
      <c r="R850" s="570"/>
      <c r="S850" s="570"/>
      <c r="T850" s="567"/>
      <c r="U850" s="569"/>
      <c r="V850" s="567"/>
      <c r="W850" s="568"/>
      <c r="X850" s="568"/>
      <c r="Y850" s="567"/>
    </row>
    <row r="851" spans="1:25" x14ac:dyDescent="0.25">
      <c r="A851" s="570"/>
      <c r="B851" s="570"/>
      <c r="C851" s="570"/>
      <c r="D851" s="567"/>
      <c r="E851" s="567"/>
      <c r="F851" s="567"/>
      <c r="G851" s="570"/>
      <c r="H851" s="570"/>
      <c r="I851" s="567"/>
      <c r="J851" s="567"/>
      <c r="K851" s="567"/>
      <c r="L851" s="568"/>
      <c r="M851" s="568"/>
      <c r="N851" s="567"/>
      <c r="O851" s="567"/>
      <c r="P851" s="567"/>
      <c r="Q851" s="567"/>
      <c r="R851" s="570"/>
      <c r="S851" s="570"/>
      <c r="T851" s="567"/>
      <c r="U851" s="569"/>
      <c r="V851" s="567"/>
      <c r="W851" s="568"/>
      <c r="X851" s="568"/>
      <c r="Y851" s="567"/>
    </row>
    <row r="852" spans="1:25" x14ac:dyDescent="0.25">
      <c r="A852" s="570"/>
      <c r="B852" s="570"/>
      <c r="C852" s="570"/>
      <c r="D852" s="567"/>
      <c r="E852" s="567"/>
      <c r="F852" s="567"/>
      <c r="G852" s="570"/>
      <c r="H852" s="570"/>
      <c r="I852" s="567"/>
      <c r="J852" s="567"/>
      <c r="K852" s="567"/>
      <c r="L852" s="568"/>
      <c r="M852" s="568"/>
      <c r="N852" s="567"/>
      <c r="O852" s="567"/>
      <c r="P852" s="567"/>
      <c r="Q852" s="567"/>
      <c r="R852" s="570"/>
      <c r="S852" s="570"/>
      <c r="T852" s="567"/>
      <c r="U852" s="569"/>
      <c r="V852" s="567"/>
      <c r="W852" s="568"/>
      <c r="X852" s="568"/>
      <c r="Y852" s="567"/>
    </row>
    <row r="853" spans="1:25" x14ac:dyDescent="0.25">
      <c r="A853" s="570"/>
      <c r="B853" s="570"/>
      <c r="C853" s="570"/>
      <c r="D853" s="567"/>
      <c r="E853" s="567"/>
      <c r="F853" s="567"/>
      <c r="G853" s="570"/>
      <c r="H853" s="570"/>
      <c r="I853" s="567"/>
      <c r="J853" s="567"/>
      <c r="K853" s="567"/>
      <c r="L853" s="568"/>
      <c r="M853" s="568"/>
      <c r="N853" s="567"/>
      <c r="O853" s="567"/>
      <c r="P853" s="567"/>
      <c r="Q853" s="567"/>
      <c r="R853" s="570"/>
      <c r="S853" s="570"/>
      <c r="T853" s="567"/>
      <c r="U853" s="569"/>
      <c r="V853" s="567"/>
      <c r="W853" s="568"/>
      <c r="X853" s="568"/>
      <c r="Y853" s="567"/>
    </row>
    <row r="854" spans="1:25" x14ac:dyDescent="0.25">
      <c r="A854" s="570"/>
      <c r="B854" s="570"/>
      <c r="C854" s="570"/>
      <c r="D854" s="567"/>
      <c r="E854" s="567"/>
      <c r="F854" s="567"/>
      <c r="G854" s="570"/>
      <c r="H854" s="570"/>
      <c r="I854" s="567"/>
      <c r="J854" s="567"/>
      <c r="K854" s="567"/>
      <c r="L854" s="568"/>
      <c r="M854" s="568"/>
      <c r="N854" s="567"/>
      <c r="O854" s="567"/>
      <c r="P854" s="567"/>
      <c r="Q854" s="567"/>
      <c r="R854" s="570"/>
      <c r="S854" s="570"/>
      <c r="T854" s="567"/>
      <c r="U854" s="569"/>
      <c r="V854" s="567"/>
      <c r="W854" s="568"/>
      <c r="X854" s="568"/>
      <c r="Y854" s="567"/>
    </row>
    <row r="855" spans="1:25" x14ac:dyDescent="0.25">
      <c r="A855" s="570"/>
      <c r="B855" s="570"/>
      <c r="C855" s="570"/>
      <c r="D855" s="567"/>
      <c r="E855" s="567"/>
      <c r="F855" s="567"/>
      <c r="G855" s="570"/>
      <c r="H855" s="570"/>
      <c r="I855" s="567"/>
      <c r="J855" s="567"/>
      <c r="K855" s="567"/>
      <c r="L855" s="568"/>
      <c r="M855" s="568"/>
      <c r="N855" s="567"/>
      <c r="O855" s="567"/>
      <c r="P855" s="567"/>
      <c r="Q855" s="567"/>
      <c r="R855" s="570"/>
      <c r="S855" s="570"/>
      <c r="T855" s="567"/>
      <c r="U855" s="569"/>
      <c r="V855" s="567"/>
      <c r="W855" s="568"/>
      <c r="X855" s="568"/>
      <c r="Y855" s="567"/>
    </row>
    <row r="856" spans="1:25" x14ac:dyDescent="0.25">
      <c r="A856" s="570"/>
      <c r="B856" s="570"/>
      <c r="C856" s="570"/>
      <c r="D856" s="567"/>
      <c r="E856" s="567"/>
      <c r="F856" s="567"/>
      <c r="G856" s="570"/>
      <c r="H856" s="570"/>
      <c r="I856" s="567"/>
      <c r="J856" s="567"/>
      <c r="K856" s="567"/>
      <c r="L856" s="568"/>
      <c r="M856" s="568"/>
      <c r="N856" s="567"/>
      <c r="O856" s="567"/>
      <c r="P856" s="567"/>
      <c r="Q856" s="567"/>
      <c r="R856" s="570"/>
      <c r="S856" s="570"/>
      <c r="T856" s="567"/>
      <c r="U856" s="569"/>
      <c r="V856" s="567"/>
      <c r="W856" s="568"/>
      <c r="X856" s="568"/>
      <c r="Y856" s="567"/>
    </row>
    <row r="857" spans="1:25" x14ac:dyDescent="0.25">
      <c r="A857" s="570"/>
      <c r="B857" s="570"/>
      <c r="C857" s="570"/>
      <c r="D857" s="567"/>
      <c r="E857" s="567"/>
      <c r="F857" s="567"/>
      <c r="G857" s="570"/>
      <c r="H857" s="570"/>
      <c r="I857" s="567"/>
      <c r="J857" s="567"/>
      <c r="K857" s="567"/>
      <c r="L857" s="568"/>
      <c r="M857" s="568"/>
      <c r="N857" s="567"/>
      <c r="O857" s="567"/>
      <c r="P857" s="567"/>
      <c r="Q857" s="567"/>
      <c r="R857" s="570"/>
      <c r="S857" s="570"/>
      <c r="T857" s="567"/>
      <c r="U857" s="569"/>
      <c r="V857" s="567"/>
      <c r="W857" s="568"/>
      <c r="X857" s="568"/>
      <c r="Y857" s="567"/>
    </row>
    <row r="858" spans="1:25" x14ac:dyDescent="0.25">
      <c r="A858" s="570"/>
      <c r="B858" s="570"/>
      <c r="C858" s="570"/>
      <c r="D858" s="567"/>
      <c r="E858" s="567"/>
      <c r="F858" s="567"/>
      <c r="G858" s="570"/>
      <c r="H858" s="570"/>
      <c r="I858" s="567"/>
      <c r="J858" s="567"/>
      <c r="K858" s="567"/>
      <c r="L858" s="568"/>
      <c r="M858" s="568"/>
      <c r="N858" s="567"/>
      <c r="O858" s="567"/>
      <c r="P858" s="567"/>
      <c r="Q858" s="567"/>
      <c r="R858" s="570"/>
      <c r="S858" s="570"/>
      <c r="T858" s="567"/>
      <c r="U858" s="569"/>
      <c r="V858" s="567"/>
      <c r="W858" s="568"/>
      <c r="X858" s="568"/>
      <c r="Y858" s="567"/>
    </row>
    <row r="859" spans="1:25" x14ac:dyDescent="0.25">
      <c r="A859" s="570"/>
      <c r="B859" s="570"/>
      <c r="C859" s="570"/>
      <c r="D859" s="567"/>
      <c r="E859" s="567"/>
      <c r="F859" s="567"/>
      <c r="G859" s="570"/>
      <c r="H859" s="570"/>
      <c r="I859" s="567"/>
      <c r="J859" s="567"/>
      <c r="K859" s="567"/>
      <c r="L859" s="568"/>
      <c r="M859" s="568"/>
      <c r="N859" s="567"/>
      <c r="O859" s="567"/>
      <c r="P859" s="567"/>
      <c r="Q859" s="567"/>
      <c r="R859" s="570"/>
      <c r="S859" s="570"/>
      <c r="T859" s="567"/>
      <c r="U859" s="569"/>
      <c r="V859" s="567"/>
      <c r="W859" s="568"/>
      <c r="X859" s="568"/>
      <c r="Y859" s="567"/>
    </row>
    <row r="860" spans="1:25" x14ac:dyDescent="0.25">
      <c r="A860" s="570"/>
      <c r="B860" s="570"/>
      <c r="C860" s="570"/>
      <c r="D860" s="567"/>
      <c r="E860" s="567"/>
      <c r="F860" s="567"/>
      <c r="G860" s="570"/>
      <c r="H860" s="570"/>
      <c r="I860" s="567"/>
      <c r="J860" s="567"/>
      <c r="K860" s="567"/>
      <c r="L860" s="568"/>
      <c r="M860" s="568"/>
      <c r="N860" s="567"/>
      <c r="O860" s="567"/>
      <c r="P860" s="567"/>
      <c r="Q860" s="567"/>
      <c r="R860" s="570"/>
      <c r="S860" s="570"/>
      <c r="T860" s="567"/>
      <c r="U860" s="569"/>
      <c r="V860" s="567"/>
      <c r="W860" s="568"/>
      <c r="X860" s="568"/>
      <c r="Y860" s="567"/>
    </row>
    <row r="861" spans="1:25" x14ac:dyDescent="0.25">
      <c r="A861" s="570"/>
      <c r="B861" s="570"/>
      <c r="C861" s="570"/>
      <c r="D861" s="567"/>
      <c r="E861" s="567"/>
      <c r="F861" s="567"/>
      <c r="G861" s="570"/>
      <c r="H861" s="570"/>
      <c r="I861" s="567"/>
      <c r="J861" s="567"/>
      <c r="K861" s="567"/>
      <c r="L861" s="568"/>
      <c r="M861" s="568"/>
      <c r="N861" s="567"/>
      <c r="O861" s="567"/>
      <c r="P861" s="567"/>
      <c r="Q861" s="567"/>
      <c r="R861" s="570"/>
      <c r="S861" s="570"/>
      <c r="T861" s="567"/>
      <c r="U861" s="569"/>
      <c r="V861" s="567"/>
      <c r="W861" s="568"/>
      <c r="X861" s="568"/>
      <c r="Y861" s="567"/>
    </row>
    <row r="862" spans="1:25" x14ac:dyDescent="0.25">
      <c r="A862" s="570"/>
      <c r="B862" s="570"/>
      <c r="C862" s="570"/>
      <c r="D862" s="567"/>
      <c r="E862" s="567"/>
      <c r="F862" s="567"/>
      <c r="G862" s="570"/>
      <c r="H862" s="570"/>
      <c r="I862" s="567"/>
      <c r="J862" s="567"/>
      <c r="K862" s="567"/>
      <c r="L862" s="568"/>
      <c r="M862" s="568"/>
      <c r="N862" s="567"/>
      <c r="O862" s="567"/>
      <c r="P862" s="567"/>
      <c r="Q862" s="567"/>
      <c r="R862" s="570"/>
      <c r="S862" s="570"/>
      <c r="T862" s="567"/>
      <c r="U862" s="569"/>
      <c r="V862" s="567"/>
      <c r="W862" s="568"/>
      <c r="X862" s="568"/>
      <c r="Y862" s="567"/>
    </row>
    <row r="863" spans="1:25" x14ac:dyDescent="0.25">
      <c r="A863" s="570"/>
      <c r="B863" s="570"/>
      <c r="C863" s="570"/>
      <c r="D863" s="567"/>
      <c r="E863" s="567"/>
      <c r="F863" s="567"/>
      <c r="G863" s="570"/>
      <c r="H863" s="570"/>
      <c r="I863" s="567"/>
      <c r="J863" s="567"/>
      <c r="K863" s="567"/>
      <c r="L863" s="568"/>
      <c r="M863" s="568"/>
      <c r="N863" s="567"/>
      <c r="O863" s="567"/>
      <c r="P863" s="567"/>
      <c r="Q863" s="567"/>
      <c r="R863" s="570"/>
      <c r="S863" s="570"/>
      <c r="T863" s="567"/>
      <c r="U863" s="569"/>
      <c r="V863" s="567"/>
      <c r="W863" s="568"/>
      <c r="X863" s="568"/>
      <c r="Y863" s="567"/>
    </row>
    <row r="864" spans="1:25" x14ac:dyDescent="0.25">
      <c r="A864" s="570"/>
      <c r="B864" s="570"/>
      <c r="C864" s="570"/>
      <c r="D864" s="567"/>
      <c r="E864" s="567"/>
      <c r="F864" s="567"/>
      <c r="G864" s="570"/>
      <c r="H864" s="570"/>
      <c r="I864" s="567"/>
      <c r="J864" s="567"/>
      <c r="K864" s="567"/>
      <c r="L864" s="568"/>
      <c r="M864" s="568"/>
      <c r="N864" s="567"/>
      <c r="O864" s="567"/>
      <c r="P864" s="567"/>
      <c r="Q864" s="567"/>
      <c r="R864" s="570"/>
      <c r="S864" s="570"/>
      <c r="T864" s="567"/>
      <c r="U864" s="569"/>
      <c r="V864" s="567"/>
      <c r="W864" s="568"/>
      <c r="X864" s="568"/>
      <c r="Y864" s="567"/>
    </row>
    <row r="865" spans="1:25" x14ac:dyDescent="0.25">
      <c r="A865" s="570"/>
      <c r="B865" s="570"/>
      <c r="C865" s="570"/>
      <c r="D865" s="567"/>
      <c r="E865" s="567"/>
      <c r="F865" s="567"/>
      <c r="G865" s="570"/>
      <c r="H865" s="570"/>
      <c r="I865" s="567"/>
      <c r="J865" s="567"/>
      <c r="K865" s="567"/>
      <c r="L865" s="568"/>
      <c r="M865" s="568"/>
      <c r="N865" s="567"/>
      <c r="O865" s="567"/>
      <c r="P865" s="567"/>
      <c r="Q865" s="567"/>
      <c r="R865" s="570"/>
      <c r="S865" s="570"/>
      <c r="T865" s="567"/>
      <c r="U865" s="569"/>
      <c r="V865" s="567"/>
      <c r="W865" s="568"/>
      <c r="X865" s="568"/>
      <c r="Y865" s="567"/>
    </row>
    <row r="866" spans="1:25" x14ac:dyDescent="0.25">
      <c r="A866" s="570"/>
      <c r="B866" s="570"/>
      <c r="C866" s="570"/>
      <c r="D866" s="567"/>
      <c r="E866" s="567"/>
      <c r="F866" s="567"/>
      <c r="G866" s="570"/>
      <c r="H866" s="570"/>
      <c r="I866" s="567"/>
      <c r="J866" s="567"/>
      <c r="K866" s="567"/>
      <c r="L866" s="568"/>
      <c r="M866" s="568"/>
      <c r="N866" s="567"/>
      <c r="O866" s="567"/>
      <c r="P866" s="567"/>
      <c r="Q866" s="567"/>
      <c r="R866" s="570"/>
      <c r="S866" s="570"/>
      <c r="T866" s="567"/>
      <c r="U866" s="569"/>
      <c r="V866" s="567"/>
      <c r="W866" s="568"/>
      <c r="X866" s="568"/>
      <c r="Y866" s="567"/>
    </row>
    <row r="867" spans="1:25" x14ac:dyDescent="0.25">
      <c r="A867" s="570"/>
      <c r="B867" s="570"/>
      <c r="C867" s="570"/>
      <c r="D867" s="567"/>
      <c r="E867" s="567"/>
      <c r="F867" s="567"/>
      <c r="G867" s="570"/>
      <c r="H867" s="570"/>
      <c r="I867" s="567"/>
      <c r="J867" s="567"/>
      <c r="K867" s="567"/>
      <c r="L867" s="568"/>
      <c r="M867" s="568"/>
      <c r="N867" s="567"/>
      <c r="O867" s="567"/>
      <c r="P867" s="567"/>
      <c r="Q867" s="567"/>
      <c r="R867" s="570"/>
      <c r="S867" s="570"/>
      <c r="T867" s="567"/>
      <c r="U867" s="569"/>
      <c r="V867" s="567"/>
      <c r="W867" s="568"/>
      <c r="X867" s="568"/>
      <c r="Y867" s="567"/>
    </row>
    <row r="868" spans="1:25" x14ac:dyDescent="0.25">
      <c r="A868" s="570"/>
      <c r="B868" s="570"/>
      <c r="C868" s="570"/>
      <c r="D868" s="567"/>
      <c r="E868" s="567"/>
      <c r="F868" s="567"/>
      <c r="G868" s="570"/>
      <c r="H868" s="570"/>
      <c r="I868" s="567"/>
      <c r="J868" s="567"/>
      <c r="K868" s="567"/>
      <c r="L868" s="568"/>
      <c r="M868" s="568"/>
      <c r="N868" s="567"/>
      <c r="O868" s="567"/>
      <c r="P868" s="567"/>
      <c r="Q868" s="567"/>
      <c r="R868" s="570"/>
      <c r="S868" s="570"/>
      <c r="T868" s="567"/>
      <c r="U868" s="569"/>
      <c r="V868" s="567"/>
      <c r="W868" s="568"/>
      <c r="X868" s="568"/>
      <c r="Y868" s="567"/>
    </row>
    <row r="869" spans="1:25" x14ac:dyDescent="0.25">
      <c r="A869" s="570"/>
      <c r="B869" s="570"/>
      <c r="C869" s="570"/>
      <c r="D869" s="567"/>
      <c r="E869" s="567"/>
      <c r="F869" s="567"/>
      <c r="G869" s="570"/>
      <c r="H869" s="570"/>
      <c r="I869" s="567"/>
      <c r="J869" s="567"/>
      <c r="K869" s="567"/>
      <c r="L869" s="568"/>
      <c r="M869" s="568"/>
      <c r="N869" s="567"/>
      <c r="O869" s="567"/>
      <c r="P869" s="567"/>
      <c r="Q869" s="567"/>
      <c r="R869" s="570"/>
      <c r="S869" s="570"/>
      <c r="T869" s="567"/>
      <c r="U869" s="569"/>
      <c r="V869" s="567"/>
      <c r="W869" s="568"/>
      <c r="X869" s="568"/>
      <c r="Y869" s="567"/>
    </row>
    <row r="870" spans="1:25" x14ac:dyDescent="0.25">
      <c r="A870" s="570"/>
      <c r="B870" s="570"/>
      <c r="C870" s="570"/>
      <c r="D870" s="567"/>
      <c r="E870" s="567"/>
      <c r="F870" s="567"/>
      <c r="G870" s="570"/>
      <c r="H870" s="570"/>
      <c r="I870" s="567"/>
      <c r="J870" s="567"/>
      <c r="K870" s="567"/>
      <c r="L870" s="568"/>
      <c r="M870" s="568"/>
      <c r="N870" s="567"/>
      <c r="O870" s="567"/>
      <c r="P870" s="567"/>
      <c r="Q870" s="567"/>
      <c r="R870" s="570"/>
      <c r="S870" s="570"/>
      <c r="T870" s="567"/>
      <c r="U870" s="569"/>
      <c r="V870" s="567"/>
      <c r="W870" s="568"/>
      <c r="X870" s="568"/>
      <c r="Y870" s="567"/>
    </row>
    <row r="871" spans="1:25" x14ac:dyDescent="0.25">
      <c r="A871" s="570"/>
      <c r="B871" s="570"/>
      <c r="C871" s="570"/>
      <c r="D871" s="567"/>
      <c r="E871" s="567"/>
      <c r="F871" s="567"/>
      <c r="G871" s="570"/>
      <c r="H871" s="570"/>
      <c r="I871" s="567"/>
      <c r="J871" s="567"/>
      <c r="K871" s="567"/>
      <c r="L871" s="568"/>
      <c r="M871" s="568"/>
      <c r="N871" s="567"/>
      <c r="O871" s="567"/>
      <c r="P871" s="567"/>
      <c r="Q871" s="567"/>
      <c r="R871" s="570"/>
      <c r="S871" s="570"/>
      <c r="T871" s="567"/>
      <c r="U871" s="569"/>
      <c r="V871" s="567"/>
      <c r="W871" s="568"/>
      <c r="X871" s="568"/>
      <c r="Y871" s="567"/>
    </row>
    <row r="872" spans="1:25" x14ac:dyDescent="0.25">
      <c r="A872" s="570"/>
      <c r="B872" s="570"/>
      <c r="C872" s="570"/>
      <c r="D872" s="567"/>
      <c r="E872" s="567"/>
      <c r="F872" s="567"/>
      <c r="G872" s="570"/>
      <c r="H872" s="570"/>
      <c r="I872" s="567"/>
      <c r="J872" s="567"/>
      <c r="K872" s="567"/>
      <c r="L872" s="568"/>
      <c r="M872" s="568"/>
      <c r="N872" s="567"/>
      <c r="O872" s="567"/>
      <c r="P872" s="567"/>
      <c r="Q872" s="567"/>
      <c r="R872" s="570"/>
      <c r="S872" s="570"/>
      <c r="T872" s="567"/>
      <c r="U872" s="569"/>
      <c r="V872" s="567"/>
      <c r="W872" s="568"/>
      <c r="X872" s="568"/>
      <c r="Y872" s="567"/>
    </row>
    <row r="873" spans="1:25" x14ac:dyDescent="0.25">
      <c r="A873" s="570"/>
      <c r="B873" s="570"/>
      <c r="C873" s="570"/>
      <c r="D873" s="567"/>
      <c r="E873" s="567"/>
      <c r="F873" s="567"/>
      <c r="G873" s="570"/>
      <c r="H873" s="570"/>
      <c r="I873" s="567"/>
      <c r="J873" s="567"/>
      <c r="K873" s="567"/>
      <c r="L873" s="568"/>
      <c r="M873" s="568"/>
      <c r="N873" s="567"/>
      <c r="O873" s="567"/>
      <c r="P873" s="567"/>
      <c r="Q873" s="567"/>
      <c r="R873" s="570"/>
      <c r="S873" s="570"/>
      <c r="T873" s="567"/>
      <c r="U873" s="569"/>
      <c r="V873" s="567"/>
      <c r="W873" s="568"/>
      <c r="X873" s="568"/>
      <c r="Y873" s="567"/>
    </row>
    <row r="874" spans="1:25" x14ac:dyDescent="0.25">
      <c r="A874" s="570"/>
      <c r="B874" s="570"/>
      <c r="C874" s="570"/>
      <c r="D874" s="567"/>
      <c r="E874" s="567"/>
      <c r="F874" s="567"/>
      <c r="G874" s="570"/>
      <c r="H874" s="570"/>
      <c r="I874" s="567"/>
      <c r="J874" s="567"/>
      <c r="K874" s="567"/>
      <c r="L874" s="568"/>
      <c r="M874" s="568"/>
      <c r="N874" s="567"/>
      <c r="O874" s="567"/>
      <c r="P874" s="567"/>
      <c r="Q874" s="567"/>
      <c r="R874" s="570"/>
      <c r="S874" s="570"/>
      <c r="T874" s="567"/>
      <c r="U874" s="569"/>
      <c r="V874" s="567"/>
      <c r="W874" s="568"/>
      <c r="X874" s="568"/>
      <c r="Y874" s="567"/>
    </row>
    <row r="875" spans="1:25" x14ac:dyDescent="0.25">
      <c r="A875" s="570"/>
      <c r="B875" s="570"/>
      <c r="C875" s="570"/>
      <c r="D875" s="567"/>
      <c r="E875" s="567"/>
      <c r="F875" s="567"/>
      <c r="G875" s="570"/>
      <c r="H875" s="570"/>
      <c r="I875" s="567"/>
      <c r="J875" s="567"/>
      <c r="K875" s="567"/>
      <c r="L875" s="568"/>
      <c r="M875" s="568"/>
      <c r="N875" s="567"/>
      <c r="O875" s="567"/>
      <c r="P875" s="567"/>
      <c r="Q875" s="567"/>
      <c r="R875" s="570"/>
      <c r="S875" s="570"/>
      <c r="T875" s="567"/>
      <c r="U875" s="569"/>
      <c r="V875" s="567"/>
      <c r="W875" s="568"/>
      <c r="X875" s="568"/>
      <c r="Y875" s="567"/>
    </row>
    <row r="876" spans="1:25" x14ac:dyDescent="0.25">
      <c r="A876" s="570"/>
      <c r="B876" s="570"/>
      <c r="C876" s="570"/>
      <c r="D876" s="567"/>
      <c r="E876" s="567"/>
      <c r="F876" s="567"/>
      <c r="G876" s="570"/>
      <c r="H876" s="570"/>
      <c r="I876" s="567"/>
      <c r="J876" s="567"/>
      <c r="K876" s="567"/>
      <c r="L876" s="568"/>
      <c r="M876" s="568"/>
      <c r="N876" s="567"/>
      <c r="O876" s="567"/>
      <c r="P876" s="567"/>
      <c r="Q876" s="567"/>
      <c r="R876" s="570"/>
      <c r="S876" s="570"/>
      <c r="T876" s="567"/>
      <c r="U876" s="569"/>
      <c r="V876" s="567"/>
      <c r="W876" s="568"/>
      <c r="X876" s="568"/>
      <c r="Y876" s="567"/>
    </row>
    <row r="877" spans="1:25" x14ac:dyDescent="0.25">
      <c r="A877" s="570"/>
      <c r="B877" s="570"/>
      <c r="C877" s="570"/>
      <c r="D877" s="567"/>
      <c r="E877" s="567"/>
      <c r="F877" s="567"/>
      <c r="G877" s="570"/>
      <c r="H877" s="570"/>
      <c r="I877" s="567"/>
      <c r="J877" s="567"/>
      <c r="K877" s="567"/>
      <c r="L877" s="568"/>
      <c r="M877" s="568"/>
      <c r="N877" s="567"/>
      <c r="O877" s="567"/>
      <c r="P877" s="567"/>
      <c r="Q877" s="567"/>
      <c r="R877" s="570"/>
      <c r="S877" s="570"/>
      <c r="T877" s="567"/>
      <c r="U877" s="569"/>
      <c r="V877" s="567"/>
      <c r="W877" s="568"/>
      <c r="X877" s="568"/>
      <c r="Y877" s="567"/>
    </row>
    <row r="878" spans="1:25" x14ac:dyDescent="0.25">
      <c r="A878" s="570"/>
      <c r="B878" s="570"/>
      <c r="C878" s="570"/>
      <c r="D878" s="567"/>
      <c r="E878" s="567"/>
      <c r="F878" s="567"/>
      <c r="G878" s="570"/>
      <c r="H878" s="570"/>
      <c r="I878" s="567"/>
      <c r="J878" s="567"/>
      <c r="K878" s="567"/>
      <c r="L878" s="568"/>
      <c r="M878" s="568"/>
      <c r="N878" s="567"/>
      <c r="O878" s="567"/>
      <c r="P878" s="567"/>
      <c r="Q878" s="567"/>
      <c r="R878" s="570"/>
      <c r="S878" s="570"/>
      <c r="T878" s="567"/>
      <c r="U878" s="569"/>
      <c r="V878" s="567"/>
      <c r="W878" s="568"/>
      <c r="X878" s="568"/>
      <c r="Y878" s="567"/>
    </row>
    <row r="879" spans="1:25" x14ac:dyDescent="0.25">
      <c r="A879" s="570"/>
      <c r="B879" s="570"/>
      <c r="C879" s="570"/>
      <c r="D879" s="567"/>
      <c r="E879" s="567"/>
      <c r="F879" s="567"/>
      <c r="G879" s="570"/>
      <c r="H879" s="570"/>
      <c r="I879" s="567"/>
      <c r="J879" s="567"/>
      <c r="K879" s="567"/>
      <c r="L879" s="568"/>
      <c r="M879" s="568"/>
      <c r="N879" s="567"/>
      <c r="O879" s="567"/>
      <c r="P879" s="567"/>
      <c r="Q879" s="567"/>
      <c r="R879" s="570"/>
      <c r="S879" s="570"/>
      <c r="T879" s="567"/>
      <c r="U879" s="569"/>
      <c r="V879" s="567"/>
      <c r="W879" s="568"/>
      <c r="X879" s="568"/>
      <c r="Y879" s="567"/>
    </row>
    <row r="880" spans="1:25" x14ac:dyDescent="0.25">
      <c r="A880" s="570"/>
      <c r="B880" s="570"/>
      <c r="C880" s="570"/>
      <c r="D880" s="567"/>
      <c r="E880" s="567"/>
      <c r="F880" s="567"/>
      <c r="G880" s="570"/>
      <c r="H880" s="570"/>
      <c r="I880" s="567"/>
      <c r="J880" s="567"/>
      <c r="K880" s="567"/>
      <c r="L880" s="568"/>
      <c r="M880" s="568"/>
      <c r="N880" s="567"/>
      <c r="O880" s="567"/>
      <c r="P880" s="567"/>
      <c r="Q880" s="567"/>
      <c r="R880" s="570"/>
      <c r="S880" s="570"/>
      <c r="T880" s="567"/>
      <c r="U880" s="569"/>
      <c r="V880" s="567"/>
      <c r="W880" s="568"/>
      <c r="X880" s="568"/>
      <c r="Y880" s="567"/>
    </row>
    <row r="881" spans="1:25" x14ac:dyDescent="0.25">
      <c r="A881" s="570"/>
      <c r="B881" s="570"/>
      <c r="C881" s="570"/>
      <c r="D881" s="567"/>
      <c r="E881" s="567"/>
      <c r="F881" s="567"/>
      <c r="G881" s="570"/>
      <c r="H881" s="570"/>
      <c r="I881" s="567"/>
      <c r="J881" s="567"/>
      <c r="K881" s="567"/>
      <c r="L881" s="568"/>
      <c r="M881" s="568"/>
      <c r="N881" s="567"/>
      <c r="O881" s="567"/>
      <c r="P881" s="567"/>
      <c r="Q881" s="567"/>
      <c r="R881" s="570"/>
      <c r="S881" s="570"/>
      <c r="T881" s="567"/>
      <c r="U881" s="569"/>
      <c r="V881" s="567"/>
      <c r="W881" s="568"/>
      <c r="X881" s="568"/>
      <c r="Y881" s="567"/>
    </row>
    <row r="882" spans="1:25" x14ac:dyDescent="0.25">
      <c r="A882" s="570"/>
      <c r="B882" s="570"/>
      <c r="C882" s="570"/>
      <c r="D882" s="567"/>
      <c r="E882" s="567"/>
      <c r="F882" s="567"/>
      <c r="G882" s="570"/>
      <c r="H882" s="570"/>
      <c r="I882" s="567"/>
      <c r="J882" s="567"/>
      <c r="K882" s="567"/>
      <c r="L882" s="568"/>
      <c r="M882" s="568"/>
      <c r="N882" s="567"/>
      <c r="O882" s="567"/>
      <c r="P882" s="567"/>
      <c r="Q882" s="567"/>
      <c r="R882" s="570"/>
      <c r="S882" s="570"/>
      <c r="T882" s="567"/>
      <c r="U882" s="569"/>
      <c r="V882" s="567"/>
      <c r="W882" s="568"/>
      <c r="X882" s="568"/>
      <c r="Y882" s="567"/>
    </row>
    <row r="883" spans="1:25" x14ac:dyDescent="0.25">
      <c r="A883" s="570"/>
      <c r="B883" s="570"/>
      <c r="C883" s="570"/>
      <c r="D883" s="567"/>
      <c r="E883" s="567"/>
      <c r="F883" s="567"/>
      <c r="G883" s="570"/>
      <c r="H883" s="570"/>
      <c r="I883" s="567"/>
      <c r="J883" s="567"/>
      <c r="K883" s="567"/>
      <c r="L883" s="568"/>
      <c r="M883" s="568"/>
      <c r="N883" s="567"/>
      <c r="O883" s="567"/>
      <c r="P883" s="567"/>
      <c r="Q883" s="567"/>
      <c r="R883" s="570"/>
      <c r="S883" s="570"/>
      <c r="T883" s="567"/>
      <c r="U883" s="569"/>
      <c r="V883" s="567"/>
      <c r="W883" s="568"/>
      <c r="X883" s="568"/>
      <c r="Y883" s="567"/>
    </row>
    <row r="884" spans="1:25" x14ac:dyDescent="0.25">
      <c r="A884" s="570"/>
      <c r="B884" s="570"/>
      <c r="C884" s="570"/>
      <c r="D884" s="567"/>
      <c r="E884" s="567"/>
      <c r="F884" s="567"/>
      <c r="G884" s="570"/>
      <c r="H884" s="570"/>
      <c r="I884" s="567"/>
      <c r="J884" s="567"/>
      <c r="K884" s="567"/>
      <c r="L884" s="568"/>
      <c r="M884" s="568"/>
      <c r="N884" s="567"/>
      <c r="O884" s="567"/>
      <c r="P884" s="567"/>
      <c r="Q884" s="567"/>
      <c r="R884" s="570"/>
      <c r="S884" s="570"/>
      <c r="T884" s="567"/>
      <c r="U884" s="569"/>
      <c r="V884" s="567"/>
      <c r="W884" s="568"/>
      <c r="X884" s="568"/>
      <c r="Y884" s="567"/>
    </row>
    <row r="885" spans="1:25" x14ac:dyDescent="0.25">
      <c r="A885" s="570"/>
      <c r="B885" s="570"/>
      <c r="C885" s="570"/>
      <c r="D885" s="567"/>
      <c r="E885" s="567"/>
      <c r="F885" s="567"/>
      <c r="G885" s="570"/>
      <c r="H885" s="570"/>
      <c r="I885" s="567"/>
      <c r="J885" s="567"/>
      <c r="K885" s="567"/>
      <c r="L885" s="568"/>
      <c r="M885" s="568"/>
      <c r="N885" s="567"/>
      <c r="O885" s="567"/>
      <c r="P885" s="567"/>
      <c r="Q885" s="567"/>
      <c r="R885" s="570"/>
      <c r="S885" s="570"/>
      <c r="T885" s="567"/>
      <c r="U885" s="569"/>
      <c r="V885" s="567"/>
      <c r="W885" s="568"/>
      <c r="X885" s="568"/>
      <c r="Y885" s="567"/>
    </row>
    <row r="886" spans="1:25" x14ac:dyDescent="0.25">
      <c r="A886" s="570"/>
      <c r="B886" s="570"/>
      <c r="C886" s="570"/>
      <c r="D886" s="567"/>
      <c r="E886" s="567"/>
      <c r="F886" s="567"/>
      <c r="G886" s="570"/>
      <c r="H886" s="570"/>
      <c r="I886" s="567"/>
      <c r="J886" s="567"/>
      <c r="K886" s="567"/>
      <c r="L886" s="568"/>
      <c r="M886" s="568"/>
      <c r="N886" s="567"/>
      <c r="O886" s="567"/>
      <c r="P886" s="567"/>
      <c r="Q886" s="567"/>
      <c r="R886" s="570"/>
      <c r="S886" s="570"/>
      <c r="T886" s="567"/>
      <c r="U886" s="569"/>
      <c r="V886" s="567"/>
      <c r="W886" s="568"/>
      <c r="X886" s="568"/>
      <c r="Y886" s="567"/>
    </row>
    <row r="887" spans="1:25" x14ac:dyDescent="0.25">
      <c r="A887" s="570"/>
      <c r="B887" s="570"/>
      <c r="C887" s="570"/>
      <c r="D887" s="567"/>
      <c r="E887" s="567"/>
      <c r="F887" s="567"/>
      <c r="G887" s="570"/>
      <c r="H887" s="570"/>
      <c r="I887" s="567"/>
      <c r="J887" s="567"/>
      <c r="K887" s="567"/>
      <c r="L887" s="568"/>
      <c r="M887" s="568"/>
      <c r="N887" s="567"/>
      <c r="O887" s="567"/>
      <c r="P887" s="567"/>
      <c r="Q887" s="567"/>
      <c r="R887" s="570"/>
      <c r="S887" s="570"/>
      <c r="T887" s="567"/>
      <c r="U887" s="569"/>
      <c r="V887" s="567"/>
      <c r="W887" s="568"/>
      <c r="X887" s="568"/>
      <c r="Y887" s="567"/>
    </row>
    <row r="888" spans="1:25" x14ac:dyDescent="0.25">
      <c r="A888" s="570"/>
      <c r="B888" s="570"/>
      <c r="C888" s="570"/>
      <c r="D888" s="567"/>
      <c r="E888" s="567"/>
      <c r="F888" s="567"/>
      <c r="G888" s="570"/>
      <c r="H888" s="570"/>
      <c r="I888" s="567"/>
      <c r="J888" s="567"/>
      <c r="K888" s="567"/>
      <c r="L888" s="568"/>
      <c r="M888" s="568"/>
      <c r="N888" s="567"/>
      <c r="O888" s="567"/>
      <c r="P888" s="567"/>
      <c r="Q888" s="567"/>
      <c r="R888" s="570"/>
      <c r="S888" s="570"/>
      <c r="T888" s="567"/>
      <c r="U888" s="569"/>
      <c r="V888" s="567"/>
      <c r="W888" s="568"/>
      <c r="X888" s="568"/>
      <c r="Y888" s="567"/>
    </row>
    <row r="889" spans="1:25" x14ac:dyDescent="0.25">
      <c r="A889" s="570"/>
      <c r="B889" s="570"/>
      <c r="C889" s="570"/>
      <c r="D889" s="567"/>
      <c r="E889" s="567"/>
      <c r="F889" s="567"/>
      <c r="G889" s="570"/>
      <c r="H889" s="570"/>
      <c r="I889" s="567"/>
      <c r="J889" s="567"/>
      <c r="K889" s="567"/>
      <c r="L889" s="568"/>
      <c r="M889" s="568"/>
      <c r="N889" s="567"/>
      <c r="O889" s="567"/>
      <c r="P889" s="567"/>
      <c r="Q889" s="567"/>
      <c r="R889" s="570"/>
      <c r="S889" s="570"/>
      <c r="T889" s="567"/>
      <c r="U889" s="569"/>
      <c r="V889" s="567"/>
      <c r="W889" s="568"/>
      <c r="X889" s="568"/>
      <c r="Y889" s="567"/>
    </row>
    <row r="890" spans="1:25" x14ac:dyDescent="0.25">
      <c r="A890" s="570"/>
      <c r="B890" s="570"/>
      <c r="C890" s="570"/>
      <c r="D890" s="567"/>
      <c r="E890" s="567"/>
      <c r="F890" s="567"/>
      <c r="G890" s="570"/>
      <c r="H890" s="570"/>
      <c r="I890" s="567"/>
      <c r="J890" s="567"/>
      <c r="K890" s="567"/>
      <c r="L890" s="568"/>
      <c r="M890" s="568"/>
      <c r="N890" s="567"/>
      <c r="O890" s="567"/>
      <c r="P890" s="567"/>
      <c r="Q890" s="567"/>
      <c r="R890" s="570"/>
      <c r="S890" s="570"/>
      <c r="T890" s="567"/>
      <c r="U890" s="569"/>
      <c r="V890" s="567"/>
      <c r="W890" s="568"/>
      <c r="X890" s="568"/>
      <c r="Y890" s="567"/>
    </row>
    <row r="891" spans="1:25" x14ac:dyDescent="0.25">
      <c r="A891" s="570"/>
      <c r="B891" s="570"/>
      <c r="C891" s="570"/>
      <c r="D891" s="567"/>
      <c r="E891" s="567"/>
      <c r="F891" s="567"/>
      <c r="G891" s="570"/>
      <c r="H891" s="570"/>
      <c r="I891" s="567"/>
      <c r="J891" s="567"/>
      <c r="K891" s="567"/>
      <c r="L891" s="568"/>
      <c r="M891" s="568"/>
      <c r="N891" s="567"/>
      <c r="O891" s="567"/>
      <c r="P891" s="567"/>
      <c r="Q891" s="567"/>
      <c r="R891" s="570"/>
      <c r="S891" s="570"/>
      <c r="T891" s="567"/>
      <c r="U891" s="569"/>
      <c r="V891" s="567"/>
      <c r="W891" s="568"/>
      <c r="X891" s="568"/>
      <c r="Y891" s="567"/>
    </row>
    <row r="892" spans="1:25" x14ac:dyDescent="0.25">
      <c r="A892" s="570"/>
      <c r="B892" s="570"/>
      <c r="C892" s="570"/>
      <c r="D892" s="567"/>
      <c r="E892" s="567"/>
      <c r="F892" s="567"/>
      <c r="G892" s="570"/>
      <c r="H892" s="570"/>
      <c r="I892" s="567"/>
      <c r="J892" s="567"/>
      <c r="K892" s="567"/>
      <c r="L892" s="568"/>
      <c r="M892" s="568"/>
      <c r="N892" s="567"/>
      <c r="O892" s="567"/>
      <c r="P892" s="567"/>
      <c r="Q892" s="567"/>
      <c r="R892" s="570"/>
      <c r="S892" s="570"/>
      <c r="T892" s="567"/>
      <c r="U892" s="569"/>
      <c r="V892" s="567"/>
      <c r="W892" s="568"/>
      <c r="X892" s="568"/>
      <c r="Y892" s="567"/>
    </row>
    <row r="893" spans="1:25" x14ac:dyDescent="0.25">
      <c r="A893" s="570"/>
      <c r="B893" s="570"/>
      <c r="C893" s="570"/>
      <c r="D893" s="567"/>
      <c r="E893" s="567"/>
      <c r="F893" s="567"/>
      <c r="G893" s="570"/>
      <c r="H893" s="570"/>
      <c r="I893" s="567"/>
      <c r="J893" s="567"/>
      <c r="K893" s="567"/>
      <c r="L893" s="568"/>
      <c r="M893" s="568"/>
      <c r="N893" s="567"/>
      <c r="O893" s="567"/>
      <c r="P893" s="567"/>
      <c r="Q893" s="567"/>
      <c r="R893" s="570"/>
      <c r="S893" s="570"/>
      <c r="T893" s="567"/>
      <c r="U893" s="569"/>
      <c r="V893" s="567"/>
      <c r="W893" s="568"/>
      <c r="X893" s="568"/>
      <c r="Y893" s="567"/>
    </row>
    <row r="894" spans="1:25" x14ac:dyDescent="0.25">
      <c r="A894" s="570"/>
      <c r="B894" s="570"/>
      <c r="C894" s="570"/>
      <c r="D894" s="567"/>
      <c r="E894" s="567"/>
      <c r="F894" s="567"/>
      <c r="G894" s="570"/>
      <c r="H894" s="570"/>
      <c r="I894" s="567"/>
      <c r="J894" s="567"/>
      <c r="K894" s="567"/>
      <c r="L894" s="568"/>
      <c r="M894" s="568"/>
      <c r="N894" s="567"/>
      <c r="O894" s="567"/>
      <c r="P894" s="567"/>
      <c r="Q894" s="567"/>
      <c r="R894" s="570"/>
      <c r="S894" s="570"/>
      <c r="T894" s="567"/>
      <c r="U894" s="569"/>
      <c r="V894" s="567"/>
      <c r="W894" s="568"/>
      <c r="X894" s="568"/>
      <c r="Y894" s="567"/>
    </row>
    <row r="895" spans="1:25" x14ac:dyDescent="0.25">
      <c r="A895" s="570"/>
      <c r="B895" s="570"/>
      <c r="C895" s="570"/>
      <c r="D895" s="567"/>
      <c r="E895" s="567"/>
      <c r="F895" s="567"/>
      <c r="G895" s="570"/>
      <c r="H895" s="570"/>
      <c r="I895" s="567"/>
      <c r="J895" s="567"/>
      <c r="K895" s="567"/>
      <c r="L895" s="568"/>
      <c r="M895" s="568"/>
      <c r="N895" s="567"/>
      <c r="O895" s="567"/>
      <c r="P895" s="567"/>
      <c r="Q895" s="567"/>
      <c r="R895" s="570"/>
      <c r="S895" s="570"/>
      <c r="T895" s="567"/>
      <c r="U895" s="569"/>
      <c r="V895" s="567"/>
      <c r="W895" s="568"/>
      <c r="X895" s="568"/>
      <c r="Y895" s="567"/>
    </row>
    <row r="896" spans="1:25" x14ac:dyDescent="0.25">
      <c r="A896" s="570"/>
      <c r="B896" s="570"/>
      <c r="C896" s="570"/>
      <c r="D896" s="567"/>
      <c r="E896" s="567"/>
      <c r="F896" s="567"/>
      <c r="G896" s="570"/>
      <c r="H896" s="570"/>
      <c r="I896" s="567"/>
      <c r="J896" s="567"/>
      <c r="K896" s="567"/>
      <c r="L896" s="568"/>
      <c r="M896" s="568"/>
      <c r="N896" s="567"/>
      <c r="O896" s="567"/>
      <c r="P896" s="567"/>
      <c r="Q896" s="567"/>
      <c r="R896" s="570"/>
      <c r="S896" s="570"/>
      <c r="T896" s="567"/>
      <c r="U896" s="569"/>
      <c r="V896" s="567"/>
      <c r="W896" s="568"/>
      <c r="X896" s="568"/>
      <c r="Y896" s="567"/>
    </row>
    <row r="897" spans="1:25" x14ac:dyDescent="0.25">
      <c r="A897" s="570"/>
      <c r="B897" s="570"/>
      <c r="C897" s="570"/>
      <c r="D897" s="567"/>
      <c r="E897" s="567"/>
      <c r="F897" s="567"/>
      <c r="G897" s="570"/>
      <c r="H897" s="570"/>
      <c r="I897" s="567"/>
      <c r="J897" s="567"/>
      <c r="K897" s="567"/>
      <c r="L897" s="568"/>
      <c r="M897" s="568"/>
      <c r="N897" s="567"/>
      <c r="O897" s="567"/>
      <c r="P897" s="567"/>
      <c r="Q897" s="567"/>
      <c r="R897" s="570"/>
      <c r="S897" s="570"/>
      <c r="T897" s="567"/>
      <c r="U897" s="569"/>
      <c r="V897" s="567"/>
      <c r="W897" s="568"/>
      <c r="X897" s="568"/>
      <c r="Y897" s="567"/>
    </row>
    <row r="898" spans="1:25" x14ac:dyDescent="0.25">
      <c r="A898" s="570"/>
      <c r="B898" s="570"/>
      <c r="C898" s="570"/>
      <c r="D898" s="567"/>
      <c r="E898" s="567"/>
      <c r="F898" s="567"/>
      <c r="G898" s="570"/>
      <c r="H898" s="570"/>
      <c r="I898" s="567"/>
      <c r="J898" s="567"/>
      <c r="K898" s="567"/>
      <c r="L898" s="568"/>
      <c r="M898" s="568"/>
      <c r="N898" s="567"/>
      <c r="O898" s="567"/>
      <c r="P898" s="567"/>
      <c r="Q898" s="567"/>
      <c r="R898" s="570"/>
      <c r="S898" s="570"/>
      <c r="T898" s="567"/>
      <c r="U898" s="569"/>
      <c r="V898" s="567"/>
      <c r="W898" s="568"/>
      <c r="X898" s="568"/>
      <c r="Y898" s="567"/>
    </row>
    <row r="899" spans="1:25" x14ac:dyDescent="0.25">
      <c r="A899" s="570"/>
      <c r="B899" s="570"/>
      <c r="C899" s="570"/>
      <c r="D899" s="567"/>
      <c r="E899" s="567"/>
      <c r="F899" s="567"/>
      <c r="G899" s="570"/>
      <c r="H899" s="570"/>
      <c r="I899" s="567"/>
      <c r="J899" s="567"/>
      <c r="K899" s="567"/>
      <c r="L899" s="568"/>
      <c r="M899" s="568"/>
      <c r="N899" s="567"/>
      <c r="O899" s="567"/>
      <c r="P899" s="567"/>
      <c r="Q899" s="567"/>
      <c r="R899" s="570"/>
      <c r="S899" s="570"/>
      <c r="T899" s="567"/>
      <c r="U899" s="569"/>
      <c r="V899" s="567"/>
      <c r="W899" s="568"/>
      <c r="X899" s="568"/>
      <c r="Y899" s="567"/>
    </row>
    <row r="900" spans="1:25" x14ac:dyDescent="0.25">
      <c r="A900" s="570"/>
      <c r="B900" s="570"/>
      <c r="C900" s="570"/>
      <c r="D900" s="567"/>
      <c r="E900" s="567"/>
      <c r="F900" s="567"/>
      <c r="G900" s="570"/>
      <c r="H900" s="570"/>
      <c r="I900" s="567"/>
      <c r="J900" s="567"/>
      <c r="K900" s="567"/>
      <c r="L900" s="568"/>
      <c r="M900" s="568"/>
      <c r="N900" s="567"/>
      <c r="O900" s="567"/>
      <c r="P900" s="567"/>
      <c r="Q900" s="567"/>
      <c r="R900" s="570"/>
      <c r="S900" s="570"/>
      <c r="T900" s="567"/>
      <c r="U900" s="569"/>
      <c r="V900" s="567"/>
      <c r="W900" s="568"/>
      <c r="X900" s="568"/>
      <c r="Y900" s="567"/>
    </row>
    <row r="901" spans="1:25" x14ac:dyDescent="0.25">
      <c r="A901" s="570"/>
      <c r="B901" s="570"/>
      <c r="C901" s="570"/>
      <c r="D901" s="567"/>
      <c r="E901" s="567"/>
      <c r="F901" s="567"/>
      <c r="G901" s="570"/>
      <c r="H901" s="570"/>
      <c r="I901" s="567"/>
      <c r="J901" s="567"/>
      <c r="K901" s="567"/>
      <c r="L901" s="568"/>
      <c r="M901" s="568"/>
      <c r="N901" s="567"/>
      <c r="O901" s="567"/>
      <c r="P901" s="567"/>
      <c r="Q901" s="567"/>
      <c r="R901" s="570"/>
      <c r="S901" s="570"/>
      <c r="T901" s="567"/>
      <c r="U901" s="569"/>
      <c r="V901" s="567"/>
      <c r="W901" s="568"/>
      <c r="X901" s="568"/>
      <c r="Y901" s="567"/>
    </row>
    <row r="902" spans="1:25" x14ac:dyDescent="0.25">
      <c r="A902" s="570"/>
      <c r="B902" s="570"/>
      <c r="C902" s="570"/>
      <c r="D902" s="567"/>
      <c r="E902" s="567"/>
      <c r="F902" s="567"/>
      <c r="G902" s="570"/>
      <c r="H902" s="570"/>
      <c r="I902" s="567"/>
      <c r="J902" s="567"/>
      <c r="K902" s="567"/>
      <c r="L902" s="568"/>
      <c r="M902" s="568"/>
      <c r="N902" s="567"/>
      <c r="O902" s="567"/>
      <c r="P902" s="567"/>
      <c r="Q902" s="567"/>
      <c r="R902" s="570"/>
      <c r="S902" s="570"/>
      <c r="T902" s="567"/>
      <c r="U902" s="569"/>
      <c r="V902" s="567"/>
      <c r="W902" s="568"/>
      <c r="X902" s="568"/>
      <c r="Y902" s="567"/>
    </row>
    <row r="903" spans="1:25" x14ac:dyDescent="0.25">
      <c r="A903" s="570"/>
      <c r="B903" s="570"/>
      <c r="C903" s="570"/>
      <c r="D903" s="567"/>
      <c r="E903" s="567"/>
      <c r="F903" s="567"/>
      <c r="G903" s="570"/>
      <c r="H903" s="570"/>
      <c r="I903" s="567"/>
      <c r="J903" s="567"/>
      <c r="K903" s="567"/>
      <c r="L903" s="568"/>
      <c r="M903" s="568"/>
      <c r="N903" s="567"/>
      <c r="O903" s="567"/>
      <c r="P903" s="567"/>
      <c r="Q903" s="567"/>
      <c r="R903" s="570"/>
      <c r="S903" s="570"/>
      <c r="T903" s="567"/>
      <c r="U903" s="569"/>
      <c r="V903" s="567"/>
      <c r="W903" s="568"/>
      <c r="X903" s="568"/>
      <c r="Y903" s="567"/>
    </row>
    <row r="904" spans="1:25" x14ac:dyDescent="0.25">
      <c r="A904" s="570"/>
      <c r="B904" s="570"/>
      <c r="C904" s="570"/>
      <c r="D904" s="567"/>
      <c r="E904" s="567"/>
      <c r="F904" s="567"/>
      <c r="G904" s="570"/>
      <c r="H904" s="570"/>
      <c r="I904" s="567"/>
      <c r="J904" s="567"/>
      <c r="K904" s="567"/>
      <c r="L904" s="568"/>
      <c r="M904" s="568"/>
      <c r="N904" s="567"/>
      <c r="O904" s="567"/>
      <c r="P904" s="567"/>
      <c r="Q904" s="567"/>
      <c r="R904" s="570"/>
      <c r="S904" s="570"/>
      <c r="T904" s="567"/>
      <c r="U904" s="569"/>
      <c r="V904" s="567"/>
      <c r="W904" s="568"/>
      <c r="X904" s="568"/>
      <c r="Y904" s="567"/>
    </row>
    <row r="905" spans="1:25" x14ac:dyDescent="0.25">
      <c r="A905" s="570"/>
      <c r="B905" s="570"/>
      <c r="C905" s="570"/>
      <c r="D905" s="567"/>
      <c r="E905" s="567"/>
      <c r="F905" s="567"/>
      <c r="G905" s="570"/>
      <c r="H905" s="570"/>
      <c r="I905" s="567"/>
      <c r="J905" s="567"/>
      <c r="K905" s="567"/>
      <c r="L905" s="568"/>
      <c r="M905" s="568"/>
      <c r="N905" s="567"/>
      <c r="O905" s="567"/>
      <c r="P905" s="567"/>
      <c r="Q905" s="567"/>
      <c r="R905" s="570"/>
      <c r="S905" s="570"/>
      <c r="T905" s="567"/>
      <c r="U905" s="569"/>
      <c r="V905" s="567"/>
      <c r="W905" s="568"/>
      <c r="X905" s="568"/>
      <c r="Y905" s="567"/>
    </row>
    <row r="906" spans="1:25" x14ac:dyDescent="0.25">
      <c r="A906" s="570"/>
      <c r="B906" s="570"/>
      <c r="C906" s="570"/>
      <c r="D906" s="567"/>
      <c r="E906" s="567"/>
      <c r="F906" s="567"/>
      <c r="G906" s="570"/>
      <c r="H906" s="570"/>
      <c r="I906" s="567"/>
      <c r="J906" s="567"/>
      <c r="K906" s="567"/>
      <c r="L906" s="568"/>
      <c r="M906" s="568"/>
      <c r="N906" s="567"/>
      <c r="O906" s="567"/>
      <c r="P906" s="567"/>
      <c r="Q906" s="567"/>
      <c r="R906" s="570"/>
      <c r="S906" s="570"/>
      <c r="T906" s="567"/>
      <c r="U906" s="569"/>
      <c r="V906" s="567"/>
      <c r="W906" s="568"/>
      <c r="X906" s="568"/>
      <c r="Y906" s="567"/>
    </row>
    <row r="907" spans="1:25" x14ac:dyDescent="0.25">
      <c r="A907" s="570"/>
      <c r="B907" s="570"/>
      <c r="C907" s="570"/>
      <c r="D907" s="567"/>
      <c r="E907" s="567"/>
      <c r="F907" s="567"/>
      <c r="G907" s="570"/>
      <c r="H907" s="570"/>
      <c r="I907" s="567"/>
      <c r="J907" s="567"/>
      <c r="K907" s="567"/>
      <c r="L907" s="568"/>
      <c r="M907" s="568"/>
      <c r="N907" s="567"/>
      <c r="O907" s="567"/>
      <c r="P907" s="567"/>
      <c r="Q907" s="567"/>
      <c r="R907" s="570"/>
      <c r="S907" s="570"/>
      <c r="T907" s="567"/>
      <c r="U907" s="569"/>
      <c r="V907" s="567"/>
      <c r="W907" s="568"/>
      <c r="X907" s="568"/>
      <c r="Y907" s="567"/>
    </row>
    <row r="908" spans="1:25" x14ac:dyDescent="0.25">
      <c r="A908" s="570"/>
      <c r="B908" s="570"/>
      <c r="C908" s="570"/>
      <c r="D908" s="567"/>
      <c r="E908" s="567"/>
      <c r="F908" s="567"/>
      <c r="G908" s="570"/>
      <c r="H908" s="570"/>
      <c r="I908" s="567"/>
      <c r="J908" s="567"/>
      <c r="K908" s="567"/>
      <c r="L908" s="568"/>
      <c r="M908" s="568"/>
      <c r="N908" s="567"/>
      <c r="O908" s="567"/>
      <c r="P908" s="567"/>
      <c r="Q908" s="567"/>
      <c r="R908" s="570"/>
      <c r="S908" s="570"/>
      <c r="T908" s="567"/>
      <c r="U908" s="569"/>
      <c r="V908" s="567"/>
      <c r="W908" s="568"/>
      <c r="X908" s="568"/>
      <c r="Y908" s="567"/>
    </row>
    <row r="909" spans="1:25" x14ac:dyDescent="0.25">
      <c r="A909" s="570"/>
      <c r="B909" s="570"/>
      <c r="C909" s="570"/>
      <c r="D909" s="567"/>
      <c r="E909" s="567"/>
      <c r="F909" s="567"/>
      <c r="G909" s="570"/>
      <c r="H909" s="570"/>
      <c r="I909" s="567"/>
      <c r="J909" s="567"/>
      <c r="K909" s="567"/>
      <c r="L909" s="568"/>
      <c r="M909" s="568"/>
      <c r="N909" s="567"/>
      <c r="O909" s="567"/>
      <c r="P909" s="567"/>
      <c r="Q909" s="567"/>
      <c r="R909" s="570"/>
      <c r="S909" s="570"/>
      <c r="T909" s="567"/>
      <c r="U909" s="569"/>
      <c r="V909" s="567"/>
      <c r="W909" s="568"/>
      <c r="X909" s="568"/>
      <c r="Y909" s="567"/>
    </row>
    <row r="910" spans="1:25" x14ac:dyDescent="0.25">
      <c r="A910" s="570"/>
      <c r="B910" s="570"/>
      <c r="C910" s="570"/>
      <c r="D910" s="567"/>
      <c r="E910" s="567"/>
      <c r="F910" s="567"/>
      <c r="G910" s="570"/>
      <c r="H910" s="570"/>
      <c r="I910" s="567"/>
      <c r="J910" s="567"/>
      <c r="K910" s="567"/>
      <c r="L910" s="568"/>
      <c r="M910" s="568"/>
      <c r="N910" s="567"/>
      <c r="O910" s="567"/>
      <c r="P910" s="567"/>
      <c r="Q910" s="567"/>
      <c r="R910" s="570"/>
      <c r="S910" s="570"/>
      <c r="T910" s="567"/>
      <c r="U910" s="569"/>
      <c r="V910" s="567"/>
      <c r="W910" s="568"/>
      <c r="X910" s="568"/>
      <c r="Y910" s="567"/>
    </row>
    <row r="911" spans="1:25" x14ac:dyDescent="0.25">
      <c r="A911" s="570"/>
      <c r="B911" s="570"/>
      <c r="C911" s="570"/>
      <c r="D911" s="567"/>
      <c r="E911" s="567"/>
      <c r="F911" s="567"/>
      <c r="G911" s="570"/>
      <c r="H911" s="570"/>
      <c r="I911" s="567"/>
      <c r="J911" s="567"/>
      <c r="K911" s="567"/>
      <c r="L911" s="568"/>
      <c r="M911" s="568"/>
      <c r="N911" s="567"/>
      <c r="O911" s="567"/>
      <c r="P911" s="567"/>
      <c r="Q911" s="567"/>
      <c r="R911" s="570"/>
      <c r="S911" s="570"/>
      <c r="T911" s="567"/>
      <c r="U911" s="569"/>
      <c r="V911" s="567"/>
      <c r="W911" s="568"/>
      <c r="X911" s="568"/>
      <c r="Y911" s="567"/>
    </row>
    <row r="912" spans="1:25" x14ac:dyDescent="0.25">
      <c r="A912" s="570"/>
      <c r="B912" s="570"/>
      <c r="C912" s="570"/>
      <c r="D912" s="567"/>
      <c r="E912" s="567"/>
      <c r="F912" s="567"/>
      <c r="G912" s="570"/>
      <c r="H912" s="570"/>
      <c r="I912" s="567"/>
      <c r="J912" s="567"/>
      <c r="K912" s="567"/>
      <c r="L912" s="568"/>
      <c r="M912" s="568"/>
      <c r="N912" s="567"/>
      <c r="O912" s="567"/>
      <c r="P912" s="567"/>
      <c r="Q912" s="567"/>
      <c r="R912" s="570"/>
      <c r="S912" s="570"/>
      <c r="T912" s="567"/>
      <c r="U912" s="569"/>
      <c r="V912" s="567"/>
      <c r="W912" s="568"/>
      <c r="X912" s="568"/>
      <c r="Y912" s="567"/>
    </row>
    <row r="913" spans="1:25" x14ac:dyDescent="0.25">
      <c r="A913" s="570"/>
      <c r="B913" s="570"/>
      <c r="C913" s="570"/>
      <c r="D913" s="567"/>
      <c r="E913" s="567"/>
      <c r="F913" s="567"/>
      <c r="G913" s="570"/>
      <c r="H913" s="570"/>
      <c r="I913" s="567"/>
      <c r="J913" s="567"/>
      <c r="K913" s="567"/>
      <c r="L913" s="568"/>
      <c r="M913" s="568"/>
      <c r="N913" s="567"/>
      <c r="O913" s="567"/>
      <c r="P913" s="567"/>
      <c r="Q913" s="567"/>
      <c r="R913" s="570"/>
      <c r="S913" s="570"/>
      <c r="T913" s="567"/>
      <c r="U913" s="569"/>
      <c r="V913" s="567"/>
      <c r="W913" s="568"/>
      <c r="X913" s="568"/>
      <c r="Y913" s="567"/>
    </row>
    <row r="914" spans="1:25" x14ac:dyDescent="0.25">
      <c r="A914" s="570"/>
      <c r="B914" s="570"/>
      <c r="C914" s="570"/>
      <c r="D914" s="567"/>
      <c r="E914" s="567"/>
      <c r="F914" s="567"/>
      <c r="G914" s="570"/>
      <c r="H914" s="570"/>
      <c r="I914" s="567"/>
      <c r="J914" s="567"/>
      <c r="K914" s="567"/>
      <c r="L914" s="568"/>
      <c r="M914" s="568"/>
      <c r="N914" s="567"/>
      <c r="O914" s="567"/>
      <c r="P914" s="567"/>
      <c r="Q914" s="567"/>
      <c r="R914" s="570"/>
      <c r="S914" s="570"/>
      <c r="T914" s="567"/>
      <c r="U914" s="569"/>
      <c r="V914" s="567"/>
      <c r="W914" s="568"/>
      <c r="X914" s="568"/>
      <c r="Y914" s="567"/>
    </row>
    <row r="915" spans="1:25" x14ac:dyDescent="0.25">
      <c r="A915" s="570"/>
      <c r="B915" s="570"/>
      <c r="C915" s="570"/>
      <c r="D915" s="567"/>
      <c r="E915" s="567"/>
      <c r="F915" s="567"/>
      <c r="G915" s="570"/>
      <c r="H915" s="570"/>
      <c r="I915" s="567"/>
      <c r="J915" s="567"/>
      <c r="K915" s="567"/>
      <c r="L915" s="568"/>
      <c r="M915" s="568"/>
      <c r="N915" s="567"/>
      <c r="O915" s="567"/>
      <c r="P915" s="567"/>
      <c r="Q915" s="567"/>
      <c r="R915" s="570"/>
      <c r="S915" s="570"/>
      <c r="T915" s="567"/>
      <c r="U915" s="569"/>
      <c r="V915" s="567"/>
      <c r="W915" s="568"/>
      <c r="X915" s="568"/>
      <c r="Y915" s="567"/>
    </row>
    <row r="916" spans="1:25" x14ac:dyDescent="0.25">
      <c r="A916" s="570"/>
      <c r="B916" s="570"/>
      <c r="C916" s="570"/>
      <c r="D916" s="567"/>
      <c r="E916" s="567"/>
      <c r="F916" s="567"/>
      <c r="G916" s="570"/>
      <c r="H916" s="570"/>
      <c r="I916" s="567"/>
      <c r="J916" s="567"/>
      <c r="K916" s="567"/>
      <c r="L916" s="568"/>
      <c r="M916" s="568"/>
      <c r="N916" s="567"/>
      <c r="O916" s="567"/>
      <c r="P916" s="567"/>
      <c r="Q916" s="567"/>
      <c r="R916" s="570"/>
      <c r="S916" s="570"/>
      <c r="T916" s="567"/>
      <c r="U916" s="569"/>
      <c r="V916" s="567"/>
      <c r="W916" s="568"/>
      <c r="X916" s="568"/>
      <c r="Y916" s="567"/>
    </row>
    <row r="917" spans="1:25" x14ac:dyDescent="0.25">
      <c r="A917" s="570"/>
      <c r="B917" s="570"/>
      <c r="C917" s="570"/>
      <c r="D917" s="567"/>
      <c r="E917" s="567"/>
      <c r="F917" s="567"/>
      <c r="G917" s="570"/>
      <c r="H917" s="570"/>
      <c r="I917" s="567"/>
      <c r="J917" s="567"/>
      <c r="K917" s="567"/>
      <c r="L917" s="568"/>
      <c r="M917" s="568"/>
      <c r="N917" s="567"/>
      <c r="O917" s="567"/>
      <c r="P917" s="567"/>
      <c r="Q917" s="567"/>
      <c r="R917" s="570"/>
      <c r="S917" s="570"/>
      <c r="T917" s="567"/>
      <c r="U917" s="569"/>
      <c r="V917" s="567"/>
      <c r="W917" s="568"/>
      <c r="X917" s="568"/>
      <c r="Y917" s="567"/>
    </row>
    <row r="918" spans="1:25" x14ac:dyDescent="0.25">
      <c r="A918" s="570"/>
      <c r="B918" s="570"/>
      <c r="C918" s="570"/>
      <c r="D918" s="567"/>
      <c r="E918" s="567"/>
      <c r="F918" s="567"/>
      <c r="G918" s="570"/>
      <c r="H918" s="570"/>
      <c r="I918" s="567"/>
      <c r="J918" s="567"/>
      <c r="K918" s="567"/>
      <c r="L918" s="568"/>
      <c r="M918" s="568"/>
      <c r="N918" s="567"/>
      <c r="O918" s="567"/>
      <c r="P918" s="567"/>
      <c r="Q918" s="567"/>
      <c r="R918" s="570"/>
      <c r="S918" s="570"/>
      <c r="T918" s="567"/>
      <c r="U918" s="569"/>
      <c r="V918" s="567"/>
      <c r="W918" s="568"/>
      <c r="X918" s="568"/>
      <c r="Y918" s="567"/>
    </row>
    <row r="919" spans="1:25" x14ac:dyDescent="0.25">
      <c r="A919" s="570"/>
      <c r="B919" s="570"/>
      <c r="C919" s="570"/>
      <c r="D919" s="567"/>
      <c r="E919" s="567"/>
      <c r="F919" s="567"/>
      <c r="G919" s="570"/>
      <c r="H919" s="570"/>
      <c r="I919" s="567"/>
      <c r="J919" s="567"/>
      <c r="K919" s="567"/>
      <c r="L919" s="568"/>
      <c r="M919" s="568"/>
      <c r="N919" s="567"/>
      <c r="O919" s="567"/>
      <c r="P919" s="567"/>
      <c r="Q919" s="567"/>
      <c r="R919" s="570"/>
      <c r="S919" s="570"/>
      <c r="T919" s="567"/>
      <c r="U919" s="569"/>
      <c r="V919" s="567"/>
      <c r="W919" s="568"/>
      <c r="X919" s="568"/>
      <c r="Y919" s="567"/>
    </row>
    <row r="920" spans="1:25" x14ac:dyDescent="0.25">
      <c r="A920" s="570"/>
      <c r="B920" s="570"/>
      <c r="C920" s="570"/>
      <c r="D920" s="567"/>
      <c r="E920" s="567"/>
      <c r="F920" s="567"/>
      <c r="G920" s="570"/>
      <c r="H920" s="570"/>
      <c r="I920" s="567"/>
      <c r="J920" s="567"/>
      <c r="K920" s="567"/>
      <c r="L920" s="568"/>
      <c r="M920" s="568"/>
      <c r="N920" s="567"/>
      <c r="O920" s="567"/>
      <c r="P920" s="567"/>
      <c r="Q920" s="567"/>
      <c r="R920" s="570"/>
      <c r="S920" s="570"/>
      <c r="T920" s="567"/>
      <c r="U920" s="569"/>
      <c r="V920" s="567"/>
      <c r="W920" s="568"/>
      <c r="X920" s="568"/>
      <c r="Y920" s="567"/>
    </row>
    <row r="921" spans="1:25" x14ac:dyDescent="0.25">
      <c r="A921" s="570"/>
      <c r="B921" s="570"/>
      <c r="C921" s="570"/>
      <c r="D921" s="567"/>
      <c r="E921" s="567"/>
      <c r="F921" s="567"/>
      <c r="G921" s="570"/>
      <c r="H921" s="570"/>
      <c r="I921" s="567"/>
      <c r="J921" s="567"/>
      <c r="K921" s="567"/>
      <c r="L921" s="568"/>
      <c r="M921" s="568"/>
      <c r="N921" s="567"/>
      <c r="O921" s="567"/>
      <c r="P921" s="567"/>
      <c r="Q921" s="567"/>
      <c r="R921" s="570"/>
      <c r="S921" s="570"/>
      <c r="T921" s="567"/>
      <c r="U921" s="569"/>
      <c r="V921" s="567"/>
      <c r="W921" s="568"/>
      <c r="X921" s="568"/>
      <c r="Y921" s="567"/>
    </row>
    <row r="922" spans="1:25" x14ac:dyDescent="0.25">
      <c r="A922" s="570"/>
      <c r="B922" s="570"/>
      <c r="C922" s="570"/>
      <c r="D922" s="567"/>
      <c r="E922" s="567"/>
      <c r="F922" s="567"/>
      <c r="G922" s="570"/>
      <c r="H922" s="570"/>
      <c r="I922" s="567"/>
      <c r="J922" s="567"/>
      <c r="K922" s="567"/>
      <c r="L922" s="568"/>
      <c r="M922" s="568"/>
      <c r="N922" s="567"/>
      <c r="O922" s="567"/>
      <c r="P922" s="567"/>
      <c r="Q922" s="567"/>
      <c r="R922" s="570"/>
      <c r="S922" s="570"/>
      <c r="T922" s="567"/>
      <c r="U922" s="569"/>
      <c r="V922" s="567"/>
      <c r="W922" s="568"/>
      <c r="X922" s="568"/>
      <c r="Y922" s="567"/>
    </row>
    <row r="923" spans="1:25" x14ac:dyDescent="0.25">
      <c r="A923" s="570"/>
      <c r="B923" s="570"/>
      <c r="C923" s="570"/>
      <c r="D923" s="567"/>
      <c r="E923" s="567"/>
      <c r="F923" s="567"/>
      <c r="G923" s="570"/>
      <c r="H923" s="570"/>
      <c r="I923" s="567"/>
      <c r="J923" s="567"/>
      <c r="K923" s="567"/>
      <c r="L923" s="568"/>
      <c r="M923" s="568"/>
      <c r="N923" s="567"/>
      <c r="O923" s="567"/>
      <c r="P923" s="567"/>
      <c r="Q923" s="567"/>
      <c r="R923" s="570"/>
      <c r="S923" s="570"/>
      <c r="T923" s="567"/>
      <c r="U923" s="569"/>
      <c r="V923" s="567"/>
      <c r="W923" s="568"/>
      <c r="X923" s="568"/>
      <c r="Y923" s="567"/>
    </row>
    <row r="924" spans="1:25" x14ac:dyDescent="0.25">
      <c r="A924" s="570"/>
      <c r="B924" s="570"/>
      <c r="C924" s="570"/>
      <c r="D924" s="567"/>
      <c r="E924" s="567"/>
      <c r="F924" s="567"/>
      <c r="G924" s="570"/>
      <c r="H924" s="570"/>
      <c r="I924" s="567"/>
      <c r="J924" s="567"/>
      <c r="K924" s="567"/>
      <c r="L924" s="568"/>
      <c r="M924" s="568"/>
      <c r="N924" s="567"/>
      <c r="O924" s="567"/>
      <c r="P924" s="567"/>
      <c r="Q924" s="567"/>
      <c r="R924" s="570"/>
      <c r="S924" s="570"/>
      <c r="T924" s="567"/>
      <c r="U924" s="569"/>
      <c r="V924" s="567"/>
      <c r="W924" s="568"/>
      <c r="X924" s="568"/>
      <c r="Y924" s="567"/>
    </row>
    <row r="925" spans="1:25" x14ac:dyDescent="0.25">
      <c r="A925" s="570"/>
      <c r="B925" s="570"/>
      <c r="C925" s="570"/>
      <c r="D925" s="567"/>
      <c r="E925" s="567"/>
      <c r="F925" s="567"/>
      <c r="G925" s="570"/>
      <c r="H925" s="570"/>
      <c r="I925" s="567"/>
      <c r="J925" s="567"/>
      <c r="K925" s="567"/>
      <c r="L925" s="568"/>
      <c r="M925" s="568"/>
      <c r="N925" s="567"/>
      <c r="O925" s="567"/>
      <c r="P925" s="567"/>
      <c r="Q925" s="567"/>
      <c r="R925" s="570"/>
      <c r="S925" s="570"/>
      <c r="T925" s="567"/>
      <c r="U925" s="569"/>
      <c r="V925" s="567"/>
      <c r="W925" s="568"/>
      <c r="X925" s="568"/>
      <c r="Y925" s="567"/>
    </row>
    <row r="926" spans="1:25" x14ac:dyDescent="0.25">
      <c r="A926" s="570"/>
      <c r="B926" s="570"/>
      <c r="C926" s="570"/>
      <c r="D926" s="567"/>
      <c r="E926" s="567"/>
      <c r="F926" s="567"/>
      <c r="G926" s="570"/>
      <c r="H926" s="570"/>
      <c r="I926" s="567"/>
      <c r="J926" s="567"/>
      <c r="K926" s="567"/>
      <c r="L926" s="568"/>
      <c r="M926" s="568"/>
      <c r="N926" s="567"/>
      <c r="O926" s="567"/>
      <c r="P926" s="567"/>
      <c r="Q926" s="567"/>
      <c r="R926" s="570"/>
      <c r="S926" s="570"/>
      <c r="T926" s="567"/>
      <c r="U926" s="569"/>
      <c r="V926" s="567"/>
      <c r="W926" s="568"/>
      <c r="X926" s="568"/>
      <c r="Y926" s="567"/>
    </row>
    <row r="927" spans="1:25" x14ac:dyDescent="0.25">
      <c r="A927" s="570"/>
      <c r="B927" s="570"/>
      <c r="C927" s="570"/>
      <c r="D927" s="567"/>
      <c r="E927" s="567"/>
      <c r="F927" s="567"/>
      <c r="G927" s="570"/>
      <c r="H927" s="570"/>
      <c r="I927" s="567"/>
      <c r="J927" s="567"/>
      <c r="K927" s="567"/>
      <c r="L927" s="568"/>
      <c r="M927" s="568"/>
      <c r="N927" s="567"/>
      <c r="O927" s="567"/>
      <c r="P927" s="567"/>
      <c r="Q927" s="567"/>
      <c r="R927" s="570"/>
      <c r="S927" s="570"/>
      <c r="T927" s="567"/>
      <c r="U927" s="569"/>
      <c r="V927" s="567"/>
      <c r="W927" s="568"/>
      <c r="X927" s="568"/>
      <c r="Y927" s="567"/>
    </row>
    <row r="928" spans="1:25" x14ac:dyDescent="0.25">
      <c r="A928" s="570"/>
      <c r="B928" s="570"/>
      <c r="C928" s="570"/>
      <c r="D928" s="567"/>
      <c r="E928" s="567"/>
      <c r="F928" s="567"/>
      <c r="G928" s="570"/>
      <c r="H928" s="570"/>
      <c r="I928" s="567"/>
      <c r="J928" s="567"/>
      <c r="K928" s="567"/>
      <c r="L928" s="568"/>
      <c r="M928" s="568"/>
      <c r="N928" s="567"/>
      <c r="O928" s="567"/>
      <c r="P928" s="567"/>
      <c r="Q928" s="567"/>
      <c r="R928" s="570"/>
      <c r="S928" s="570"/>
      <c r="T928" s="567"/>
      <c r="U928" s="569"/>
      <c r="V928" s="567"/>
      <c r="W928" s="568"/>
      <c r="X928" s="568"/>
      <c r="Y928" s="567"/>
    </row>
    <row r="929" spans="1:25" x14ac:dyDescent="0.25">
      <c r="A929" s="570"/>
      <c r="B929" s="570"/>
      <c r="C929" s="570"/>
      <c r="D929" s="567"/>
      <c r="E929" s="567"/>
      <c r="F929" s="567"/>
      <c r="G929" s="570"/>
      <c r="H929" s="570"/>
      <c r="I929" s="567"/>
      <c r="J929" s="567"/>
      <c r="K929" s="567"/>
      <c r="L929" s="568"/>
      <c r="M929" s="568"/>
      <c r="N929" s="567"/>
      <c r="O929" s="567"/>
      <c r="P929" s="567"/>
      <c r="Q929" s="567"/>
      <c r="R929" s="570"/>
      <c r="S929" s="570"/>
      <c r="T929" s="567"/>
      <c r="U929" s="569"/>
      <c r="V929" s="567"/>
      <c r="W929" s="568"/>
      <c r="X929" s="568"/>
      <c r="Y929" s="567"/>
    </row>
    <row r="930" spans="1:25" x14ac:dyDescent="0.25">
      <c r="A930" s="570"/>
      <c r="B930" s="570"/>
      <c r="C930" s="570"/>
      <c r="D930" s="567"/>
      <c r="E930" s="567"/>
      <c r="F930" s="567"/>
      <c r="G930" s="570"/>
      <c r="H930" s="570"/>
      <c r="I930" s="567"/>
      <c r="J930" s="567"/>
      <c r="K930" s="567"/>
      <c r="L930" s="568"/>
      <c r="M930" s="568"/>
      <c r="N930" s="567"/>
      <c r="O930" s="567"/>
      <c r="P930" s="567"/>
      <c r="Q930" s="567"/>
      <c r="R930" s="570"/>
      <c r="S930" s="570"/>
      <c r="T930" s="567"/>
      <c r="U930" s="569"/>
      <c r="V930" s="567"/>
      <c r="W930" s="568"/>
      <c r="X930" s="568"/>
      <c r="Y930" s="567"/>
    </row>
    <row r="931" spans="1:25" x14ac:dyDescent="0.25">
      <c r="A931" s="570"/>
      <c r="B931" s="570"/>
      <c r="C931" s="570"/>
      <c r="D931" s="567"/>
      <c r="E931" s="567"/>
      <c r="F931" s="567"/>
      <c r="G931" s="570"/>
      <c r="H931" s="570"/>
      <c r="I931" s="567"/>
      <c r="J931" s="567"/>
      <c r="K931" s="567"/>
      <c r="L931" s="568"/>
      <c r="M931" s="568"/>
      <c r="N931" s="567"/>
      <c r="O931" s="567"/>
      <c r="P931" s="567"/>
      <c r="Q931" s="567"/>
      <c r="R931" s="570"/>
      <c r="S931" s="570"/>
      <c r="T931" s="567"/>
      <c r="U931" s="569"/>
      <c r="V931" s="567"/>
      <c r="W931" s="568"/>
      <c r="X931" s="568"/>
      <c r="Y931" s="567"/>
    </row>
    <row r="932" spans="1:25" x14ac:dyDescent="0.25">
      <c r="A932" s="570"/>
      <c r="B932" s="570"/>
      <c r="C932" s="570"/>
      <c r="D932" s="567"/>
      <c r="E932" s="567"/>
      <c r="F932" s="567"/>
      <c r="G932" s="570"/>
      <c r="H932" s="570"/>
      <c r="I932" s="567"/>
      <c r="J932" s="567"/>
      <c r="K932" s="567"/>
      <c r="L932" s="568"/>
      <c r="M932" s="568"/>
      <c r="N932" s="567"/>
      <c r="O932" s="567"/>
      <c r="P932" s="567"/>
      <c r="Q932" s="567"/>
      <c r="R932" s="570"/>
      <c r="S932" s="570"/>
      <c r="T932" s="567"/>
      <c r="U932" s="569"/>
      <c r="V932" s="567"/>
      <c r="W932" s="568"/>
      <c r="X932" s="568"/>
      <c r="Y932" s="567"/>
    </row>
    <row r="933" spans="1:25" x14ac:dyDescent="0.25">
      <c r="A933" s="570"/>
      <c r="B933" s="570"/>
      <c r="C933" s="570"/>
      <c r="D933" s="567"/>
      <c r="E933" s="567"/>
      <c r="F933" s="567"/>
      <c r="G933" s="570"/>
      <c r="H933" s="570"/>
      <c r="I933" s="567"/>
      <c r="J933" s="567"/>
      <c r="K933" s="567"/>
      <c r="L933" s="568"/>
      <c r="M933" s="568"/>
      <c r="N933" s="567"/>
      <c r="O933" s="567"/>
      <c r="P933" s="567"/>
      <c r="Q933" s="567"/>
      <c r="R933" s="570"/>
      <c r="S933" s="570"/>
      <c r="T933" s="567"/>
      <c r="U933" s="569"/>
      <c r="V933" s="567"/>
      <c r="W933" s="568"/>
      <c r="X933" s="568"/>
      <c r="Y933" s="567"/>
    </row>
    <row r="934" spans="1:25" x14ac:dyDescent="0.25">
      <c r="A934" s="570"/>
      <c r="B934" s="570"/>
      <c r="C934" s="570"/>
      <c r="D934" s="567"/>
      <c r="E934" s="567"/>
      <c r="F934" s="567"/>
      <c r="G934" s="570"/>
      <c r="H934" s="570"/>
      <c r="I934" s="567"/>
      <c r="J934" s="567"/>
      <c r="K934" s="567"/>
      <c r="L934" s="568"/>
      <c r="M934" s="568"/>
      <c r="N934" s="567"/>
      <c r="O934" s="567"/>
      <c r="P934" s="567"/>
      <c r="Q934" s="567"/>
      <c r="R934" s="570"/>
      <c r="S934" s="570"/>
      <c r="T934" s="567"/>
      <c r="U934" s="569"/>
      <c r="V934" s="567"/>
      <c r="W934" s="568"/>
      <c r="X934" s="568"/>
      <c r="Y934" s="567"/>
    </row>
    <row r="935" spans="1:25" x14ac:dyDescent="0.25">
      <c r="A935" s="570"/>
      <c r="B935" s="570"/>
      <c r="C935" s="570"/>
      <c r="D935" s="567"/>
      <c r="E935" s="567"/>
      <c r="F935" s="567"/>
      <c r="G935" s="570"/>
      <c r="H935" s="570"/>
      <c r="I935" s="567"/>
      <c r="J935" s="567"/>
      <c r="K935" s="567"/>
      <c r="L935" s="568"/>
      <c r="M935" s="568"/>
      <c r="N935" s="567"/>
      <c r="O935" s="567"/>
      <c r="P935" s="567"/>
      <c r="Q935" s="567"/>
      <c r="R935" s="570"/>
      <c r="S935" s="570"/>
      <c r="T935" s="567"/>
      <c r="U935" s="569"/>
      <c r="V935" s="567"/>
      <c r="W935" s="568"/>
      <c r="X935" s="568"/>
      <c r="Y935" s="567"/>
    </row>
    <row r="936" spans="1:25" x14ac:dyDescent="0.25">
      <c r="A936" s="570"/>
      <c r="B936" s="570"/>
      <c r="C936" s="570"/>
      <c r="D936" s="567"/>
      <c r="E936" s="567"/>
      <c r="F936" s="567"/>
      <c r="G936" s="570"/>
      <c r="H936" s="570"/>
      <c r="I936" s="567"/>
      <c r="J936" s="567"/>
      <c r="K936" s="567"/>
      <c r="L936" s="568"/>
      <c r="M936" s="568"/>
      <c r="N936" s="567"/>
      <c r="O936" s="567"/>
      <c r="P936" s="567"/>
      <c r="Q936" s="567"/>
      <c r="R936" s="570"/>
      <c r="S936" s="570"/>
      <c r="T936" s="567"/>
      <c r="U936" s="569"/>
      <c r="V936" s="567"/>
      <c r="W936" s="568"/>
      <c r="X936" s="568"/>
      <c r="Y936" s="567"/>
    </row>
    <row r="937" spans="1:25" x14ac:dyDescent="0.25">
      <c r="A937" s="570"/>
      <c r="B937" s="570"/>
      <c r="C937" s="570"/>
      <c r="D937" s="567"/>
      <c r="E937" s="567"/>
      <c r="F937" s="567"/>
      <c r="G937" s="570"/>
      <c r="H937" s="570"/>
      <c r="I937" s="567"/>
      <c r="J937" s="567"/>
      <c r="K937" s="567"/>
      <c r="L937" s="568"/>
      <c r="M937" s="568"/>
      <c r="N937" s="567"/>
      <c r="O937" s="567"/>
      <c r="P937" s="567"/>
      <c r="Q937" s="567"/>
      <c r="R937" s="570"/>
      <c r="S937" s="570"/>
      <c r="T937" s="567"/>
      <c r="U937" s="569"/>
      <c r="V937" s="567"/>
      <c r="W937" s="568"/>
      <c r="X937" s="568"/>
      <c r="Y937" s="567"/>
    </row>
    <row r="938" spans="1:25" x14ac:dyDescent="0.25">
      <c r="A938" s="570"/>
      <c r="B938" s="570"/>
      <c r="C938" s="570"/>
      <c r="D938" s="567"/>
      <c r="E938" s="567"/>
      <c r="F938" s="567"/>
      <c r="G938" s="570"/>
      <c r="H938" s="570"/>
      <c r="I938" s="567"/>
      <c r="J938" s="567"/>
      <c r="K938" s="567"/>
      <c r="L938" s="568"/>
      <c r="M938" s="568"/>
      <c r="N938" s="567"/>
      <c r="O938" s="567"/>
      <c r="P938" s="567"/>
      <c r="Q938" s="567"/>
      <c r="R938" s="570"/>
      <c r="S938" s="570"/>
      <c r="T938" s="567"/>
      <c r="U938" s="569"/>
      <c r="V938" s="567"/>
      <c r="W938" s="568"/>
      <c r="X938" s="568"/>
      <c r="Y938" s="567"/>
    </row>
    <row r="939" spans="1:25" x14ac:dyDescent="0.25">
      <c r="A939" s="570"/>
      <c r="B939" s="570"/>
      <c r="C939" s="570"/>
      <c r="D939" s="567"/>
      <c r="E939" s="567"/>
      <c r="F939" s="567"/>
      <c r="G939" s="570"/>
      <c r="H939" s="570"/>
      <c r="I939" s="567"/>
      <c r="J939" s="567"/>
      <c r="K939" s="567"/>
      <c r="L939" s="568"/>
      <c r="M939" s="568"/>
      <c r="N939" s="567"/>
      <c r="O939" s="567"/>
      <c r="P939" s="567"/>
      <c r="Q939" s="567"/>
      <c r="R939" s="570"/>
      <c r="S939" s="570"/>
      <c r="T939" s="567"/>
      <c r="U939" s="569"/>
      <c r="V939" s="567"/>
      <c r="W939" s="568"/>
      <c r="X939" s="568"/>
      <c r="Y939" s="567"/>
    </row>
    <row r="940" spans="1:25" x14ac:dyDescent="0.25">
      <c r="A940" s="570"/>
      <c r="B940" s="570"/>
      <c r="C940" s="570"/>
      <c r="D940" s="567"/>
      <c r="E940" s="567"/>
      <c r="F940" s="567"/>
      <c r="G940" s="570"/>
      <c r="H940" s="570"/>
      <c r="I940" s="567"/>
      <c r="J940" s="567"/>
      <c r="K940" s="567"/>
      <c r="L940" s="568"/>
      <c r="M940" s="568"/>
      <c r="N940" s="567"/>
      <c r="O940" s="567"/>
      <c r="P940" s="567"/>
      <c r="Q940" s="567"/>
      <c r="R940" s="570"/>
      <c r="S940" s="570"/>
      <c r="T940" s="567"/>
      <c r="U940" s="569"/>
      <c r="V940" s="567"/>
      <c r="W940" s="568"/>
      <c r="X940" s="568"/>
      <c r="Y940" s="567"/>
    </row>
    <row r="941" spans="1:25" x14ac:dyDescent="0.25">
      <c r="A941" s="570"/>
      <c r="B941" s="570"/>
      <c r="C941" s="570"/>
      <c r="D941" s="567"/>
      <c r="E941" s="567"/>
      <c r="F941" s="567"/>
      <c r="G941" s="570"/>
      <c r="H941" s="570"/>
      <c r="I941" s="567"/>
      <c r="J941" s="567"/>
      <c r="K941" s="567"/>
      <c r="L941" s="568"/>
      <c r="M941" s="568"/>
      <c r="N941" s="567"/>
      <c r="O941" s="567"/>
      <c r="P941" s="567"/>
      <c r="Q941" s="567"/>
      <c r="R941" s="570"/>
      <c r="S941" s="570"/>
      <c r="T941" s="567"/>
      <c r="U941" s="569"/>
      <c r="V941" s="567"/>
      <c r="W941" s="568"/>
      <c r="X941" s="568"/>
      <c r="Y941" s="567"/>
    </row>
    <row r="942" spans="1:25" x14ac:dyDescent="0.25">
      <c r="A942" s="570"/>
      <c r="B942" s="570"/>
      <c r="C942" s="570"/>
      <c r="D942" s="567"/>
      <c r="E942" s="567"/>
      <c r="F942" s="567"/>
      <c r="G942" s="570"/>
      <c r="H942" s="570"/>
      <c r="I942" s="567"/>
      <c r="J942" s="567"/>
      <c r="K942" s="567"/>
      <c r="L942" s="568"/>
      <c r="M942" s="568"/>
      <c r="N942" s="567"/>
      <c r="O942" s="567"/>
      <c r="P942" s="567"/>
      <c r="Q942" s="567"/>
      <c r="R942" s="570"/>
      <c r="S942" s="570"/>
      <c r="T942" s="567"/>
      <c r="U942" s="569"/>
      <c r="V942" s="567"/>
      <c r="W942" s="568"/>
      <c r="X942" s="568"/>
      <c r="Y942" s="567"/>
    </row>
    <row r="943" spans="1:25" x14ac:dyDescent="0.25">
      <c r="A943" s="570"/>
      <c r="B943" s="570"/>
      <c r="C943" s="570"/>
      <c r="D943" s="567"/>
      <c r="E943" s="567"/>
      <c r="F943" s="567"/>
      <c r="G943" s="570"/>
      <c r="H943" s="570"/>
      <c r="I943" s="567"/>
      <c r="J943" s="567"/>
      <c r="K943" s="567"/>
      <c r="L943" s="568"/>
      <c r="M943" s="568"/>
      <c r="N943" s="567"/>
      <c r="O943" s="567"/>
      <c r="P943" s="567"/>
      <c r="Q943" s="567"/>
      <c r="R943" s="570"/>
      <c r="S943" s="570"/>
      <c r="T943" s="567"/>
      <c r="U943" s="569"/>
      <c r="V943" s="567"/>
      <c r="W943" s="568"/>
      <c r="X943" s="568"/>
      <c r="Y943" s="567"/>
    </row>
    <row r="944" spans="1:25" x14ac:dyDescent="0.25">
      <c r="A944" s="570"/>
      <c r="B944" s="570"/>
      <c r="C944" s="570"/>
      <c r="D944" s="567"/>
      <c r="E944" s="567"/>
      <c r="F944" s="567"/>
      <c r="G944" s="570"/>
      <c r="H944" s="570"/>
      <c r="I944" s="567"/>
      <c r="J944" s="567"/>
      <c r="K944" s="567"/>
      <c r="L944" s="568"/>
      <c r="M944" s="568"/>
      <c r="N944" s="567"/>
      <c r="O944" s="567"/>
      <c r="P944" s="567"/>
      <c r="Q944" s="567"/>
      <c r="R944" s="570"/>
      <c r="S944" s="570"/>
      <c r="T944" s="567"/>
      <c r="U944" s="569"/>
      <c r="V944" s="567"/>
      <c r="W944" s="568"/>
      <c r="X944" s="568"/>
      <c r="Y944" s="567"/>
    </row>
    <row r="945" spans="1:25" x14ac:dyDescent="0.25">
      <c r="A945" s="570"/>
      <c r="B945" s="570"/>
      <c r="C945" s="570"/>
      <c r="D945" s="567"/>
      <c r="E945" s="567"/>
      <c r="F945" s="567"/>
      <c r="G945" s="570"/>
      <c r="H945" s="570"/>
      <c r="I945" s="567"/>
      <c r="J945" s="567"/>
      <c r="K945" s="567"/>
      <c r="L945" s="568"/>
      <c r="M945" s="568"/>
      <c r="N945" s="567"/>
      <c r="O945" s="567"/>
      <c r="P945" s="567"/>
      <c r="Q945" s="567"/>
      <c r="R945" s="570"/>
      <c r="S945" s="570"/>
      <c r="T945" s="567"/>
      <c r="U945" s="569"/>
      <c r="V945" s="567"/>
      <c r="W945" s="568"/>
      <c r="X945" s="568"/>
      <c r="Y945" s="567"/>
    </row>
    <row r="946" spans="1:25" x14ac:dyDescent="0.25">
      <c r="A946" s="570"/>
      <c r="B946" s="570"/>
      <c r="C946" s="570"/>
      <c r="D946" s="567"/>
      <c r="E946" s="567"/>
      <c r="F946" s="567"/>
      <c r="G946" s="570"/>
      <c r="H946" s="570"/>
      <c r="I946" s="567"/>
      <c r="J946" s="567"/>
      <c r="K946" s="567"/>
      <c r="L946" s="568"/>
      <c r="M946" s="568"/>
      <c r="N946" s="567"/>
      <c r="O946" s="567"/>
      <c r="P946" s="567"/>
      <c r="Q946" s="567"/>
      <c r="R946" s="570"/>
      <c r="S946" s="570"/>
      <c r="T946" s="567"/>
      <c r="U946" s="569"/>
      <c r="V946" s="567"/>
      <c r="W946" s="568"/>
      <c r="X946" s="568"/>
      <c r="Y946" s="567"/>
    </row>
    <row r="947" spans="1:25" x14ac:dyDescent="0.25">
      <c r="A947" s="570"/>
      <c r="B947" s="570"/>
      <c r="C947" s="570"/>
      <c r="D947" s="567"/>
      <c r="E947" s="567"/>
      <c r="F947" s="567"/>
      <c r="G947" s="570"/>
      <c r="H947" s="570"/>
      <c r="I947" s="567"/>
      <c r="J947" s="567"/>
      <c r="K947" s="567"/>
      <c r="L947" s="568"/>
      <c r="M947" s="568"/>
      <c r="N947" s="567"/>
      <c r="O947" s="567"/>
      <c r="P947" s="567"/>
      <c r="Q947" s="567"/>
      <c r="R947" s="570"/>
      <c r="S947" s="570"/>
      <c r="T947" s="567"/>
      <c r="U947" s="569"/>
      <c r="V947" s="567"/>
      <c r="W947" s="568"/>
      <c r="X947" s="568"/>
      <c r="Y947" s="567"/>
    </row>
    <row r="948" spans="1:25" x14ac:dyDescent="0.25">
      <c r="A948" s="570"/>
      <c r="B948" s="570"/>
      <c r="C948" s="570"/>
      <c r="D948" s="567"/>
      <c r="E948" s="567"/>
      <c r="F948" s="567"/>
      <c r="G948" s="570"/>
      <c r="H948" s="570"/>
      <c r="I948" s="567"/>
      <c r="J948" s="567"/>
      <c r="K948" s="567"/>
      <c r="L948" s="568"/>
      <c r="M948" s="568"/>
      <c r="N948" s="567"/>
      <c r="O948" s="567"/>
      <c r="P948" s="567"/>
      <c r="Q948" s="567"/>
      <c r="R948" s="570"/>
      <c r="S948" s="570"/>
      <c r="T948" s="567"/>
      <c r="U948" s="569"/>
      <c r="V948" s="567"/>
      <c r="W948" s="568"/>
      <c r="X948" s="568"/>
      <c r="Y948" s="567"/>
    </row>
    <row r="949" spans="1:25" x14ac:dyDescent="0.25">
      <c r="A949" s="570"/>
      <c r="B949" s="570"/>
      <c r="C949" s="570"/>
      <c r="D949" s="567"/>
      <c r="E949" s="567"/>
      <c r="F949" s="567"/>
      <c r="G949" s="570"/>
      <c r="H949" s="570"/>
      <c r="I949" s="567"/>
      <c r="J949" s="567"/>
      <c r="K949" s="567"/>
      <c r="L949" s="568"/>
      <c r="M949" s="568"/>
      <c r="N949" s="567"/>
      <c r="O949" s="567"/>
      <c r="P949" s="567"/>
      <c r="Q949" s="567"/>
      <c r="R949" s="570"/>
      <c r="S949" s="570"/>
      <c r="T949" s="567"/>
      <c r="U949" s="569"/>
      <c r="V949" s="567"/>
      <c r="W949" s="568"/>
      <c r="X949" s="568"/>
      <c r="Y949" s="567"/>
    </row>
    <row r="950" spans="1:25" x14ac:dyDescent="0.25">
      <c r="A950" s="570"/>
      <c r="B950" s="570"/>
      <c r="C950" s="570"/>
      <c r="D950" s="567"/>
      <c r="E950" s="567"/>
      <c r="F950" s="567"/>
      <c r="G950" s="570"/>
      <c r="H950" s="570"/>
      <c r="I950" s="567"/>
      <c r="J950" s="567"/>
      <c r="K950" s="567"/>
      <c r="L950" s="568"/>
      <c r="M950" s="568"/>
      <c r="N950" s="567"/>
      <c r="O950" s="567"/>
      <c r="P950" s="567"/>
      <c r="Q950" s="567"/>
      <c r="R950" s="570"/>
      <c r="S950" s="570"/>
      <c r="T950" s="567"/>
      <c r="U950" s="569"/>
      <c r="V950" s="567"/>
      <c r="W950" s="568"/>
      <c r="X950" s="568"/>
      <c r="Y950" s="567"/>
    </row>
    <row r="951" spans="1:25" x14ac:dyDescent="0.25">
      <c r="A951" s="570"/>
      <c r="B951" s="570"/>
      <c r="C951" s="570"/>
      <c r="D951" s="567"/>
      <c r="E951" s="567"/>
      <c r="F951" s="567"/>
      <c r="G951" s="570"/>
      <c r="H951" s="570"/>
      <c r="I951" s="567"/>
      <c r="J951" s="567"/>
      <c r="K951" s="567"/>
      <c r="L951" s="568"/>
      <c r="M951" s="568"/>
      <c r="N951" s="567"/>
      <c r="O951" s="567"/>
      <c r="P951" s="567"/>
      <c r="Q951" s="567"/>
      <c r="R951" s="570"/>
      <c r="S951" s="570"/>
      <c r="T951" s="567"/>
      <c r="U951" s="569"/>
      <c r="V951" s="567"/>
      <c r="W951" s="568"/>
      <c r="X951" s="568"/>
      <c r="Y951" s="567"/>
    </row>
    <row r="952" spans="1:25" x14ac:dyDescent="0.25">
      <c r="A952" s="570"/>
      <c r="B952" s="570"/>
      <c r="C952" s="570"/>
      <c r="D952" s="567"/>
      <c r="E952" s="567"/>
      <c r="F952" s="567"/>
      <c r="G952" s="570"/>
      <c r="H952" s="570"/>
      <c r="I952" s="567"/>
      <c r="J952" s="567"/>
      <c r="K952" s="567"/>
      <c r="L952" s="568"/>
      <c r="M952" s="568"/>
      <c r="N952" s="567"/>
      <c r="O952" s="567"/>
      <c r="P952" s="567"/>
      <c r="Q952" s="567"/>
      <c r="R952" s="570"/>
      <c r="S952" s="570"/>
      <c r="T952" s="567"/>
      <c r="U952" s="569"/>
      <c r="V952" s="567"/>
      <c r="W952" s="568"/>
      <c r="X952" s="568"/>
      <c r="Y952" s="567"/>
    </row>
    <row r="953" spans="1:25" x14ac:dyDescent="0.25">
      <c r="A953" s="570"/>
      <c r="B953" s="570"/>
      <c r="C953" s="570"/>
      <c r="D953" s="567"/>
      <c r="E953" s="567"/>
      <c r="F953" s="567"/>
      <c r="G953" s="570"/>
      <c r="H953" s="570"/>
      <c r="I953" s="567"/>
      <c r="J953" s="567"/>
      <c r="K953" s="567"/>
      <c r="L953" s="568"/>
      <c r="M953" s="568"/>
      <c r="N953" s="567"/>
      <c r="O953" s="567"/>
      <c r="P953" s="567"/>
      <c r="Q953" s="567"/>
      <c r="R953" s="570"/>
      <c r="S953" s="570"/>
      <c r="T953" s="567"/>
      <c r="U953" s="569"/>
      <c r="V953" s="567"/>
      <c r="W953" s="568"/>
      <c r="X953" s="568"/>
      <c r="Y953" s="567"/>
    </row>
    <row r="954" spans="1:25" x14ac:dyDescent="0.25">
      <c r="A954" s="570"/>
      <c r="B954" s="570"/>
      <c r="C954" s="570"/>
      <c r="D954" s="567"/>
      <c r="E954" s="567"/>
      <c r="F954" s="567"/>
      <c r="G954" s="570"/>
      <c r="H954" s="570"/>
      <c r="I954" s="567"/>
      <c r="J954" s="567"/>
      <c r="K954" s="567"/>
      <c r="L954" s="568"/>
      <c r="M954" s="568"/>
      <c r="N954" s="567"/>
      <c r="O954" s="567"/>
      <c r="P954" s="567"/>
      <c r="Q954" s="567"/>
      <c r="R954" s="570"/>
      <c r="S954" s="570"/>
      <c r="T954" s="567"/>
      <c r="U954" s="569"/>
      <c r="V954" s="567"/>
      <c r="W954" s="568"/>
      <c r="X954" s="568"/>
      <c r="Y954" s="567"/>
    </row>
    <row r="955" spans="1:25" x14ac:dyDescent="0.25">
      <c r="A955" s="570"/>
      <c r="B955" s="570"/>
      <c r="C955" s="570"/>
      <c r="D955" s="567"/>
      <c r="E955" s="567"/>
      <c r="F955" s="567"/>
      <c r="G955" s="570"/>
      <c r="H955" s="570"/>
      <c r="I955" s="567"/>
      <c r="J955" s="567"/>
      <c r="K955" s="567"/>
      <c r="L955" s="568"/>
      <c r="M955" s="568"/>
      <c r="N955" s="567"/>
      <c r="O955" s="567"/>
      <c r="P955" s="567"/>
      <c r="Q955" s="567"/>
      <c r="R955" s="570"/>
      <c r="S955" s="570"/>
      <c r="T955" s="567"/>
      <c r="U955" s="569"/>
      <c r="V955" s="567"/>
      <c r="W955" s="568"/>
      <c r="X955" s="568"/>
      <c r="Y955" s="567"/>
    </row>
    <row r="956" spans="1:25" x14ac:dyDescent="0.25">
      <c r="A956" s="570"/>
      <c r="B956" s="570"/>
      <c r="C956" s="570"/>
      <c r="D956" s="567"/>
      <c r="E956" s="567"/>
      <c r="F956" s="567"/>
      <c r="G956" s="570"/>
      <c r="H956" s="570"/>
      <c r="I956" s="567"/>
      <c r="J956" s="567"/>
      <c r="K956" s="567"/>
      <c r="L956" s="568"/>
      <c r="M956" s="568"/>
      <c r="N956" s="567"/>
      <c r="O956" s="567"/>
      <c r="P956" s="567"/>
      <c r="Q956" s="567"/>
      <c r="R956" s="570"/>
      <c r="S956" s="570"/>
      <c r="T956" s="567"/>
      <c r="U956" s="569"/>
      <c r="V956" s="567"/>
      <c r="W956" s="568"/>
      <c r="X956" s="568"/>
      <c r="Y956" s="567"/>
    </row>
    <row r="957" spans="1:25" x14ac:dyDescent="0.25">
      <c r="A957" s="570"/>
      <c r="B957" s="570"/>
      <c r="C957" s="570"/>
      <c r="D957" s="567"/>
      <c r="E957" s="567"/>
      <c r="F957" s="567"/>
      <c r="G957" s="570"/>
      <c r="H957" s="570"/>
      <c r="I957" s="567"/>
      <c r="J957" s="567"/>
      <c r="K957" s="567"/>
      <c r="L957" s="568"/>
      <c r="M957" s="568"/>
      <c r="N957" s="567"/>
      <c r="O957" s="567"/>
      <c r="P957" s="567"/>
      <c r="Q957" s="567"/>
      <c r="R957" s="570"/>
      <c r="S957" s="570"/>
      <c r="T957" s="567"/>
      <c r="U957" s="569"/>
      <c r="V957" s="567"/>
      <c r="W957" s="568"/>
      <c r="X957" s="568"/>
      <c r="Y957" s="567"/>
    </row>
    <row r="958" spans="1:25" x14ac:dyDescent="0.25">
      <c r="A958" s="570"/>
      <c r="B958" s="570"/>
      <c r="C958" s="570"/>
      <c r="D958" s="567"/>
      <c r="E958" s="567"/>
      <c r="F958" s="567"/>
      <c r="G958" s="570"/>
      <c r="H958" s="570"/>
      <c r="I958" s="567"/>
      <c r="J958" s="567"/>
      <c r="K958" s="567"/>
      <c r="L958" s="568"/>
      <c r="M958" s="568"/>
      <c r="N958" s="567"/>
      <c r="O958" s="567"/>
      <c r="P958" s="567"/>
      <c r="Q958" s="567"/>
      <c r="R958" s="570"/>
      <c r="S958" s="570"/>
      <c r="T958" s="567"/>
      <c r="U958" s="569"/>
      <c r="V958" s="567"/>
      <c r="W958" s="568"/>
      <c r="X958" s="568"/>
      <c r="Y958" s="567"/>
    </row>
    <row r="959" spans="1:25" x14ac:dyDescent="0.25">
      <c r="A959" s="570"/>
      <c r="B959" s="570"/>
      <c r="C959" s="570"/>
      <c r="D959" s="567"/>
      <c r="E959" s="567"/>
      <c r="F959" s="567"/>
      <c r="G959" s="570"/>
      <c r="H959" s="570"/>
      <c r="I959" s="567"/>
      <c r="J959" s="567"/>
      <c r="K959" s="567"/>
      <c r="L959" s="568"/>
      <c r="M959" s="568"/>
      <c r="N959" s="567"/>
      <c r="O959" s="567"/>
      <c r="P959" s="567"/>
      <c r="Q959" s="567"/>
      <c r="R959" s="570"/>
      <c r="S959" s="570"/>
      <c r="T959" s="567"/>
      <c r="U959" s="569"/>
      <c r="V959" s="567"/>
      <c r="W959" s="568"/>
      <c r="X959" s="568"/>
      <c r="Y959" s="567"/>
    </row>
    <row r="960" spans="1:25" x14ac:dyDescent="0.25">
      <c r="A960" s="570"/>
      <c r="B960" s="570"/>
      <c r="C960" s="570"/>
      <c r="D960" s="567"/>
      <c r="E960" s="567"/>
      <c r="F960" s="567"/>
      <c r="G960" s="570"/>
      <c r="H960" s="570"/>
      <c r="I960" s="567"/>
      <c r="J960" s="567"/>
      <c r="K960" s="567"/>
      <c r="L960" s="568"/>
      <c r="M960" s="568"/>
      <c r="N960" s="567"/>
      <c r="O960" s="567"/>
      <c r="P960" s="567"/>
      <c r="Q960" s="567"/>
      <c r="R960" s="570"/>
      <c r="S960" s="570"/>
      <c r="T960" s="567"/>
      <c r="U960" s="569"/>
      <c r="V960" s="567"/>
      <c r="W960" s="568"/>
      <c r="X960" s="568"/>
      <c r="Y960" s="567"/>
    </row>
    <row r="961" spans="1:25" x14ac:dyDescent="0.25">
      <c r="A961" s="570"/>
      <c r="B961" s="570"/>
      <c r="C961" s="570"/>
      <c r="D961" s="567"/>
      <c r="E961" s="567"/>
      <c r="F961" s="567"/>
      <c r="G961" s="570"/>
      <c r="H961" s="570"/>
      <c r="I961" s="567"/>
      <c r="J961" s="567"/>
      <c r="K961" s="567"/>
      <c r="L961" s="568"/>
      <c r="M961" s="568"/>
      <c r="N961" s="567"/>
      <c r="O961" s="567"/>
      <c r="P961" s="567"/>
      <c r="Q961" s="567"/>
      <c r="R961" s="570"/>
      <c r="S961" s="570"/>
      <c r="T961" s="567"/>
      <c r="U961" s="569"/>
      <c r="V961" s="567"/>
      <c r="W961" s="568"/>
      <c r="X961" s="568"/>
      <c r="Y961" s="567"/>
    </row>
    <row r="962" spans="1:25" x14ac:dyDescent="0.25">
      <c r="A962" s="570"/>
      <c r="B962" s="570"/>
      <c r="C962" s="570"/>
      <c r="D962" s="567"/>
      <c r="E962" s="567"/>
      <c r="F962" s="567"/>
      <c r="G962" s="570"/>
      <c r="H962" s="570"/>
      <c r="I962" s="567"/>
      <c r="J962" s="567"/>
      <c r="K962" s="567"/>
      <c r="L962" s="568"/>
      <c r="M962" s="568"/>
      <c r="N962" s="567"/>
      <c r="O962" s="567"/>
      <c r="P962" s="567"/>
      <c r="Q962" s="567"/>
      <c r="R962" s="570"/>
      <c r="S962" s="570"/>
      <c r="T962" s="567"/>
      <c r="U962" s="569"/>
      <c r="V962" s="567"/>
      <c r="W962" s="568"/>
      <c r="X962" s="568"/>
      <c r="Y962" s="567"/>
    </row>
    <row r="963" spans="1:25" x14ac:dyDescent="0.25">
      <c r="A963" s="570"/>
      <c r="B963" s="570"/>
      <c r="C963" s="570"/>
      <c r="D963" s="567"/>
      <c r="E963" s="567"/>
      <c r="F963" s="567"/>
      <c r="G963" s="570"/>
      <c r="H963" s="570"/>
      <c r="I963" s="567"/>
      <c r="J963" s="567"/>
      <c r="K963" s="567"/>
      <c r="L963" s="568"/>
      <c r="M963" s="568"/>
      <c r="N963" s="567"/>
      <c r="O963" s="567"/>
      <c r="P963" s="567"/>
      <c r="Q963" s="567"/>
      <c r="R963" s="570"/>
      <c r="S963" s="570"/>
      <c r="T963" s="567"/>
      <c r="U963" s="569"/>
      <c r="V963" s="567"/>
      <c r="W963" s="568"/>
      <c r="X963" s="568"/>
      <c r="Y963" s="567"/>
    </row>
    <row r="964" spans="1:25" x14ac:dyDescent="0.25">
      <c r="A964" s="570"/>
      <c r="B964" s="570"/>
      <c r="C964" s="570"/>
      <c r="D964" s="567"/>
      <c r="E964" s="567"/>
      <c r="F964" s="567"/>
      <c r="G964" s="570"/>
      <c r="H964" s="570"/>
      <c r="I964" s="567"/>
      <c r="J964" s="567"/>
      <c r="K964" s="567"/>
      <c r="L964" s="568"/>
      <c r="M964" s="568"/>
      <c r="N964" s="567"/>
      <c r="O964" s="567"/>
      <c r="P964" s="567"/>
      <c r="Q964" s="567"/>
      <c r="R964" s="570"/>
      <c r="S964" s="570"/>
      <c r="T964" s="567"/>
      <c r="U964" s="569"/>
      <c r="V964" s="567"/>
      <c r="W964" s="568"/>
      <c r="X964" s="568"/>
      <c r="Y964" s="567"/>
    </row>
    <row r="965" spans="1:25" x14ac:dyDescent="0.25">
      <c r="A965" s="570"/>
      <c r="B965" s="570"/>
      <c r="C965" s="570"/>
      <c r="D965" s="567"/>
      <c r="E965" s="567"/>
      <c r="F965" s="567"/>
      <c r="G965" s="570"/>
      <c r="H965" s="570"/>
      <c r="I965" s="567"/>
      <c r="J965" s="567"/>
      <c r="K965" s="567"/>
      <c r="L965" s="568"/>
      <c r="M965" s="568"/>
      <c r="N965" s="567"/>
      <c r="O965" s="567"/>
      <c r="P965" s="567"/>
      <c r="Q965" s="567"/>
      <c r="R965" s="570"/>
      <c r="S965" s="570"/>
      <c r="T965" s="567"/>
      <c r="U965" s="569"/>
      <c r="V965" s="567"/>
      <c r="W965" s="568"/>
      <c r="X965" s="568"/>
      <c r="Y965" s="567"/>
    </row>
    <row r="966" spans="1:25" x14ac:dyDescent="0.25">
      <c r="A966" s="570"/>
      <c r="B966" s="570"/>
      <c r="C966" s="570"/>
      <c r="D966" s="567"/>
      <c r="E966" s="567"/>
      <c r="F966" s="567"/>
      <c r="G966" s="570"/>
      <c r="H966" s="570"/>
      <c r="I966" s="567"/>
      <c r="J966" s="567"/>
      <c r="K966" s="567"/>
      <c r="L966" s="568"/>
      <c r="M966" s="568"/>
      <c r="N966" s="567"/>
      <c r="O966" s="567"/>
      <c r="P966" s="567"/>
      <c r="Q966" s="567"/>
      <c r="R966" s="570"/>
      <c r="S966" s="570"/>
      <c r="T966" s="567"/>
      <c r="U966" s="569"/>
      <c r="V966" s="567"/>
      <c r="W966" s="568"/>
      <c r="X966" s="568"/>
      <c r="Y966" s="567"/>
    </row>
    <row r="967" spans="1:25" x14ac:dyDescent="0.25">
      <c r="A967" s="570"/>
      <c r="B967" s="570"/>
      <c r="C967" s="570"/>
      <c r="D967" s="567"/>
      <c r="E967" s="567"/>
      <c r="F967" s="567"/>
      <c r="G967" s="570"/>
      <c r="H967" s="570"/>
      <c r="I967" s="567"/>
      <c r="J967" s="567"/>
      <c r="K967" s="567"/>
      <c r="L967" s="568"/>
      <c r="M967" s="568"/>
      <c r="N967" s="567"/>
      <c r="O967" s="567"/>
      <c r="P967" s="567"/>
      <c r="Q967" s="567"/>
      <c r="R967" s="570"/>
      <c r="S967" s="570"/>
      <c r="T967" s="567"/>
      <c r="U967" s="569"/>
      <c r="V967" s="567"/>
      <c r="W967" s="568"/>
      <c r="X967" s="568"/>
      <c r="Y967" s="567"/>
    </row>
    <row r="968" spans="1:25" x14ac:dyDescent="0.25">
      <c r="A968" s="570"/>
      <c r="B968" s="570"/>
      <c r="C968" s="570"/>
      <c r="D968" s="567"/>
      <c r="E968" s="567"/>
      <c r="F968" s="567"/>
      <c r="G968" s="570"/>
      <c r="H968" s="570"/>
      <c r="I968" s="567"/>
      <c r="J968" s="567"/>
      <c r="K968" s="567"/>
      <c r="L968" s="568"/>
      <c r="M968" s="568"/>
      <c r="N968" s="567"/>
      <c r="O968" s="567"/>
      <c r="P968" s="567"/>
      <c r="Q968" s="567"/>
      <c r="R968" s="570"/>
      <c r="S968" s="570"/>
      <c r="T968" s="567"/>
      <c r="U968" s="569"/>
      <c r="V968" s="567"/>
      <c r="W968" s="568"/>
      <c r="X968" s="568"/>
      <c r="Y968" s="567"/>
    </row>
    <row r="969" spans="1:25" x14ac:dyDescent="0.25">
      <c r="A969" s="570"/>
      <c r="B969" s="570"/>
      <c r="C969" s="570"/>
      <c r="D969" s="567"/>
      <c r="E969" s="567"/>
      <c r="F969" s="567"/>
      <c r="G969" s="570"/>
      <c r="H969" s="570"/>
      <c r="I969" s="567"/>
      <c r="J969" s="567"/>
      <c r="K969" s="567"/>
      <c r="L969" s="568"/>
      <c r="M969" s="568"/>
      <c r="N969" s="567"/>
      <c r="O969" s="567"/>
      <c r="P969" s="567"/>
      <c r="Q969" s="567"/>
      <c r="R969" s="570"/>
      <c r="S969" s="570"/>
      <c r="T969" s="567"/>
      <c r="U969" s="569"/>
      <c r="V969" s="567"/>
      <c r="W969" s="568"/>
      <c r="X969" s="568"/>
      <c r="Y969" s="567"/>
    </row>
    <row r="970" spans="1:25" x14ac:dyDescent="0.25">
      <c r="A970" s="570"/>
      <c r="B970" s="570"/>
      <c r="C970" s="570"/>
      <c r="D970" s="567"/>
      <c r="E970" s="567"/>
      <c r="F970" s="567"/>
      <c r="G970" s="570"/>
      <c r="H970" s="570"/>
      <c r="I970" s="567"/>
      <c r="J970" s="567"/>
      <c r="K970" s="567"/>
      <c r="L970" s="568"/>
      <c r="M970" s="568"/>
      <c r="N970" s="567"/>
      <c r="O970" s="567"/>
      <c r="P970" s="567"/>
      <c r="Q970" s="567"/>
      <c r="R970" s="570"/>
      <c r="S970" s="570"/>
      <c r="T970" s="567"/>
      <c r="U970" s="569"/>
      <c r="V970" s="567"/>
      <c r="W970" s="568"/>
      <c r="X970" s="568"/>
      <c r="Y970" s="567"/>
    </row>
    <row r="971" spans="1:25" x14ac:dyDescent="0.25">
      <c r="A971" s="570"/>
      <c r="B971" s="570"/>
      <c r="C971" s="570"/>
      <c r="D971" s="567"/>
      <c r="E971" s="567"/>
      <c r="F971" s="567"/>
      <c r="G971" s="570"/>
      <c r="H971" s="570"/>
      <c r="I971" s="567"/>
      <c r="J971" s="567"/>
      <c r="K971" s="567"/>
      <c r="L971" s="568"/>
      <c r="M971" s="568"/>
      <c r="N971" s="567"/>
      <c r="O971" s="567"/>
      <c r="P971" s="567"/>
      <c r="Q971" s="567"/>
      <c r="R971" s="570"/>
      <c r="S971" s="570"/>
      <c r="T971" s="567"/>
      <c r="U971" s="569"/>
      <c r="V971" s="567"/>
      <c r="W971" s="568"/>
      <c r="X971" s="568"/>
      <c r="Y971" s="567"/>
    </row>
    <row r="972" spans="1:25" x14ac:dyDescent="0.25">
      <c r="A972" s="570"/>
      <c r="B972" s="570"/>
      <c r="C972" s="570"/>
      <c r="D972" s="567"/>
      <c r="E972" s="567"/>
      <c r="F972" s="567"/>
      <c r="G972" s="570"/>
      <c r="H972" s="570"/>
      <c r="I972" s="567"/>
      <c r="J972" s="567"/>
      <c r="K972" s="567"/>
      <c r="L972" s="568"/>
      <c r="M972" s="568"/>
      <c r="N972" s="567"/>
      <c r="O972" s="567"/>
      <c r="P972" s="567"/>
      <c r="Q972" s="567"/>
      <c r="R972" s="570"/>
      <c r="S972" s="570"/>
      <c r="T972" s="567"/>
      <c r="U972" s="569"/>
      <c r="V972" s="567"/>
      <c r="W972" s="568"/>
      <c r="X972" s="568"/>
      <c r="Y972" s="567"/>
    </row>
    <row r="973" spans="1:25" x14ac:dyDescent="0.25">
      <c r="A973" s="570"/>
      <c r="B973" s="570"/>
      <c r="C973" s="570"/>
      <c r="D973" s="567"/>
      <c r="E973" s="567"/>
      <c r="F973" s="567"/>
      <c r="G973" s="570"/>
      <c r="H973" s="570"/>
      <c r="I973" s="567"/>
      <c r="J973" s="567"/>
      <c r="K973" s="567"/>
      <c r="L973" s="568"/>
      <c r="M973" s="568"/>
      <c r="N973" s="567"/>
      <c r="O973" s="567"/>
      <c r="P973" s="567"/>
      <c r="Q973" s="567"/>
      <c r="R973" s="570"/>
      <c r="S973" s="570"/>
      <c r="T973" s="567"/>
      <c r="U973" s="569"/>
      <c r="V973" s="567"/>
      <c r="W973" s="568"/>
      <c r="X973" s="568"/>
      <c r="Y973" s="567"/>
    </row>
    <row r="974" spans="1:25" x14ac:dyDescent="0.25">
      <c r="A974" s="570"/>
      <c r="B974" s="570"/>
      <c r="C974" s="570"/>
      <c r="D974" s="567"/>
      <c r="E974" s="567"/>
      <c r="F974" s="567"/>
      <c r="G974" s="570"/>
      <c r="H974" s="570"/>
      <c r="I974" s="567"/>
      <c r="J974" s="567"/>
      <c r="K974" s="567"/>
      <c r="L974" s="568"/>
      <c r="M974" s="568"/>
      <c r="N974" s="567"/>
      <c r="O974" s="567"/>
      <c r="P974" s="567"/>
      <c r="Q974" s="567"/>
      <c r="R974" s="570"/>
      <c r="S974" s="570"/>
      <c r="T974" s="567"/>
      <c r="U974" s="569"/>
      <c r="V974" s="567"/>
      <c r="W974" s="568"/>
      <c r="X974" s="568"/>
      <c r="Y974" s="567"/>
    </row>
    <row r="975" spans="1:25" x14ac:dyDescent="0.25">
      <c r="A975" s="570"/>
      <c r="B975" s="570"/>
      <c r="C975" s="570"/>
      <c r="D975" s="567"/>
      <c r="E975" s="567"/>
      <c r="F975" s="567"/>
      <c r="G975" s="570"/>
      <c r="H975" s="570"/>
      <c r="I975" s="567"/>
      <c r="J975" s="567"/>
      <c r="K975" s="567"/>
      <c r="L975" s="568"/>
      <c r="M975" s="568"/>
      <c r="N975" s="567"/>
      <c r="O975" s="567"/>
      <c r="P975" s="567"/>
      <c r="Q975" s="567"/>
      <c r="R975" s="570"/>
      <c r="S975" s="570"/>
      <c r="T975" s="567"/>
      <c r="U975" s="569"/>
      <c r="V975" s="567"/>
      <c r="W975" s="568"/>
      <c r="X975" s="568"/>
      <c r="Y975" s="567"/>
    </row>
    <row r="976" spans="1:25" x14ac:dyDescent="0.25">
      <c r="A976" s="570"/>
      <c r="B976" s="570"/>
      <c r="C976" s="570"/>
      <c r="D976" s="567"/>
      <c r="E976" s="567"/>
      <c r="F976" s="567"/>
      <c r="G976" s="570"/>
      <c r="H976" s="570"/>
      <c r="I976" s="567"/>
      <c r="J976" s="567"/>
      <c r="K976" s="567"/>
      <c r="L976" s="568"/>
      <c r="M976" s="568"/>
      <c r="N976" s="567"/>
      <c r="O976" s="567"/>
      <c r="P976" s="567"/>
      <c r="Q976" s="567"/>
      <c r="R976" s="570"/>
      <c r="S976" s="570"/>
      <c r="T976" s="567"/>
      <c r="U976" s="569"/>
      <c r="V976" s="567"/>
      <c r="W976" s="568"/>
      <c r="X976" s="568"/>
      <c r="Y976" s="567"/>
    </row>
    <row r="977" spans="1:25" x14ac:dyDescent="0.25">
      <c r="A977" s="570"/>
      <c r="B977" s="570"/>
      <c r="C977" s="570"/>
      <c r="D977" s="567"/>
      <c r="E977" s="567"/>
      <c r="F977" s="567"/>
      <c r="G977" s="570"/>
      <c r="H977" s="570"/>
      <c r="I977" s="567"/>
      <c r="J977" s="567"/>
      <c r="K977" s="567"/>
      <c r="L977" s="568"/>
      <c r="M977" s="568"/>
      <c r="N977" s="567"/>
      <c r="O977" s="567"/>
      <c r="P977" s="567"/>
      <c r="Q977" s="567"/>
      <c r="R977" s="570"/>
      <c r="S977" s="570"/>
      <c r="T977" s="567"/>
      <c r="U977" s="569"/>
      <c r="V977" s="567"/>
      <c r="W977" s="568"/>
      <c r="X977" s="568"/>
      <c r="Y977" s="567"/>
    </row>
    <row r="978" spans="1:25" x14ac:dyDescent="0.25">
      <c r="A978" s="570"/>
      <c r="B978" s="570"/>
      <c r="C978" s="570"/>
      <c r="D978" s="567"/>
      <c r="E978" s="567"/>
      <c r="F978" s="567"/>
      <c r="G978" s="570"/>
      <c r="H978" s="570"/>
      <c r="I978" s="567"/>
      <c r="J978" s="567"/>
      <c r="K978" s="567"/>
      <c r="L978" s="568"/>
      <c r="M978" s="568"/>
      <c r="N978" s="567"/>
      <c r="O978" s="567"/>
      <c r="P978" s="567"/>
      <c r="Q978" s="567"/>
      <c r="R978" s="570"/>
      <c r="S978" s="570"/>
      <c r="T978" s="567"/>
      <c r="U978" s="569"/>
      <c r="V978" s="567"/>
      <c r="W978" s="568"/>
      <c r="X978" s="568"/>
      <c r="Y978" s="567"/>
    </row>
    <row r="979" spans="1:25" x14ac:dyDescent="0.25">
      <c r="A979" s="570"/>
      <c r="B979" s="570"/>
      <c r="C979" s="570"/>
      <c r="D979" s="567"/>
      <c r="E979" s="567"/>
      <c r="F979" s="567"/>
      <c r="G979" s="570"/>
      <c r="H979" s="570"/>
      <c r="I979" s="567"/>
      <c r="J979" s="567"/>
      <c r="K979" s="567"/>
      <c r="L979" s="568"/>
      <c r="M979" s="568"/>
      <c r="N979" s="567"/>
      <c r="O979" s="567"/>
      <c r="P979" s="567"/>
      <c r="Q979" s="567"/>
      <c r="R979" s="570"/>
      <c r="S979" s="570"/>
      <c r="T979" s="567"/>
      <c r="U979" s="569"/>
      <c r="V979" s="567"/>
      <c r="W979" s="568"/>
      <c r="X979" s="568"/>
      <c r="Y979" s="567"/>
    </row>
    <row r="980" spans="1:25" x14ac:dyDescent="0.25">
      <c r="A980" s="570"/>
      <c r="B980" s="570"/>
      <c r="C980" s="570"/>
      <c r="D980" s="567"/>
      <c r="E980" s="567"/>
      <c r="F980" s="567"/>
      <c r="G980" s="570"/>
      <c r="H980" s="570"/>
      <c r="I980" s="567"/>
      <c r="J980" s="567"/>
      <c r="K980" s="567"/>
      <c r="L980" s="568"/>
      <c r="M980" s="568"/>
      <c r="N980" s="567"/>
      <c r="O980" s="567"/>
      <c r="P980" s="567"/>
      <c r="Q980" s="567"/>
      <c r="R980" s="570"/>
      <c r="S980" s="570"/>
      <c r="T980" s="567"/>
      <c r="U980" s="569"/>
      <c r="V980" s="567"/>
      <c r="W980" s="568"/>
      <c r="X980" s="568"/>
      <c r="Y980" s="567"/>
    </row>
    <row r="981" spans="1:25" x14ac:dyDescent="0.25">
      <c r="A981" s="570"/>
      <c r="B981" s="570"/>
      <c r="C981" s="570"/>
      <c r="D981" s="567"/>
      <c r="E981" s="567"/>
      <c r="F981" s="567"/>
      <c r="G981" s="570"/>
      <c r="H981" s="570"/>
      <c r="I981" s="567"/>
      <c r="J981" s="567"/>
      <c r="K981" s="567"/>
      <c r="L981" s="568"/>
      <c r="M981" s="568"/>
      <c r="N981" s="567"/>
      <c r="O981" s="567"/>
      <c r="P981" s="567"/>
      <c r="Q981" s="567"/>
      <c r="R981" s="570"/>
      <c r="S981" s="570"/>
      <c r="T981" s="567"/>
      <c r="U981" s="569"/>
      <c r="V981" s="567"/>
      <c r="W981" s="568"/>
      <c r="X981" s="568"/>
      <c r="Y981" s="567"/>
    </row>
    <row r="982" spans="1:25" x14ac:dyDescent="0.25">
      <c r="A982" s="570"/>
      <c r="B982" s="570"/>
      <c r="C982" s="570"/>
      <c r="D982" s="567"/>
      <c r="E982" s="567"/>
      <c r="F982" s="567"/>
      <c r="G982" s="570"/>
      <c r="H982" s="570"/>
      <c r="I982" s="567"/>
      <c r="J982" s="567"/>
      <c r="K982" s="567"/>
      <c r="L982" s="568"/>
      <c r="M982" s="568"/>
      <c r="N982" s="567"/>
      <c r="O982" s="567"/>
      <c r="P982" s="567"/>
      <c r="Q982" s="567"/>
      <c r="R982" s="570"/>
      <c r="S982" s="570"/>
      <c r="T982" s="567"/>
      <c r="U982" s="569"/>
      <c r="V982" s="567"/>
      <c r="W982" s="568"/>
      <c r="X982" s="568"/>
      <c r="Y982" s="567"/>
    </row>
    <row r="983" spans="1:25" x14ac:dyDescent="0.25">
      <c r="A983" s="570"/>
      <c r="B983" s="570"/>
      <c r="C983" s="570"/>
      <c r="D983" s="567"/>
      <c r="E983" s="567"/>
      <c r="F983" s="567"/>
      <c r="G983" s="570"/>
      <c r="H983" s="570"/>
      <c r="I983" s="567"/>
      <c r="J983" s="567"/>
      <c r="K983" s="567"/>
      <c r="L983" s="568"/>
      <c r="M983" s="568"/>
      <c r="N983" s="567"/>
      <c r="O983" s="567"/>
      <c r="P983" s="567"/>
      <c r="Q983" s="567"/>
      <c r="R983" s="570"/>
      <c r="S983" s="570"/>
      <c r="T983" s="567"/>
      <c r="U983" s="569"/>
      <c r="V983" s="567"/>
      <c r="W983" s="568"/>
      <c r="X983" s="568"/>
      <c r="Y983" s="567"/>
    </row>
    <row r="984" spans="1:25" x14ac:dyDescent="0.25">
      <c r="A984" s="570"/>
      <c r="B984" s="570"/>
      <c r="C984" s="570"/>
      <c r="D984" s="567"/>
      <c r="E984" s="567"/>
      <c r="F984" s="567"/>
      <c r="G984" s="570"/>
      <c r="H984" s="570"/>
      <c r="I984" s="567"/>
      <c r="J984" s="567"/>
      <c r="K984" s="567"/>
      <c r="L984" s="568"/>
      <c r="M984" s="568"/>
      <c r="N984" s="567"/>
      <c r="O984" s="567"/>
      <c r="P984" s="567"/>
      <c r="Q984" s="567"/>
      <c r="R984" s="570"/>
      <c r="S984" s="570"/>
      <c r="T984" s="567"/>
      <c r="U984" s="569"/>
      <c r="V984" s="567"/>
      <c r="W984" s="568"/>
      <c r="X984" s="568"/>
      <c r="Y984" s="567"/>
    </row>
    <row r="985" spans="1:25" x14ac:dyDescent="0.25">
      <c r="A985" s="570"/>
      <c r="B985" s="570"/>
      <c r="C985" s="570"/>
      <c r="D985" s="567"/>
      <c r="E985" s="567"/>
      <c r="F985" s="567"/>
      <c r="G985" s="570"/>
      <c r="H985" s="570"/>
      <c r="I985" s="567"/>
      <c r="J985" s="567"/>
      <c r="K985" s="567"/>
      <c r="L985" s="568"/>
      <c r="M985" s="568"/>
      <c r="N985" s="567"/>
      <c r="O985" s="567"/>
      <c r="P985" s="567"/>
      <c r="Q985" s="567"/>
      <c r="R985" s="570"/>
      <c r="S985" s="570"/>
      <c r="T985" s="567"/>
      <c r="U985" s="569"/>
      <c r="V985" s="567"/>
      <c r="W985" s="568"/>
      <c r="X985" s="568"/>
      <c r="Y985" s="567"/>
    </row>
    <row r="986" spans="1:25" x14ac:dyDescent="0.25">
      <c r="A986" s="570"/>
      <c r="B986" s="570"/>
      <c r="C986" s="570"/>
      <c r="D986" s="567"/>
      <c r="E986" s="567"/>
      <c r="F986" s="567"/>
      <c r="G986" s="570"/>
      <c r="H986" s="570"/>
      <c r="I986" s="567"/>
      <c r="J986" s="567"/>
      <c r="K986" s="567"/>
      <c r="L986" s="568"/>
      <c r="M986" s="568"/>
      <c r="N986" s="567"/>
      <c r="O986" s="567"/>
      <c r="P986" s="567"/>
      <c r="Q986" s="567"/>
      <c r="R986" s="570"/>
      <c r="S986" s="570"/>
      <c r="T986" s="567"/>
      <c r="U986" s="569"/>
      <c r="V986" s="567"/>
      <c r="W986" s="568"/>
      <c r="X986" s="568"/>
      <c r="Y986" s="567"/>
    </row>
    <row r="987" spans="1:25" x14ac:dyDescent="0.25">
      <c r="A987" s="570"/>
      <c r="B987" s="570"/>
      <c r="C987" s="570"/>
      <c r="D987" s="567"/>
      <c r="E987" s="567"/>
      <c r="F987" s="567"/>
      <c r="G987" s="570"/>
      <c r="H987" s="570"/>
      <c r="I987" s="567"/>
      <c r="J987" s="567"/>
      <c r="K987" s="567"/>
      <c r="L987" s="568"/>
      <c r="M987" s="568"/>
      <c r="N987" s="567"/>
      <c r="O987" s="567"/>
      <c r="P987" s="567"/>
      <c r="Q987" s="567"/>
      <c r="R987" s="570"/>
      <c r="S987" s="570"/>
      <c r="T987" s="567"/>
      <c r="U987" s="569"/>
      <c r="V987" s="567"/>
      <c r="W987" s="568"/>
      <c r="X987" s="568"/>
      <c r="Y987" s="567"/>
    </row>
    <row r="988" spans="1:25" x14ac:dyDescent="0.25">
      <c r="A988" s="570"/>
      <c r="B988" s="570"/>
      <c r="C988" s="570"/>
      <c r="D988" s="567"/>
      <c r="E988" s="567"/>
      <c r="F988" s="567"/>
      <c r="G988" s="570"/>
      <c r="H988" s="570"/>
      <c r="I988" s="567"/>
      <c r="J988" s="567"/>
      <c r="K988" s="567"/>
      <c r="L988" s="568"/>
      <c r="M988" s="568"/>
      <c r="N988" s="567"/>
      <c r="O988" s="567"/>
      <c r="P988" s="567"/>
      <c r="Q988" s="567"/>
      <c r="R988" s="570"/>
      <c r="S988" s="570"/>
      <c r="T988" s="567"/>
      <c r="U988" s="569"/>
      <c r="V988" s="567"/>
      <c r="W988" s="568"/>
      <c r="X988" s="568"/>
      <c r="Y988" s="567"/>
    </row>
    <row r="989" spans="1:25" x14ac:dyDescent="0.25">
      <c r="A989" s="570"/>
      <c r="B989" s="570"/>
      <c r="C989" s="570"/>
      <c r="D989" s="567"/>
      <c r="E989" s="567"/>
      <c r="F989" s="567"/>
      <c r="G989" s="570"/>
      <c r="H989" s="570"/>
      <c r="I989" s="567"/>
      <c r="J989" s="567"/>
      <c r="K989" s="567"/>
      <c r="L989" s="568"/>
      <c r="M989" s="568"/>
      <c r="N989" s="567"/>
      <c r="O989" s="567"/>
      <c r="P989" s="567"/>
      <c r="Q989" s="567"/>
      <c r="R989" s="570"/>
      <c r="S989" s="570"/>
      <c r="T989" s="567"/>
      <c r="U989" s="569"/>
      <c r="V989" s="567"/>
      <c r="W989" s="568"/>
      <c r="X989" s="568"/>
      <c r="Y989" s="567"/>
    </row>
    <row r="990" spans="1:25" x14ac:dyDescent="0.25">
      <c r="A990" s="570"/>
      <c r="B990" s="570"/>
      <c r="C990" s="570"/>
      <c r="D990" s="567"/>
      <c r="E990" s="567"/>
      <c r="F990" s="567"/>
      <c r="G990" s="570"/>
      <c r="H990" s="570"/>
      <c r="I990" s="567"/>
      <c r="J990" s="567"/>
      <c r="K990" s="567"/>
      <c r="L990" s="568"/>
      <c r="M990" s="568"/>
      <c r="N990" s="567"/>
      <c r="O990" s="567"/>
      <c r="P990" s="567"/>
      <c r="Q990" s="567"/>
      <c r="R990" s="570"/>
      <c r="S990" s="570"/>
      <c r="T990" s="567"/>
      <c r="U990" s="569"/>
      <c r="V990" s="567"/>
      <c r="W990" s="568"/>
      <c r="X990" s="568"/>
      <c r="Y990" s="567"/>
    </row>
    <row r="991" spans="1:25" x14ac:dyDescent="0.25">
      <c r="A991" s="570"/>
      <c r="B991" s="570"/>
      <c r="C991" s="570"/>
      <c r="D991" s="567"/>
      <c r="E991" s="567"/>
      <c r="F991" s="567"/>
      <c r="G991" s="570"/>
      <c r="H991" s="570"/>
      <c r="I991" s="567"/>
      <c r="J991" s="567"/>
      <c r="K991" s="567"/>
      <c r="L991" s="568"/>
      <c r="M991" s="568"/>
      <c r="N991" s="567"/>
      <c r="O991" s="567"/>
      <c r="P991" s="567"/>
      <c r="Q991" s="567"/>
      <c r="R991" s="570"/>
      <c r="S991" s="570"/>
      <c r="T991" s="567"/>
      <c r="U991" s="569"/>
      <c r="V991" s="567"/>
      <c r="W991" s="568"/>
      <c r="X991" s="568"/>
      <c r="Y991" s="567"/>
    </row>
    <row r="992" spans="1:25" x14ac:dyDescent="0.25">
      <c r="A992" s="570"/>
      <c r="B992" s="570"/>
      <c r="C992" s="570"/>
      <c r="D992" s="567"/>
      <c r="E992" s="567"/>
      <c r="F992" s="567"/>
      <c r="G992" s="570"/>
      <c r="H992" s="570"/>
      <c r="I992" s="567"/>
      <c r="J992" s="567"/>
      <c r="K992" s="567"/>
      <c r="L992" s="568"/>
      <c r="M992" s="568"/>
      <c r="N992" s="567"/>
      <c r="O992" s="567"/>
      <c r="P992" s="567"/>
      <c r="Q992" s="567"/>
      <c r="R992" s="570"/>
      <c r="S992" s="570"/>
      <c r="T992" s="567"/>
      <c r="U992" s="569"/>
      <c r="V992" s="567"/>
      <c r="W992" s="568"/>
      <c r="X992" s="568"/>
      <c r="Y992" s="567"/>
    </row>
    <row r="993" spans="1:25" x14ac:dyDescent="0.25">
      <c r="A993" s="570"/>
      <c r="B993" s="570"/>
      <c r="C993" s="570"/>
      <c r="D993" s="567"/>
      <c r="E993" s="567"/>
      <c r="F993" s="567"/>
      <c r="G993" s="570"/>
      <c r="H993" s="570"/>
      <c r="I993" s="567"/>
      <c r="J993" s="567"/>
      <c r="K993" s="567"/>
      <c r="L993" s="568"/>
      <c r="M993" s="568"/>
      <c r="N993" s="567"/>
      <c r="O993" s="567"/>
      <c r="P993" s="567"/>
      <c r="Q993" s="567"/>
      <c r="R993" s="570"/>
      <c r="S993" s="570"/>
      <c r="T993" s="567"/>
      <c r="U993" s="569"/>
      <c r="V993" s="567"/>
      <c r="W993" s="568"/>
      <c r="X993" s="568"/>
      <c r="Y993" s="567"/>
    </row>
    <row r="994" spans="1:25" x14ac:dyDescent="0.25">
      <c r="A994" s="570"/>
      <c r="B994" s="570"/>
      <c r="C994" s="570"/>
      <c r="D994" s="567"/>
      <c r="E994" s="567"/>
      <c r="F994" s="567"/>
      <c r="G994" s="570"/>
      <c r="H994" s="570"/>
      <c r="I994" s="567"/>
      <c r="J994" s="567"/>
      <c r="K994" s="567"/>
      <c r="L994" s="568"/>
      <c r="M994" s="568"/>
      <c r="N994" s="567"/>
      <c r="O994" s="567"/>
      <c r="P994" s="567"/>
      <c r="Q994" s="567"/>
      <c r="R994" s="570"/>
      <c r="S994" s="570"/>
      <c r="T994" s="567"/>
      <c r="U994" s="569"/>
      <c r="V994" s="567"/>
      <c r="W994" s="568"/>
      <c r="X994" s="568"/>
      <c r="Y994" s="567"/>
    </row>
    <row r="995" spans="1:25" x14ac:dyDescent="0.25">
      <c r="A995" s="570"/>
      <c r="B995" s="570"/>
      <c r="C995" s="570"/>
      <c r="D995" s="567"/>
      <c r="E995" s="567"/>
      <c r="F995" s="567"/>
      <c r="G995" s="570"/>
      <c r="H995" s="570"/>
      <c r="I995" s="567"/>
      <c r="J995" s="567"/>
      <c r="K995" s="567"/>
      <c r="L995" s="568"/>
      <c r="M995" s="568"/>
      <c r="N995" s="567"/>
      <c r="O995" s="567"/>
      <c r="P995" s="567"/>
      <c r="Q995" s="567"/>
      <c r="R995" s="570"/>
      <c r="S995" s="570"/>
      <c r="T995" s="567"/>
      <c r="U995" s="569"/>
      <c r="V995" s="567"/>
      <c r="W995" s="568"/>
      <c r="X995" s="568"/>
      <c r="Y995" s="567"/>
    </row>
    <row r="996" spans="1:25" x14ac:dyDescent="0.25">
      <c r="A996" s="570"/>
      <c r="B996" s="570"/>
      <c r="C996" s="570"/>
      <c r="D996" s="567"/>
      <c r="E996" s="567"/>
      <c r="F996" s="567"/>
      <c r="G996" s="570"/>
      <c r="H996" s="570"/>
      <c r="I996" s="567"/>
      <c r="J996" s="567"/>
      <c r="K996" s="567"/>
      <c r="L996" s="568"/>
      <c r="M996" s="568"/>
      <c r="N996" s="567"/>
      <c r="O996" s="567"/>
      <c r="P996" s="567"/>
      <c r="Q996" s="567"/>
      <c r="R996" s="570"/>
      <c r="S996" s="570"/>
      <c r="T996" s="567"/>
      <c r="U996" s="569"/>
      <c r="V996" s="567"/>
      <c r="W996" s="568"/>
      <c r="X996" s="568"/>
      <c r="Y996" s="567"/>
    </row>
    <row r="997" spans="1:25" x14ac:dyDescent="0.25">
      <c r="A997" s="570"/>
      <c r="B997" s="570"/>
      <c r="C997" s="570"/>
      <c r="D997" s="567"/>
      <c r="E997" s="567"/>
      <c r="F997" s="567"/>
      <c r="G997" s="570"/>
      <c r="H997" s="570"/>
      <c r="I997" s="567"/>
      <c r="J997" s="567"/>
      <c r="K997" s="567"/>
      <c r="L997" s="568"/>
      <c r="M997" s="568"/>
      <c r="N997" s="567"/>
      <c r="O997" s="567"/>
      <c r="P997" s="567"/>
      <c r="Q997" s="567"/>
      <c r="R997" s="570"/>
      <c r="S997" s="570"/>
      <c r="T997" s="567"/>
      <c r="U997" s="569"/>
      <c r="V997" s="567"/>
      <c r="W997" s="568"/>
      <c r="X997" s="568"/>
      <c r="Y997" s="567"/>
    </row>
    <row r="998" spans="1:25" x14ac:dyDescent="0.25">
      <c r="A998" s="570"/>
      <c r="B998" s="570"/>
      <c r="C998" s="570"/>
      <c r="D998" s="567"/>
      <c r="E998" s="567"/>
      <c r="F998" s="567"/>
      <c r="G998" s="570"/>
      <c r="H998" s="570"/>
      <c r="I998" s="567"/>
      <c r="J998" s="567"/>
      <c r="K998" s="567"/>
      <c r="L998" s="568"/>
      <c r="M998" s="568"/>
      <c r="N998" s="567"/>
      <c r="O998" s="567"/>
      <c r="P998" s="567"/>
      <c r="Q998" s="567"/>
      <c r="R998" s="570"/>
      <c r="S998" s="570"/>
      <c r="T998" s="567"/>
      <c r="U998" s="569"/>
      <c r="V998" s="567"/>
      <c r="W998" s="568"/>
      <c r="X998" s="568"/>
      <c r="Y998" s="567"/>
    </row>
    <row r="999" spans="1:25" x14ac:dyDescent="0.25">
      <c r="A999" s="570"/>
      <c r="B999" s="570"/>
      <c r="C999" s="570"/>
      <c r="D999" s="567"/>
      <c r="E999" s="567"/>
      <c r="F999" s="567"/>
      <c r="G999" s="570"/>
      <c r="H999" s="570"/>
      <c r="I999" s="567"/>
      <c r="J999" s="567"/>
      <c r="K999" s="567"/>
      <c r="L999" s="568"/>
      <c r="M999" s="568"/>
      <c r="N999" s="567"/>
      <c r="O999" s="567"/>
      <c r="P999" s="567"/>
      <c r="Q999" s="567"/>
      <c r="R999" s="570"/>
      <c r="S999" s="570"/>
      <c r="T999" s="567"/>
      <c r="U999" s="569"/>
      <c r="V999" s="567"/>
      <c r="W999" s="568"/>
      <c r="X999" s="568"/>
      <c r="Y999" s="567"/>
    </row>
    <row r="1000" spans="1:25" x14ac:dyDescent="0.25">
      <c r="A1000" s="570"/>
      <c r="B1000" s="570"/>
      <c r="C1000" s="570"/>
      <c r="D1000" s="567"/>
      <c r="E1000" s="567"/>
      <c r="F1000" s="567"/>
      <c r="G1000" s="570"/>
      <c r="H1000" s="570"/>
      <c r="I1000" s="567"/>
      <c r="J1000" s="567"/>
      <c r="K1000" s="567"/>
      <c r="L1000" s="568"/>
      <c r="M1000" s="568"/>
      <c r="N1000" s="567"/>
      <c r="O1000" s="567"/>
      <c r="P1000" s="567"/>
      <c r="Q1000" s="567"/>
      <c r="R1000" s="570"/>
      <c r="S1000" s="570"/>
      <c r="T1000" s="567"/>
      <c r="U1000" s="569"/>
      <c r="V1000" s="567"/>
      <c r="W1000" s="568"/>
      <c r="X1000" s="568"/>
      <c r="Y1000" s="567"/>
    </row>
  </sheetData>
  <mergeCells count="2">
    <mergeCell ref="D4:N4"/>
    <mergeCell ref="O4:Y4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5"/>
  <dimension ref="A1:A1000"/>
  <sheetViews>
    <sheetView workbookViewId="0"/>
  </sheetViews>
  <sheetFormatPr defaultRowHeight="15" x14ac:dyDescent="0.25"/>
  <cols>
    <col min="1" max="1" width="100.7109375" style="544" customWidth="1"/>
    <col min="2" max="2" width="101.42578125" bestFit="1" customWidth="1"/>
  </cols>
  <sheetData>
    <row r="1" spans="1:1" x14ac:dyDescent="0.25">
      <c r="A1" t="s">
        <v>2003</v>
      </c>
    </row>
    <row r="2" spans="1:1" x14ac:dyDescent="0.25">
      <c r="A2" t="s">
        <v>411</v>
      </c>
    </row>
    <row r="3" spans="1:1" x14ac:dyDescent="0.25">
      <c r="A3" t="s">
        <v>405</v>
      </c>
    </row>
    <row r="4" spans="1:1" x14ac:dyDescent="0.25">
      <c r="A4" t="s">
        <v>410</v>
      </c>
    </row>
    <row r="5" spans="1:1" x14ac:dyDescent="0.25">
      <c r="A5" t="s">
        <v>409</v>
      </c>
    </row>
    <row r="6" spans="1:1" x14ac:dyDescent="0.25">
      <c r="A6" t="s">
        <v>396</v>
      </c>
    </row>
    <row r="7" spans="1:1" x14ac:dyDescent="0.25">
      <c r="A7" t="s">
        <v>2146</v>
      </c>
    </row>
    <row r="8" spans="1:1" x14ac:dyDescent="0.25">
      <c r="A8" t="s">
        <v>2854</v>
      </c>
    </row>
    <row r="9" spans="1:1" x14ac:dyDescent="0.25">
      <c r="A9" t="s">
        <v>408</v>
      </c>
    </row>
    <row r="10" spans="1:1" x14ac:dyDescent="0.25">
      <c r="A10" t="s">
        <v>2147</v>
      </c>
    </row>
    <row r="11" spans="1:1" x14ac:dyDescent="0.25">
      <c r="A11" t="s">
        <v>2855</v>
      </c>
    </row>
    <row r="12" spans="1:1" x14ac:dyDescent="0.25">
      <c r="A12" t="s">
        <v>408</v>
      </c>
    </row>
    <row r="13" spans="1:1" x14ac:dyDescent="0.25">
      <c r="A13" t="s">
        <v>2148</v>
      </c>
    </row>
    <row r="14" spans="1:1" x14ac:dyDescent="0.25">
      <c r="A14" t="s">
        <v>2855</v>
      </c>
    </row>
    <row r="15" spans="1:1" x14ac:dyDescent="0.25">
      <c r="A15" t="s">
        <v>407</v>
      </c>
    </row>
    <row r="16" spans="1:1" x14ac:dyDescent="0.25">
      <c r="A16" t="s">
        <v>2149</v>
      </c>
    </row>
    <row r="17" spans="1:1" x14ac:dyDescent="0.25">
      <c r="A17" t="s">
        <v>2856</v>
      </c>
    </row>
    <row r="18" spans="1:1" x14ac:dyDescent="0.25">
      <c r="A18" t="s">
        <v>406</v>
      </c>
    </row>
    <row r="19" spans="1:1" x14ac:dyDescent="0.25">
      <c r="A19" t="s">
        <v>2857</v>
      </c>
    </row>
    <row r="20" spans="1:1" x14ac:dyDescent="0.25">
      <c r="A20" t="s">
        <v>2150</v>
      </c>
    </row>
    <row r="21" spans="1:1" x14ac:dyDescent="0.25">
      <c r="A21" t="s">
        <v>405</v>
      </c>
    </row>
    <row r="22" spans="1:1" x14ac:dyDescent="0.25">
      <c r="A22" t="s">
        <v>2858</v>
      </c>
    </row>
    <row r="23" spans="1:1" x14ac:dyDescent="0.25">
      <c r="A23" t="s">
        <v>2151</v>
      </c>
    </row>
    <row r="24" spans="1:1" x14ac:dyDescent="0.25">
      <c r="A24" t="s">
        <v>396</v>
      </c>
    </row>
    <row r="25" spans="1:1" x14ac:dyDescent="0.25">
      <c r="A25" t="s">
        <v>2859</v>
      </c>
    </row>
    <row r="26" spans="1:1" x14ac:dyDescent="0.25">
      <c r="A26" t="s">
        <v>2152</v>
      </c>
    </row>
    <row r="27" spans="1:1" x14ac:dyDescent="0.25">
      <c r="A27" t="s">
        <v>396</v>
      </c>
    </row>
    <row r="28" spans="1:1" x14ac:dyDescent="0.25">
      <c r="A28" t="s">
        <v>2860</v>
      </c>
    </row>
    <row r="29" spans="1:1" x14ac:dyDescent="0.25">
      <c r="A29" t="s">
        <v>2153</v>
      </c>
    </row>
    <row r="30" spans="1:1" x14ac:dyDescent="0.25">
      <c r="A30" t="s">
        <v>396</v>
      </c>
    </row>
    <row r="31" spans="1:1" x14ac:dyDescent="0.25">
      <c r="A31" t="s">
        <v>2154</v>
      </c>
    </row>
    <row r="32" spans="1:1" x14ac:dyDescent="0.25">
      <c r="A32" t="s">
        <v>2155</v>
      </c>
    </row>
    <row r="33" spans="1:1" x14ac:dyDescent="0.25">
      <c r="A33" t="s">
        <v>408</v>
      </c>
    </row>
    <row r="34" spans="1:1" x14ac:dyDescent="0.25">
      <c r="A34" t="s">
        <v>2156</v>
      </c>
    </row>
    <row r="35" spans="1:1" x14ac:dyDescent="0.25">
      <c r="A35" t="s">
        <v>2157</v>
      </c>
    </row>
    <row r="36" spans="1:1" x14ac:dyDescent="0.25">
      <c r="A36" t="s">
        <v>407</v>
      </c>
    </row>
    <row r="37" spans="1:1" x14ac:dyDescent="0.25">
      <c r="A37" t="s">
        <v>2158</v>
      </c>
    </row>
    <row r="38" spans="1:1" x14ac:dyDescent="0.25">
      <c r="A38" t="s">
        <v>2159</v>
      </c>
    </row>
    <row r="39" spans="1:1" x14ac:dyDescent="0.25">
      <c r="A39" t="s">
        <v>407</v>
      </c>
    </row>
    <row r="40" spans="1:1" x14ac:dyDescent="0.25">
      <c r="A40" t="s">
        <v>2861</v>
      </c>
    </row>
    <row r="41" spans="1:1" x14ac:dyDescent="0.25">
      <c r="A41" t="s">
        <v>2862</v>
      </c>
    </row>
    <row r="42" spans="1:1" x14ac:dyDescent="0.25">
      <c r="A42" t="s">
        <v>407</v>
      </c>
    </row>
    <row r="43" spans="1:1" x14ac:dyDescent="0.25">
      <c r="A43" t="s">
        <v>2863</v>
      </c>
    </row>
    <row r="44" spans="1:1" x14ac:dyDescent="0.25">
      <c r="A44" t="s">
        <v>2864</v>
      </c>
    </row>
    <row r="45" spans="1:1" x14ac:dyDescent="0.25">
      <c r="A45" t="s">
        <v>407</v>
      </c>
    </row>
    <row r="46" spans="1:1" x14ac:dyDescent="0.25">
      <c r="A46" t="s">
        <v>2865</v>
      </c>
    </row>
    <row r="47" spans="1:1" x14ac:dyDescent="0.25">
      <c r="A47" t="s">
        <v>2866</v>
      </c>
    </row>
    <row r="48" spans="1:1" x14ac:dyDescent="0.25">
      <c r="A48" t="s">
        <v>407</v>
      </c>
    </row>
    <row r="49" spans="1:1" x14ac:dyDescent="0.25">
      <c r="A49" t="s">
        <v>2867</v>
      </c>
    </row>
    <row r="50" spans="1:1" x14ac:dyDescent="0.25">
      <c r="A50" t="s">
        <v>2160</v>
      </c>
    </row>
    <row r="51" spans="1:1" x14ac:dyDescent="0.25">
      <c r="A51" t="s">
        <v>407</v>
      </c>
    </row>
    <row r="52" spans="1:1" x14ac:dyDescent="0.25">
      <c r="A52" t="s">
        <v>2868</v>
      </c>
    </row>
    <row r="53" spans="1:1" x14ac:dyDescent="0.25">
      <c r="A53" t="s">
        <v>2869</v>
      </c>
    </row>
    <row r="54" spans="1:1" x14ac:dyDescent="0.25">
      <c r="A54" t="s">
        <v>407</v>
      </c>
    </row>
    <row r="55" spans="1:1" x14ac:dyDescent="0.25">
      <c r="A55" t="s">
        <v>2870</v>
      </c>
    </row>
    <row r="56" spans="1:1" x14ac:dyDescent="0.25">
      <c r="A56" t="s">
        <v>2871</v>
      </c>
    </row>
    <row r="57" spans="1:1" x14ac:dyDescent="0.25">
      <c r="A57" t="s">
        <v>407</v>
      </c>
    </row>
    <row r="58" spans="1:1" x14ac:dyDescent="0.25">
      <c r="A58" t="s">
        <v>2872</v>
      </c>
    </row>
    <row r="59" spans="1:1" x14ac:dyDescent="0.25">
      <c r="A59" t="s">
        <v>2873</v>
      </c>
    </row>
    <row r="60" spans="1:1" x14ac:dyDescent="0.25">
      <c r="A60" t="s">
        <v>406</v>
      </c>
    </row>
    <row r="61" spans="1:1" x14ac:dyDescent="0.25">
      <c r="A61" t="s">
        <v>2161</v>
      </c>
    </row>
    <row r="62" spans="1:1" x14ac:dyDescent="0.25">
      <c r="A62" t="s">
        <v>2874</v>
      </c>
    </row>
    <row r="63" spans="1:1" x14ac:dyDescent="0.25">
      <c r="A63" t="s">
        <v>405</v>
      </c>
    </row>
    <row r="64" spans="1:1" x14ac:dyDescent="0.25">
      <c r="A64" t="s">
        <v>2162</v>
      </c>
    </row>
    <row r="65" spans="1:1" x14ac:dyDescent="0.25">
      <c r="A65" t="s">
        <v>2875</v>
      </c>
    </row>
    <row r="66" spans="1:1" x14ac:dyDescent="0.25">
      <c r="A66" t="s">
        <v>396</v>
      </c>
    </row>
    <row r="67" spans="1:1" x14ac:dyDescent="0.25">
      <c r="A67" t="s">
        <v>2163</v>
      </c>
    </row>
    <row r="68" spans="1:1" x14ac:dyDescent="0.25">
      <c r="A68" t="s">
        <v>2876</v>
      </c>
    </row>
    <row r="69" spans="1:1" x14ac:dyDescent="0.25">
      <c r="A69" t="s">
        <v>396</v>
      </c>
    </row>
    <row r="70" spans="1:1" x14ac:dyDescent="0.25">
      <c r="A70" t="s">
        <v>2164</v>
      </c>
    </row>
    <row r="71" spans="1:1" x14ac:dyDescent="0.25">
      <c r="A71" t="s">
        <v>2165</v>
      </c>
    </row>
    <row r="72" spans="1:1" x14ac:dyDescent="0.25">
      <c r="A72" t="s">
        <v>396</v>
      </c>
    </row>
    <row r="73" spans="1:1" x14ac:dyDescent="0.25">
      <c r="A73" t="s">
        <v>2166</v>
      </c>
    </row>
    <row r="74" spans="1:1" x14ac:dyDescent="0.25">
      <c r="A74" t="s">
        <v>2167</v>
      </c>
    </row>
    <row r="75" spans="1:1" x14ac:dyDescent="0.25">
      <c r="A75" t="s">
        <v>408</v>
      </c>
    </row>
    <row r="76" spans="1:1" x14ac:dyDescent="0.25">
      <c r="A76" t="s">
        <v>2168</v>
      </c>
    </row>
    <row r="77" spans="1:1" x14ac:dyDescent="0.25">
      <c r="A77" t="s">
        <v>2169</v>
      </c>
    </row>
    <row r="78" spans="1:1" x14ac:dyDescent="0.25">
      <c r="A78" t="s">
        <v>407</v>
      </c>
    </row>
    <row r="79" spans="1:1" x14ac:dyDescent="0.25">
      <c r="A79" t="s">
        <v>2170</v>
      </c>
    </row>
    <row r="80" spans="1:1" x14ac:dyDescent="0.25">
      <c r="A80" t="s">
        <v>2171</v>
      </c>
    </row>
    <row r="81" spans="1:1" x14ac:dyDescent="0.25">
      <c r="A81" t="s">
        <v>407</v>
      </c>
    </row>
    <row r="82" spans="1:1" x14ac:dyDescent="0.25">
      <c r="A82" t="s">
        <v>2172</v>
      </c>
    </row>
    <row r="83" spans="1:1" x14ac:dyDescent="0.25">
      <c r="A83" t="s">
        <v>2173</v>
      </c>
    </row>
    <row r="84" spans="1:1" x14ac:dyDescent="0.25">
      <c r="A84" t="s">
        <v>407</v>
      </c>
    </row>
    <row r="85" spans="1:1" x14ac:dyDescent="0.25">
      <c r="A85" t="s">
        <v>2877</v>
      </c>
    </row>
    <row r="86" spans="1:1" x14ac:dyDescent="0.25">
      <c r="A86" t="s">
        <v>2878</v>
      </c>
    </row>
    <row r="87" spans="1:1" x14ac:dyDescent="0.25">
      <c r="A87" t="s">
        <v>407</v>
      </c>
    </row>
    <row r="88" spans="1:1" x14ac:dyDescent="0.25">
      <c r="A88" t="s">
        <v>2879</v>
      </c>
    </row>
    <row r="89" spans="1:1" x14ac:dyDescent="0.25">
      <c r="A89" t="s">
        <v>2880</v>
      </c>
    </row>
    <row r="90" spans="1:1" x14ac:dyDescent="0.25">
      <c r="A90" t="s">
        <v>407</v>
      </c>
    </row>
    <row r="91" spans="1:1" x14ac:dyDescent="0.25">
      <c r="A91" t="s">
        <v>2881</v>
      </c>
    </row>
    <row r="92" spans="1:1" x14ac:dyDescent="0.25">
      <c r="A92" t="s">
        <v>2882</v>
      </c>
    </row>
    <row r="93" spans="1:1" x14ac:dyDescent="0.25">
      <c r="A93" t="s">
        <v>407</v>
      </c>
    </row>
    <row r="94" spans="1:1" x14ac:dyDescent="0.25">
      <c r="A94" t="s">
        <v>2883</v>
      </c>
    </row>
    <row r="95" spans="1:1" x14ac:dyDescent="0.25">
      <c r="A95" t="s">
        <v>2884</v>
      </c>
    </row>
    <row r="96" spans="1:1" x14ac:dyDescent="0.25">
      <c r="A96" t="s">
        <v>407</v>
      </c>
    </row>
    <row r="97" spans="1:1" x14ac:dyDescent="0.25">
      <c r="A97" t="s">
        <v>2885</v>
      </c>
    </row>
    <row r="98" spans="1:1" x14ac:dyDescent="0.25">
      <c r="A98" t="s">
        <v>2886</v>
      </c>
    </row>
    <row r="99" spans="1:1" x14ac:dyDescent="0.25">
      <c r="A99" t="s">
        <v>407</v>
      </c>
    </row>
    <row r="100" spans="1:1" x14ac:dyDescent="0.25">
      <c r="A100" t="s">
        <v>2887</v>
      </c>
    </row>
    <row r="101" spans="1:1" x14ac:dyDescent="0.25">
      <c r="A101" t="s">
        <v>2888</v>
      </c>
    </row>
    <row r="102" spans="1:1" x14ac:dyDescent="0.25">
      <c r="A102" t="s">
        <v>406</v>
      </c>
    </row>
    <row r="103" spans="1:1" x14ac:dyDescent="0.25">
      <c r="A103" t="s">
        <v>2889</v>
      </c>
    </row>
    <row r="104" spans="1:1" x14ac:dyDescent="0.25">
      <c r="A104" t="s">
        <v>2890</v>
      </c>
    </row>
    <row r="105" spans="1:1" x14ac:dyDescent="0.25">
      <c r="A105" t="s">
        <v>405</v>
      </c>
    </row>
    <row r="106" spans="1:1" x14ac:dyDescent="0.25">
      <c r="A106" t="s">
        <v>2891</v>
      </c>
    </row>
    <row r="107" spans="1:1" x14ac:dyDescent="0.25">
      <c r="A107" t="s">
        <v>2892</v>
      </c>
    </row>
    <row r="108" spans="1:1" x14ac:dyDescent="0.25">
      <c r="A108" t="s">
        <v>396</v>
      </c>
    </row>
    <row r="109" spans="1:1" x14ac:dyDescent="0.25">
      <c r="A109" t="s">
        <v>2893</v>
      </c>
    </row>
    <row r="110" spans="1:1" x14ac:dyDescent="0.25">
      <c r="A110" t="s">
        <v>2894</v>
      </c>
    </row>
    <row r="111" spans="1:1" x14ac:dyDescent="0.25">
      <c r="A111" t="s">
        <v>396</v>
      </c>
    </row>
    <row r="112" spans="1:1" x14ac:dyDescent="0.25">
      <c r="A112" t="s">
        <v>2174</v>
      </c>
    </row>
    <row r="113" spans="1:1" x14ac:dyDescent="0.25">
      <c r="A113" t="s">
        <v>2175</v>
      </c>
    </row>
    <row r="114" spans="1:1" x14ac:dyDescent="0.25">
      <c r="A114" t="s">
        <v>396</v>
      </c>
    </row>
    <row r="115" spans="1:1" x14ac:dyDescent="0.25">
      <c r="A115" t="s">
        <v>2176</v>
      </c>
    </row>
    <row r="116" spans="1:1" x14ac:dyDescent="0.25">
      <c r="A116" t="s">
        <v>2177</v>
      </c>
    </row>
    <row r="117" spans="1:1" x14ac:dyDescent="0.25">
      <c r="A117" t="s">
        <v>408</v>
      </c>
    </row>
    <row r="118" spans="1:1" x14ac:dyDescent="0.25">
      <c r="A118" t="s">
        <v>2178</v>
      </c>
    </row>
    <row r="119" spans="1:1" x14ac:dyDescent="0.25">
      <c r="A119" t="s">
        <v>2179</v>
      </c>
    </row>
    <row r="120" spans="1:1" x14ac:dyDescent="0.25">
      <c r="A120" t="s">
        <v>407</v>
      </c>
    </row>
    <row r="121" spans="1:1" x14ac:dyDescent="0.25">
      <c r="A121" t="s">
        <v>2180</v>
      </c>
    </row>
    <row r="122" spans="1:1" x14ac:dyDescent="0.25">
      <c r="A122" t="s">
        <v>2181</v>
      </c>
    </row>
    <row r="123" spans="1:1" x14ac:dyDescent="0.25">
      <c r="A123" t="s">
        <v>407</v>
      </c>
    </row>
    <row r="124" spans="1:1" x14ac:dyDescent="0.25">
      <c r="A124" t="s">
        <v>2182</v>
      </c>
    </row>
    <row r="125" spans="1:1" x14ac:dyDescent="0.25">
      <c r="A125" t="s">
        <v>2895</v>
      </c>
    </row>
    <row r="126" spans="1:1" x14ac:dyDescent="0.25">
      <c r="A126" t="s">
        <v>407</v>
      </c>
    </row>
    <row r="127" spans="1:1" x14ac:dyDescent="0.25">
      <c r="A127" t="s">
        <v>2183</v>
      </c>
    </row>
    <row r="128" spans="1:1" x14ac:dyDescent="0.25">
      <c r="A128" t="s">
        <v>2896</v>
      </c>
    </row>
    <row r="129" spans="1:1" x14ac:dyDescent="0.25">
      <c r="A129" t="s">
        <v>407</v>
      </c>
    </row>
    <row r="130" spans="1:1" x14ac:dyDescent="0.25">
      <c r="A130" t="s">
        <v>2184</v>
      </c>
    </row>
    <row r="131" spans="1:1" x14ac:dyDescent="0.25">
      <c r="A131" t="s">
        <v>2897</v>
      </c>
    </row>
    <row r="132" spans="1:1" x14ac:dyDescent="0.25">
      <c r="A132" t="s">
        <v>407</v>
      </c>
    </row>
    <row r="133" spans="1:1" x14ac:dyDescent="0.25">
      <c r="A133" t="s">
        <v>2185</v>
      </c>
    </row>
    <row r="134" spans="1:1" x14ac:dyDescent="0.25">
      <c r="A134" t="s">
        <v>2898</v>
      </c>
    </row>
    <row r="135" spans="1:1" x14ac:dyDescent="0.25">
      <c r="A135" t="s">
        <v>407</v>
      </c>
    </row>
    <row r="136" spans="1:1" x14ac:dyDescent="0.25">
      <c r="A136" t="s">
        <v>2186</v>
      </c>
    </row>
    <row r="137" spans="1:1" x14ac:dyDescent="0.25">
      <c r="A137" t="s">
        <v>2899</v>
      </c>
    </row>
    <row r="138" spans="1:1" x14ac:dyDescent="0.25">
      <c r="A138" t="s">
        <v>407</v>
      </c>
    </row>
    <row r="139" spans="1:1" x14ac:dyDescent="0.25">
      <c r="A139" t="s">
        <v>2187</v>
      </c>
    </row>
    <row r="140" spans="1:1" x14ac:dyDescent="0.25">
      <c r="A140" t="s">
        <v>2900</v>
      </c>
    </row>
    <row r="141" spans="1:1" x14ac:dyDescent="0.25">
      <c r="A141" t="s">
        <v>407</v>
      </c>
    </row>
    <row r="142" spans="1:1" x14ac:dyDescent="0.25">
      <c r="A142" t="s">
        <v>2901</v>
      </c>
    </row>
    <row r="143" spans="1:1" x14ac:dyDescent="0.25">
      <c r="A143" t="s">
        <v>2902</v>
      </c>
    </row>
    <row r="144" spans="1:1" x14ac:dyDescent="0.25">
      <c r="A144" t="s">
        <v>407</v>
      </c>
    </row>
    <row r="145" spans="1:1" x14ac:dyDescent="0.25">
      <c r="A145" t="s">
        <v>2903</v>
      </c>
    </row>
    <row r="146" spans="1:1" x14ac:dyDescent="0.25">
      <c r="A146" t="s">
        <v>2904</v>
      </c>
    </row>
    <row r="147" spans="1:1" x14ac:dyDescent="0.25">
      <c r="A147" t="s">
        <v>406</v>
      </c>
    </row>
    <row r="148" spans="1:1" x14ac:dyDescent="0.25">
      <c r="A148" t="s">
        <v>2905</v>
      </c>
    </row>
    <row r="149" spans="1:1" x14ac:dyDescent="0.25">
      <c r="A149" t="s">
        <v>2906</v>
      </c>
    </row>
    <row r="150" spans="1:1" x14ac:dyDescent="0.25">
      <c r="A150" t="s">
        <v>406</v>
      </c>
    </row>
    <row r="151" spans="1:1" x14ac:dyDescent="0.25">
      <c r="A151" t="s">
        <v>2907</v>
      </c>
    </row>
    <row r="152" spans="1:1" x14ac:dyDescent="0.25">
      <c r="A152" t="s">
        <v>2908</v>
      </c>
    </row>
    <row r="153" spans="1:1" x14ac:dyDescent="0.25">
      <c r="A153" t="s">
        <v>405</v>
      </c>
    </row>
    <row r="154" spans="1:1" x14ac:dyDescent="0.25">
      <c r="A154" t="s">
        <v>2909</v>
      </c>
    </row>
    <row r="155" spans="1:1" x14ac:dyDescent="0.25">
      <c r="A155" t="s">
        <v>2910</v>
      </c>
    </row>
    <row r="156" spans="1:1" x14ac:dyDescent="0.25">
      <c r="A156" t="s">
        <v>396</v>
      </c>
    </row>
    <row r="157" spans="1:1" x14ac:dyDescent="0.25">
      <c r="A157" t="s">
        <v>2911</v>
      </c>
    </row>
    <row r="158" spans="1:1" x14ac:dyDescent="0.25">
      <c r="A158" t="s">
        <v>2912</v>
      </c>
    </row>
    <row r="159" spans="1:1" x14ac:dyDescent="0.25">
      <c r="A159" t="s">
        <v>396</v>
      </c>
    </row>
    <row r="160" spans="1:1" x14ac:dyDescent="0.25">
      <c r="A160" t="s">
        <v>2188</v>
      </c>
    </row>
    <row r="161" spans="1:1" x14ac:dyDescent="0.25">
      <c r="A161" t="s">
        <v>2189</v>
      </c>
    </row>
    <row r="162" spans="1:1" x14ac:dyDescent="0.25">
      <c r="A162" t="s">
        <v>396</v>
      </c>
    </row>
    <row r="163" spans="1:1" x14ac:dyDescent="0.25">
      <c r="A163" t="s">
        <v>402</v>
      </c>
    </row>
    <row r="164" spans="1:1" x14ac:dyDescent="0.25">
      <c r="A164" t="s">
        <v>401</v>
      </c>
    </row>
    <row r="165" spans="1:1" x14ac:dyDescent="0.25">
      <c r="A165" t="s">
        <v>396</v>
      </c>
    </row>
    <row r="166" spans="1:1" x14ac:dyDescent="0.25">
      <c r="A166" t="s">
        <v>400</v>
      </c>
    </row>
    <row r="167" spans="1:1" x14ac:dyDescent="0.25">
      <c r="A167" t="s">
        <v>399</v>
      </c>
    </row>
    <row r="168" spans="1:1" x14ac:dyDescent="0.25">
      <c r="A168" t="s">
        <v>396</v>
      </c>
    </row>
    <row r="169" spans="1:1" x14ac:dyDescent="0.25">
      <c r="A169" t="s">
        <v>398</v>
      </c>
    </row>
    <row r="170" spans="1:1" x14ac:dyDescent="0.25">
      <c r="A170" t="s">
        <v>397</v>
      </c>
    </row>
    <row r="171" spans="1:1" x14ac:dyDescent="0.25">
      <c r="A171" t="s">
        <v>396</v>
      </c>
    </row>
    <row r="172" spans="1:1" x14ac:dyDescent="0.25">
      <c r="A172" t="s">
        <v>410</v>
      </c>
    </row>
    <row r="173" spans="1:1" x14ac:dyDescent="0.25">
      <c r="A173" t="s">
        <v>437</v>
      </c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6"/>
  <dimension ref="B1:AT86"/>
  <sheetViews>
    <sheetView workbookViewId="0"/>
  </sheetViews>
  <sheetFormatPr defaultColWidth="6.28515625" defaultRowHeight="15" x14ac:dyDescent="0.25"/>
  <cols>
    <col min="1" max="1" width="73.5703125" customWidth="1"/>
    <col min="6" max="8" width="2.7109375" customWidth="1"/>
    <col min="9" max="9" width="2.85546875" customWidth="1"/>
    <col min="28" max="30" width="3.5703125" customWidth="1"/>
  </cols>
  <sheetData>
    <row r="1" spans="2:39" ht="36" x14ac:dyDescent="0.25">
      <c r="B1" s="29"/>
      <c r="C1" s="29"/>
      <c r="D1" s="29"/>
      <c r="E1" s="990" t="s">
        <v>32</v>
      </c>
      <c r="F1" s="990"/>
      <c r="G1" s="990"/>
      <c r="H1" s="990"/>
      <c r="I1" s="990"/>
      <c r="J1" s="990"/>
      <c r="K1" s="990"/>
      <c r="L1" s="990"/>
      <c r="M1" s="990"/>
      <c r="N1" s="990"/>
      <c r="O1" s="990"/>
      <c r="P1" s="990"/>
      <c r="Q1" s="443"/>
      <c r="R1" s="443"/>
      <c r="S1" s="1116" t="s">
        <v>31</v>
      </c>
      <c r="T1" s="1116"/>
      <c r="U1" s="1116"/>
      <c r="V1" s="1116"/>
      <c r="W1" s="1116"/>
      <c r="X1" s="1116"/>
      <c r="Y1" s="1116"/>
      <c r="Z1" s="1116"/>
      <c r="AA1" s="1116"/>
      <c r="AB1" s="1116"/>
      <c r="AC1" s="1116"/>
      <c r="AD1" s="390"/>
      <c r="AF1" s="298"/>
      <c r="AG1" s="298"/>
      <c r="AH1" s="298"/>
      <c r="AI1" s="29"/>
      <c r="AJ1" s="917"/>
      <c r="AK1" s="917"/>
      <c r="AL1" s="917"/>
      <c r="AM1" s="917"/>
    </row>
    <row r="2" spans="2:39" ht="36" x14ac:dyDescent="0.25">
      <c r="B2" s="29"/>
      <c r="C2" s="29"/>
      <c r="D2" s="29"/>
      <c r="E2" s="990"/>
      <c r="F2" s="990"/>
      <c r="G2" s="990"/>
      <c r="H2" s="990"/>
      <c r="I2" s="990"/>
      <c r="J2" s="990"/>
      <c r="K2" s="990"/>
      <c r="L2" s="990"/>
      <c r="M2" s="990"/>
      <c r="N2" s="990"/>
      <c r="O2" s="990"/>
      <c r="P2" s="990"/>
      <c r="Q2" s="443"/>
      <c r="R2" s="443"/>
      <c r="S2" s="1116"/>
      <c r="T2" s="1116"/>
      <c r="U2" s="1116"/>
      <c r="V2" s="1116"/>
      <c r="W2" s="1116"/>
      <c r="X2" s="1116"/>
      <c r="Y2" s="1116"/>
      <c r="Z2" s="1116"/>
      <c r="AA2" s="1116"/>
      <c r="AB2" s="1116"/>
      <c r="AC2" s="1116"/>
      <c r="AD2" s="390"/>
      <c r="AE2" s="298"/>
      <c r="AF2" s="298"/>
      <c r="AG2" s="298"/>
      <c r="AH2" s="298"/>
      <c r="AI2" s="29"/>
      <c r="AJ2" s="917"/>
      <c r="AK2" s="917"/>
      <c r="AL2" s="917"/>
      <c r="AM2" s="917"/>
    </row>
    <row r="3" spans="2:39" ht="36" x14ac:dyDescent="0.25">
      <c r="B3" s="29"/>
      <c r="C3" s="29"/>
      <c r="D3" s="29"/>
      <c r="E3" s="29"/>
      <c r="F3" s="29"/>
      <c r="G3" s="443"/>
      <c r="H3" s="443"/>
      <c r="I3" s="443"/>
      <c r="J3" s="443"/>
      <c r="K3" s="443"/>
      <c r="L3" s="443"/>
      <c r="M3" s="443"/>
      <c r="N3" s="443"/>
      <c r="O3" s="1160" t="s">
        <v>61</v>
      </c>
      <c r="P3" s="1160"/>
      <c r="Q3" s="443"/>
      <c r="R3" s="443"/>
      <c r="S3" s="444"/>
      <c r="T3" s="444"/>
      <c r="U3" s="444"/>
      <c r="V3" s="444"/>
      <c r="W3" s="444"/>
      <c r="X3" s="444"/>
      <c r="Y3" s="444"/>
      <c r="Z3" s="444"/>
      <c r="AA3" s="444"/>
      <c r="AB3" s="444"/>
      <c r="AC3" s="444"/>
      <c r="AD3" s="390"/>
      <c r="AE3" s="421"/>
      <c r="AF3" s="421"/>
      <c r="AG3" s="1011" t="s">
        <v>62</v>
      </c>
      <c r="AH3" s="1012"/>
      <c r="AI3" s="29"/>
      <c r="AJ3" s="917"/>
      <c r="AK3" s="917"/>
      <c r="AL3" s="917"/>
      <c r="AM3" s="917"/>
    </row>
    <row r="4" spans="2:39" ht="36.75" thickBot="1" x14ac:dyDescent="0.3">
      <c r="B4" s="29"/>
      <c r="C4" s="29"/>
      <c r="D4" s="29"/>
      <c r="E4" s="29"/>
      <c r="F4" s="29"/>
      <c r="G4" s="443"/>
      <c r="H4" s="443"/>
      <c r="I4" s="443"/>
      <c r="J4" s="443"/>
      <c r="K4" s="443"/>
      <c r="L4" s="443"/>
      <c r="M4" s="443"/>
      <c r="N4" s="443"/>
      <c r="O4" s="959" t="str">
        <f>BJ12&amp;" ±"&amp;BR12</f>
        <v xml:space="preserve"> ±</v>
      </c>
      <c r="P4" s="959"/>
      <c r="Q4" s="140"/>
      <c r="R4" s="502"/>
      <c r="S4" s="138"/>
      <c r="T4" s="502"/>
      <c r="U4" s="502"/>
      <c r="V4" s="139"/>
      <c r="W4" s="138"/>
      <c r="X4" s="502"/>
      <c r="Y4" s="502"/>
      <c r="Z4" s="502"/>
      <c r="AA4" s="110"/>
      <c r="AB4" s="110"/>
      <c r="AC4" s="110"/>
      <c r="AD4" s="137"/>
      <c r="AE4" s="136"/>
      <c r="AF4" s="135"/>
      <c r="AG4" s="963" t="str">
        <f>"&gt;= "&amp;BJ16</f>
        <v xml:space="preserve">&gt;= </v>
      </c>
      <c r="AH4" s="965"/>
      <c r="AI4" s="29"/>
      <c r="AJ4" s="1215"/>
      <c r="AK4" s="1215"/>
      <c r="AL4" s="1215"/>
      <c r="AM4" s="1215"/>
    </row>
    <row r="5" spans="2:39" ht="36.75" thickTop="1" x14ac:dyDescent="0.25">
      <c r="B5" s="29"/>
      <c r="C5" s="29"/>
      <c r="D5" s="29"/>
      <c r="E5" s="29"/>
      <c r="F5" s="29"/>
      <c r="G5" s="443"/>
      <c r="H5" s="443"/>
      <c r="I5" s="443"/>
      <c r="J5" s="443"/>
      <c r="K5" s="443"/>
      <c r="L5" s="443"/>
      <c r="M5" s="443"/>
      <c r="N5" s="443"/>
      <c r="O5" s="1168" t="e">
        <f>#REF!</f>
        <v>#REF!</v>
      </c>
      <c r="P5" s="1168"/>
      <c r="Q5" s="132"/>
      <c r="R5" s="128"/>
      <c r="S5" s="130"/>
      <c r="T5" s="128"/>
      <c r="U5" s="128"/>
      <c r="V5" s="131"/>
      <c r="W5" s="130"/>
      <c r="X5" s="128"/>
      <c r="Y5" s="128"/>
      <c r="Z5" s="128"/>
      <c r="AA5" s="129"/>
      <c r="AB5" s="128"/>
      <c r="AC5" s="128"/>
      <c r="AD5" s="127"/>
      <c r="AE5" s="29"/>
      <c r="AF5" s="29"/>
      <c r="AG5" s="1169" t="e">
        <f>#REF!</f>
        <v>#REF!</v>
      </c>
      <c r="AH5" s="1170"/>
      <c r="AI5" s="29"/>
      <c r="AJ5" s="1215"/>
      <c r="AK5" s="1215"/>
      <c r="AL5" s="1215"/>
      <c r="AM5" s="1215"/>
    </row>
    <row r="6" spans="2:39" ht="36" x14ac:dyDescent="0.25">
      <c r="B6" s="29"/>
      <c r="C6" s="29"/>
      <c r="D6" s="29"/>
      <c r="E6" s="29"/>
      <c r="F6" s="29"/>
      <c r="G6" s="443"/>
      <c r="H6" s="443"/>
      <c r="I6" s="443"/>
      <c r="J6" s="443"/>
      <c r="K6" s="443"/>
      <c r="L6" s="443"/>
      <c r="M6" s="443"/>
      <c r="N6" s="443"/>
      <c r="O6" s="1168" t="e">
        <f>#REF!</f>
        <v>#REF!</v>
      </c>
      <c r="P6" s="1168"/>
      <c r="Q6" s="443"/>
      <c r="R6" s="502"/>
      <c r="S6" s="123"/>
      <c r="T6" s="444"/>
      <c r="U6" s="444"/>
      <c r="V6" s="502"/>
      <c r="W6" s="123"/>
      <c r="X6" s="444"/>
      <c r="Y6" s="444"/>
      <c r="Z6" s="444"/>
      <c r="AA6" s="444"/>
      <c r="AB6" s="444"/>
      <c r="AC6" s="444"/>
      <c r="AD6" s="502"/>
      <c r="AE6" s="123"/>
      <c r="AF6" s="29"/>
      <c r="AG6" s="1169" t="e">
        <f>#REF!</f>
        <v>#REF!</v>
      </c>
      <c r="AH6" s="1170"/>
      <c r="AI6" s="29"/>
      <c r="AJ6" s="29"/>
      <c r="AK6" s="29"/>
      <c r="AL6" s="29"/>
      <c r="AM6" s="29"/>
    </row>
    <row r="7" spans="2:39" ht="36" x14ac:dyDescent="0.25">
      <c r="B7" s="29"/>
      <c r="C7" s="29"/>
      <c r="D7" s="29"/>
      <c r="E7" s="29"/>
      <c r="F7" s="29"/>
      <c r="G7" s="443"/>
      <c r="H7" s="443"/>
      <c r="I7" s="443"/>
      <c r="J7" s="443"/>
      <c r="K7" s="443"/>
      <c r="L7" s="443"/>
      <c r="M7" s="443"/>
      <c r="N7" s="443"/>
      <c r="O7" s="443"/>
      <c r="P7" s="443"/>
      <c r="Q7" s="443"/>
      <c r="R7" s="502"/>
      <c r="S7" s="123"/>
      <c r="T7" s="444"/>
      <c r="U7" s="444"/>
      <c r="V7" s="502"/>
      <c r="W7" s="123"/>
      <c r="X7" s="444"/>
      <c r="Y7" s="444"/>
      <c r="Z7" s="444"/>
      <c r="AA7" s="444"/>
      <c r="AB7" s="444"/>
      <c r="AC7" s="444"/>
      <c r="AD7" s="502"/>
      <c r="AE7" s="123"/>
      <c r="AF7" s="29"/>
      <c r="AG7" s="443"/>
      <c r="AH7" s="443"/>
      <c r="AI7" s="29"/>
      <c r="AJ7" s="29"/>
      <c r="AK7" s="29"/>
      <c r="AL7" s="29"/>
      <c r="AM7" s="29"/>
    </row>
    <row r="8" spans="2:39" ht="31.5" x14ac:dyDescent="0.25">
      <c r="B8" s="29"/>
      <c r="C8" s="29"/>
      <c r="D8" s="29"/>
      <c r="E8" s="29"/>
      <c r="F8" s="29"/>
      <c r="G8" s="29"/>
      <c r="H8" s="29"/>
      <c r="I8" s="29"/>
      <c r="J8" s="502"/>
      <c r="K8" s="502"/>
      <c r="L8" s="502"/>
      <c r="M8" s="502"/>
      <c r="N8" s="502"/>
      <c r="O8" s="1036" t="s">
        <v>119</v>
      </c>
      <c r="P8" s="881"/>
      <c r="Q8" s="502"/>
      <c r="R8" s="502"/>
      <c r="S8" s="123"/>
      <c r="T8" s="502"/>
      <c r="U8" s="502"/>
      <c r="V8" s="502"/>
      <c r="W8" s="123"/>
      <c r="X8" s="29"/>
      <c r="Y8" s="29"/>
      <c r="Z8" s="29"/>
      <c r="AA8" s="29"/>
      <c r="AB8" s="29"/>
      <c r="AC8" s="29"/>
      <c r="AD8" s="502"/>
      <c r="AE8" s="123"/>
      <c r="AF8" s="29"/>
      <c r="AG8" s="421"/>
      <c r="AH8" s="421"/>
      <c r="AI8" s="29"/>
      <c r="AJ8" s="29"/>
      <c r="AK8" s="29"/>
      <c r="AL8" s="29"/>
      <c r="AM8" s="29"/>
    </row>
    <row r="9" spans="2:39" ht="15.75" thickBot="1" x14ac:dyDescent="0.3">
      <c r="B9" s="29"/>
      <c r="C9" s="29"/>
      <c r="D9" s="29"/>
      <c r="E9" s="29"/>
      <c r="F9" s="571"/>
      <c r="G9" s="571"/>
      <c r="H9" s="571"/>
      <c r="I9" s="571"/>
      <c r="J9" s="49"/>
      <c r="K9" s="502"/>
      <c r="L9" s="502"/>
      <c r="M9" s="502"/>
      <c r="N9" s="502"/>
      <c r="O9" s="1037"/>
      <c r="P9" s="1037"/>
      <c r="Q9" s="502"/>
      <c r="R9" s="48"/>
      <c r="S9" s="571"/>
      <c r="T9" s="571"/>
      <c r="U9" s="571"/>
      <c r="V9" s="112"/>
      <c r="W9" s="111"/>
      <c r="X9" s="571"/>
      <c r="Y9" s="571"/>
      <c r="Z9" s="571"/>
      <c r="AA9" s="571"/>
      <c r="AB9" s="571"/>
      <c r="AC9" s="571"/>
      <c r="AD9" s="571"/>
      <c r="AE9" s="502"/>
      <c r="AF9" s="502"/>
      <c r="AG9" s="29"/>
      <c r="AH9" s="29"/>
      <c r="AI9" s="29"/>
      <c r="AJ9" s="29"/>
      <c r="AK9" s="29"/>
      <c r="AL9" s="29"/>
      <c r="AM9" s="29"/>
    </row>
    <row r="10" spans="2:39" ht="15.75" thickTop="1" x14ac:dyDescent="0.25">
      <c r="B10" s="29"/>
      <c r="C10" s="29"/>
      <c r="D10" s="29"/>
      <c r="E10" s="29"/>
      <c r="F10" s="42"/>
      <c r="G10" s="42"/>
      <c r="H10" s="42"/>
      <c r="I10" s="42"/>
      <c r="J10" s="41"/>
      <c r="K10" s="40"/>
      <c r="L10" s="40"/>
      <c r="M10" s="40"/>
      <c r="N10" s="40"/>
      <c r="O10" s="1046" t="s">
        <v>440</v>
      </c>
      <c r="P10" s="1046"/>
      <c r="Q10" s="1046"/>
      <c r="R10" s="39"/>
      <c r="S10" s="571"/>
      <c r="T10" s="571"/>
      <c r="U10" s="571"/>
      <c r="V10" s="112"/>
      <c r="W10" s="111"/>
      <c r="X10" s="571"/>
      <c r="Y10" s="571"/>
      <c r="Z10" s="571"/>
      <c r="AA10" s="571"/>
      <c r="AB10" s="571"/>
      <c r="AC10" s="571"/>
      <c r="AD10" s="571"/>
      <c r="AE10" s="502"/>
      <c r="AF10" s="502"/>
      <c r="AG10" s="29"/>
      <c r="AH10" s="29"/>
      <c r="AI10" s="29"/>
      <c r="AJ10" s="29"/>
      <c r="AK10" s="29"/>
      <c r="AL10" s="29"/>
      <c r="AM10" s="29"/>
    </row>
    <row r="11" spans="2:39" x14ac:dyDescent="0.25">
      <c r="B11" s="29"/>
      <c r="C11" s="29"/>
      <c r="D11" s="29"/>
      <c r="E11" s="29"/>
      <c r="F11" s="42"/>
      <c r="G11" s="42"/>
      <c r="H11" s="42"/>
      <c r="I11" s="42"/>
      <c r="J11" s="571"/>
      <c r="K11" s="571"/>
      <c r="L11" s="571"/>
      <c r="M11" s="54"/>
      <c r="N11" s="502"/>
      <c r="O11" s="1046" t="s">
        <v>440</v>
      </c>
      <c r="P11" s="1046"/>
      <c r="Q11" s="1046"/>
      <c r="R11" s="502"/>
      <c r="S11" s="502"/>
      <c r="T11" s="502"/>
      <c r="U11" s="502"/>
      <c r="V11" s="502"/>
      <c r="W11" s="53"/>
      <c r="X11" s="571"/>
      <c r="Y11" s="75"/>
      <c r="Z11" s="247"/>
      <c r="AA11" s="1158" t="s">
        <v>113</v>
      </c>
      <c r="AB11" s="796"/>
      <c r="AC11" s="796"/>
      <c r="AD11" s="502"/>
      <c r="AE11" s="502"/>
      <c r="AF11" s="502"/>
      <c r="AG11" s="1011" t="s">
        <v>72</v>
      </c>
      <c r="AH11" s="1012"/>
      <c r="AI11" s="29"/>
      <c r="AJ11" s="29"/>
      <c r="AK11" s="29"/>
      <c r="AL11" s="29"/>
      <c r="AM11" s="29"/>
    </row>
    <row r="12" spans="2:39" ht="15.75" thickBot="1" x14ac:dyDescent="0.3">
      <c r="B12" s="29"/>
      <c r="C12" s="29"/>
      <c r="D12" s="29"/>
      <c r="E12" s="29"/>
      <c r="F12" s="42"/>
      <c r="G12" s="42"/>
      <c r="H12" s="42"/>
      <c r="I12" s="42"/>
      <c r="J12" s="571"/>
      <c r="K12" s="571"/>
      <c r="L12" s="571"/>
      <c r="M12" s="54"/>
      <c r="N12" s="502"/>
      <c r="O12" s="502"/>
      <c r="P12" s="502"/>
      <c r="Q12" s="502"/>
      <c r="R12" s="502"/>
      <c r="S12" s="502"/>
      <c r="T12" s="502"/>
      <c r="U12" s="502"/>
      <c r="V12" s="502"/>
      <c r="W12" s="53"/>
      <c r="X12" s="571"/>
      <c r="Y12" s="49"/>
      <c r="Z12" s="502"/>
      <c r="AA12" s="1159"/>
      <c r="AB12" s="1159"/>
      <c r="AC12" s="1159"/>
      <c r="AD12" s="110"/>
      <c r="AE12" s="110"/>
      <c r="AF12" s="110"/>
      <c r="AG12" s="963" t="str">
        <f>BJ14&amp;" ±"&amp;BR14</f>
        <v xml:space="preserve"> ±</v>
      </c>
      <c r="AH12" s="965"/>
      <c r="AI12" s="29"/>
      <c r="AJ12" s="29"/>
      <c r="AK12" s="29"/>
      <c r="AL12" s="29"/>
      <c r="AM12" s="29"/>
    </row>
    <row r="13" spans="2:39" ht="15.75" thickTop="1" x14ac:dyDescent="0.25">
      <c r="B13" s="29"/>
      <c r="C13" s="29"/>
      <c r="D13" s="29"/>
      <c r="E13" s="29"/>
      <c r="F13" s="42"/>
      <c r="G13" s="42"/>
      <c r="H13" s="42"/>
      <c r="I13" s="42"/>
      <c r="J13" s="571"/>
      <c r="K13" s="571"/>
      <c r="L13" s="571"/>
      <c r="M13" s="54"/>
      <c r="N13" s="502"/>
      <c r="O13" s="502"/>
      <c r="P13" s="502"/>
      <c r="Q13" s="502"/>
      <c r="R13" s="502"/>
      <c r="S13" s="502"/>
      <c r="T13" s="502"/>
      <c r="U13" s="502"/>
      <c r="V13" s="502"/>
      <c r="W13" s="53"/>
      <c r="X13" s="571"/>
      <c r="Y13" s="41"/>
      <c r="Z13" s="40"/>
      <c r="AA13" s="1046" t="s">
        <v>440</v>
      </c>
      <c r="AB13" s="1046"/>
      <c r="AC13" s="1046"/>
      <c r="AD13" s="40"/>
      <c r="AE13" s="40"/>
      <c r="AF13" s="40"/>
      <c r="AG13" s="1033" t="e">
        <f>AVERAGE(#REF!)</f>
        <v>#REF!</v>
      </c>
      <c r="AH13" s="1034"/>
      <c r="AI13" s="29"/>
      <c r="AJ13" s="29"/>
      <c r="AK13" s="29"/>
      <c r="AL13" s="29"/>
      <c r="AM13" s="29"/>
    </row>
    <row r="14" spans="2:39" x14ac:dyDescent="0.25">
      <c r="B14" s="29"/>
      <c r="C14" s="29"/>
      <c r="D14" s="29"/>
      <c r="E14" s="29"/>
      <c r="F14" s="42"/>
      <c r="G14" s="42"/>
      <c r="H14" s="42"/>
      <c r="I14" s="42"/>
      <c r="J14" s="571"/>
      <c r="K14" s="571"/>
      <c r="L14" s="571"/>
      <c r="M14" s="54"/>
      <c r="N14" s="502"/>
      <c r="O14" s="502"/>
      <c r="P14" s="502"/>
      <c r="Q14" s="502"/>
      <c r="R14" s="502"/>
      <c r="S14" s="502"/>
      <c r="T14" s="502"/>
      <c r="U14" s="502"/>
      <c r="V14" s="502"/>
      <c r="W14" s="53"/>
      <c r="X14" s="571"/>
      <c r="Y14" s="75"/>
      <c r="AA14" s="1046" t="s">
        <v>440</v>
      </c>
      <c r="AB14" s="1046"/>
      <c r="AC14" s="1046"/>
      <c r="AD14" s="29"/>
      <c r="AE14" s="29"/>
      <c r="AF14" s="29"/>
      <c r="AG14" s="1033" t="e">
        <f>AVERAGE(#REF!)</f>
        <v>#REF!</v>
      </c>
      <c r="AH14" s="1034"/>
      <c r="AI14" s="29"/>
      <c r="AJ14" s="29"/>
      <c r="AK14" s="29"/>
      <c r="AL14" s="29"/>
      <c r="AM14" s="29"/>
    </row>
    <row r="15" spans="2:39" x14ac:dyDescent="0.25">
      <c r="B15" s="29"/>
      <c r="C15" s="29"/>
      <c r="D15" s="29"/>
      <c r="E15" s="29"/>
      <c r="F15" s="42"/>
      <c r="G15" s="42"/>
      <c r="H15" s="42"/>
      <c r="I15" s="42"/>
      <c r="J15" s="571"/>
      <c r="K15" s="571"/>
      <c r="L15" s="571"/>
      <c r="M15" s="54"/>
      <c r="N15" s="502"/>
      <c r="O15" s="502"/>
      <c r="P15" s="502"/>
      <c r="Q15" s="502"/>
      <c r="R15" s="502"/>
      <c r="S15" s="502"/>
      <c r="T15" s="502"/>
      <c r="U15" s="502"/>
      <c r="V15" s="502"/>
      <c r="W15" s="53"/>
      <c r="X15" s="571"/>
      <c r="Y15" s="770"/>
      <c r="Z15" s="770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</row>
    <row r="16" spans="2:39" x14ac:dyDescent="0.25">
      <c r="B16" s="441"/>
      <c r="C16" s="441"/>
      <c r="D16" s="29"/>
      <c r="E16" s="29"/>
      <c r="F16" s="42"/>
      <c r="G16" s="42"/>
      <c r="H16" s="42"/>
      <c r="I16" s="42"/>
      <c r="J16" s="571"/>
      <c r="K16" s="571"/>
      <c r="L16" s="571"/>
      <c r="M16" s="54"/>
      <c r="N16" s="502"/>
      <c r="O16" s="502"/>
      <c r="P16" s="502"/>
      <c r="Q16" s="502"/>
      <c r="R16" s="502"/>
      <c r="S16" s="502"/>
      <c r="T16" s="502"/>
      <c r="U16" s="502"/>
      <c r="V16" s="502"/>
      <c r="W16" s="53"/>
      <c r="X16" s="571"/>
      <c r="Y16" s="770"/>
      <c r="Z16" s="770"/>
      <c r="AA16" s="577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</row>
    <row r="17" spans="2:39" x14ac:dyDescent="0.25">
      <c r="B17" s="441"/>
      <c r="C17" s="441"/>
      <c r="D17" s="29"/>
      <c r="E17" s="29"/>
      <c r="F17" s="42"/>
      <c r="G17" s="42"/>
      <c r="H17" s="42"/>
      <c r="I17" s="42"/>
      <c r="J17" s="571"/>
      <c r="K17" s="571"/>
      <c r="L17" s="571"/>
      <c r="M17" s="54"/>
      <c r="N17" s="502"/>
      <c r="O17" s="502"/>
      <c r="P17" s="502"/>
      <c r="Q17" s="502"/>
      <c r="R17" s="502"/>
      <c r="S17" s="502"/>
      <c r="T17" s="502"/>
      <c r="U17" s="502"/>
      <c r="V17" s="502"/>
      <c r="W17" s="53"/>
      <c r="X17" s="571"/>
      <c r="Y17" s="770"/>
      <c r="Z17" s="770"/>
      <c r="AA17" s="577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</row>
    <row r="18" spans="2:39" x14ac:dyDescent="0.25">
      <c r="B18" s="1093" t="s">
        <v>66</v>
      </c>
      <c r="C18" s="1093"/>
      <c r="D18" s="29"/>
      <c r="E18" s="1036" t="s">
        <v>109</v>
      </c>
      <c r="F18" s="881"/>
      <c r="G18" s="881"/>
      <c r="H18" s="29"/>
      <c r="I18" s="29"/>
      <c r="J18" s="53"/>
      <c r="K18" s="571"/>
      <c r="L18" s="571"/>
      <c r="M18" s="54"/>
      <c r="N18" s="502"/>
      <c r="O18" s="502"/>
      <c r="P18" s="502"/>
      <c r="Q18" s="502"/>
      <c r="R18" s="502"/>
      <c r="S18" s="502"/>
      <c r="T18" s="502"/>
      <c r="U18" s="502"/>
      <c r="V18" s="502"/>
      <c r="W18" s="53"/>
      <c r="X18" s="571"/>
      <c r="Y18" s="770"/>
      <c r="Z18" s="770"/>
      <c r="AA18" s="577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</row>
    <row r="19" spans="2:39" ht="15.75" thickBot="1" x14ac:dyDescent="0.3">
      <c r="B19" s="959" t="str">
        <f>BJ11&amp;" ±"&amp;BR11</f>
        <v xml:space="preserve"> ±</v>
      </c>
      <c r="C19" s="959"/>
      <c r="D19" s="502"/>
      <c r="E19" s="1037"/>
      <c r="F19" s="1037"/>
      <c r="G19" s="1037"/>
      <c r="H19" s="502"/>
      <c r="I19" s="58"/>
      <c r="J19" s="53"/>
      <c r="K19" s="571"/>
      <c r="L19" s="571"/>
      <c r="M19" s="54"/>
      <c r="N19" s="502"/>
      <c r="O19" s="502"/>
      <c r="P19" s="502"/>
      <c r="Q19" s="1213" t="s">
        <v>118</v>
      </c>
      <c r="R19" s="1213"/>
      <c r="S19" s="1213"/>
      <c r="T19" s="1213"/>
      <c r="U19" s="502"/>
      <c r="V19" s="502"/>
      <c r="W19" s="53"/>
      <c r="X19" s="571"/>
      <c r="Y19" s="770"/>
      <c r="Z19" s="770"/>
      <c r="AA19" s="577"/>
      <c r="AB19" s="502"/>
      <c r="AC19" s="502"/>
      <c r="AD19" s="502"/>
      <c r="AE19" s="502"/>
      <c r="AF19" s="502"/>
      <c r="AG19" s="29"/>
      <c r="AH19" s="29"/>
      <c r="AI19" s="29"/>
      <c r="AJ19" s="29"/>
      <c r="AK19" s="29"/>
      <c r="AL19" s="29"/>
      <c r="AM19" s="29"/>
    </row>
    <row r="20" spans="2:39" ht="16.5" thickTop="1" thickBot="1" x14ac:dyDescent="0.3">
      <c r="B20" s="1091" t="e">
        <f>AVERAGE(#REF!)</f>
        <v>#REF!</v>
      </c>
      <c r="C20" s="1091"/>
      <c r="D20" s="40"/>
      <c r="E20" s="1046" t="s">
        <v>440</v>
      </c>
      <c r="F20" s="1046"/>
      <c r="G20" s="1046"/>
      <c r="H20" s="40"/>
      <c r="I20" s="57"/>
      <c r="J20" s="53"/>
      <c r="K20" s="571"/>
      <c r="L20" s="571"/>
      <c r="M20" s="54"/>
      <c r="N20" s="98"/>
      <c r="O20" s="502"/>
      <c r="P20" s="502"/>
      <c r="Q20" s="1214"/>
      <c r="R20" s="1214"/>
      <c r="S20" s="1214"/>
      <c r="T20" s="1214"/>
      <c r="U20" s="502"/>
      <c r="V20" s="58"/>
      <c r="W20" s="53"/>
      <c r="X20" s="571"/>
      <c r="Y20" s="770"/>
      <c r="Z20" s="770"/>
      <c r="AA20" s="577"/>
      <c r="AB20" s="502"/>
      <c r="AC20" s="502"/>
      <c r="AD20" s="502"/>
      <c r="AE20" s="502"/>
      <c r="AF20" s="502"/>
      <c r="AG20" s="29"/>
      <c r="AH20" s="29"/>
      <c r="AI20" s="29"/>
      <c r="AJ20" s="29"/>
      <c r="AK20" s="29"/>
      <c r="AL20" s="29"/>
      <c r="AM20" s="29"/>
    </row>
    <row r="21" spans="2:39" ht="15.75" thickTop="1" x14ac:dyDescent="0.25">
      <c r="B21" s="1091" t="e">
        <f>AVERAGE(#REF!)</f>
        <v>#REF!</v>
      </c>
      <c r="C21" s="1091"/>
      <c r="D21" s="29"/>
      <c r="E21" s="1046" t="s">
        <v>440</v>
      </c>
      <c r="F21" s="1046"/>
      <c r="G21" s="1046"/>
      <c r="H21" s="29"/>
      <c r="I21" s="502"/>
      <c r="J21" s="770"/>
      <c r="K21" s="770"/>
      <c r="L21" s="571"/>
      <c r="M21" s="54"/>
      <c r="N21" s="97"/>
      <c r="O21" s="40"/>
      <c r="P21" s="40"/>
      <c r="Q21" s="1046" t="s">
        <v>440</v>
      </c>
      <c r="R21" s="1046"/>
      <c r="S21" s="1046"/>
      <c r="T21" s="1046"/>
      <c r="U21" s="40"/>
      <c r="V21" s="57"/>
      <c r="W21" s="53"/>
      <c r="X21" s="571"/>
      <c r="Y21" s="770"/>
      <c r="Z21" s="770"/>
      <c r="AA21" s="577"/>
      <c r="AB21" s="502"/>
      <c r="AC21" s="502"/>
      <c r="AD21" s="502"/>
      <c r="AE21" s="502"/>
      <c r="AF21" s="502"/>
      <c r="AG21" s="29"/>
      <c r="AH21" s="29"/>
      <c r="AI21" s="29"/>
      <c r="AJ21" s="29"/>
      <c r="AK21" s="29"/>
      <c r="AL21" s="29"/>
      <c r="AM21" s="29"/>
    </row>
    <row r="22" spans="2:39" x14ac:dyDescent="0.25">
      <c r="B22" s="441"/>
      <c r="C22" s="441"/>
      <c r="D22" s="29"/>
      <c r="E22" s="1212" t="s">
        <v>442</v>
      </c>
      <c r="F22" s="1212"/>
      <c r="G22" s="1212"/>
      <c r="I22" s="502"/>
      <c r="J22" s="770"/>
      <c r="K22" s="770"/>
      <c r="L22" s="571"/>
      <c r="M22" s="54"/>
      <c r="N22" s="502"/>
      <c r="O22" s="502"/>
      <c r="P22" s="502"/>
      <c r="Q22" s="1035" t="s">
        <v>440</v>
      </c>
      <c r="R22" s="1035"/>
      <c r="S22" s="1035"/>
      <c r="T22" s="1035"/>
      <c r="U22" s="502"/>
      <c r="V22" s="502"/>
      <c r="W22" s="53"/>
      <c r="X22" s="571"/>
      <c r="Y22" s="770"/>
      <c r="Z22" s="770"/>
      <c r="AA22" s="577"/>
      <c r="AB22" s="502"/>
      <c r="AC22" s="502"/>
      <c r="AD22" s="502"/>
      <c r="AE22" s="502"/>
      <c r="AF22" s="502"/>
      <c r="AG22" s="29"/>
      <c r="AH22" s="29"/>
      <c r="AI22" s="29"/>
      <c r="AJ22" s="29"/>
      <c r="AK22" s="29"/>
      <c r="AL22" s="29"/>
      <c r="AM22" s="29"/>
    </row>
    <row r="23" spans="2:39" x14ac:dyDescent="0.25">
      <c r="B23" s="1207" t="s">
        <v>441</v>
      </c>
      <c r="C23" s="1207"/>
      <c r="D23" s="1207"/>
      <c r="E23" s="1207"/>
      <c r="F23" s="1207"/>
      <c r="G23" s="1207"/>
      <c r="H23" s="1207"/>
      <c r="I23" s="502"/>
      <c r="J23" s="770"/>
      <c r="K23" s="770"/>
      <c r="L23" s="571"/>
      <c r="M23" s="54"/>
      <c r="N23" s="502"/>
      <c r="O23" s="502"/>
      <c r="P23" s="502"/>
      <c r="Q23" s="502"/>
      <c r="R23" s="583"/>
      <c r="S23" s="502"/>
      <c r="T23" s="502"/>
      <c r="U23" s="502"/>
      <c r="V23" s="502"/>
      <c r="W23" s="53"/>
      <c r="X23" s="571"/>
      <c r="Y23" s="770"/>
      <c r="Z23" s="770"/>
      <c r="AA23" s="577"/>
      <c r="AB23" s="502"/>
      <c r="AC23" s="502"/>
      <c r="AD23" s="502"/>
      <c r="AE23" s="502"/>
      <c r="AF23" s="502"/>
      <c r="AG23" s="29"/>
      <c r="AH23" s="29"/>
      <c r="AI23" s="29"/>
      <c r="AJ23" s="29"/>
      <c r="AK23" s="29"/>
      <c r="AL23" s="29"/>
      <c r="AM23" s="29"/>
    </row>
    <row r="24" spans="2:39" x14ac:dyDescent="0.25">
      <c r="B24" s="441"/>
      <c r="C24" s="441"/>
      <c r="D24" s="29"/>
      <c r="E24" s="29"/>
      <c r="F24" s="29"/>
      <c r="G24" s="29"/>
      <c r="H24" s="29"/>
      <c r="I24" s="502"/>
      <c r="J24" s="770"/>
      <c r="K24" s="770"/>
      <c r="L24" s="571"/>
      <c r="M24" s="54"/>
      <c r="N24" s="502"/>
      <c r="O24" s="502"/>
      <c r="P24" s="502"/>
      <c r="Q24" s="502"/>
      <c r="R24" s="537"/>
      <c r="S24" s="502"/>
      <c r="T24" s="502"/>
      <c r="U24" s="502"/>
      <c r="V24" s="502"/>
      <c r="W24" s="53"/>
      <c r="X24" s="571"/>
      <c r="Y24" s="770"/>
      <c r="Z24" s="770"/>
      <c r="AA24" s="577"/>
      <c r="AB24" s="502"/>
      <c r="AC24" s="1158" t="s">
        <v>114</v>
      </c>
      <c r="AD24" s="796"/>
      <c r="AE24" s="796"/>
      <c r="AF24" s="29"/>
      <c r="AG24" s="1011" t="s">
        <v>66</v>
      </c>
      <c r="AH24" s="1012"/>
      <c r="AI24" s="29"/>
      <c r="AJ24" s="29"/>
      <c r="AK24" s="29"/>
      <c r="AL24" s="29"/>
      <c r="AM24" s="29"/>
    </row>
    <row r="25" spans="2:39" ht="15.75" thickBot="1" x14ac:dyDescent="0.3">
      <c r="B25" s="441"/>
      <c r="C25" s="441"/>
      <c r="D25" s="29"/>
      <c r="E25" s="29"/>
      <c r="F25" s="29"/>
      <c r="G25" s="29"/>
      <c r="H25" s="29"/>
      <c r="I25" s="502"/>
      <c r="J25" s="770"/>
      <c r="K25" s="770"/>
      <c r="L25" s="571"/>
      <c r="M25" s="54"/>
      <c r="N25" s="502"/>
      <c r="O25" s="502"/>
      <c r="P25" s="502"/>
      <c r="Q25" s="502"/>
      <c r="R25" s="580"/>
      <c r="S25" s="502"/>
      <c r="T25" s="502"/>
      <c r="U25" s="502"/>
      <c r="V25" s="502"/>
      <c r="W25" s="53"/>
      <c r="X25" s="571"/>
      <c r="Y25" s="571"/>
      <c r="Z25" s="582"/>
      <c r="AA25" s="49"/>
      <c r="AB25" s="502"/>
      <c r="AC25" s="1159"/>
      <c r="AD25" s="1159"/>
      <c r="AE25" s="1159"/>
      <c r="AF25" s="502"/>
      <c r="AG25" s="963" t="str">
        <f>BJ13&amp;" ±"&amp;BR13</f>
        <v xml:space="preserve"> ±</v>
      </c>
      <c r="AH25" s="965"/>
      <c r="AI25" s="29"/>
      <c r="AJ25" s="29"/>
      <c r="AK25" s="29"/>
      <c r="AL25" s="29"/>
      <c r="AM25" s="29"/>
    </row>
    <row r="26" spans="2:39" ht="15.75" thickTop="1" x14ac:dyDescent="0.25">
      <c r="B26" s="441"/>
      <c r="C26" s="441"/>
      <c r="D26" s="29"/>
      <c r="E26" s="29"/>
      <c r="F26" s="29"/>
      <c r="G26" s="29"/>
      <c r="H26" s="29"/>
      <c r="I26" s="502"/>
      <c r="J26" s="770"/>
      <c r="K26" s="770"/>
      <c r="L26" s="571"/>
      <c r="M26" s="54"/>
      <c r="N26" s="502"/>
      <c r="O26" s="502"/>
      <c r="P26" s="502"/>
      <c r="Q26" s="502"/>
      <c r="R26" s="580"/>
      <c r="S26" s="502"/>
      <c r="T26" s="502"/>
      <c r="U26" s="502"/>
      <c r="V26" s="502"/>
      <c r="W26" s="53"/>
      <c r="X26" s="571"/>
      <c r="Y26" s="571"/>
      <c r="Z26" s="571"/>
      <c r="AA26" s="41"/>
      <c r="AB26" s="40"/>
      <c r="AC26" s="1046" t="s">
        <v>440</v>
      </c>
      <c r="AD26" s="1046"/>
      <c r="AE26" s="1046"/>
      <c r="AF26" s="40"/>
      <c r="AG26" s="1033" t="e">
        <f>AVERAGE(#REF!)</f>
        <v>#REF!</v>
      </c>
      <c r="AH26" s="1034"/>
      <c r="AI26" s="29"/>
      <c r="AJ26" s="29"/>
      <c r="AK26" s="29"/>
      <c r="AL26" s="29"/>
      <c r="AM26" s="29"/>
    </row>
    <row r="27" spans="2:39" x14ac:dyDescent="0.25">
      <c r="B27" s="29"/>
      <c r="C27" s="29"/>
      <c r="D27" s="29"/>
      <c r="E27" s="29"/>
      <c r="F27" s="29"/>
      <c r="G27" s="29"/>
      <c r="H27" s="29"/>
      <c r="I27" s="502"/>
      <c r="J27" s="770"/>
      <c r="K27" s="770"/>
      <c r="L27" s="571"/>
      <c r="M27" s="54"/>
      <c r="N27" s="502"/>
      <c r="O27" s="502"/>
      <c r="P27" s="502"/>
      <c r="Q27" s="502"/>
      <c r="R27" s="502"/>
      <c r="S27" s="502"/>
      <c r="T27" s="502"/>
      <c r="U27" s="502"/>
      <c r="V27" s="502"/>
      <c r="W27" s="53"/>
      <c r="X27" s="571"/>
      <c r="Y27" s="571"/>
      <c r="Z27" s="571"/>
      <c r="AA27" s="75"/>
      <c r="AB27" s="502"/>
      <c r="AC27" s="1046" t="s">
        <v>440</v>
      </c>
      <c r="AD27" s="1046"/>
      <c r="AE27" s="1046"/>
      <c r="AF27" s="502"/>
      <c r="AG27" s="1033" t="e">
        <f>AVERAGE(#REF!)</f>
        <v>#REF!</v>
      </c>
      <c r="AH27" s="1034"/>
      <c r="AI27" s="29"/>
      <c r="AJ27" s="29"/>
      <c r="AK27" s="29"/>
      <c r="AL27" s="29"/>
      <c r="AM27" s="29"/>
    </row>
    <row r="28" spans="2:39" x14ac:dyDescent="0.25">
      <c r="B28" s="29"/>
      <c r="C28" s="29"/>
      <c r="D28" s="29"/>
      <c r="E28" s="29"/>
      <c r="F28" s="29"/>
      <c r="G28" s="29"/>
      <c r="H28" s="29"/>
      <c r="I28" s="502"/>
      <c r="J28" s="770"/>
      <c r="K28" s="770"/>
      <c r="L28" s="571"/>
      <c r="M28" s="54"/>
      <c r="N28" s="502"/>
      <c r="O28" s="502"/>
      <c r="P28" s="502"/>
      <c r="Q28" s="502"/>
      <c r="R28" s="502"/>
      <c r="S28" s="502"/>
      <c r="T28" s="502"/>
      <c r="U28" s="502"/>
      <c r="V28" s="502"/>
      <c r="W28" s="53"/>
      <c r="X28" s="571"/>
      <c r="Y28" s="571"/>
      <c r="Z28" s="571"/>
      <c r="AA28" s="75"/>
      <c r="AB28" s="502"/>
      <c r="AC28" s="502"/>
      <c r="AD28" s="502"/>
      <c r="AE28" s="502"/>
      <c r="AF28" s="502"/>
      <c r="AG28" s="29"/>
      <c r="AH28" s="29"/>
      <c r="AI28" s="29"/>
      <c r="AJ28" s="29"/>
      <c r="AK28" s="29"/>
      <c r="AL28" s="29"/>
      <c r="AM28" s="29"/>
    </row>
    <row r="29" spans="2:39" x14ac:dyDescent="0.25">
      <c r="B29" s="29"/>
      <c r="C29" s="29"/>
      <c r="D29" s="29"/>
      <c r="E29" s="29"/>
      <c r="F29" s="29"/>
      <c r="G29" s="577"/>
      <c r="H29" s="577"/>
      <c r="I29" s="577"/>
      <c r="J29" s="770"/>
      <c r="K29" s="770"/>
      <c r="L29" s="571"/>
      <c r="M29" s="54"/>
      <c r="N29" s="502"/>
      <c r="O29" s="502"/>
      <c r="P29" s="502"/>
      <c r="Q29" s="502"/>
      <c r="R29" s="502"/>
      <c r="S29" s="502"/>
      <c r="T29" s="502"/>
      <c r="U29" s="502"/>
      <c r="V29" s="502"/>
      <c r="W29" s="53"/>
      <c r="X29" s="571"/>
      <c r="Y29" s="571"/>
      <c r="Z29" s="571"/>
      <c r="AA29" s="571"/>
      <c r="AB29" s="571"/>
      <c r="AC29" s="571"/>
      <c r="AD29" s="571"/>
      <c r="AE29" s="502"/>
      <c r="AF29" s="502"/>
      <c r="AG29" s="29"/>
      <c r="AH29" s="29"/>
      <c r="AI29" s="29"/>
      <c r="AJ29" s="29"/>
      <c r="AK29" s="29"/>
      <c r="AL29" s="29"/>
      <c r="AM29" s="29"/>
    </row>
    <row r="30" spans="2:39" x14ac:dyDescent="0.25">
      <c r="B30" s="1093" t="s">
        <v>72</v>
      </c>
      <c r="C30" s="1093"/>
      <c r="D30" s="29"/>
      <c r="E30" s="29"/>
      <c r="F30" s="29"/>
      <c r="G30" s="1158" t="s">
        <v>111</v>
      </c>
      <c r="H30" s="796"/>
      <c r="I30" s="796"/>
      <c r="J30" s="577"/>
      <c r="K30" s="577"/>
      <c r="L30" s="53"/>
      <c r="M30" s="54"/>
      <c r="N30" s="502"/>
      <c r="O30" s="502"/>
      <c r="P30" s="502"/>
      <c r="Q30" s="502"/>
      <c r="R30" s="502"/>
      <c r="S30" s="502"/>
      <c r="T30" s="502"/>
      <c r="U30" s="502"/>
      <c r="V30" s="502"/>
      <c r="W30" s="53"/>
      <c r="X30" s="571"/>
      <c r="Y30" s="571"/>
      <c r="Z30" s="571"/>
      <c r="AA30" s="571"/>
      <c r="AB30" s="571"/>
      <c r="AC30" s="571"/>
      <c r="AD30" s="571"/>
      <c r="AE30" s="502"/>
      <c r="AF30" s="502"/>
      <c r="AG30" s="29"/>
      <c r="AH30" s="29"/>
      <c r="AI30" s="29"/>
      <c r="AJ30" s="29"/>
      <c r="AK30" s="29"/>
      <c r="AL30" s="29"/>
      <c r="AM30" s="29"/>
    </row>
    <row r="31" spans="2:39" ht="15.75" thickBot="1" x14ac:dyDescent="0.3">
      <c r="B31" s="972" t="str">
        <f>BJ10&amp;" ±"&amp;BR10</f>
        <v xml:space="preserve"> ±</v>
      </c>
      <c r="C31" s="972"/>
      <c r="D31" s="231"/>
      <c r="E31" s="232"/>
      <c r="F31" s="232"/>
      <c r="G31" s="1159"/>
      <c r="H31" s="1159"/>
      <c r="I31" s="1159"/>
      <c r="J31" s="595"/>
      <c r="K31" s="233"/>
      <c r="L31" s="234"/>
      <c r="M31" s="235"/>
      <c r="N31" s="595"/>
      <c r="O31" s="595"/>
      <c r="P31" s="595"/>
      <c r="Q31" s="595"/>
      <c r="R31" s="595"/>
      <c r="S31" s="595"/>
      <c r="T31" s="595"/>
      <c r="U31" s="595"/>
      <c r="V31" s="595"/>
      <c r="W31" s="234"/>
      <c r="X31" s="596"/>
      <c r="Y31" s="596"/>
      <c r="Z31" s="596"/>
      <c r="AA31" s="596"/>
      <c r="AB31" s="596"/>
      <c r="AC31" s="596"/>
      <c r="AD31" s="596"/>
      <c r="AE31" s="595"/>
      <c r="AF31" s="595"/>
      <c r="AG31" s="230"/>
      <c r="AH31" s="230"/>
      <c r="AI31" s="230"/>
      <c r="AJ31" s="230"/>
      <c r="AK31" s="230"/>
      <c r="AL31" s="230"/>
      <c r="AM31" s="230"/>
    </row>
    <row r="32" spans="2:39" ht="24" thickTop="1" x14ac:dyDescent="0.25">
      <c r="B32" s="1173" t="e">
        <f>AVERAGE(#REF!)</f>
        <v>#REF!</v>
      </c>
      <c r="C32" s="1173"/>
      <c r="D32" s="595"/>
      <c r="E32" s="1174">
        <v>2</v>
      </c>
      <c r="F32" s="1175"/>
      <c r="G32" s="1046" t="s">
        <v>440</v>
      </c>
      <c r="H32" s="1046"/>
      <c r="I32" s="1046"/>
      <c r="J32" s="242"/>
      <c r="K32" s="243"/>
      <c r="L32" s="234"/>
      <c r="M32" s="235"/>
      <c r="N32" s="595"/>
      <c r="O32" s="595"/>
      <c r="P32" s="595"/>
      <c r="Q32" s="595"/>
      <c r="R32" s="595"/>
      <c r="S32" s="595"/>
      <c r="T32" s="595"/>
      <c r="U32" s="595"/>
      <c r="V32" s="595"/>
      <c r="W32" s="234"/>
      <c r="X32" s="596"/>
      <c r="Y32" s="596"/>
      <c r="Z32" s="596"/>
      <c r="AA32" s="596"/>
      <c r="AB32" s="596"/>
      <c r="AC32" s="596"/>
      <c r="AD32" s="596"/>
      <c r="AE32" s="595"/>
      <c r="AF32" s="595"/>
      <c r="AG32" s="230"/>
      <c r="AH32" s="230"/>
      <c r="AI32" s="230"/>
      <c r="AJ32" s="230"/>
      <c r="AK32" s="230"/>
      <c r="AL32" s="230"/>
      <c r="AM32" s="230"/>
    </row>
    <row r="33" spans="2:39" x14ac:dyDescent="0.25">
      <c r="B33" s="1091" t="e">
        <f>AVERAGE(#REF!)</f>
        <v>#REF!</v>
      </c>
      <c r="C33" s="1091"/>
      <c r="D33" s="29"/>
      <c r="E33" s="56"/>
      <c r="F33" s="55"/>
      <c r="G33" s="1046" t="s">
        <v>440</v>
      </c>
      <c r="H33" s="1046"/>
      <c r="I33" s="1046"/>
      <c r="J33" s="502"/>
      <c r="K33" s="502"/>
      <c r="L33" s="53"/>
      <c r="M33" s="54"/>
      <c r="N33" s="502"/>
      <c r="O33" s="502"/>
      <c r="P33" s="502"/>
      <c r="Q33" s="502"/>
      <c r="R33" s="502"/>
      <c r="S33" s="502"/>
      <c r="T33" s="1158" t="s">
        <v>120</v>
      </c>
      <c r="U33" s="796"/>
      <c r="V33" s="502"/>
      <c r="W33" s="53"/>
      <c r="X33" s="571"/>
      <c r="Y33" s="571"/>
      <c r="Z33" s="571"/>
      <c r="AA33" s="571"/>
      <c r="AB33" s="571"/>
      <c r="AC33" s="571"/>
      <c r="AD33" s="571"/>
      <c r="AE33" s="502"/>
      <c r="AF33" s="502"/>
      <c r="AG33" s="29"/>
      <c r="AH33" s="29"/>
      <c r="AI33" s="29"/>
      <c r="AJ33" s="29"/>
      <c r="AK33" s="29"/>
      <c r="AL33" s="29"/>
      <c r="AM33" s="29"/>
    </row>
    <row r="34" spans="2:39" ht="15.75" thickBot="1" x14ac:dyDescent="0.3">
      <c r="B34" s="29"/>
      <c r="C34" s="29"/>
      <c r="D34" s="29"/>
      <c r="E34" s="29"/>
      <c r="F34" s="51"/>
      <c r="G34" s="572"/>
      <c r="H34" s="571"/>
      <c r="I34" s="571"/>
      <c r="J34" s="571"/>
      <c r="K34" s="571"/>
      <c r="L34" s="42"/>
      <c r="M34" s="571"/>
      <c r="N34" s="43"/>
      <c r="O34" s="571"/>
      <c r="P34" s="571"/>
      <c r="Q34" s="571"/>
      <c r="R34" s="49"/>
      <c r="S34" s="502"/>
      <c r="T34" s="1159"/>
      <c r="U34" s="1159"/>
      <c r="V34" s="502"/>
      <c r="W34" s="502"/>
      <c r="X34" s="502"/>
      <c r="Y34" s="502"/>
      <c r="Z34" s="502"/>
      <c r="AA34" s="48"/>
      <c r="AB34" s="42"/>
      <c r="AC34" s="42"/>
      <c r="AD34" s="42"/>
      <c r="AE34" s="29"/>
      <c r="AF34" s="29"/>
      <c r="AG34" s="29"/>
      <c r="AH34" s="29"/>
      <c r="AI34" s="29"/>
      <c r="AJ34" s="29"/>
      <c r="AK34" s="29"/>
      <c r="AL34" s="29"/>
      <c r="AM34" s="29"/>
    </row>
    <row r="35" spans="2:39" ht="24.75" thickTop="1" thickBot="1" x14ac:dyDescent="0.3">
      <c r="B35" s="29"/>
      <c r="C35" s="29"/>
      <c r="D35" s="29"/>
      <c r="E35" s="29"/>
      <c r="F35" s="47"/>
      <c r="G35" s="46"/>
      <c r="H35" s="45"/>
      <c r="I35" s="44"/>
      <c r="J35" s="1076">
        <v>1</v>
      </c>
      <c r="K35" s="1076"/>
      <c r="L35" s="42"/>
      <c r="M35" s="571"/>
      <c r="N35" s="43"/>
      <c r="O35" s="571"/>
      <c r="P35" s="571"/>
      <c r="Q35" s="571"/>
      <c r="R35" s="41"/>
      <c r="S35" s="40"/>
      <c r="T35" s="1046" t="s">
        <v>440</v>
      </c>
      <c r="U35" s="1046"/>
      <c r="V35" s="1046"/>
      <c r="W35" s="40"/>
      <c r="X35" s="40"/>
      <c r="Y35" s="40"/>
      <c r="Z35" s="40"/>
      <c r="AA35" s="39"/>
      <c r="AB35" s="42"/>
      <c r="AC35" s="42"/>
      <c r="AD35" s="42"/>
      <c r="AE35" s="29"/>
      <c r="AF35" s="29"/>
      <c r="AG35" s="29"/>
      <c r="AH35" s="29"/>
      <c r="AI35" s="29"/>
      <c r="AJ35" s="29"/>
      <c r="AK35" s="29"/>
      <c r="AL35" s="29"/>
      <c r="AM35" s="29"/>
    </row>
    <row r="36" spans="2:39" ht="15.75" thickTop="1" x14ac:dyDescent="0.25">
      <c r="B36" s="29"/>
      <c r="C36" s="29"/>
      <c r="D36" s="29"/>
      <c r="E36" s="36"/>
      <c r="F36" s="502"/>
      <c r="G36" s="502"/>
      <c r="H36" s="502"/>
      <c r="I36" s="38"/>
      <c r="J36" s="29"/>
      <c r="K36" s="29"/>
      <c r="L36" s="502"/>
      <c r="M36" s="502"/>
      <c r="N36" s="37"/>
      <c r="O36" s="502"/>
      <c r="P36" s="502"/>
      <c r="Q36" s="36"/>
      <c r="R36" s="502"/>
      <c r="S36" s="29"/>
      <c r="T36" s="1046" t="s">
        <v>440</v>
      </c>
      <c r="U36" s="1046"/>
      <c r="V36" s="1046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</row>
    <row r="37" spans="2:39" x14ac:dyDescent="0.25">
      <c r="B37" s="29"/>
      <c r="C37" s="29"/>
      <c r="D37" s="29"/>
      <c r="E37" s="36"/>
      <c r="F37" s="502"/>
      <c r="G37" s="502"/>
      <c r="H37" s="502"/>
      <c r="I37" s="502"/>
      <c r="J37" s="502"/>
      <c r="K37" s="502"/>
      <c r="L37" s="502"/>
      <c r="M37" s="502"/>
      <c r="N37" s="37"/>
      <c r="O37" s="502"/>
      <c r="P37" s="502"/>
      <c r="Q37" s="36"/>
      <c r="R37" s="502"/>
      <c r="S37" s="29"/>
      <c r="T37" s="502"/>
      <c r="U37" s="29"/>
      <c r="V37" s="502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</row>
    <row r="38" spans="2:39" x14ac:dyDescent="0.25">
      <c r="B38" s="1093" t="s">
        <v>62</v>
      </c>
      <c r="C38" s="1093"/>
      <c r="D38" s="29"/>
      <c r="E38" s="36"/>
      <c r="F38" s="502"/>
      <c r="G38" s="502"/>
      <c r="H38" s="29"/>
      <c r="I38" s="29"/>
      <c r="J38" s="29"/>
      <c r="K38" s="502"/>
      <c r="L38" s="502"/>
      <c r="M38" s="502"/>
      <c r="N38" s="37"/>
      <c r="O38" s="502"/>
      <c r="P38" s="502"/>
      <c r="Q38" s="36"/>
      <c r="R38" s="502"/>
      <c r="S38" s="1093" t="s">
        <v>61</v>
      </c>
      <c r="T38" s="1093"/>
      <c r="U38" s="1093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</row>
    <row r="39" spans="2:39" ht="15.75" thickBot="1" x14ac:dyDescent="0.3">
      <c r="B39" s="959" t="str">
        <f>"&gt;= "&amp;BJ15</f>
        <v xml:space="preserve">&gt;= </v>
      </c>
      <c r="C39" s="959"/>
      <c r="D39" s="577"/>
      <c r="E39" s="577"/>
      <c r="F39" s="35"/>
      <c r="G39" s="33"/>
      <c r="H39" s="33"/>
      <c r="I39" s="33"/>
      <c r="J39" s="33"/>
      <c r="K39" s="33"/>
      <c r="L39" s="33"/>
      <c r="M39" s="34"/>
      <c r="N39" s="35"/>
      <c r="O39" s="33"/>
      <c r="P39" s="33"/>
      <c r="Q39" s="34"/>
      <c r="R39" s="33"/>
      <c r="S39" s="959" t="str">
        <f>BJ9&amp;" ±"&amp;BR9</f>
        <v xml:space="preserve"> ±</v>
      </c>
      <c r="T39" s="959"/>
      <c r="U39" s="95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</row>
    <row r="40" spans="2:39" ht="15.75" thickTop="1" x14ac:dyDescent="0.25">
      <c r="B40" s="1172" t="e">
        <f>#REF!</f>
        <v>#REF!</v>
      </c>
      <c r="C40" s="1172"/>
      <c r="D40" s="32"/>
      <c r="E40" s="32"/>
      <c r="F40" s="31"/>
      <c r="G40" s="502"/>
      <c r="H40" s="502"/>
      <c r="I40" s="502"/>
      <c r="J40" s="502"/>
      <c r="K40" s="502"/>
      <c r="L40" s="502"/>
      <c r="M40" s="30"/>
      <c r="N40" s="31"/>
      <c r="O40" s="502"/>
      <c r="P40" s="502"/>
      <c r="Q40" s="30"/>
      <c r="R40" s="502"/>
      <c r="S40" s="1172" t="e">
        <f>#REF!</f>
        <v>#REF!</v>
      </c>
      <c r="T40" s="1172"/>
      <c r="U40" s="1172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</row>
    <row r="41" spans="2:39" x14ac:dyDescent="0.25">
      <c r="B41" s="1172" t="e">
        <f>#REF!</f>
        <v>#REF!</v>
      </c>
      <c r="C41" s="1172"/>
      <c r="D41" s="29"/>
      <c r="E41" s="502"/>
      <c r="F41" s="502"/>
      <c r="G41" s="502"/>
      <c r="H41" s="29"/>
      <c r="I41" s="29"/>
      <c r="J41" s="29"/>
      <c r="K41" s="502"/>
      <c r="L41" s="502"/>
      <c r="M41" s="502"/>
      <c r="N41" s="502"/>
      <c r="O41" s="502"/>
      <c r="P41" s="29"/>
      <c r="Q41" s="502"/>
      <c r="R41" s="29"/>
      <c r="S41" s="1172" t="e">
        <f>#REF!</f>
        <v>#REF!</v>
      </c>
      <c r="T41" s="1172"/>
      <c r="U41" s="1172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</row>
    <row r="42" spans="2:39" x14ac:dyDescent="0.25">
      <c r="B42" s="29"/>
      <c r="C42" s="29"/>
      <c r="D42" s="29"/>
      <c r="E42" s="502"/>
      <c r="F42" s="502"/>
      <c r="G42" s="502"/>
      <c r="H42" s="29"/>
      <c r="I42" s="29"/>
      <c r="J42" s="29"/>
      <c r="K42" s="502"/>
      <c r="L42" s="502"/>
      <c r="M42" s="502"/>
      <c r="N42" s="502"/>
      <c r="O42" s="502"/>
      <c r="P42" s="29"/>
      <c r="Q42" s="502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</row>
    <row r="43" spans="2:39" x14ac:dyDescent="0.25">
      <c r="B43" s="29"/>
      <c r="C43" s="29"/>
      <c r="D43" s="29"/>
      <c r="E43" s="502"/>
      <c r="F43" s="502"/>
      <c r="G43" s="502"/>
      <c r="H43" s="29"/>
      <c r="I43" s="29"/>
      <c r="J43" s="29"/>
      <c r="K43" s="502"/>
      <c r="L43" s="502"/>
      <c r="M43" s="502"/>
      <c r="N43" s="502"/>
      <c r="O43" s="502"/>
      <c r="P43" s="502"/>
      <c r="Q43" s="502"/>
      <c r="R43" s="502"/>
      <c r="S43" s="502"/>
      <c r="T43" s="502"/>
      <c r="U43" s="502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</row>
    <row r="48" spans="2:39" ht="36" x14ac:dyDescent="0.25">
      <c r="B48" s="502"/>
      <c r="C48" s="502"/>
      <c r="D48" s="502"/>
      <c r="E48" s="502"/>
      <c r="F48" s="1208" t="s">
        <v>32</v>
      </c>
      <c r="G48" s="1208"/>
      <c r="H48" s="1208"/>
      <c r="I48" s="1208"/>
      <c r="J48" s="1208"/>
      <c r="K48" s="1208"/>
      <c r="L48" s="1208"/>
      <c r="M48" s="1208"/>
      <c r="N48" s="1208"/>
      <c r="O48" s="592"/>
      <c r="P48" s="1209" t="s">
        <v>31</v>
      </c>
      <c r="Q48" s="1209"/>
      <c r="R48" s="1209"/>
      <c r="S48" s="1209"/>
      <c r="T48" s="1209"/>
      <c r="U48" s="1209"/>
      <c r="V48" s="1209"/>
      <c r="W48" s="1209"/>
      <c r="X48" s="1209"/>
      <c r="Y48" s="29"/>
      <c r="Z48" s="502"/>
      <c r="AA48" s="1211"/>
      <c r="AB48" s="1211"/>
      <c r="AC48" s="1211"/>
      <c r="AD48" s="1211"/>
      <c r="AE48" s="1211"/>
      <c r="AF48" s="1211"/>
    </row>
    <row r="49" spans="2:32" ht="36" x14ac:dyDescent="0.25">
      <c r="B49" s="502"/>
      <c r="C49" s="502"/>
      <c r="D49" s="502"/>
      <c r="E49" s="502"/>
      <c r="F49" s="1208"/>
      <c r="G49" s="1208"/>
      <c r="H49" s="1208"/>
      <c r="I49" s="1208"/>
      <c r="J49" s="1208"/>
      <c r="K49" s="1208"/>
      <c r="L49" s="1208"/>
      <c r="M49" s="1208"/>
      <c r="N49" s="1208"/>
      <c r="O49" s="592"/>
      <c r="P49" s="1209"/>
      <c r="Q49" s="1209"/>
      <c r="R49" s="1209"/>
      <c r="S49" s="1209"/>
      <c r="T49" s="1209"/>
      <c r="U49" s="1209"/>
      <c r="V49" s="1209"/>
      <c r="W49" s="1209"/>
      <c r="X49" s="1209"/>
      <c r="Y49" s="29"/>
      <c r="Z49" s="502"/>
      <c r="AA49" s="1210"/>
      <c r="AB49" s="1210"/>
      <c r="AC49" s="1210"/>
      <c r="AD49" s="1210"/>
      <c r="AE49" s="1210"/>
      <c r="AF49" s="1210"/>
    </row>
    <row r="50" spans="2:32" ht="36" x14ac:dyDescent="0.25">
      <c r="B50" s="502"/>
      <c r="C50" s="502"/>
      <c r="D50" s="502"/>
      <c r="E50" s="502"/>
      <c r="F50" s="1208"/>
      <c r="G50" s="1208"/>
      <c r="H50" s="1208"/>
      <c r="I50" s="1208"/>
      <c r="J50" s="1208"/>
      <c r="K50" s="1208"/>
      <c r="L50" s="1208"/>
      <c r="M50" s="1208"/>
      <c r="N50" s="1208"/>
      <c r="O50" s="592"/>
      <c r="P50" s="1209"/>
      <c r="Q50" s="1209"/>
      <c r="R50" s="1209"/>
      <c r="S50" s="1209"/>
      <c r="T50" s="1209"/>
      <c r="U50" s="1209"/>
      <c r="V50" s="1209"/>
      <c r="W50" s="1209"/>
      <c r="X50" s="1209"/>
      <c r="Y50" s="594"/>
      <c r="Z50" s="502"/>
      <c r="AA50" s="1210"/>
      <c r="AB50" s="1210"/>
      <c r="AC50" s="1210"/>
      <c r="AD50" s="1210"/>
      <c r="AE50" s="1210"/>
      <c r="AF50" s="1210"/>
    </row>
    <row r="51" spans="2:32" ht="36" x14ac:dyDescent="0.25">
      <c r="B51" s="502"/>
      <c r="C51" s="502"/>
      <c r="D51" s="502"/>
      <c r="E51" s="1120" t="s">
        <v>107</v>
      </c>
      <c r="F51" s="1121"/>
      <c r="G51" s="1121"/>
      <c r="H51" s="593"/>
      <c r="I51" s="593"/>
      <c r="J51" s="593"/>
      <c r="K51" s="593"/>
      <c r="L51" s="593"/>
      <c r="M51" s="593"/>
      <c r="N51" s="593"/>
      <c r="O51" s="592"/>
      <c r="P51" s="591"/>
      <c r="Q51" s="591"/>
      <c r="R51" s="591"/>
      <c r="S51" s="591"/>
      <c r="T51" s="591"/>
      <c r="U51" s="591"/>
      <c r="V51" s="591"/>
      <c r="W51" s="1123" t="s">
        <v>106</v>
      </c>
      <c r="X51" s="1124"/>
      <c r="Y51" s="1125"/>
      <c r="Z51" s="502"/>
      <c r="AA51" s="1210"/>
      <c r="AB51" s="1210"/>
      <c r="AC51" s="1210"/>
      <c r="AD51" s="1210"/>
      <c r="AE51" s="1210"/>
      <c r="AF51" s="1210"/>
    </row>
    <row r="52" spans="2:32" x14ac:dyDescent="0.25">
      <c r="B52" s="502"/>
      <c r="C52" s="502"/>
      <c r="D52" s="502"/>
      <c r="E52" s="1121"/>
      <c r="F52" s="1121"/>
      <c r="G52" s="1121"/>
      <c r="H52" s="502"/>
      <c r="I52" s="502"/>
      <c r="J52" s="502"/>
      <c r="K52" s="502"/>
      <c r="L52" s="502"/>
      <c r="M52" s="502"/>
      <c r="N52" s="502"/>
      <c r="O52" s="502"/>
      <c r="P52" s="502"/>
      <c r="Q52" s="502"/>
      <c r="R52" s="502"/>
      <c r="S52" s="502"/>
      <c r="T52" s="502"/>
      <c r="U52" s="502"/>
      <c r="V52" s="502"/>
      <c r="W52" s="1126"/>
      <c r="X52" s="1127"/>
      <c r="Y52" s="1128"/>
      <c r="Z52" s="502"/>
      <c r="AA52" s="1210"/>
      <c r="AB52" s="1210"/>
      <c r="AC52" s="1210"/>
      <c r="AD52" s="1210"/>
      <c r="AE52" s="1210"/>
      <c r="AF52" s="1210"/>
    </row>
    <row r="53" spans="2:32" x14ac:dyDescent="0.25">
      <c r="B53" s="502"/>
      <c r="C53" s="502"/>
      <c r="D53" s="502"/>
      <c r="E53" s="1122" t="s">
        <v>438</v>
      </c>
      <c r="F53" s="1122"/>
      <c r="G53" s="1122"/>
      <c r="H53" s="523" t="s">
        <v>323</v>
      </c>
      <c r="I53" s="502"/>
      <c r="J53" s="502"/>
      <c r="K53" s="502"/>
      <c r="L53" s="502"/>
      <c r="M53" s="502"/>
      <c r="N53" s="502"/>
      <c r="O53" s="502"/>
      <c r="P53" s="502"/>
      <c r="Q53" s="502"/>
      <c r="R53" s="502"/>
      <c r="S53" s="502"/>
      <c r="T53" s="502"/>
      <c r="U53" s="502"/>
      <c r="V53" s="502"/>
      <c r="W53" s="1122" t="s">
        <v>438</v>
      </c>
      <c r="X53" s="1122"/>
      <c r="Y53" s="1122"/>
      <c r="Z53" s="577" t="s">
        <v>323</v>
      </c>
      <c r="AA53" s="502"/>
      <c r="AB53" s="502"/>
      <c r="AC53" s="502"/>
      <c r="AD53" s="502"/>
      <c r="AE53" s="502"/>
      <c r="AF53" s="502"/>
    </row>
    <row r="54" spans="2:32" ht="15.75" thickBot="1" x14ac:dyDescent="0.3">
      <c r="B54" s="590"/>
      <c r="C54" s="590"/>
      <c r="D54" s="590"/>
      <c r="E54" s="1122" t="s">
        <v>438</v>
      </c>
      <c r="F54" s="1122"/>
      <c r="G54" s="1122"/>
      <c r="H54" s="1205" t="s">
        <v>439</v>
      </c>
      <c r="I54" s="1206"/>
      <c r="J54" s="1206"/>
      <c r="K54" s="1206"/>
      <c r="L54" s="1206"/>
      <c r="M54" s="1207"/>
      <c r="N54" s="1207"/>
      <c r="O54" s="59"/>
      <c r="P54" s="502"/>
      <c r="Q54" s="502"/>
      <c r="R54" s="502"/>
      <c r="S54" s="502"/>
      <c r="T54" s="502"/>
      <c r="U54" s="502"/>
      <c r="V54" s="502"/>
      <c r="W54" s="1122" t="s">
        <v>438</v>
      </c>
      <c r="X54" s="1122"/>
      <c r="Y54" s="1122"/>
      <c r="Z54" s="110" t="s">
        <v>323</v>
      </c>
      <c r="AA54" s="110"/>
      <c r="AB54" s="502"/>
      <c r="AC54" s="502"/>
      <c r="AD54" s="502"/>
      <c r="AE54" s="502"/>
      <c r="AF54" s="502"/>
    </row>
    <row r="55" spans="2:32" ht="15.75" thickTop="1" x14ac:dyDescent="0.25">
      <c r="B55" s="189"/>
      <c r="C55" s="188"/>
      <c r="D55" s="32"/>
      <c r="E55" s="571"/>
      <c r="F55" s="571"/>
      <c r="G55" s="571"/>
      <c r="H55" s="571"/>
      <c r="I55" s="502"/>
      <c r="J55" s="502"/>
      <c r="K55" s="502"/>
      <c r="L55" s="502"/>
      <c r="M55" s="1036" t="s">
        <v>116</v>
      </c>
      <c r="N55" s="881"/>
      <c r="O55" s="502"/>
      <c r="P55" s="145"/>
      <c r="Q55" s="145"/>
      <c r="R55" s="145"/>
      <c r="S55" s="145"/>
      <c r="T55" s="145"/>
      <c r="U55" s="145"/>
      <c r="V55" s="145"/>
      <c r="W55" s="145"/>
      <c r="X55" s="145"/>
      <c r="Y55" s="571"/>
      <c r="Z55" s="502"/>
      <c r="AA55" s="128"/>
      <c r="AB55" s="128"/>
      <c r="AC55" s="128"/>
      <c r="AD55" s="127"/>
      <c r="AE55" s="213"/>
      <c r="AF55" s="502"/>
    </row>
    <row r="56" spans="2:32" ht="15.75" thickBot="1" x14ac:dyDescent="0.3">
      <c r="B56" s="36"/>
      <c r="C56" s="502"/>
      <c r="D56" s="583"/>
      <c r="E56" s="571"/>
      <c r="F56" s="571"/>
      <c r="G56" s="571"/>
      <c r="H56" s="571"/>
      <c r="I56" s="59"/>
      <c r="J56" s="59"/>
      <c r="K56" s="502"/>
      <c r="L56" s="502"/>
      <c r="M56" s="1037"/>
      <c r="N56" s="1037"/>
      <c r="O56" s="589"/>
      <c r="P56" s="46"/>
      <c r="Q56" s="46"/>
      <c r="R56" s="571"/>
      <c r="S56" s="571"/>
      <c r="T56" s="571"/>
      <c r="U56" s="571"/>
      <c r="V56" s="571"/>
      <c r="W56" s="46"/>
      <c r="X56" s="46"/>
      <c r="Y56" s="571"/>
      <c r="Z56" s="110"/>
      <c r="AA56" s="502"/>
      <c r="AB56" s="502"/>
      <c r="AC56" s="502"/>
      <c r="AD56" s="170"/>
      <c r="AE56" s="502"/>
      <c r="AF56" s="502"/>
    </row>
    <row r="57" spans="2:32" ht="15.75" thickTop="1" x14ac:dyDescent="0.25">
      <c r="B57" s="36"/>
      <c r="C57" s="502"/>
      <c r="D57" s="577"/>
      <c r="E57" s="571"/>
      <c r="F57" s="571"/>
      <c r="G57" s="571"/>
      <c r="H57" s="571"/>
      <c r="I57" s="207"/>
      <c r="J57" s="206"/>
      <c r="K57" s="145"/>
      <c r="L57" s="144"/>
      <c r="M57" s="1044" t="s">
        <v>438</v>
      </c>
      <c r="N57" s="1045"/>
      <c r="O57" s="577"/>
      <c r="P57" s="205"/>
      <c r="Q57" s="204"/>
      <c r="R57" s="144"/>
      <c r="S57" s="571"/>
      <c r="T57" s="571"/>
      <c r="U57" s="144"/>
      <c r="V57" s="144"/>
      <c r="W57" s="1061" t="s">
        <v>112</v>
      </c>
      <c r="X57" s="882"/>
      <c r="Y57" s="144"/>
      <c r="Z57" s="502"/>
      <c r="AA57" s="131"/>
      <c r="AB57" s="130"/>
      <c r="AC57" s="502"/>
      <c r="AD57" s="170"/>
      <c r="AE57" s="502"/>
      <c r="AF57" s="502"/>
    </row>
    <row r="58" spans="2:32" x14ac:dyDescent="0.25">
      <c r="B58" s="1063" t="s">
        <v>102</v>
      </c>
      <c r="C58" s="1064"/>
      <c r="D58" s="577"/>
      <c r="E58" s="571"/>
      <c r="F58" s="571"/>
      <c r="G58" s="571"/>
      <c r="H58" s="571"/>
      <c r="I58" s="571"/>
      <c r="J58" s="43"/>
      <c r="K58" s="571"/>
      <c r="L58" s="502"/>
      <c r="M58" s="1044" t="s">
        <v>438</v>
      </c>
      <c r="N58" s="1045"/>
      <c r="O58" s="502"/>
      <c r="P58" s="170"/>
      <c r="Q58" s="123"/>
      <c r="R58" s="502"/>
      <c r="S58" s="571"/>
      <c r="T58" s="571"/>
      <c r="U58" s="502"/>
      <c r="V58" s="502"/>
      <c r="W58" s="882"/>
      <c r="X58" s="882"/>
      <c r="Y58" s="502"/>
      <c r="Z58" s="502"/>
      <c r="AA58" s="502"/>
      <c r="AB58" s="123"/>
      <c r="AC58" s="502"/>
      <c r="AD58" s="170"/>
      <c r="AE58" s="502"/>
      <c r="AF58" s="502"/>
    </row>
    <row r="59" spans="2:32" x14ac:dyDescent="0.25">
      <c r="B59" s="963" t="str">
        <f>BE56&amp;" ±"&amp;BM56</f>
        <v xml:space="preserve"> ±</v>
      </c>
      <c r="C59" s="965"/>
      <c r="D59" s="580"/>
      <c r="E59" s="571"/>
      <c r="F59" s="571"/>
      <c r="G59" s="571"/>
      <c r="H59" s="571"/>
      <c r="I59" s="1063" t="s">
        <v>96</v>
      </c>
      <c r="J59" s="1064"/>
      <c r="K59" s="588"/>
      <c r="L59" s="583"/>
      <c r="M59" s="502"/>
      <c r="N59" s="502"/>
      <c r="O59" s="502"/>
      <c r="P59" s="170"/>
      <c r="Q59" s="123"/>
      <c r="R59" s="502"/>
      <c r="S59" s="571"/>
      <c r="T59" s="571"/>
      <c r="U59" s="502"/>
      <c r="V59" s="502"/>
      <c r="W59" s="1044" t="s">
        <v>438</v>
      </c>
      <c r="X59" s="1045"/>
      <c r="Y59" s="502"/>
      <c r="Z59" s="502"/>
      <c r="AA59" s="502"/>
      <c r="AB59" s="123"/>
      <c r="AC59" s="502"/>
      <c r="AD59" s="170"/>
      <c r="AE59" s="502"/>
      <c r="AF59" s="502"/>
    </row>
    <row r="60" spans="2:32" x14ac:dyDescent="0.25">
      <c r="B60" s="1056" t="e">
        <f>#REF!</f>
        <v>#REF!</v>
      </c>
      <c r="C60" s="1057"/>
      <c r="D60" s="580"/>
      <c r="E60" s="571"/>
      <c r="F60" s="571"/>
      <c r="G60" s="571"/>
      <c r="H60" s="571"/>
      <c r="I60" s="963" t="str">
        <f>BE59&amp;" ±"&amp;BM59</f>
        <v xml:space="preserve"> ±</v>
      </c>
      <c r="J60" s="965"/>
      <c r="K60" s="587"/>
      <c r="L60" s="577"/>
      <c r="M60" s="502"/>
      <c r="N60" s="502"/>
      <c r="O60" s="502"/>
      <c r="P60" s="170"/>
      <c r="Q60" s="123"/>
      <c r="R60" s="502"/>
      <c r="S60" s="571"/>
      <c r="T60" s="571"/>
      <c r="U60" s="502"/>
      <c r="V60" s="502"/>
      <c r="W60" s="1044" t="s">
        <v>438</v>
      </c>
      <c r="X60" s="1045"/>
      <c r="Y60" s="502"/>
      <c r="Z60" s="502"/>
      <c r="AA60" s="502"/>
      <c r="AB60" s="123"/>
      <c r="AC60" s="502"/>
      <c r="AD60" s="170"/>
      <c r="AE60" s="502"/>
      <c r="AF60" s="502"/>
    </row>
    <row r="61" spans="2:32" x14ac:dyDescent="0.25">
      <c r="B61" s="1056" t="e">
        <f>#REF!</f>
        <v>#REF!</v>
      </c>
      <c r="C61" s="1057"/>
      <c r="D61" s="502"/>
      <c r="E61" s="571"/>
      <c r="F61" s="571"/>
      <c r="G61" s="571"/>
      <c r="H61" s="571"/>
      <c r="I61" s="1056" t="e">
        <f>#REF!</f>
        <v>#REF!</v>
      </c>
      <c r="J61" s="1057"/>
      <c r="K61" s="586"/>
      <c r="L61" s="580"/>
      <c r="M61" s="502"/>
      <c r="N61" s="502"/>
      <c r="O61" s="502"/>
      <c r="P61" s="170"/>
      <c r="Q61" s="123"/>
      <c r="R61" s="502"/>
      <c r="S61" s="571"/>
      <c r="T61" s="571"/>
      <c r="U61" s="770"/>
      <c r="V61" s="577"/>
      <c r="W61" s="502"/>
      <c r="X61" s="502"/>
      <c r="Y61" s="502"/>
      <c r="Z61" s="502"/>
      <c r="AA61" s="502"/>
      <c r="AB61" s="123"/>
      <c r="AC61" s="502"/>
      <c r="AD61" s="170"/>
      <c r="AE61" s="502"/>
      <c r="AF61" s="502"/>
    </row>
    <row r="62" spans="2:32" x14ac:dyDescent="0.25">
      <c r="B62" s="36"/>
      <c r="C62" s="502"/>
      <c r="D62" s="502"/>
      <c r="E62" s="571"/>
      <c r="F62" s="571"/>
      <c r="G62" s="571"/>
      <c r="H62" s="571"/>
      <c r="I62" s="1056" t="e">
        <f>#REF!</f>
        <v>#REF!</v>
      </c>
      <c r="J62" s="1057"/>
      <c r="K62" s="586"/>
      <c r="L62" s="580"/>
      <c r="M62" s="502"/>
      <c r="N62" s="502"/>
      <c r="O62" s="502"/>
      <c r="P62" s="170"/>
      <c r="Q62" s="123"/>
      <c r="R62" s="502"/>
      <c r="S62" s="571"/>
      <c r="T62" s="571"/>
      <c r="U62" s="770"/>
      <c r="V62" s="577"/>
      <c r="W62" s="502"/>
      <c r="X62" s="502"/>
      <c r="Y62" s="502"/>
      <c r="Z62" s="502"/>
      <c r="AA62" s="502"/>
      <c r="AB62" s="123"/>
      <c r="AC62" s="502"/>
      <c r="AD62" s="170"/>
      <c r="AE62" s="502"/>
      <c r="AF62" s="502"/>
    </row>
    <row r="63" spans="2:32" ht="15" customHeight="1" x14ac:dyDescent="0.25">
      <c r="B63" s="36"/>
      <c r="C63" s="502"/>
      <c r="D63" s="502"/>
      <c r="E63" s="571"/>
      <c r="F63" s="1199" t="s">
        <v>108</v>
      </c>
      <c r="G63" s="1199"/>
      <c r="H63" s="1199"/>
      <c r="I63" s="200"/>
      <c r="J63" s="43"/>
      <c r="K63" s="586"/>
      <c r="L63" s="580"/>
      <c r="M63" s="502"/>
      <c r="N63" s="502"/>
      <c r="O63" s="502"/>
      <c r="P63" s="170"/>
      <c r="Q63" s="123"/>
      <c r="R63" s="502"/>
      <c r="S63" s="571"/>
      <c r="T63" s="571"/>
      <c r="U63" s="770"/>
      <c r="V63" s="577"/>
      <c r="W63" s="502"/>
      <c r="X63" s="502"/>
      <c r="Y63" s="502"/>
      <c r="Z63" s="502"/>
      <c r="AA63" s="502"/>
      <c r="AB63" s="123"/>
      <c r="AC63" s="502"/>
      <c r="AD63" s="170"/>
      <c r="AE63" s="502"/>
      <c r="AF63" s="502"/>
    </row>
    <row r="64" spans="2:32" ht="15.75" thickBot="1" x14ac:dyDescent="0.3">
      <c r="B64" s="154"/>
      <c r="C64" s="35"/>
      <c r="D64" s="33"/>
      <c r="E64" s="571"/>
      <c r="F64" s="1199"/>
      <c r="G64" s="1199"/>
      <c r="H64" s="1199"/>
      <c r="I64" s="585"/>
      <c r="J64" s="195"/>
      <c r="K64" s="571"/>
      <c r="L64" s="502"/>
      <c r="M64" s="502"/>
      <c r="N64" s="502"/>
      <c r="O64" s="502"/>
      <c r="P64" s="170"/>
      <c r="Q64" s="123"/>
      <c r="R64" s="502"/>
      <c r="S64" s="571"/>
      <c r="T64" s="571"/>
      <c r="U64" s="770"/>
      <c r="V64" s="577"/>
      <c r="W64" s="502"/>
      <c r="X64" s="502"/>
      <c r="Y64" s="502"/>
      <c r="Z64" s="502"/>
      <c r="AA64" s="502"/>
      <c r="AB64" s="123"/>
      <c r="AC64" s="502"/>
      <c r="AD64" s="170"/>
      <c r="AE64" s="502"/>
      <c r="AF64" s="502"/>
    </row>
    <row r="65" spans="2:46" ht="15.75" thickTop="1" x14ac:dyDescent="0.25">
      <c r="B65" s="189"/>
      <c r="C65" s="188"/>
      <c r="D65" s="502"/>
      <c r="E65" s="584"/>
      <c r="F65" s="1200" t="s">
        <v>438</v>
      </c>
      <c r="G65" s="1201"/>
      <c r="H65" s="1201"/>
      <c r="I65" s="190"/>
      <c r="J65" s="190"/>
      <c r="K65" s="190"/>
      <c r="L65" s="32"/>
      <c r="M65" s="189"/>
      <c r="N65" s="188"/>
      <c r="O65" s="502"/>
      <c r="P65" s="170"/>
      <c r="Q65" s="123"/>
      <c r="R65" s="502"/>
      <c r="S65" s="571"/>
      <c r="T65" s="571"/>
      <c r="U65" s="770"/>
      <c r="V65" s="577"/>
      <c r="W65" s="502"/>
      <c r="X65" s="502"/>
      <c r="Y65" s="502"/>
      <c r="Z65" s="502"/>
      <c r="AA65" s="502"/>
      <c r="AB65" s="123"/>
      <c r="AC65" s="502"/>
      <c r="AD65" s="170"/>
      <c r="AE65" s="502"/>
      <c r="AF65" s="502"/>
    </row>
    <row r="66" spans="2:46" x14ac:dyDescent="0.25">
      <c r="B66" s="36"/>
      <c r="C66" s="502"/>
      <c r="D66" s="502"/>
      <c r="E66" s="502"/>
      <c r="F66" s="1200" t="s">
        <v>438</v>
      </c>
      <c r="G66" s="1201"/>
      <c r="H66" s="1201"/>
      <c r="I66" s="571"/>
      <c r="J66" s="571"/>
      <c r="K66" s="571"/>
      <c r="L66" s="502"/>
      <c r="M66" s="36"/>
      <c r="N66" s="502"/>
      <c r="O66" s="502"/>
      <c r="P66" s="1011" t="s">
        <v>98</v>
      </c>
      <c r="Q66" s="1012"/>
      <c r="R66" s="502"/>
      <c r="S66" s="571"/>
      <c r="T66" s="571"/>
      <c r="U66" s="770"/>
      <c r="V66" s="577"/>
      <c r="W66" s="502"/>
      <c r="X66" s="502"/>
      <c r="Y66" s="502"/>
      <c r="Z66" s="502"/>
      <c r="AA66" s="1011" t="s">
        <v>99</v>
      </c>
      <c r="AB66" s="1012"/>
      <c r="AC66" s="502"/>
      <c r="AD66" s="1011" t="s">
        <v>100</v>
      </c>
      <c r="AE66" s="1012"/>
      <c r="AF66" s="502"/>
    </row>
    <row r="67" spans="2:46" x14ac:dyDescent="0.25">
      <c r="B67" s="36"/>
      <c r="C67" s="502"/>
      <c r="D67" s="502"/>
      <c r="E67" s="502"/>
      <c r="F67" s="502"/>
      <c r="G67" s="502"/>
      <c r="H67" s="502"/>
      <c r="I67" s="571"/>
      <c r="J67" s="571"/>
      <c r="K67" s="571"/>
      <c r="L67" s="502"/>
      <c r="M67" s="36"/>
      <c r="N67" s="502"/>
      <c r="O67" s="502"/>
      <c r="P67" s="963" t="str">
        <f>BE62&amp;" ±"&amp;BM62</f>
        <v xml:space="preserve"> ±</v>
      </c>
      <c r="Q67" s="965"/>
      <c r="R67" s="502"/>
      <c r="S67" s="571"/>
      <c r="T67" s="571"/>
      <c r="U67" s="770"/>
      <c r="V67" s="577"/>
      <c r="W67" s="502"/>
      <c r="X67" s="502"/>
      <c r="Y67" s="502"/>
      <c r="Z67" s="502"/>
      <c r="AA67" s="963" t="str">
        <f>BE60&amp;" ±"&amp;BM60</f>
        <v xml:space="preserve"> ±</v>
      </c>
      <c r="AB67" s="965"/>
      <c r="AC67" s="502"/>
      <c r="AD67" s="963" t="str">
        <f>BE61&amp;" ±"&amp;BM61</f>
        <v xml:space="preserve"> ±</v>
      </c>
      <c r="AE67" s="965"/>
      <c r="AF67" s="502"/>
      <c r="AT67">
        <v>0</v>
      </c>
    </row>
    <row r="68" spans="2:46" x14ac:dyDescent="0.25">
      <c r="B68" s="36"/>
      <c r="C68" s="502"/>
      <c r="D68" s="502"/>
      <c r="E68" s="502"/>
      <c r="F68" s="502"/>
      <c r="G68" s="502"/>
      <c r="H68" s="502"/>
      <c r="I68" s="770"/>
      <c r="J68" s="571"/>
      <c r="K68" s="571"/>
      <c r="L68" s="502"/>
      <c r="M68" s="36"/>
      <c r="N68" s="502"/>
      <c r="O68" s="502"/>
      <c r="P68" s="1203" t="e">
        <f>#REF!</f>
        <v>#REF!</v>
      </c>
      <c r="Q68" s="1024"/>
      <c r="R68" s="502"/>
      <c r="S68" s="571"/>
      <c r="T68" s="571"/>
      <c r="U68" s="770"/>
      <c r="V68" s="577"/>
      <c r="W68" s="502"/>
      <c r="X68" s="502"/>
      <c r="Y68" s="502"/>
      <c r="Z68" s="502"/>
      <c r="AA68" s="1203" t="e">
        <f>#REF!</f>
        <v>#REF!</v>
      </c>
      <c r="AB68" s="1024"/>
      <c r="AC68" s="502"/>
      <c r="AD68" s="1203" t="e">
        <f>#REF!</f>
        <v>#REF!</v>
      </c>
      <c r="AE68" s="1024"/>
      <c r="AF68" s="502"/>
    </row>
    <row r="69" spans="2:46" x14ac:dyDescent="0.25">
      <c r="B69" s="36"/>
      <c r="C69" s="502"/>
      <c r="D69" s="502"/>
      <c r="E69" s="502"/>
      <c r="F69" s="502"/>
      <c r="G69" s="502"/>
      <c r="H69" s="502"/>
      <c r="I69" s="770"/>
      <c r="J69" s="571"/>
      <c r="K69" s="571"/>
      <c r="L69" s="502"/>
      <c r="M69" s="36"/>
      <c r="N69" s="502"/>
      <c r="O69" s="502"/>
      <c r="P69" s="1203" t="e">
        <f>#REF!</f>
        <v>#REF!</v>
      </c>
      <c r="Q69" s="1024"/>
      <c r="R69" s="502"/>
      <c r="S69" s="571"/>
      <c r="T69" s="571"/>
      <c r="U69" s="770"/>
      <c r="V69" s="577"/>
      <c r="W69" s="502"/>
      <c r="X69" s="502"/>
      <c r="Y69" s="502"/>
      <c r="Z69" s="502"/>
      <c r="AA69" s="1203" t="e">
        <f>#REF!</f>
        <v>#REF!</v>
      </c>
      <c r="AB69" s="1024"/>
      <c r="AC69" s="502"/>
      <c r="AD69" s="1203" t="e">
        <f>#REF!</f>
        <v>#REF!</v>
      </c>
      <c r="AE69" s="1024"/>
      <c r="AF69" s="502"/>
    </row>
    <row r="70" spans="2:46" x14ac:dyDescent="0.25">
      <c r="B70" s="1063" t="s">
        <v>99</v>
      </c>
      <c r="C70" s="1064"/>
      <c r="D70" s="583"/>
      <c r="E70" s="502"/>
      <c r="F70" s="502"/>
      <c r="G70" s="502"/>
      <c r="H70" s="502"/>
      <c r="I70" s="770"/>
      <c r="J70" s="571"/>
      <c r="K70" s="571"/>
      <c r="L70" s="502"/>
      <c r="M70" s="1063" t="s">
        <v>98</v>
      </c>
      <c r="N70" s="1064"/>
      <c r="O70" s="583"/>
      <c r="P70" s="170"/>
      <c r="Q70" s="123"/>
      <c r="R70" s="502"/>
      <c r="S70" s="571"/>
      <c r="T70" s="571"/>
      <c r="U70" s="770"/>
      <c r="V70" s="577"/>
      <c r="W70" s="502"/>
      <c r="X70" s="502"/>
      <c r="Y70" s="502"/>
      <c r="Z70" s="502"/>
      <c r="AA70" s="502"/>
      <c r="AB70" s="123"/>
      <c r="AC70" s="502"/>
      <c r="AD70" s="170"/>
      <c r="AE70" s="502"/>
      <c r="AF70" s="502"/>
    </row>
    <row r="71" spans="2:46" x14ac:dyDescent="0.25">
      <c r="B71" s="963" t="str">
        <f>BE57&amp;" ±"&amp;BM57</f>
        <v xml:space="preserve"> ±</v>
      </c>
      <c r="C71" s="965"/>
      <c r="D71" s="577"/>
      <c r="E71" s="502"/>
      <c r="F71" s="502"/>
      <c r="G71" s="502"/>
      <c r="H71" s="502"/>
      <c r="I71" s="770"/>
      <c r="J71" s="571"/>
      <c r="K71" s="571"/>
      <c r="L71" s="502"/>
      <c r="M71" s="963" t="str">
        <f>BE58&amp;" ±"&amp;BM58</f>
        <v xml:space="preserve"> ±</v>
      </c>
      <c r="N71" s="965"/>
      <c r="O71" s="537"/>
      <c r="P71" s="170"/>
      <c r="Q71" s="123"/>
      <c r="R71" s="502"/>
      <c r="S71" s="571"/>
      <c r="T71" s="571"/>
      <c r="U71" s="770"/>
      <c r="V71" s="577"/>
      <c r="W71" s="1036" t="s">
        <v>115</v>
      </c>
      <c r="X71" s="881"/>
      <c r="Y71" s="502"/>
      <c r="Z71" s="502"/>
      <c r="AA71" s="502"/>
      <c r="AB71" s="123"/>
      <c r="AC71" s="502"/>
      <c r="AD71" s="170"/>
      <c r="AE71" s="502"/>
      <c r="AF71" s="502"/>
    </row>
    <row r="72" spans="2:46" x14ac:dyDescent="0.25">
      <c r="B72" s="1056" t="e">
        <f>#REF!</f>
        <v>#REF!</v>
      </c>
      <c r="C72" s="1057"/>
      <c r="D72" s="580"/>
      <c r="E72" s="502"/>
      <c r="F72" s="502"/>
      <c r="G72" s="502"/>
      <c r="H72" s="502"/>
      <c r="I72" s="770"/>
      <c r="J72" s="571"/>
      <c r="K72" s="571"/>
      <c r="L72" s="502"/>
      <c r="M72" s="1056" t="e">
        <f>#REF!</f>
        <v>#REF!</v>
      </c>
      <c r="N72" s="1057"/>
      <c r="O72" s="580"/>
      <c r="P72" s="170"/>
      <c r="Q72" s="123"/>
      <c r="R72" s="502"/>
      <c r="S72" s="571"/>
      <c r="T72" s="571"/>
      <c r="U72" s="582"/>
      <c r="V72" s="581"/>
      <c r="W72" s="881"/>
      <c r="X72" s="881"/>
      <c r="Y72" s="502"/>
      <c r="Z72" s="502"/>
      <c r="AA72" s="502"/>
      <c r="AB72" s="123"/>
      <c r="AC72" s="502"/>
      <c r="AD72" s="170"/>
      <c r="AE72" s="502"/>
      <c r="AF72" s="502"/>
    </row>
    <row r="73" spans="2:46" x14ac:dyDescent="0.25">
      <c r="B73" s="1056" t="e">
        <f>#REF!</f>
        <v>#REF!</v>
      </c>
      <c r="C73" s="1057"/>
      <c r="D73" s="580"/>
      <c r="E73" s="502"/>
      <c r="F73" s="502"/>
      <c r="G73" s="502"/>
      <c r="H73" s="502"/>
      <c r="I73" s="770"/>
      <c r="J73" s="571"/>
      <c r="K73" s="571"/>
      <c r="L73" s="502"/>
      <c r="M73" s="1056" t="e">
        <f>#REF!</f>
        <v>#REF!</v>
      </c>
      <c r="N73" s="1057"/>
      <c r="O73" s="580"/>
      <c r="P73" s="170"/>
      <c r="Q73" s="123"/>
      <c r="R73" s="502"/>
      <c r="S73" s="571"/>
      <c r="T73" s="571"/>
      <c r="U73" s="571"/>
      <c r="V73" s="502"/>
      <c r="W73" s="1044" t="s">
        <v>438</v>
      </c>
      <c r="X73" s="1045"/>
      <c r="Y73" s="577" t="s">
        <v>323</v>
      </c>
      <c r="Z73" s="577"/>
      <c r="AA73" s="170"/>
      <c r="AB73" s="123"/>
      <c r="AC73" s="502"/>
      <c r="AD73" s="170"/>
      <c r="AE73" s="123"/>
      <c r="AF73" s="502"/>
    </row>
    <row r="74" spans="2:46" ht="15.75" thickBot="1" x14ac:dyDescent="0.3">
      <c r="B74" s="36"/>
      <c r="C74" s="502"/>
      <c r="D74" s="502"/>
      <c r="E74" s="502"/>
      <c r="F74" s="502"/>
      <c r="G74" s="502"/>
      <c r="H74" s="502"/>
      <c r="I74" s="770"/>
      <c r="J74" s="571"/>
      <c r="K74" s="571"/>
      <c r="L74" s="502"/>
      <c r="M74" s="36"/>
      <c r="N74" s="502"/>
      <c r="O74" s="502"/>
      <c r="P74" s="137"/>
      <c r="Q74" s="166"/>
      <c r="R74" s="110"/>
      <c r="S74" s="167"/>
      <c r="T74" s="167"/>
      <c r="U74" s="167"/>
      <c r="V74" s="579"/>
      <c r="W74" s="1044" t="s">
        <v>438</v>
      </c>
      <c r="X74" s="1045"/>
      <c r="Y74" s="578" t="s">
        <v>323</v>
      </c>
      <c r="Z74" s="110"/>
      <c r="AA74" s="137"/>
      <c r="AB74" s="166"/>
      <c r="AC74" s="110"/>
      <c r="AD74" s="137"/>
      <c r="AE74" s="166"/>
      <c r="AF74" s="502"/>
    </row>
    <row r="75" spans="2:46" ht="15.75" thickTop="1" x14ac:dyDescent="0.25">
      <c r="B75" s="36"/>
      <c r="C75" s="502"/>
      <c r="D75" s="1204">
        <v>2</v>
      </c>
      <c r="E75" s="1204"/>
      <c r="F75" s="502"/>
      <c r="G75" s="502"/>
      <c r="H75" s="502"/>
      <c r="I75" s="770"/>
      <c r="J75" s="571"/>
      <c r="K75" s="571"/>
      <c r="L75" s="502"/>
      <c r="M75" s="36"/>
      <c r="N75" s="502"/>
      <c r="O75" s="502"/>
      <c r="P75" s="502"/>
      <c r="Q75" s="502"/>
      <c r="R75" s="502"/>
      <c r="S75" s="571"/>
      <c r="T75" s="165"/>
      <c r="U75" s="164"/>
      <c r="V75" s="571"/>
      <c r="W75" s="571"/>
      <c r="X75" s="571"/>
      <c r="Y75" s="571"/>
      <c r="Z75" s="502"/>
      <c r="AA75" s="502"/>
      <c r="AB75" s="502"/>
      <c r="AC75" s="502"/>
      <c r="AD75" s="502"/>
      <c r="AE75" s="502"/>
      <c r="AF75" s="502"/>
    </row>
    <row r="76" spans="2:46" x14ac:dyDescent="0.25">
      <c r="B76" s="36"/>
      <c r="C76" s="502"/>
      <c r="D76" s="1204"/>
      <c r="E76" s="1204"/>
      <c r="F76" s="502"/>
      <c r="G76" s="502"/>
      <c r="H76" s="502"/>
      <c r="I76" s="770"/>
      <c r="J76" s="571"/>
      <c r="K76" s="571"/>
      <c r="L76" s="502"/>
      <c r="M76" s="36"/>
      <c r="N76" s="502"/>
      <c r="O76" s="502"/>
      <c r="P76" s="502"/>
      <c r="Q76" s="502"/>
      <c r="R76" s="502"/>
      <c r="S76" s="571"/>
      <c r="T76" s="571"/>
      <c r="U76" s="163"/>
      <c r="V76" s="571"/>
      <c r="W76" s="571"/>
      <c r="X76" s="571"/>
      <c r="Y76" s="571"/>
      <c r="Z76" s="502"/>
      <c r="AA76" s="502"/>
      <c r="AB76" s="502"/>
      <c r="AC76" s="502"/>
      <c r="AD76" s="502"/>
      <c r="AE76" s="502"/>
      <c r="AF76" s="502"/>
    </row>
    <row r="77" spans="2:46" x14ac:dyDescent="0.25">
      <c r="B77" s="36"/>
      <c r="C77" s="502"/>
      <c r="D77" s="56"/>
      <c r="E77" s="55"/>
      <c r="F77" s="502"/>
      <c r="G77" s="502"/>
      <c r="H77" s="502"/>
      <c r="I77" s="770"/>
      <c r="J77" s="571"/>
      <c r="K77" s="571"/>
      <c r="L77" s="502"/>
      <c r="M77" s="36"/>
      <c r="N77" s="502"/>
      <c r="O77" s="502"/>
      <c r="P77" s="502"/>
      <c r="Q77" s="502"/>
      <c r="R77" s="502"/>
      <c r="S77" s="571"/>
      <c r="T77" s="1011" t="s">
        <v>96</v>
      </c>
      <c r="U77" s="1012"/>
      <c r="V77" s="571"/>
      <c r="W77" s="571"/>
      <c r="X77" s="571"/>
      <c r="Y77" s="571"/>
      <c r="Z77" s="502"/>
      <c r="AA77" s="502"/>
      <c r="AB77" s="502"/>
      <c r="AC77" s="502"/>
      <c r="AD77" s="502"/>
      <c r="AE77" s="502"/>
      <c r="AF77" s="502"/>
    </row>
    <row r="78" spans="2:46" x14ac:dyDescent="0.25">
      <c r="B78" s="36"/>
      <c r="C78" s="502"/>
      <c r="D78" s="502"/>
      <c r="E78" s="75"/>
      <c r="F78" s="502"/>
      <c r="G78" s="502"/>
      <c r="H78" s="502"/>
      <c r="I78" s="577"/>
      <c r="J78" s="571"/>
      <c r="K78" s="571"/>
      <c r="L78" s="502"/>
      <c r="M78" s="36"/>
      <c r="N78" s="502"/>
      <c r="O78" s="502"/>
      <c r="P78" s="502"/>
      <c r="Q78" s="502"/>
      <c r="R78" s="502"/>
      <c r="S78" s="571"/>
      <c r="T78" s="963" t="str">
        <f>BE63&amp;" ±"&amp;BM63</f>
        <v xml:space="preserve"> ±</v>
      </c>
      <c r="U78" s="965"/>
      <c r="V78" s="571"/>
      <c r="W78" s="571"/>
      <c r="X78" s="571"/>
      <c r="Y78" s="571"/>
      <c r="Z78" s="502"/>
      <c r="AA78" s="502"/>
      <c r="AB78" s="502"/>
      <c r="AC78" s="502"/>
      <c r="AD78" s="502"/>
      <c r="AE78" s="502"/>
      <c r="AF78" s="502"/>
    </row>
    <row r="79" spans="2:46" ht="15" customHeight="1" x14ac:dyDescent="0.25">
      <c r="B79" s="36"/>
      <c r="C79" s="502"/>
      <c r="D79" s="502"/>
      <c r="E79" s="576"/>
      <c r="F79" s="1198" t="s">
        <v>110</v>
      </c>
      <c r="G79" s="1199"/>
      <c r="H79" s="1199"/>
      <c r="I79" s="1199"/>
      <c r="J79" s="571"/>
      <c r="K79" s="571"/>
      <c r="L79" s="502"/>
      <c r="M79" s="36"/>
      <c r="N79" s="502"/>
      <c r="O79" s="502"/>
      <c r="P79" s="502"/>
      <c r="Q79" s="502"/>
      <c r="R79" s="502"/>
      <c r="S79" s="571"/>
      <c r="T79" s="1203" t="e">
        <f>#REF!</f>
        <v>#REF!</v>
      </c>
      <c r="U79" s="1024"/>
      <c r="V79" s="571"/>
      <c r="W79" s="571"/>
      <c r="X79" s="571"/>
      <c r="Y79" s="571"/>
      <c r="Z79" s="502"/>
      <c r="AA79" s="502"/>
      <c r="AB79" s="502"/>
      <c r="AC79" s="502"/>
      <c r="AD79" s="502"/>
      <c r="AE79" s="502"/>
      <c r="AF79" s="502"/>
    </row>
    <row r="80" spans="2:46" x14ac:dyDescent="0.25">
      <c r="B80" s="36"/>
      <c r="C80" s="502"/>
      <c r="D80" s="502"/>
      <c r="E80" s="75"/>
      <c r="F80" s="1198"/>
      <c r="G80" s="1199"/>
      <c r="H80" s="1199"/>
      <c r="I80" s="1199"/>
      <c r="J80" s="571"/>
      <c r="K80" s="571"/>
      <c r="L80" s="502"/>
      <c r="M80" s="36"/>
      <c r="N80" s="502"/>
      <c r="O80" s="502"/>
      <c r="P80" s="502"/>
      <c r="Q80" s="502"/>
      <c r="R80" s="502"/>
      <c r="S80" s="571"/>
      <c r="T80" s="1203" t="e">
        <f>#REF!</f>
        <v>#REF!</v>
      </c>
      <c r="U80" s="1024"/>
      <c r="V80" s="571"/>
      <c r="W80" s="571"/>
      <c r="X80" s="571"/>
      <c r="Y80" s="571"/>
      <c r="Z80" s="502"/>
      <c r="AA80" s="502"/>
      <c r="AB80" s="502"/>
      <c r="AC80" s="502"/>
      <c r="AD80" s="502"/>
      <c r="AE80" s="502"/>
      <c r="AF80" s="502"/>
    </row>
    <row r="81" spans="2:32" x14ac:dyDescent="0.25">
      <c r="B81" s="36"/>
      <c r="C81" s="502"/>
      <c r="D81" s="502"/>
      <c r="E81" s="75"/>
      <c r="F81" s="1044" t="s">
        <v>438</v>
      </c>
      <c r="G81" s="1045"/>
      <c r="H81" s="502"/>
      <c r="I81" s="502"/>
      <c r="J81" s="571"/>
      <c r="K81" s="571"/>
      <c r="L81" s="502"/>
      <c r="M81" s="36"/>
      <c r="N81" s="502"/>
      <c r="O81" s="502"/>
      <c r="P81" s="1036" t="s">
        <v>117</v>
      </c>
      <c r="Q81" s="881"/>
      <c r="R81" s="502"/>
      <c r="S81" s="571"/>
      <c r="T81" s="571"/>
      <c r="U81" s="156"/>
      <c r="V81" s="571"/>
      <c r="W81" s="571"/>
      <c r="X81" s="571"/>
      <c r="Y81" s="571"/>
      <c r="Z81" s="502"/>
      <c r="AA81" s="502"/>
      <c r="AB81" s="502"/>
      <c r="AC81" s="502"/>
      <c r="AD81" s="502"/>
      <c r="AE81" s="502"/>
      <c r="AF81" s="502"/>
    </row>
    <row r="82" spans="2:32" ht="15.75" thickBot="1" x14ac:dyDescent="0.3">
      <c r="B82" s="154"/>
      <c r="C82" s="35"/>
      <c r="D82" s="33"/>
      <c r="E82" s="575"/>
      <c r="F82" s="1044" t="s">
        <v>438</v>
      </c>
      <c r="G82" s="1045"/>
      <c r="H82" s="574"/>
      <c r="I82" s="59"/>
      <c r="J82" s="571"/>
      <c r="K82" s="571"/>
      <c r="L82" s="59"/>
      <c r="M82" s="154"/>
      <c r="N82" s="35"/>
      <c r="O82" s="502"/>
      <c r="P82" s="1037"/>
      <c r="Q82" s="1037"/>
      <c r="R82" s="502"/>
      <c r="S82" s="46"/>
      <c r="T82" s="153"/>
      <c r="U82" s="152"/>
      <c r="V82" s="571"/>
      <c r="W82" s="571"/>
      <c r="X82" s="571"/>
      <c r="Y82" s="571"/>
      <c r="Z82" s="502"/>
      <c r="AA82" s="502"/>
      <c r="AB82" s="502"/>
      <c r="AC82" s="502"/>
      <c r="AD82" s="502"/>
      <c r="AE82" s="502"/>
      <c r="AF82" s="502"/>
    </row>
    <row r="83" spans="2:32" ht="15.75" thickTop="1" x14ac:dyDescent="0.25">
      <c r="B83" s="502"/>
      <c r="C83" s="502"/>
      <c r="D83" s="502"/>
      <c r="E83" s="51"/>
      <c r="F83" s="572"/>
      <c r="G83" s="571"/>
      <c r="H83" s="571"/>
      <c r="I83" s="571"/>
      <c r="J83" s="1202">
        <v>1</v>
      </c>
      <c r="K83" s="571"/>
      <c r="L83" s="571"/>
      <c r="M83" s="145"/>
      <c r="N83" s="145"/>
      <c r="O83" s="144"/>
      <c r="P83" s="1044" t="s">
        <v>438</v>
      </c>
      <c r="Q83" s="1045"/>
      <c r="R83" s="573"/>
      <c r="S83" s="502"/>
      <c r="T83" s="502"/>
      <c r="U83" s="40"/>
      <c r="V83" s="144"/>
      <c r="W83" s="571"/>
      <c r="X83" s="571"/>
      <c r="Y83" s="571"/>
      <c r="Z83" s="502"/>
      <c r="AA83" s="502"/>
      <c r="AB83" s="502"/>
      <c r="AC83" s="502"/>
      <c r="AD83" s="502"/>
      <c r="AE83" s="502"/>
      <c r="AF83" s="502"/>
    </row>
    <row r="84" spans="2:32" ht="15.75" thickBot="1" x14ac:dyDescent="0.3">
      <c r="B84" s="502"/>
      <c r="C84" s="502"/>
      <c r="D84" s="502"/>
      <c r="E84" s="47"/>
      <c r="F84" s="46"/>
      <c r="G84" s="45"/>
      <c r="H84" s="45"/>
      <c r="I84" s="44"/>
      <c r="J84" s="1202"/>
      <c r="K84" s="572"/>
      <c r="L84" s="571"/>
      <c r="M84" s="571"/>
      <c r="N84" s="571"/>
      <c r="O84" s="502"/>
      <c r="P84" s="1044" t="s">
        <v>438</v>
      </c>
      <c r="Q84" s="1045"/>
      <c r="R84" s="502"/>
      <c r="S84" s="502"/>
      <c r="T84" s="502"/>
      <c r="U84" s="502"/>
      <c r="V84" s="502"/>
      <c r="W84" s="571"/>
      <c r="X84" s="571"/>
      <c r="Y84" s="571"/>
      <c r="Z84" s="502"/>
      <c r="AA84" s="502"/>
      <c r="AB84" s="502"/>
      <c r="AC84" s="502"/>
      <c r="AD84" s="502"/>
      <c r="AE84" s="502"/>
      <c r="AF84" s="502"/>
    </row>
    <row r="85" spans="2:32" ht="15.75" thickTop="1" x14ac:dyDescent="0.25">
      <c r="B85" s="502"/>
      <c r="C85" s="502"/>
      <c r="D85" s="502"/>
      <c r="E85" s="502"/>
      <c r="F85" s="502"/>
      <c r="G85" s="502"/>
      <c r="H85" s="502"/>
      <c r="I85" s="38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502"/>
      <c r="V85" s="502"/>
      <c r="W85" s="502"/>
      <c r="X85" s="502"/>
      <c r="Y85" s="502"/>
      <c r="Z85" s="502"/>
      <c r="AA85" s="502"/>
      <c r="AB85" s="502"/>
      <c r="AC85" s="502"/>
      <c r="AD85" s="502"/>
      <c r="AE85" s="502"/>
      <c r="AF85" s="502"/>
    </row>
    <row r="86" spans="2:32" x14ac:dyDescent="0.25">
      <c r="B86" s="502"/>
      <c r="C86" s="502"/>
      <c r="D86" s="502"/>
      <c r="E86" s="502"/>
      <c r="F86" s="502"/>
      <c r="G86" s="502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/>
      <c r="AB86" s="502"/>
      <c r="AC86" s="502"/>
      <c r="AD86" s="502"/>
      <c r="AE86" s="502"/>
      <c r="AF86" s="502"/>
    </row>
  </sheetData>
  <mergeCells count="130">
    <mergeCell ref="E1:P2"/>
    <mergeCell ref="S1:AC2"/>
    <mergeCell ref="AJ1:AM1"/>
    <mergeCell ref="AJ2:AM3"/>
    <mergeCell ref="O3:P3"/>
    <mergeCell ref="AG3:AH3"/>
    <mergeCell ref="AA11:AC12"/>
    <mergeCell ref="AG11:AH11"/>
    <mergeCell ref="AG12:AH12"/>
    <mergeCell ref="AA13:AC13"/>
    <mergeCell ref="AG13:AH13"/>
    <mergeCell ref="O4:P4"/>
    <mergeCell ref="AG4:AH4"/>
    <mergeCell ref="AJ4:AM5"/>
    <mergeCell ref="O5:P5"/>
    <mergeCell ref="AG5:AH5"/>
    <mergeCell ref="AA14:AC14"/>
    <mergeCell ref="AG14:AH14"/>
    <mergeCell ref="O8:P9"/>
    <mergeCell ref="O6:P6"/>
    <mergeCell ref="AG6:AH6"/>
    <mergeCell ref="AC24:AE25"/>
    <mergeCell ref="AG24:AH24"/>
    <mergeCell ref="AG25:AH25"/>
    <mergeCell ref="Q21:T21"/>
    <mergeCell ref="B32:C32"/>
    <mergeCell ref="E32:F32"/>
    <mergeCell ref="G32:I32"/>
    <mergeCell ref="AC26:AE26"/>
    <mergeCell ref="AG26:AH26"/>
    <mergeCell ref="AC27:AE27"/>
    <mergeCell ref="AG27:AH27"/>
    <mergeCell ref="B18:C18"/>
    <mergeCell ref="E18:G19"/>
    <mergeCell ref="B19:C19"/>
    <mergeCell ref="B30:C30"/>
    <mergeCell ref="G30:I31"/>
    <mergeCell ref="B31:C31"/>
    <mergeCell ref="E22:G22"/>
    <mergeCell ref="Q22:T22"/>
    <mergeCell ref="Y15:Z24"/>
    <mergeCell ref="B21:C21"/>
    <mergeCell ref="E21:G21"/>
    <mergeCell ref="J21:K29"/>
    <mergeCell ref="B23:H23"/>
    <mergeCell ref="Q19:T20"/>
    <mergeCell ref="B20:C20"/>
    <mergeCell ref="E20:G20"/>
    <mergeCell ref="AA51:AF52"/>
    <mergeCell ref="AA48:AF48"/>
    <mergeCell ref="AA49:AF50"/>
    <mergeCell ref="B38:C38"/>
    <mergeCell ref="S38:U38"/>
    <mergeCell ref="B39:C39"/>
    <mergeCell ref="S39:U39"/>
    <mergeCell ref="B40:C40"/>
    <mergeCell ref="S40:U40"/>
    <mergeCell ref="W53:Y53"/>
    <mergeCell ref="E54:G54"/>
    <mergeCell ref="H54:N54"/>
    <mergeCell ref="W54:Y54"/>
    <mergeCell ref="B41:C41"/>
    <mergeCell ref="S41:U41"/>
    <mergeCell ref="F48:N50"/>
    <mergeCell ref="P48:X50"/>
    <mergeCell ref="B33:C33"/>
    <mergeCell ref="G33:I33"/>
    <mergeCell ref="T33:U34"/>
    <mergeCell ref="J35:K35"/>
    <mergeCell ref="W51:Y52"/>
    <mergeCell ref="AA66:AB66"/>
    <mergeCell ref="AD66:AE66"/>
    <mergeCell ref="P67:Q67"/>
    <mergeCell ref="AA67:AB67"/>
    <mergeCell ref="W57:X58"/>
    <mergeCell ref="B58:C58"/>
    <mergeCell ref="M58:N58"/>
    <mergeCell ref="B59:C59"/>
    <mergeCell ref="I59:J59"/>
    <mergeCell ref="W59:X59"/>
    <mergeCell ref="B60:C60"/>
    <mergeCell ref="I60:J60"/>
    <mergeCell ref="W60:X60"/>
    <mergeCell ref="B61:C61"/>
    <mergeCell ref="I61:J61"/>
    <mergeCell ref="U61:U71"/>
    <mergeCell ref="I62:J62"/>
    <mergeCell ref="AD67:AE67"/>
    <mergeCell ref="B73:C73"/>
    <mergeCell ref="M73:N73"/>
    <mergeCell ref="W73:X73"/>
    <mergeCell ref="W74:X74"/>
    <mergeCell ref="D75:E76"/>
    <mergeCell ref="AA68:AB68"/>
    <mergeCell ref="AD68:AE68"/>
    <mergeCell ref="P69:Q69"/>
    <mergeCell ref="AA69:AB69"/>
    <mergeCell ref="AD69:AE69"/>
    <mergeCell ref="B70:C70"/>
    <mergeCell ref="M70:N70"/>
    <mergeCell ref="B71:C71"/>
    <mergeCell ref="M71:N71"/>
    <mergeCell ref="W71:X72"/>
    <mergeCell ref="B72:C72"/>
    <mergeCell ref="M72:N72"/>
    <mergeCell ref="I68:I77"/>
    <mergeCell ref="P68:Q68"/>
    <mergeCell ref="J83:J84"/>
    <mergeCell ref="P83:Q83"/>
    <mergeCell ref="P84:Q84"/>
    <mergeCell ref="O10:Q10"/>
    <mergeCell ref="O11:Q11"/>
    <mergeCell ref="T78:U78"/>
    <mergeCell ref="T79:U79"/>
    <mergeCell ref="T80:U80"/>
    <mergeCell ref="T77:U77"/>
    <mergeCell ref="P66:Q66"/>
    <mergeCell ref="F79:I80"/>
    <mergeCell ref="E51:G52"/>
    <mergeCell ref="F81:G81"/>
    <mergeCell ref="P81:Q82"/>
    <mergeCell ref="F82:G82"/>
    <mergeCell ref="M55:N56"/>
    <mergeCell ref="M57:N57"/>
    <mergeCell ref="T35:V35"/>
    <mergeCell ref="T36:V36"/>
    <mergeCell ref="F63:H64"/>
    <mergeCell ref="F65:H65"/>
    <mergeCell ref="F66:H66"/>
    <mergeCell ref="E53:G5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C65A52-4253-4BFD-BA8D-32C454E93D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5</vt:i4>
      </vt:variant>
    </vt:vector>
  </HeadingPairs>
  <TitlesOfParts>
    <vt:vector size="48" baseType="lpstr">
      <vt:lpstr>Settings</vt:lpstr>
      <vt:lpstr>OffsetPoints</vt:lpstr>
      <vt:lpstr>Current Values</vt:lpstr>
      <vt:lpstr>Administrative</vt:lpstr>
      <vt:lpstr>Tolerances</vt:lpstr>
      <vt:lpstr>YieldRates</vt:lpstr>
      <vt:lpstr>Counters</vt:lpstr>
      <vt:lpstr>OffsetHistory</vt:lpstr>
      <vt:lpstr>AA-4</vt:lpstr>
      <vt:lpstr>AMP1-2</vt:lpstr>
      <vt:lpstr>AMP1-4</vt:lpstr>
      <vt:lpstr>AMP1-8</vt:lpstr>
      <vt:lpstr>AMP2-2</vt:lpstr>
      <vt:lpstr>AMP2-6</vt:lpstr>
      <vt:lpstr>AMP2-8</vt:lpstr>
      <vt:lpstr>AMP3-2</vt:lpstr>
      <vt:lpstr>AMP3-4</vt:lpstr>
      <vt:lpstr>AMP4-2</vt:lpstr>
      <vt:lpstr>AMP4-4</vt:lpstr>
      <vt:lpstr>Front Page</vt:lpstr>
      <vt:lpstr>Manual Offset</vt:lpstr>
      <vt:lpstr>Flow Offsets</vt:lpstr>
      <vt:lpstr>AMP1-6</vt:lpstr>
      <vt:lpstr>AMP5-2</vt:lpstr>
      <vt:lpstr>Offset Solver</vt:lpstr>
      <vt:lpstr>AMP5-4</vt:lpstr>
      <vt:lpstr>AMP6-2</vt:lpstr>
      <vt:lpstr>AMP6-4</vt:lpstr>
      <vt:lpstr>AMP6-6</vt:lpstr>
      <vt:lpstr>AMP6-8</vt:lpstr>
      <vt:lpstr>AMP7-6</vt:lpstr>
      <vt:lpstr>AMP7-8</vt:lpstr>
      <vt:lpstr>Front Page Backup</vt:lpstr>
      <vt:lpstr>Setup</vt:lpstr>
      <vt:lpstr>Offset Plotting</vt:lpstr>
      <vt:lpstr>Nominal ORD</vt:lpstr>
      <vt:lpstr>Nominal Data</vt:lpstr>
      <vt:lpstr>Imported Offset File</vt:lpstr>
      <vt:lpstr>Offset Data</vt:lpstr>
      <vt:lpstr>New Offset File</vt:lpstr>
      <vt:lpstr>New Data</vt:lpstr>
      <vt:lpstr>New ORD</vt:lpstr>
      <vt:lpstr>Sign Conventions</vt:lpstr>
      <vt:lpstr>'AMP1-4'!Print_Area</vt:lpstr>
      <vt:lpstr>'Flow Offsets'!Print_Area</vt:lpstr>
      <vt:lpstr>'Manual Offset'!Print_Area</vt:lpstr>
      <vt:lpstr>'Offset Solver'!Print_Area</vt:lpstr>
      <vt:lpstr>YieldRates!Print_Area</vt:lpstr>
    </vt:vector>
  </TitlesOfParts>
  <Company>Waterjet Holdings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Zarlengo</dc:creator>
  <cp:lastModifiedBy>Corey Wilson</cp:lastModifiedBy>
  <cp:lastPrinted>2019-06-20T13:17:25Z</cp:lastPrinted>
  <dcterms:created xsi:type="dcterms:W3CDTF">2018-05-02T03:57:32Z</dcterms:created>
  <dcterms:modified xsi:type="dcterms:W3CDTF">2019-09-04T16:46:51Z</dcterms:modified>
</cp:coreProperties>
</file>